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1F7CC4E1-22C5-4E34-B1F7-2D30EC262E09}" xr6:coauthVersionLast="47" xr6:coauthVersionMax="47" xr10:uidLastSave="{00000000-0000-0000-0000-000000000000}"/>
  <bookViews>
    <workbookView xWindow="-120" yWindow="-120" windowWidth="29040" windowHeight="15720" tabRatio="934" activeTab="1" xr2:uid="{00000000-000D-0000-FFFF-FFFF00000000}"/>
  </bookViews>
  <sheets>
    <sheet name="Instructions" sheetId="43" r:id="rId1"/>
    <sheet name="Settings" sheetId="38" r:id="rId2"/>
    <sheet name="POS Ranks" sheetId="44" r:id="rId3"/>
    <sheet name="OVR &amp; VORP Ranks" sheetId="48" r:id="rId4"/>
    <sheet name="Ranks w Proj" sheetId="54" r:id="rId5"/>
    <sheet name="Jake's Ranks" sheetId="55" r:id="rId6"/>
    <sheet name="ARI" sheetId="32" r:id="rId7"/>
    <sheet name="ATL" sheetId="4" r:id="rId8"/>
    <sheet name="BAL" sheetId="5" r:id="rId9"/>
    <sheet name="BUF" sheetId="6" r:id="rId10"/>
    <sheet name="CAR" sheetId="1" r:id="rId11"/>
    <sheet name="CHI" sheetId="7" r:id="rId12"/>
    <sheet name="CIN" sheetId="8" r:id="rId13"/>
    <sheet name="CLE" sheetId="9" r:id="rId14"/>
    <sheet name="DAL" sheetId="10" r:id="rId15"/>
    <sheet name="DEN" sheetId="11" r:id="rId16"/>
    <sheet name="DET" sheetId="12" r:id="rId17"/>
    <sheet name="GB" sheetId="13" r:id="rId18"/>
    <sheet name="HOU" sheetId="14" r:id="rId19"/>
    <sheet name="IND" sheetId="15" r:id="rId20"/>
    <sheet name="JAX" sheetId="16" r:id="rId21"/>
    <sheet name="KC" sheetId="17" r:id="rId22"/>
    <sheet name="LV" sheetId="25" r:id="rId23"/>
    <sheet name="LAC" sheetId="3" r:id="rId24"/>
    <sheet name="LAR" sheetId="18" r:id="rId25"/>
    <sheet name="MIA" sheetId="19" r:id="rId26"/>
    <sheet name="MIN" sheetId="20" r:id="rId27"/>
    <sheet name="NE" sheetId="21" r:id="rId28"/>
    <sheet name="NO" sheetId="22" r:id="rId29"/>
    <sheet name="NYG" sheetId="23" r:id="rId30"/>
    <sheet name="NYJ" sheetId="24" r:id="rId31"/>
    <sheet name="PHI" sheetId="26" r:id="rId32"/>
    <sheet name="PIT" sheetId="27" r:id="rId33"/>
    <sheet name="SF" sheetId="2" r:id="rId34"/>
    <sheet name="SEA" sheetId="28" r:id="rId35"/>
    <sheet name="TB" sheetId="29" r:id="rId36"/>
    <sheet name="TEN" sheetId="30" r:id="rId37"/>
    <sheet name="WSH" sheetId="31" r:id="rId38"/>
    <sheet name="DST" sheetId="37" r:id="rId39"/>
    <sheet name="Jake PPR" sheetId="57" r:id="rId40"/>
    <sheet name="Jake Non" sheetId="58" r:id="rId41"/>
    <sheet name="Calculated Points" sheetId="47" state="hidden" r:id="rId42"/>
    <sheet name="Rankings" sheetId="56" state="hidden" r:id="rId43"/>
    <sheet name="QB" sheetId="33" state="hidden" r:id="rId44"/>
    <sheet name="RB" sheetId="36" state="hidden" r:id="rId45"/>
    <sheet name="WR" sheetId="35" state="hidden" r:id="rId46"/>
    <sheet name="TE" sheetId="34" state="hidden" r:id="rId47"/>
    <sheet name="DST1" sheetId="46" state="hidden" r:id="rId48"/>
  </sheets>
  <externalReferences>
    <externalReference r:id="rId49"/>
  </externalReferences>
  <definedNames>
    <definedName name="COMPLETIONS" localSheetId="41">[1]Settings!$B$3</definedName>
    <definedName name="COMPLETIONS" localSheetId="3">[1]Settings!$B$3</definedName>
    <definedName name="COMPLETIONS">Settings!$B$3</definedName>
    <definedName name="DEF_0_PTS_ALLOW">Settings!$B$22</definedName>
    <definedName name="DEF_1_6_PTS_ALLOW">Settings!$B$23</definedName>
    <definedName name="DEF_14_21_PTS_ALLOW">Settings!$B$25</definedName>
    <definedName name="DEF_22_27_PTS_ALLOW">Settings!$B$26</definedName>
    <definedName name="DEF_28_35_PTS_ALLOW">Settings!$B$27</definedName>
    <definedName name="DEF_35__PTS_ALLOW">Settings!$B$28</definedName>
    <definedName name="DEF_7_13_PTS_ALLOW">Settings!$B$24</definedName>
    <definedName name="DEF_FORCE_FUMBLE">Settings!$B$18</definedName>
    <definedName name="DEF_INT">Settings!$B$17</definedName>
    <definedName name="DEF_RECOVER_FUMBLE">Settings!$B$19</definedName>
    <definedName name="DEF_SACKS">Settings!$B$16</definedName>
    <definedName name="DEF_SAFETIES">Settings!$B$20</definedName>
    <definedName name="DEF_TOUCHDOWN">Settings!$B$21</definedName>
    <definedName name="DEF_YD_ALLOW_PER">Settings!#REF!</definedName>
    <definedName name="FLEXVORPCalc">'OVR &amp; VORP Ranks'!$AD$6</definedName>
    <definedName name="INTERCEPTIONS" localSheetId="41">[1]Settings!$B$6</definedName>
    <definedName name="INTERCEPTIONS" localSheetId="3">[1]Settings!$B$6</definedName>
    <definedName name="INTERCEPTIONS">Settings!$B$6</definedName>
    <definedName name="PASS_ATTEMPTS" localSheetId="41">[1]Settings!$B$2</definedName>
    <definedName name="PASS_ATTEMPTS" localSheetId="3">[1]Settings!$B$2</definedName>
    <definedName name="PASS_ATTEMPTS">Settings!$B$2</definedName>
    <definedName name="PASS_TDS" localSheetId="41">[1]Settings!$B$5</definedName>
    <definedName name="PASS_TDS" localSheetId="3">[1]Settings!$B$5</definedName>
    <definedName name="PASS_TDS">Settings!$B$5</definedName>
    <definedName name="PASS_YARDS" localSheetId="41">[1]Settings!$B$4</definedName>
    <definedName name="PASS_YARDS" localSheetId="3">[1]Settings!$B$4</definedName>
    <definedName name="PASS_YARDS">Settings!$B$4</definedName>
    <definedName name="QBVORPCalc">'OVR &amp; VORP Ranks'!$AD$2</definedName>
    <definedName name="RBVORPCalc">'OVR &amp; VORP Ranks'!$AD$3</definedName>
    <definedName name="RECEPTIONS_RB" localSheetId="41">[1]Settings!$B$11</definedName>
    <definedName name="RECEPTIONS_RB" localSheetId="3">[1]Settings!$B$11</definedName>
    <definedName name="RECEPTIONS_RB">Settings!$B$11</definedName>
    <definedName name="RECEPTIONS_TE" localSheetId="41">[1]Settings!$B$13</definedName>
    <definedName name="RECEPTIONS_TE" localSheetId="3">[1]Settings!$B$13</definedName>
    <definedName name="RECEPTIONS_TE">Settings!$B$13</definedName>
    <definedName name="RECEPTIONS_WR" localSheetId="41">[1]Settings!$B$12</definedName>
    <definedName name="RECEPTIONS_WR" localSheetId="3">[1]Settings!$B$12</definedName>
    <definedName name="RECEPTIONS_WR">Settings!$B$12</definedName>
    <definedName name="RECV_TDS" localSheetId="41">[1]Settings!$B$15</definedName>
    <definedName name="RECV_TDS" localSheetId="3">[1]Settings!$B$15</definedName>
    <definedName name="RECV_TDS">Settings!$B$15</definedName>
    <definedName name="RECV_YARDS" localSheetId="41">[1]Settings!$B$14</definedName>
    <definedName name="RECV_YARDS" localSheetId="3">[1]Settings!$B$14</definedName>
    <definedName name="RECV_YARDS">Settings!$B$14</definedName>
    <definedName name="RUSH_ATTEMPTS" localSheetId="41">[1]Settings!$B$7</definedName>
    <definedName name="RUSH_ATTEMPTS" localSheetId="3">[1]Settings!$B$7</definedName>
    <definedName name="RUSH_ATTEMPTS">Settings!$B$7</definedName>
    <definedName name="RUSH_TDS" localSheetId="41">[1]Settings!$B$9</definedName>
    <definedName name="RUSH_TDS" localSheetId="3">[1]Settings!$B$9</definedName>
    <definedName name="RUSH_TDS">Settings!$B$9</definedName>
    <definedName name="RUSH_YARDS" localSheetId="41">[1]Settings!$B$8</definedName>
    <definedName name="RUSH_YARDS" localSheetId="3">[1]Settings!$B$8</definedName>
    <definedName name="RUSH_YARDS">Settings!$B$8</definedName>
    <definedName name="SFLEXVORPCalc">'OVR &amp; VORP Ranks'!$AD$7</definedName>
    <definedName name="STARTING_DST">Settings!$E$7</definedName>
    <definedName name="STARTING_FLEX">Settings!$E$9</definedName>
    <definedName name="STARTING_QB">Settings!$E$3</definedName>
    <definedName name="STARTING_RB">Settings!$E$4</definedName>
    <definedName name="STARTING_SUPERFLEX">Settings!$E$8</definedName>
    <definedName name="STARTING_TE">Settings!$E$6</definedName>
    <definedName name="STARTING_WR">Settings!$E$5</definedName>
    <definedName name="TARGETS" localSheetId="41">[1]Settings!$B$10</definedName>
    <definedName name="TARGETS" localSheetId="3">[1]Settings!$B$10</definedName>
    <definedName name="TARGETS">Settings!$B$10</definedName>
    <definedName name="TEAMS">Settings!$E$2</definedName>
    <definedName name="TEVORPCalc">'OVR &amp; VORP Ranks'!$AD$5</definedName>
    <definedName name="WRTEVORPCalc">'OVR &amp; VORP Ranks'!$AD$8</definedName>
    <definedName name="WRVORPCalc">'OVR &amp; VORP Ranks'!$AD$4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48" l="1"/>
  <c r="AR2" i="58"/>
  <c r="AR3" i="58"/>
  <c r="AR4" i="58"/>
  <c r="AR5" i="58"/>
  <c r="AR6" i="58"/>
  <c r="AR7" i="58"/>
  <c r="AR8" i="58"/>
  <c r="AR9" i="58"/>
  <c r="AR10" i="58"/>
  <c r="AR11" i="58"/>
  <c r="AR12" i="58"/>
  <c r="AR13" i="58"/>
  <c r="AR14" i="58"/>
  <c r="AR15" i="58"/>
  <c r="AR16" i="58"/>
  <c r="AR17" i="58"/>
  <c r="AR18" i="58"/>
  <c r="AR19" i="58"/>
  <c r="AR20" i="58"/>
  <c r="AR21" i="58"/>
  <c r="AR22" i="58"/>
  <c r="AR23" i="58"/>
  <c r="AR24" i="58"/>
  <c r="AR25" i="58"/>
  <c r="AR26" i="58"/>
  <c r="AR27" i="58"/>
  <c r="AR28" i="58"/>
  <c r="AR29" i="58"/>
  <c r="AR30" i="58"/>
  <c r="AR31" i="58"/>
  <c r="AR32" i="58"/>
  <c r="AR33" i="58"/>
  <c r="AR34" i="58"/>
  <c r="AR35" i="58"/>
  <c r="AR36" i="58"/>
  <c r="AR37" i="58"/>
  <c r="AR38" i="58"/>
  <c r="AR39" i="58"/>
  <c r="AR40" i="58"/>
  <c r="AR41" i="58"/>
  <c r="AR42" i="58"/>
  <c r="AR43" i="58"/>
  <c r="AR44" i="58"/>
  <c r="AR45" i="58"/>
  <c r="AR46" i="58"/>
  <c r="AR47" i="58"/>
  <c r="AR48" i="58"/>
  <c r="AR49" i="58"/>
  <c r="AR50" i="58"/>
  <c r="AR51" i="58"/>
  <c r="AR52" i="58"/>
  <c r="AR53" i="58"/>
  <c r="AR54" i="58"/>
  <c r="AR55" i="58"/>
  <c r="AR56" i="58"/>
  <c r="AR57" i="58"/>
  <c r="AR58" i="58"/>
  <c r="AR59" i="58"/>
  <c r="AR60" i="58"/>
  <c r="AR61" i="58"/>
  <c r="AR62" i="58"/>
  <c r="AR63" i="58"/>
  <c r="AR64" i="58"/>
  <c r="AR65" i="58"/>
  <c r="AR66" i="58"/>
  <c r="AR67" i="58"/>
  <c r="AR68" i="58"/>
  <c r="AR69" i="58"/>
  <c r="AR70" i="58"/>
  <c r="AR71" i="58"/>
  <c r="AR72" i="58"/>
  <c r="AR73" i="58"/>
  <c r="AR74" i="58"/>
  <c r="AR75" i="58"/>
  <c r="AR76" i="58"/>
  <c r="AR77" i="58"/>
  <c r="AR78" i="58"/>
  <c r="AR79" i="58"/>
  <c r="AR80" i="58"/>
  <c r="AR81" i="58"/>
  <c r="AR82" i="58"/>
  <c r="AR83" i="58"/>
  <c r="AR84" i="58"/>
  <c r="AR85" i="58"/>
  <c r="AR86" i="58"/>
  <c r="AR87" i="58"/>
  <c r="AR88" i="58"/>
  <c r="AR89" i="58"/>
  <c r="AR90" i="58"/>
  <c r="AR91" i="58"/>
  <c r="AR92" i="58"/>
  <c r="AR93" i="58"/>
  <c r="AR94" i="58"/>
  <c r="AR95" i="58"/>
  <c r="AR96" i="58"/>
  <c r="AR97" i="58"/>
  <c r="AR98" i="58"/>
  <c r="AR99" i="58"/>
  <c r="AR100" i="58"/>
  <c r="AR101" i="58"/>
  <c r="AE2" i="58"/>
  <c r="AE3" i="58"/>
  <c r="AE4" i="58"/>
  <c r="AE5" i="58"/>
  <c r="AE6" i="58"/>
  <c r="AE7" i="58"/>
  <c r="AE8" i="58"/>
  <c r="AE9" i="58"/>
  <c r="AE10" i="58"/>
  <c r="AE11" i="58"/>
  <c r="AE12" i="58"/>
  <c r="AE13" i="58"/>
  <c r="AE14" i="58"/>
  <c r="AE15" i="58"/>
  <c r="AE16" i="58"/>
  <c r="AE17" i="58"/>
  <c r="AE18" i="58"/>
  <c r="AE19" i="58"/>
  <c r="AE20" i="58"/>
  <c r="AE21" i="58"/>
  <c r="AE22" i="58"/>
  <c r="AE23" i="58"/>
  <c r="AE24" i="58"/>
  <c r="AE25" i="58"/>
  <c r="AE26" i="58"/>
  <c r="AE27" i="58"/>
  <c r="AE28" i="58"/>
  <c r="AE29" i="58"/>
  <c r="AE30" i="58"/>
  <c r="AE31" i="58"/>
  <c r="AE32" i="58"/>
  <c r="AE33" i="58"/>
  <c r="AE34" i="58"/>
  <c r="AE35" i="58"/>
  <c r="AE36" i="58"/>
  <c r="AE37" i="58"/>
  <c r="AE38" i="58"/>
  <c r="AE39" i="58"/>
  <c r="AE40" i="58"/>
  <c r="AE41" i="58"/>
  <c r="AE42" i="58"/>
  <c r="AE43" i="58"/>
  <c r="AE44" i="58"/>
  <c r="AE45" i="58"/>
  <c r="AE46" i="58"/>
  <c r="AE47" i="58"/>
  <c r="AE48" i="58"/>
  <c r="AE49" i="58"/>
  <c r="AE50" i="58"/>
  <c r="AE51" i="58"/>
  <c r="AE52" i="58"/>
  <c r="AE53" i="58"/>
  <c r="AE54" i="58"/>
  <c r="AE55" i="58"/>
  <c r="AE56" i="58"/>
  <c r="AE57" i="58"/>
  <c r="AE58" i="58"/>
  <c r="AE59" i="58"/>
  <c r="AE60" i="58"/>
  <c r="AE61" i="58"/>
  <c r="AE62" i="58"/>
  <c r="AE63" i="58"/>
  <c r="AE64" i="58"/>
  <c r="AE65" i="58"/>
  <c r="AE66" i="58"/>
  <c r="AE67" i="58"/>
  <c r="AE68" i="58"/>
  <c r="AE69" i="58"/>
  <c r="AE70" i="58"/>
  <c r="AE71" i="58"/>
  <c r="AE72" i="58"/>
  <c r="AE73" i="58"/>
  <c r="AE74" i="58"/>
  <c r="AE75" i="58"/>
  <c r="AE76" i="58"/>
  <c r="AE77" i="58"/>
  <c r="AE78" i="58"/>
  <c r="AE79" i="58"/>
  <c r="AE80" i="58"/>
  <c r="AE81" i="58"/>
  <c r="AE82" i="58"/>
  <c r="AE83" i="58"/>
  <c r="AE84" i="58"/>
  <c r="AE85" i="58"/>
  <c r="AE86" i="58"/>
  <c r="AE87" i="58"/>
  <c r="AE88" i="58"/>
  <c r="AE89" i="58"/>
  <c r="AE90" i="58"/>
  <c r="AE91" i="58"/>
  <c r="AE92" i="58"/>
  <c r="AE93" i="58"/>
  <c r="AE94" i="58"/>
  <c r="AE95" i="58"/>
  <c r="AE96" i="58"/>
  <c r="AE97" i="58"/>
  <c r="AE98" i="58"/>
  <c r="AE99" i="58"/>
  <c r="AE100" i="58"/>
  <c r="AE101" i="58"/>
  <c r="AE102" i="58"/>
  <c r="AE103" i="58"/>
  <c r="AE104" i="58"/>
  <c r="AE105" i="58"/>
  <c r="AE106" i="58"/>
  <c r="AE107" i="58"/>
  <c r="AE108" i="58"/>
  <c r="AE109" i="58"/>
  <c r="AE110" i="58"/>
  <c r="AE111" i="58"/>
  <c r="AE112" i="58"/>
  <c r="AE113" i="58"/>
  <c r="AE114" i="58"/>
  <c r="AE115" i="58"/>
  <c r="AE116" i="58"/>
  <c r="AE117" i="58"/>
  <c r="AE118" i="58"/>
  <c r="AE119" i="58"/>
  <c r="AE120" i="58"/>
  <c r="AE121" i="58"/>
  <c r="AE122" i="58"/>
  <c r="AE123" i="58"/>
  <c r="AE124" i="58"/>
  <c r="AE125" i="58"/>
  <c r="AE126" i="58"/>
  <c r="AE127" i="58"/>
  <c r="AE128" i="58"/>
  <c r="AE129" i="58"/>
  <c r="AE130" i="58"/>
  <c r="AE131" i="58"/>
  <c r="AE132" i="58"/>
  <c r="AE133" i="58"/>
  <c r="AE134" i="58"/>
  <c r="AE135" i="58"/>
  <c r="AE136" i="58"/>
  <c r="AE137" i="58"/>
  <c r="AE138" i="58"/>
  <c r="AE139" i="58"/>
  <c r="AE140" i="58"/>
  <c r="AE141" i="58"/>
  <c r="AE142" i="58"/>
  <c r="AE143" i="58"/>
  <c r="AE144" i="58"/>
  <c r="AE145" i="58"/>
  <c r="AE146" i="58"/>
  <c r="AE147" i="58"/>
  <c r="AE148" i="58"/>
  <c r="AE149" i="58"/>
  <c r="AE150" i="58"/>
  <c r="AE151" i="58"/>
  <c r="AE152" i="58"/>
  <c r="AE153" i="58"/>
  <c r="AE154" i="58"/>
  <c r="AE155" i="58"/>
  <c r="AE156" i="58"/>
  <c r="AE157" i="58"/>
  <c r="AE158" i="58"/>
  <c r="AE159" i="58"/>
  <c r="AE160" i="58"/>
  <c r="AE161" i="58"/>
  <c r="AE162" i="58"/>
  <c r="AE163" i="58"/>
  <c r="AE164" i="58"/>
  <c r="AE165" i="58"/>
  <c r="AE166" i="58"/>
  <c r="AE167" i="58"/>
  <c r="AE168" i="58"/>
  <c r="AE169" i="58"/>
  <c r="AE170" i="58"/>
  <c r="AE171" i="58"/>
  <c r="AE172" i="58"/>
  <c r="AE173" i="58"/>
  <c r="AE174" i="58"/>
  <c r="AE175" i="58"/>
  <c r="AE176" i="58"/>
  <c r="AE177" i="58"/>
  <c r="AE178" i="58"/>
  <c r="AE179" i="58"/>
  <c r="AE180" i="58"/>
  <c r="AE181" i="58"/>
  <c r="AE182" i="58"/>
  <c r="AE183" i="58"/>
  <c r="AE184" i="58"/>
  <c r="AE185" i="58"/>
  <c r="AE186" i="58"/>
  <c r="AE187" i="58"/>
  <c r="AE188" i="58"/>
  <c r="AE189" i="58"/>
  <c r="AE190" i="58"/>
  <c r="AE191" i="58"/>
  <c r="AE192" i="58"/>
  <c r="AE193" i="58"/>
  <c r="AE194" i="58"/>
  <c r="AE195" i="58"/>
  <c r="AE196" i="58"/>
  <c r="AE197" i="58"/>
  <c r="AE198" i="58"/>
  <c r="AE199" i="58"/>
  <c r="AE200" i="58"/>
  <c r="AE201" i="58"/>
  <c r="AE202" i="58"/>
  <c r="AE203" i="58"/>
  <c r="AE204" i="58"/>
  <c r="AE205" i="58"/>
  <c r="AE206" i="58"/>
  <c r="AE207" i="58"/>
  <c r="AE208" i="58"/>
  <c r="AE209" i="58"/>
  <c r="AE210" i="58"/>
  <c r="AE211" i="58"/>
  <c r="AE212" i="58"/>
  <c r="AE213" i="58"/>
  <c r="AE214" i="58"/>
  <c r="AE215" i="58"/>
  <c r="AE216" i="58"/>
  <c r="AE217" i="58"/>
  <c r="AE218" i="58"/>
  <c r="AE219" i="58"/>
  <c r="AE220" i="58"/>
  <c r="AE221" i="58"/>
  <c r="AR2" i="57"/>
  <c r="AR3" i="57"/>
  <c r="AR4" i="57"/>
  <c r="AR5" i="57"/>
  <c r="AR6" i="57"/>
  <c r="AR7" i="57"/>
  <c r="AR8" i="57"/>
  <c r="AR9" i="57"/>
  <c r="AR10" i="57"/>
  <c r="AR11" i="57"/>
  <c r="AR12" i="57"/>
  <c r="AR13" i="57"/>
  <c r="AR14" i="57"/>
  <c r="AR15" i="57"/>
  <c r="AR16" i="57"/>
  <c r="AR17" i="57"/>
  <c r="AR18" i="57"/>
  <c r="AR19" i="57"/>
  <c r="AR20" i="57"/>
  <c r="AR21" i="57"/>
  <c r="AR22" i="57"/>
  <c r="AR23" i="57"/>
  <c r="AR24" i="57"/>
  <c r="AR25" i="57"/>
  <c r="AR26" i="57"/>
  <c r="AR27" i="57"/>
  <c r="AR28" i="57"/>
  <c r="AR29" i="57"/>
  <c r="AR30" i="57"/>
  <c r="AR31" i="57"/>
  <c r="AR32" i="57"/>
  <c r="AR33" i="57"/>
  <c r="AR34" i="57"/>
  <c r="AR35" i="57"/>
  <c r="AR36" i="57"/>
  <c r="AR37" i="57"/>
  <c r="AR38" i="57"/>
  <c r="AR39" i="57"/>
  <c r="AR40" i="57"/>
  <c r="AR41" i="57"/>
  <c r="AR42" i="57"/>
  <c r="AR43" i="57"/>
  <c r="AR44" i="57"/>
  <c r="AR45" i="57"/>
  <c r="AR46" i="57"/>
  <c r="AR47" i="57"/>
  <c r="AR48" i="57"/>
  <c r="AR49" i="57"/>
  <c r="AR50" i="57"/>
  <c r="AR51" i="57"/>
  <c r="AR52" i="57"/>
  <c r="AR53" i="57"/>
  <c r="AR54" i="57"/>
  <c r="AR55" i="57"/>
  <c r="AR56" i="57"/>
  <c r="AR57" i="57"/>
  <c r="AR58" i="57"/>
  <c r="AR59" i="57"/>
  <c r="AR60" i="57"/>
  <c r="AR61" i="57"/>
  <c r="AR62" i="57"/>
  <c r="AR63" i="57"/>
  <c r="AR64" i="57"/>
  <c r="AR65" i="57"/>
  <c r="AR66" i="57"/>
  <c r="AR67" i="57"/>
  <c r="AR68" i="57"/>
  <c r="AR69" i="57"/>
  <c r="AR70" i="57"/>
  <c r="AR71" i="57"/>
  <c r="AR72" i="57"/>
  <c r="AR73" i="57"/>
  <c r="AR74" i="57"/>
  <c r="AR75" i="57"/>
  <c r="AR76" i="57"/>
  <c r="AR77" i="57"/>
  <c r="AR78" i="57"/>
  <c r="AR79" i="57"/>
  <c r="AR80" i="57"/>
  <c r="AR81" i="57"/>
  <c r="AR82" i="57"/>
  <c r="AR83" i="57"/>
  <c r="AR84" i="57"/>
  <c r="AR85" i="57"/>
  <c r="AR86" i="57"/>
  <c r="AR87" i="57"/>
  <c r="AR88" i="57"/>
  <c r="AR89" i="57"/>
  <c r="AR90" i="57"/>
  <c r="AR91" i="57"/>
  <c r="AR92" i="57"/>
  <c r="AR93" i="57"/>
  <c r="AR94" i="57"/>
  <c r="AR95" i="57"/>
  <c r="AR96" i="57"/>
  <c r="AR97" i="57"/>
  <c r="AR98" i="57"/>
  <c r="AR99" i="57"/>
  <c r="AR100" i="57"/>
  <c r="AR101" i="57"/>
  <c r="AE2" i="57"/>
  <c r="AE3" i="57"/>
  <c r="AE4" i="57"/>
  <c r="AE5" i="57"/>
  <c r="AE6" i="57"/>
  <c r="AE7" i="57"/>
  <c r="AE8" i="57"/>
  <c r="AE9" i="57"/>
  <c r="AE10" i="57"/>
  <c r="AE11" i="57"/>
  <c r="AE12" i="57"/>
  <c r="AE13" i="57"/>
  <c r="AE14" i="57"/>
  <c r="AE15" i="57"/>
  <c r="AE16" i="57"/>
  <c r="AE17" i="57"/>
  <c r="AE18" i="57"/>
  <c r="AE19" i="57"/>
  <c r="AE20" i="57"/>
  <c r="AE21" i="57"/>
  <c r="AE22" i="57"/>
  <c r="AE23" i="57"/>
  <c r="AE24" i="57"/>
  <c r="AE25" i="57"/>
  <c r="AE26" i="57"/>
  <c r="AE27" i="57"/>
  <c r="AE28" i="57"/>
  <c r="AE29" i="57"/>
  <c r="AE30" i="57"/>
  <c r="AE31" i="57"/>
  <c r="AE32" i="57"/>
  <c r="AE33" i="57"/>
  <c r="AE34" i="57"/>
  <c r="AE35" i="57"/>
  <c r="AE36" i="57"/>
  <c r="AE37" i="57"/>
  <c r="AE38" i="57"/>
  <c r="AE39" i="57"/>
  <c r="AE40" i="57"/>
  <c r="AE41" i="57"/>
  <c r="AE42" i="57"/>
  <c r="AE43" i="57"/>
  <c r="AE44" i="57"/>
  <c r="AE45" i="57"/>
  <c r="AE46" i="57"/>
  <c r="AE47" i="57"/>
  <c r="AE48" i="57"/>
  <c r="AE49" i="57"/>
  <c r="AE50" i="57"/>
  <c r="AE51" i="57"/>
  <c r="AE52" i="57"/>
  <c r="AE53" i="57"/>
  <c r="AE54" i="57"/>
  <c r="AE55" i="57"/>
  <c r="AE56" i="57"/>
  <c r="AE57" i="57"/>
  <c r="AE58" i="57"/>
  <c r="AE59" i="57"/>
  <c r="AE60" i="57"/>
  <c r="AE61" i="57"/>
  <c r="AE62" i="57"/>
  <c r="AE63" i="57"/>
  <c r="AE64" i="57"/>
  <c r="AE65" i="57"/>
  <c r="AE66" i="57"/>
  <c r="AE67" i="57"/>
  <c r="AE68" i="57"/>
  <c r="AE69" i="57"/>
  <c r="AE70" i="57"/>
  <c r="AE71" i="57"/>
  <c r="AE72" i="57"/>
  <c r="AE73" i="57"/>
  <c r="AE74" i="57"/>
  <c r="AE75" i="57"/>
  <c r="AE76" i="57"/>
  <c r="AE77" i="57"/>
  <c r="AE78" i="57"/>
  <c r="AE79" i="57"/>
  <c r="AE80" i="57"/>
  <c r="AE81" i="57"/>
  <c r="AE82" i="57"/>
  <c r="AE83" i="57"/>
  <c r="AE84" i="57"/>
  <c r="AE85" i="57"/>
  <c r="AE86" i="57"/>
  <c r="AE87" i="57"/>
  <c r="AE88" i="57"/>
  <c r="AE89" i="57"/>
  <c r="AE90" i="57"/>
  <c r="AE91" i="57"/>
  <c r="AE92" i="57"/>
  <c r="AE93" i="57"/>
  <c r="AE94" i="57"/>
  <c r="AE95" i="57"/>
  <c r="AE96" i="57"/>
  <c r="AE97" i="57"/>
  <c r="AE98" i="57"/>
  <c r="AE99" i="57"/>
  <c r="AE100" i="57"/>
  <c r="AE101" i="57"/>
  <c r="AE102" i="57"/>
  <c r="AE103" i="57"/>
  <c r="AE104" i="57"/>
  <c r="AE105" i="57"/>
  <c r="AE106" i="57"/>
  <c r="AE107" i="57"/>
  <c r="AE108" i="57"/>
  <c r="AE109" i="57"/>
  <c r="AE110" i="57"/>
  <c r="AE111" i="57"/>
  <c r="AE112" i="57"/>
  <c r="AE113" i="57"/>
  <c r="AE114" i="57"/>
  <c r="AE115" i="57"/>
  <c r="AE116" i="57"/>
  <c r="AE117" i="57"/>
  <c r="AE118" i="57"/>
  <c r="AE119" i="57"/>
  <c r="AE120" i="57"/>
  <c r="AE121" i="57"/>
  <c r="AE122" i="57"/>
  <c r="AE123" i="57"/>
  <c r="AE124" i="57"/>
  <c r="AE125" i="57"/>
  <c r="AE126" i="57"/>
  <c r="AE127" i="57"/>
  <c r="AE128" i="57"/>
  <c r="AE129" i="57"/>
  <c r="AE130" i="57"/>
  <c r="AE131" i="57"/>
  <c r="AE132" i="57"/>
  <c r="AE133" i="57"/>
  <c r="AE134" i="57"/>
  <c r="AE135" i="57"/>
  <c r="AE136" i="57"/>
  <c r="AE137" i="57"/>
  <c r="AE138" i="57"/>
  <c r="AE139" i="57"/>
  <c r="AE140" i="57"/>
  <c r="AE141" i="57"/>
  <c r="AE142" i="57"/>
  <c r="AE143" i="57"/>
  <c r="AE144" i="57"/>
  <c r="AE145" i="57"/>
  <c r="AE146" i="57"/>
  <c r="AE147" i="57"/>
  <c r="AE148" i="57"/>
  <c r="AE149" i="57"/>
  <c r="AE150" i="57"/>
  <c r="AE151" i="57"/>
  <c r="AE152" i="57"/>
  <c r="AE153" i="57"/>
  <c r="AE154" i="57"/>
  <c r="AE155" i="57"/>
  <c r="AE156" i="57"/>
  <c r="AE157" i="57"/>
  <c r="AE158" i="57"/>
  <c r="AE159" i="57"/>
  <c r="AE160" i="57"/>
  <c r="AE161" i="57"/>
  <c r="AE162" i="57"/>
  <c r="AE163" i="57"/>
  <c r="AE164" i="57"/>
  <c r="AE165" i="57"/>
  <c r="AE166" i="57"/>
  <c r="AE167" i="57"/>
  <c r="AE168" i="57"/>
  <c r="AE169" i="57"/>
  <c r="AE170" i="57"/>
  <c r="AE171" i="57"/>
  <c r="AE172" i="57"/>
  <c r="AE173" i="57"/>
  <c r="AE174" i="57"/>
  <c r="AE175" i="57"/>
  <c r="AE176" i="57"/>
  <c r="AE177" i="57"/>
  <c r="AE178" i="57"/>
  <c r="AE179" i="57"/>
  <c r="AE180" i="57"/>
  <c r="AE181" i="57"/>
  <c r="AE182" i="57"/>
  <c r="AE183" i="57"/>
  <c r="AE184" i="57"/>
  <c r="AE185" i="57"/>
  <c r="AE186" i="57"/>
  <c r="AE187" i="57"/>
  <c r="AE188" i="57"/>
  <c r="AE189" i="57"/>
  <c r="AE190" i="57"/>
  <c r="AE191" i="57"/>
  <c r="AE192" i="57"/>
  <c r="AE193" i="57"/>
  <c r="AE194" i="57"/>
  <c r="AE195" i="57"/>
  <c r="AE196" i="57"/>
  <c r="AE197" i="57"/>
  <c r="AE198" i="57"/>
  <c r="AE199" i="57"/>
  <c r="AE200" i="57"/>
  <c r="AE201" i="57"/>
  <c r="AE202" i="57"/>
  <c r="AE203" i="57"/>
  <c r="AE204" i="57"/>
  <c r="AE205" i="57"/>
  <c r="AE206" i="57"/>
  <c r="AE207" i="57"/>
  <c r="AE208" i="57"/>
  <c r="AE209" i="57"/>
  <c r="AE210" i="57"/>
  <c r="AE211" i="57"/>
  <c r="AE212" i="57"/>
  <c r="AE213" i="57"/>
  <c r="AE214" i="57"/>
  <c r="AE215" i="57"/>
  <c r="AE216" i="57"/>
  <c r="AE217" i="57"/>
  <c r="AE218" i="57"/>
  <c r="AE219" i="57"/>
  <c r="AE220" i="57"/>
  <c r="AE221" i="57"/>
  <c r="Q2" i="58"/>
  <c r="Q3" i="58"/>
  <c r="Q4" i="58"/>
  <c r="Q5" i="58"/>
  <c r="Q6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3" i="57"/>
  <c r="Q4" i="57"/>
  <c r="Q5" i="57"/>
  <c r="Q6" i="57"/>
  <c r="Q7" i="57"/>
  <c r="Q8" i="57"/>
  <c r="Q9" i="57"/>
  <c r="Q10" i="57"/>
  <c r="Q11" i="57"/>
  <c r="Q12" i="57"/>
  <c r="Q13" i="57"/>
  <c r="Q14" i="57"/>
  <c r="Q15" i="57"/>
  <c r="Q16" i="57"/>
  <c r="Q17" i="57"/>
  <c r="Q18" i="57"/>
  <c r="Q19" i="57"/>
  <c r="Q20" i="57"/>
  <c r="Q21" i="57"/>
  <c r="Q22" i="57"/>
  <c r="Q23" i="57"/>
  <c r="Q24" i="57"/>
  <c r="Q25" i="57"/>
  <c r="Q26" i="57"/>
  <c r="Q27" i="57"/>
  <c r="Q28" i="57"/>
  <c r="Q29" i="57"/>
  <c r="Q30" i="57"/>
  <c r="Q31" i="57"/>
  <c r="Q32" i="57"/>
  <c r="Q33" i="57"/>
  <c r="Q34" i="57"/>
  <c r="Q35" i="57"/>
  <c r="Q36" i="57"/>
  <c r="Q37" i="57"/>
  <c r="Q38" i="57"/>
  <c r="Q39" i="57"/>
  <c r="Q40" i="57"/>
  <c r="Q41" i="57"/>
  <c r="Q42" i="57"/>
  <c r="Q43" i="57"/>
  <c r="Q44" i="57"/>
  <c r="Q45" i="57"/>
  <c r="Q46" i="57"/>
  <c r="Q47" i="57"/>
  <c r="Q48" i="57"/>
  <c r="Q49" i="57"/>
  <c r="Q50" i="57"/>
  <c r="Q51" i="57"/>
  <c r="Q52" i="57"/>
  <c r="Q53" i="57"/>
  <c r="Q54" i="57"/>
  <c r="Q55" i="57"/>
  <c r="Q56" i="57"/>
  <c r="Q57" i="57"/>
  <c r="Q58" i="57"/>
  <c r="Q59" i="57"/>
  <c r="Q60" i="57"/>
  <c r="Q61" i="57"/>
  <c r="Q62" i="57"/>
  <c r="Q63" i="57"/>
  <c r="Q64" i="57"/>
  <c r="Q65" i="57"/>
  <c r="Q66" i="57"/>
  <c r="Q67" i="57"/>
  <c r="Q68" i="57"/>
  <c r="Q69" i="57"/>
  <c r="Q70" i="57"/>
  <c r="Q71" i="57"/>
  <c r="Q72" i="57"/>
  <c r="Q73" i="57"/>
  <c r="Q74" i="57"/>
  <c r="Q75" i="57"/>
  <c r="Q76" i="57"/>
  <c r="Q77" i="57"/>
  <c r="Q78" i="57"/>
  <c r="Q79" i="57"/>
  <c r="Q80" i="57"/>
  <c r="Q81" i="57"/>
  <c r="Q82" i="57"/>
  <c r="Q83" i="57"/>
  <c r="Q84" i="57"/>
  <c r="Q85" i="57"/>
  <c r="Q86" i="57"/>
  <c r="Q87" i="57"/>
  <c r="Q88" i="57"/>
  <c r="Q89" i="57"/>
  <c r="Q90" i="57"/>
  <c r="Q91" i="57"/>
  <c r="Q92" i="57"/>
  <c r="Q93" i="57"/>
  <c r="Q94" i="57"/>
  <c r="Q95" i="57"/>
  <c r="Q96" i="57"/>
  <c r="Q97" i="57"/>
  <c r="Q98" i="57"/>
  <c r="Q99" i="57"/>
  <c r="Q100" i="57"/>
  <c r="Q101" i="57"/>
  <c r="Q102" i="57"/>
  <c r="Q103" i="57"/>
  <c r="Q104" i="57"/>
  <c r="Q105" i="57"/>
  <c r="Q106" i="57"/>
  <c r="Q107" i="57"/>
  <c r="Q108" i="57"/>
  <c r="Q109" i="57"/>
  <c r="Q110" i="57"/>
  <c r="Q111" i="57"/>
  <c r="Q112" i="57"/>
  <c r="Q113" i="57"/>
  <c r="Q114" i="57"/>
  <c r="Q115" i="57"/>
  <c r="Q116" i="57"/>
  <c r="Q117" i="57"/>
  <c r="Q118" i="57"/>
  <c r="Q119" i="57"/>
  <c r="Q120" i="57"/>
  <c r="Q121" i="57"/>
  <c r="Q122" i="57"/>
  <c r="Q123" i="57"/>
  <c r="Q124" i="57"/>
  <c r="Q125" i="57"/>
  <c r="Q126" i="57"/>
  <c r="Q127" i="57"/>
  <c r="Q128" i="57"/>
  <c r="Q129" i="57"/>
  <c r="Q130" i="57"/>
  <c r="Q131" i="57"/>
  <c r="Q132" i="57"/>
  <c r="Q133" i="57"/>
  <c r="Q134" i="57"/>
  <c r="Q135" i="57"/>
  <c r="Q136" i="57"/>
  <c r="Q137" i="57"/>
  <c r="Q138" i="57"/>
  <c r="Q139" i="57"/>
  <c r="Q140" i="57"/>
  <c r="Q141" i="57"/>
  <c r="Q142" i="57"/>
  <c r="Q143" i="57"/>
  <c r="Q144" i="57"/>
  <c r="Q145" i="57"/>
  <c r="Q146" i="57"/>
  <c r="Q147" i="57"/>
  <c r="Q148" i="57"/>
  <c r="Q149" i="57"/>
  <c r="Q150" i="57"/>
  <c r="Q151" i="57"/>
  <c r="Q152" i="57"/>
  <c r="Q153" i="57"/>
  <c r="Q154" i="57"/>
  <c r="Q155" i="57"/>
  <c r="Q156" i="57"/>
  <c r="Q157" i="57"/>
  <c r="Q158" i="57"/>
  <c r="Q159" i="57"/>
  <c r="Q160" i="57"/>
  <c r="Q161" i="57"/>
  <c r="Q162" i="57"/>
  <c r="Q163" i="57"/>
  <c r="Q164" i="57"/>
  <c r="Q165" i="57"/>
  <c r="Q166" i="57"/>
  <c r="Q167" i="57"/>
  <c r="Q168" i="57"/>
  <c r="Q169" i="57"/>
  <c r="Q170" i="57"/>
  <c r="Q171" i="57"/>
  <c r="Q2" i="57"/>
  <c r="D13" i="33"/>
  <c r="B80" i="58"/>
  <c r="B79" i="58"/>
  <c r="B78" i="58"/>
  <c r="B77" i="58"/>
  <c r="B76" i="58"/>
  <c r="B75" i="58"/>
  <c r="B74" i="58"/>
  <c r="B73" i="58"/>
  <c r="B72" i="58"/>
  <c r="B71" i="58"/>
  <c r="B70" i="58"/>
  <c r="B69" i="58"/>
  <c r="B68" i="58"/>
  <c r="B67" i="58"/>
  <c r="B66" i="58"/>
  <c r="B65" i="58"/>
  <c r="B64" i="58"/>
  <c r="B63" i="58"/>
  <c r="B62" i="58"/>
  <c r="B61" i="58"/>
  <c r="B60" i="58"/>
  <c r="B59" i="58"/>
  <c r="B58" i="58"/>
  <c r="B57" i="58"/>
  <c r="B56" i="58"/>
  <c r="B55" i="58"/>
  <c r="B54" i="58"/>
  <c r="B53" i="58"/>
  <c r="B52" i="58"/>
  <c r="B51" i="58"/>
  <c r="B50" i="58"/>
  <c r="B49" i="58"/>
  <c r="B48" i="58"/>
  <c r="B47" i="58"/>
  <c r="B46" i="58"/>
  <c r="B45" i="58"/>
  <c r="B44" i="58"/>
  <c r="B43" i="58"/>
  <c r="B42" i="58"/>
  <c r="B41" i="58"/>
  <c r="B40" i="58"/>
  <c r="B39" i="58"/>
  <c r="B38" i="58"/>
  <c r="B37" i="58"/>
  <c r="B36" i="58"/>
  <c r="B35" i="58"/>
  <c r="B34" i="58"/>
  <c r="B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6" i="58"/>
  <c r="B5" i="58"/>
  <c r="B4" i="58"/>
  <c r="B3" i="58"/>
  <c r="B2" i="58"/>
  <c r="B80" i="57"/>
  <c r="B79" i="57"/>
  <c r="B78" i="57"/>
  <c r="B77" i="57"/>
  <c r="B76" i="57"/>
  <c r="B75" i="57"/>
  <c r="B74" i="57"/>
  <c r="B73" i="57"/>
  <c r="B72" i="57"/>
  <c r="B71" i="57"/>
  <c r="B70" i="57"/>
  <c r="B69" i="57"/>
  <c r="B68" i="57"/>
  <c r="B67" i="57"/>
  <c r="B66" i="57"/>
  <c r="B65" i="57"/>
  <c r="B64" i="57"/>
  <c r="B63" i="57"/>
  <c r="B62" i="57"/>
  <c r="B61" i="57"/>
  <c r="B60" i="57"/>
  <c r="B59" i="57"/>
  <c r="B58" i="57"/>
  <c r="B57" i="57"/>
  <c r="B56" i="57"/>
  <c r="B55" i="57"/>
  <c r="B54" i="57"/>
  <c r="B53" i="57"/>
  <c r="B52" i="57"/>
  <c r="B51" i="57"/>
  <c r="B50" i="57"/>
  <c r="B49" i="57"/>
  <c r="B48" i="57"/>
  <c r="B47" i="57"/>
  <c r="B46" i="57"/>
  <c r="B45" i="57"/>
  <c r="B44" i="57"/>
  <c r="B43" i="57"/>
  <c r="B42" i="57"/>
  <c r="B41" i="57"/>
  <c r="B40" i="57"/>
  <c r="B39" i="57"/>
  <c r="B38" i="57"/>
  <c r="B37" i="57"/>
  <c r="B36" i="57"/>
  <c r="B35" i="57"/>
  <c r="B34" i="57"/>
  <c r="B33" i="57"/>
  <c r="B32" i="57"/>
  <c r="B31" i="57"/>
  <c r="B30" i="57"/>
  <c r="B29" i="57"/>
  <c r="B28" i="57"/>
  <c r="B27" i="57"/>
  <c r="B26" i="57"/>
  <c r="B25" i="57"/>
  <c r="B24" i="57"/>
  <c r="B23" i="57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7" i="57"/>
  <c r="B6" i="57"/>
  <c r="B5" i="57"/>
  <c r="B4" i="57"/>
  <c r="B3" i="57"/>
  <c r="B2" i="57"/>
  <c r="W18" i="12"/>
  <c r="AA18" i="12"/>
  <c r="AB18" i="12"/>
  <c r="AB19" i="26"/>
  <c r="AA19" i="26"/>
  <c r="AB18" i="26"/>
  <c r="AA18" i="26"/>
  <c r="AB17" i="26"/>
  <c r="AA17" i="26"/>
  <c r="W14" i="21"/>
  <c r="AA14" i="21"/>
  <c r="AB14" i="21"/>
  <c r="W15" i="21"/>
  <c r="AA15" i="21"/>
  <c r="AB15" i="21"/>
  <c r="W16" i="21"/>
  <c r="AA16" i="21"/>
  <c r="AB16" i="21"/>
  <c r="W17" i="21"/>
  <c r="AA17" i="21"/>
  <c r="AB17" i="21"/>
  <c r="W18" i="21"/>
  <c r="AA18" i="21"/>
  <c r="AB18" i="21"/>
  <c r="AA19" i="1"/>
  <c r="AA17" i="1"/>
  <c r="AA18" i="1"/>
  <c r="AA15" i="1"/>
  <c r="AA14" i="1"/>
  <c r="AA18" i="9"/>
  <c r="AA13" i="9"/>
  <c r="AA14" i="9"/>
  <c r="AA16" i="9"/>
  <c r="AA9" i="9"/>
  <c r="AA8" i="9"/>
  <c r="AA7" i="9"/>
  <c r="AA19" i="10"/>
  <c r="AA18" i="10"/>
  <c r="AA17" i="10"/>
  <c r="AA19" i="11"/>
  <c r="AA18" i="11"/>
  <c r="AA16" i="11"/>
  <c r="AA15" i="11"/>
  <c r="AA17" i="11"/>
  <c r="AA18" i="14"/>
  <c r="AA17" i="14"/>
  <c r="W19" i="1"/>
  <c r="W17" i="1"/>
  <c r="W18" i="1"/>
  <c r="W15" i="1"/>
  <c r="W14" i="1"/>
  <c r="W18" i="9"/>
  <c r="W13" i="9"/>
  <c r="W14" i="9"/>
  <c r="W16" i="9"/>
  <c r="W9" i="9"/>
  <c r="W8" i="9"/>
  <c r="W7" i="9"/>
  <c r="W19" i="10"/>
  <c r="W18" i="10"/>
  <c r="W17" i="10"/>
  <c r="W19" i="11"/>
  <c r="W18" i="11"/>
  <c r="W16" i="11"/>
  <c r="W15" i="11"/>
  <c r="W17" i="11"/>
  <c r="W19" i="14"/>
  <c r="W18" i="14"/>
  <c r="W17" i="14"/>
  <c r="AB9" i="19"/>
  <c r="AB16" i="19"/>
  <c r="B186" i="35"/>
  <c r="B187" i="35"/>
  <c r="B188" i="35"/>
  <c r="B189" i="35"/>
  <c r="B185" i="35"/>
  <c r="B184" i="35"/>
  <c r="B163" i="35"/>
  <c r="B164" i="35"/>
  <c r="B165" i="35"/>
  <c r="B166" i="35"/>
  <c r="B143" i="35"/>
  <c r="B144" i="35"/>
  <c r="B145" i="35"/>
  <c r="B146" i="35"/>
  <c r="B142" i="35"/>
  <c r="C16" i="19"/>
  <c r="C19" i="21"/>
  <c r="C18" i="21"/>
  <c r="C18" i="20"/>
  <c r="C17" i="20"/>
  <c r="C16" i="20"/>
  <c r="C19" i="1"/>
  <c r="C17" i="1"/>
  <c r="C18" i="1"/>
  <c r="C15" i="1"/>
  <c r="C14" i="1"/>
  <c r="C19" i="20"/>
  <c r="C19" i="24"/>
  <c r="C17" i="24"/>
  <c r="C16" i="24"/>
  <c r="C17" i="10"/>
  <c r="C19" i="10"/>
  <c r="C18" i="10"/>
  <c r="C18" i="9"/>
  <c r="C13" i="9"/>
  <c r="C16" i="9"/>
  <c r="C14" i="9"/>
  <c r="C14" i="25"/>
  <c r="C16" i="25"/>
  <c r="C17" i="25"/>
  <c r="C18" i="25"/>
  <c r="C19" i="25"/>
  <c r="B60" i="33"/>
  <c r="B59" i="33"/>
  <c r="C15" i="2"/>
  <c r="C19" i="2"/>
  <c r="Q3" i="26"/>
  <c r="C3" i="26"/>
  <c r="Q4" i="26"/>
  <c r="C4" i="26"/>
  <c r="AD6" i="48"/>
  <c r="AD4" i="48" s="1"/>
  <c r="C9" i="31"/>
  <c r="C8" i="31"/>
  <c r="C7" i="31"/>
  <c r="C6" i="31"/>
  <c r="C8" i="2"/>
  <c r="C9" i="2"/>
  <c r="C10" i="2"/>
  <c r="C11" i="2"/>
  <c r="AD10" i="48"/>
  <c r="C19" i="11"/>
  <c r="C18" i="11"/>
  <c r="C16" i="11"/>
  <c r="C17" i="11"/>
  <c r="C15" i="11"/>
  <c r="C15" i="20"/>
  <c r="C19" i="14"/>
  <c r="C18" i="14"/>
  <c r="C17" i="14"/>
  <c r="C8" i="9"/>
  <c r="C7" i="9"/>
  <c r="C9" i="9"/>
  <c r="E20" i="58" l="1"/>
  <c r="D71" i="58"/>
  <c r="AK218" i="57"/>
  <c r="C8" i="58"/>
  <c r="AN197" i="57"/>
  <c r="AL197" i="57"/>
  <c r="AJ197" i="57"/>
  <c r="AH197" i="57"/>
  <c r="L4" i="58"/>
  <c r="V113" i="57"/>
  <c r="U113" i="57"/>
  <c r="T113" i="57"/>
  <c r="L41" i="57"/>
  <c r="J41" i="57"/>
  <c r="H41" i="57"/>
  <c r="Z77" i="57"/>
  <c r="Y77" i="57"/>
  <c r="X77" i="57"/>
  <c r="W77" i="57"/>
  <c r="K41" i="57"/>
  <c r="I41" i="57"/>
  <c r="L29" i="57"/>
  <c r="K29" i="57"/>
  <c r="J29" i="57"/>
  <c r="AM197" i="57"/>
  <c r="AK197" i="57"/>
  <c r="AI197" i="57"/>
  <c r="AN194" i="58"/>
  <c r="AN221" i="58"/>
  <c r="AM221" i="58"/>
  <c r="AL221" i="58"/>
  <c r="AK221" i="58"/>
  <c r="AJ221" i="58"/>
  <c r="AI221" i="58"/>
  <c r="AH221" i="58"/>
  <c r="AG221" i="58"/>
  <c r="AF221" i="58"/>
  <c r="AN220" i="58"/>
  <c r="AM220" i="58"/>
  <c r="AL220" i="58"/>
  <c r="AK220" i="58"/>
  <c r="AJ220" i="58"/>
  <c r="AI220" i="58"/>
  <c r="AH220" i="58"/>
  <c r="AG220" i="58"/>
  <c r="AF220" i="58"/>
  <c r="AN219" i="58"/>
  <c r="AM219" i="58"/>
  <c r="AL219" i="58"/>
  <c r="AK219" i="58"/>
  <c r="AJ219" i="58"/>
  <c r="AI219" i="58"/>
  <c r="AH219" i="58"/>
  <c r="AG219" i="58"/>
  <c r="AF219" i="58"/>
  <c r="AN218" i="58"/>
  <c r="AM218" i="58"/>
  <c r="AL218" i="58"/>
  <c r="AK218" i="58"/>
  <c r="AJ218" i="58"/>
  <c r="AI218" i="58"/>
  <c r="AH218" i="58"/>
  <c r="AG218" i="58"/>
  <c r="AF218" i="58"/>
  <c r="AN217" i="58"/>
  <c r="AM217" i="58"/>
  <c r="AL217" i="58"/>
  <c r="AK217" i="58"/>
  <c r="AJ217" i="58"/>
  <c r="AI217" i="58"/>
  <c r="AH217" i="58"/>
  <c r="AG217" i="58"/>
  <c r="AF217" i="58"/>
  <c r="AN216" i="58"/>
  <c r="AM216" i="58"/>
  <c r="AL216" i="58"/>
  <c r="AK216" i="58"/>
  <c r="AJ216" i="58"/>
  <c r="AI216" i="58"/>
  <c r="AH216" i="58"/>
  <c r="AG216" i="58"/>
  <c r="AF216" i="58"/>
  <c r="AN215" i="58"/>
  <c r="AM215" i="58"/>
  <c r="AL215" i="58"/>
  <c r="AK215" i="58"/>
  <c r="AJ215" i="58"/>
  <c r="AI215" i="58"/>
  <c r="AH215" i="58"/>
  <c r="AG215" i="58"/>
  <c r="AF215" i="58"/>
  <c r="AN214" i="58"/>
  <c r="AM214" i="58"/>
  <c r="AL214" i="58"/>
  <c r="AK214" i="58"/>
  <c r="AJ214" i="58"/>
  <c r="AI214" i="58"/>
  <c r="AH214" i="58"/>
  <c r="AG214" i="58"/>
  <c r="AF214" i="58"/>
  <c r="AN213" i="58"/>
  <c r="AM213" i="58"/>
  <c r="AL213" i="58"/>
  <c r="AK213" i="58"/>
  <c r="AJ213" i="58"/>
  <c r="AI213" i="58"/>
  <c r="AH213" i="58"/>
  <c r="AG213" i="58"/>
  <c r="AF213" i="58"/>
  <c r="AN212" i="58"/>
  <c r="AM212" i="58"/>
  <c r="AL212" i="58"/>
  <c r="AK212" i="58"/>
  <c r="AJ212" i="58"/>
  <c r="AI212" i="58"/>
  <c r="AH212" i="58"/>
  <c r="AG212" i="58"/>
  <c r="AF212" i="58"/>
  <c r="AN211" i="58"/>
  <c r="AM211" i="58"/>
  <c r="AL211" i="58"/>
  <c r="AK211" i="58"/>
  <c r="AJ211" i="58"/>
  <c r="AI211" i="58"/>
  <c r="AH211" i="58"/>
  <c r="AG211" i="58"/>
  <c r="AF211" i="58"/>
  <c r="AN210" i="58"/>
  <c r="AM210" i="58"/>
  <c r="AL210" i="58"/>
  <c r="AK210" i="58"/>
  <c r="AJ210" i="58"/>
  <c r="AI210" i="58"/>
  <c r="AH210" i="58"/>
  <c r="AG210" i="58"/>
  <c r="AF210" i="58"/>
  <c r="AN209" i="58"/>
  <c r="AM209" i="58"/>
  <c r="AL209" i="58"/>
  <c r="AK209" i="58"/>
  <c r="AJ209" i="58"/>
  <c r="AI209" i="58"/>
  <c r="AH209" i="58"/>
  <c r="AG209" i="58"/>
  <c r="AF209" i="58"/>
  <c r="AN208" i="58"/>
  <c r="AM208" i="58"/>
  <c r="AL208" i="58"/>
  <c r="AK208" i="58"/>
  <c r="AI208" i="58"/>
  <c r="AH208" i="58"/>
  <c r="AG208" i="58"/>
  <c r="AF208" i="58"/>
  <c r="AN207" i="58"/>
  <c r="AM207" i="58"/>
  <c r="AL207" i="58"/>
  <c r="AK207" i="58"/>
  <c r="AJ207" i="58"/>
  <c r="AI207" i="58"/>
  <c r="AH207" i="58"/>
  <c r="AG207" i="58"/>
  <c r="AF207" i="58"/>
  <c r="AM206" i="58"/>
  <c r="AJ206" i="58"/>
  <c r="AG206" i="58"/>
  <c r="AM204" i="58"/>
  <c r="AJ204" i="58"/>
  <c r="AG204" i="58"/>
  <c r="AN203" i="58"/>
  <c r="AL203" i="58"/>
  <c r="AJ203" i="58"/>
  <c r="AH203" i="58"/>
  <c r="AL202" i="58"/>
  <c r="AJ202" i="58"/>
  <c r="AI202" i="58"/>
  <c r="AM194" i="58"/>
  <c r="AL194" i="58"/>
  <c r="AK194" i="58"/>
  <c r="AJ194" i="58"/>
  <c r="AI194" i="58"/>
  <c r="AH194" i="58"/>
  <c r="AG194" i="58"/>
  <c r="AF194" i="58"/>
  <c r="AN193" i="58"/>
  <c r="AM193" i="58"/>
  <c r="AL193" i="58"/>
  <c r="AK193" i="58"/>
  <c r="AJ193" i="58"/>
  <c r="AI193" i="58"/>
  <c r="AH193" i="58"/>
  <c r="AG193" i="58"/>
  <c r="AF193" i="58"/>
  <c r="AN192" i="58"/>
  <c r="AM192" i="58"/>
  <c r="AL192" i="58"/>
  <c r="AK192" i="58"/>
  <c r="AJ192" i="58"/>
  <c r="AI192" i="58"/>
  <c r="AH192" i="58"/>
  <c r="AG192" i="58"/>
  <c r="AF192" i="58"/>
  <c r="AN191" i="58"/>
  <c r="AM191" i="58"/>
  <c r="AL191" i="58"/>
  <c r="AK191" i="58"/>
  <c r="AJ191" i="58"/>
  <c r="AI191" i="58"/>
  <c r="AH191" i="58"/>
  <c r="AG191" i="58"/>
  <c r="AF191" i="58"/>
  <c r="AN190" i="58"/>
  <c r="AM190" i="58"/>
  <c r="AL190" i="58"/>
  <c r="AK190" i="58"/>
  <c r="AJ190" i="58"/>
  <c r="AI190" i="58"/>
  <c r="AH190" i="58"/>
  <c r="AG190" i="58"/>
  <c r="AF190" i="58"/>
  <c r="AN189" i="58"/>
  <c r="AM189" i="58"/>
  <c r="AL189" i="58"/>
  <c r="AK189" i="58"/>
  <c r="AJ189" i="58"/>
  <c r="AI189" i="58"/>
  <c r="AH189" i="58"/>
  <c r="AG189" i="58"/>
  <c r="AF189" i="58"/>
  <c r="AN188" i="58"/>
  <c r="AM188" i="58"/>
  <c r="AL188" i="58"/>
  <c r="AK188" i="58"/>
  <c r="AJ188" i="58"/>
  <c r="AI188" i="58"/>
  <c r="AH188" i="58"/>
  <c r="AG188" i="58"/>
  <c r="AF188" i="58"/>
  <c r="AN187" i="58"/>
  <c r="AM187" i="58"/>
  <c r="AL187" i="58"/>
  <c r="AK187" i="58"/>
  <c r="AJ187" i="58"/>
  <c r="AI187" i="58"/>
  <c r="AH187" i="58"/>
  <c r="AG187" i="58"/>
  <c r="AF187" i="58"/>
  <c r="AH186" i="58"/>
  <c r="AH185" i="58"/>
  <c r="AH178" i="58"/>
  <c r="AH174" i="58"/>
  <c r="U171" i="58"/>
  <c r="AH170" i="58"/>
  <c r="U170" i="58"/>
  <c r="T105" i="58"/>
  <c r="AM104" i="58"/>
  <c r="AH104" i="58"/>
  <c r="T100" i="58"/>
  <c r="W81" i="58"/>
  <c r="C70" i="58"/>
  <c r="AH169" i="58"/>
  <c r="V169" i="58"/>
  <c r="U169" i="58"/>
  <c r="T169" i="58"/>
  <c r="AH168" i="58"/>
  <c r="V168" i="58"/>
  <c r="U168" i="58"/>
  <c r="T168" i="58"/>
  <c r="AH167" i="58"/>
  <c r="V167" i="58"/>
  <c r="U167" i="58"/>
  <c r="T167" i="58"/>
  <c r="AH166" i="58"/>
  <c r="V166" i="58"/>
  <c r="U166" i="58"/>
  <c r="T166" i="58"/>
  <c r="AH165" i="58"/>
  <c r="V165" i="58"/>
  <c r="U165" i="58"/>
  <c r="T165" i="58"/>
  <c r="AH164" i="58"/>
  <c r="V164" i="58"/>
  <c r="U164" i="58"/>
  <c r="T164" i="58"/>
  <c r="AH163" i="58"/>
  <c r="V163" i="58"/>
  <c r="U163" i="58"/>
  <c r="T163" i="58"/>
  <c r="AH162" i="58"/>
  <c r="V162" i="58"/>
  <c r="U162" i="58"/>
  <c r="T162" i="58"/>
  <c r="AH161" i="58"/>
  <c r="V161" i="58"/>
  <c r="U161" i="58"/>
  <c r="T161" i="58"/>
  <c r="AH160" i="58"/>
  <c r="V160" i="58"/>
  <c r="U160" i="58"/>
  <c r="T160" i="58"/>
  <c r="AH159" i="58"/>
  <c r="V159" i="58"/>
  <c r="U159" i="58"/>
  <c r="T159" i="58"/>
  <c r="AH158" i="58"/>
  <c r="V158" i="58"/>
  <c r="U158" i="58"/>
  <c r="T158" i="58"/>
  <c r="AH157" i="58"/>
  <c r="V157" i="58"/>
  <c r="U157" i="58"/>
  <c r="T157" i="58"/>
  <c r="AL104" i="58"/>
  <c r="AI104" i="58"/>
  <c r="U104" i="58"/>
  <c r="V103" i="58"/>
  <c r="T103" i="58"/>
  <c r="T101" i="58"/>
  <c r="AH100" i="58"/>
  <c r="V100" i="58"/>
  <c r="V99" i="58"/>
  <c r="U97" i="58"/>
  <c r="T96" i="58"/>
  <c r="D80" i="58"/>
  <c r="C74" i="58"/>
  <c r="U72" i="58"/>
  <c r="V71" i="58"/>
  <c r="D70" i="58"/>
  <c r="C69" i="58"/>
  <c r="D66" i="58"/>
  <c r="C65" i="58"/>
  <c r="T64" i="58"/>
  <c r="I21" i="58"/>
  <c r="E21" i="58"/>
  <c r="V20" i="58"/>
  <c r="K19" i="58"/>
  <c r="F19" i="58"/>
  <c r="F18" i="58"/>
  <c r="Y17" i="58"/>
  <c r="W17" i="58"/>
  <c r="K17" i="58"/>
  <c r="I17" i="58"/>
  <c r="F17" i="58"/>
  <c r="AX14" i="58"/>
  <c r="L12" i="58"/>
  <c r="E12" i="58"/>
  <c r="G8" i="58"/>
  <c r="I7" i="58"/>
  <c r="F7" i="58"/>
  <c r="C7" i="58"/>
  <c r="I5" i="58"/>
  <c r="F5" i="58"/>
  <c r="V156" i="58"/>
  <c r="U156" i="58"/>
  <c r="T156" i="58"/>
  <c r="V155" i="58"/>
  <c r="U155" i="58"/>
  <c r="T155" i="58"/>
  <c r="V154" i="58"/>
  <c r="U154" i="58"/>
  <c r="T154" i="58"/>
  <c r="V153" i="58"/>
  <c r="U153" i="58"/>
  <c r="T153" i="58"/>
  <c r="V152" i="58"/>
  <c r="U152" i="58"/>
  <c r="T152" i="58"/>
  <c r="V151" i="58"/>
  <c r="U151" i="58"/>
  <c r="T151" i="58"/>
  <c r="AH150" i="58"/>
  <c r="V150" i="58"/>
  <c r="U150" i="58"/>
  <c r="T150" i="58"/>
  <c r="AH149" i="58"/>
  <c r="V149" i="58"/>
  <c r="U149" i="58"/>
  <c r="T149" i="58"/>
  <c r="AH148" i="58"/>
  <c r="V148" i="58"/>
  <c r="U148" i="58"/>
  <c r="T148" i="58"/>
  <c r="AH147" i="58"/>
  <c r="V147" i="58"/>
  <c r="U147" i="58"/>
  <c r="T147" i="58"/>
  <c r="AH146" i="58"/>
  <c r="V146" i="58"/>
  <c r="U146" i="58"/>
  <c r="T146" i="58"/>
  <c r="AH145" i="58"/>
  <c r="V145" i="58"/>
  <c r="U145" i="58"/>
  <c r="T145" i="58"/>
  <c r="AH144" i="58"/>
  <c r="V144" i="58"/>
  <c r="U144" i="58"/>
  <c r="T144" i="58"/>
  <c r="AI127" i="58"/>
  <c r="AH127" i="58"/>
  <c r="V127" i="58"/>
  <c r="U127" i="58"/>
  <c r="T127" i="58"/>
  <c r="V126" i="58"/>
  <c r="U126" i="58"/>
  <c r="T126" i="58"/>
  <c r="T125" i="58"/>
  <c r="V124" i="58"/>
  <c r="T124" i="58"/>
  <c r="V121" i="58"/>
  <c r="U121" i="58"/>
  <c r="U120" i="58"/>
  <c r="V119" i="58"/>
  <c r="T119" i="58"/>
  <c r="U118" i="58"/>
  <c r="V116" i="58"/>
  <c r="AH115" i="58"/>
  <c r="U115" i="58"/>
  <c r="U114" i="58"/>
  <c r="U113" i="58"/>
  <c r="T113" i="58"/>
  <c r="T112" i="58"/>
  <c r="U110" i="58"/>
  <c r="U107" i="58"/>
  <c r="T106" i="58"/>
  <c r="U105" i="58"/>
  <c r="AK104" i="58"/>
  <c r="T102" i="58"/>
  <c r="U100" i="58"/>
  <c r="U98" i="58"/>
  <c r="V97" i="58"/>
  <c r="U96" i="58"/>
  <c r="AI95" i="58"/>
  <c r="Y87" i="58"/>
  <c r="V87" i="58"/>
  <c r="U86" i="58"/>
  <c r="Y81" i="58"/>
  <c r="U81" i="58"/>
  <c r="D76" i="58"/>
  <c r="AI75" i="58"/>
  <c r="T74" i="58"/>
  <c r="T72" i="58"/>
  <c r="C72" i="58"/>
  <c r="AI64" i="58"/>
  <c r="L21" i="58"/>
  <c r="T20" i="58"/>
  <c r="I20" i="58"/>
  <c r="C20" i="58"/>
  <c r="I18" i="58"/>
  <c r="E18" i="58"/>
  <c r="X17" i="58"/>
  <c r="C17" i="58"/>
  <c r="AJ15" i="58"/>
  <c r="AH15" i="58"/>
  <c r="AW14" i="58"/>
  <c r="T13" i="58"/>
  <c r="J12" i="58"/>
  <c r="AK8" i="58"/>
  <c r="E8" i="58"/>
  <c r="U7" i="58"/>
  <c r="C6" i="58"/>
  <c r="T5" i="58"/>
  <c r="K5" i="58"/>
  <c r="H5" i="58"/>
  <c r="V143" i="58"/>
  <c r="U143" i="58"/>
  <c r="T143" i="58"/>
  <c r="V142" i="58"/>
  <c r="U142" i="58"/>
  <c r="T142" i="58"/>
  <c r="V141" i="58"/>
  <c r="U141" i="58"/>
  <c r="T141" i="58"/>
  <c r="V140" i="58"/>
  <c r="U140" i="58"/>
  <c r="T140" i="58"/>
  <c r="V139" i="58"/>
  <c r="U139" i="58"/>
  <c r="T139" i="58"/>
  <c r="V138" i="58"/>
  <c r="U138" i="58"/>
  <c r="T138" i="58"/>
  <c r="V137" i="58"/>
  <c r="U137" i="58"/>
  <c r="T137" i="58"/>
  <c r="V136" i="58"/>
  <c r="U136" i="58"/>
  <c r="T136" i="58"/>
  <c r="V135" i="58"/>
  <c r="U135" i="58"/>
  <c r="T135" i="58"/>
  <c r="V134" i="58"/>
  <c r="U134" i="58"/>
  <c r="T134" i="58"/>
  <c r="V133" i="58"/>
  <c r="U133" i="58"/>
  <c r="T133" i="58"/>
  <c r="V132" i="58"/>
  <c r="U132" i="58"/>
  <c r="T132" i="58"/>
  <c r="V131" i="58"/>
  <c r="U131" i="58"/>
  <c r="T131" i="58"/>
  <c r="V130" i="58"/>
  <c r="U130" i="58"/>
  <c r="T130" i="58"/>
  <c r="V129" i="58"/>
  <c r="U129" i="58"/>
  <c r="T129" i="58"/>
  <c r="V128" i="58"/>
  <c r="U128" i="58"/>
  <c r="T128" i="58"/>
  <c r="V125" i="58"/>
  <c r="U125" i="58"/>
  <c r="U124" i="58"/>
  <c r="V123" i="58"/>
  <c r="T123" i="58"/>
  <c r="V122" i="58"/>
  <c r="T122" i="58"/>
  <c r="U119" i="58"/>
  <c r="U117" i="58"/>
  <c r="V115" i="58"/>
  <c r="V114" i="58"/>
  <c r="U112" i="58"/>
  <c r="V111" i="58"/>
  <c r="T111" i="58"/>
  <c r="T110" i="58"/>
  <c r="T109" i="58"/>
  <c r="T108" i="58"/>
  <c r="AI107" i="58"/>
  <c r="AH95" i="58"/>
  <c r="U95" i="58"/>
  <c r="Z87" i="58"/>
  <c r="U123" i="58"/>
  <c r="U122" i="58"/>
  <c r="T121" i="58"/>
  <c r="AI120" i="58"/>
  <c r="AH120" i="58"/>
  <c r="V120" i="58"/>
  <c r="T120" i="58"/>
  <c r="V118" i="58"/>
  <c r="T118" i="58"/>
  <c r="V117" i="58"/>
  <c r="T117" i="58"/>
  <c r="T116" i="58"/>
  <c r="T115" i="58"/>
  <c r="AI114" i="58"/>
  <c r="V113" i="58"/>
  <c r="V112" i="58"/>
  <c r="AL111" i="58"/>
  <c r="AK111" i="58"/>
  <c r="AJ111" i="58"/>
  <c r="AH111" i="58"/>
  <c r="U111" i="58"/>
  <c r="V110" i="58"/>
  <c r="V109" i="58"/>
  <c r="U108" i="58"/>
  <c r="V107" i="58"/>
  <c r="T107" i="58"/>
  <c r="T98" i="58"/>
  <c r="T97" i="58"/>
  <c r="C80" i="58"/>
  <c r="C79" i="58"/>
  <c r="W77" i="58"/>
  <c r="C77" i="58"/>
  <c r="V74" i="58"/>
  <c r="C68" i="58"/>
  <c r="D67" i="58"/>
  <c r="C66" i="58"/>
  <c r="F21" i="58"/>
  <c r="K20" i="58"/>
  <c r="C19" i="58"/>
  <c r="G18" i="58"/>
  <c r="Z17" i="58"/>
  <c r="G17" i="58"/>
  <c r="AU14" i="58"/>
  <c r="C11" i="58"/>
  <c r="V7" i="58"/>
  <c r="V5" i="58"/>
  <c r="J5" i="58"/>
  <c r="C5" i="58"/>
  <c r="AI117" i="58"/>
  <c r="AH117" i="58"/>
  <c r="U116" i="58"/>
  <c r="AI115" i="58"/>
  <c r="T114" i="58"/>
  <c r="U109" i="58"/>
  <c r="V108" i="58"/>
  <c r="AI106" i="58"/>
  <c r="V106" i="58"/>
  <c r="U106" i="58"/>
  <c r="V105" i="58"/>
  <c r="AJ104" i="58"/>
  <c r="T104" i="58"/>
  <c r="V102" i="58"/>
  <c r="T99" i="58"/>
  <c r="AM97" i="58"/>
  <c r="V96" i="58"/>
  <c r="V86" i="58"/>
  <c r="U82" i="58"/>
  <c r="AM78" i="58"/>
  <c r="AH78" i="58"/>
  <c r="X77" i="58"/>
  <c r="D75" i="58"/>
  <c r="D72" i="58"/>
  <c r="AI70" i="58"/>
  <c r="AM69" i="58"/>
  <c r="AJ69" i="58"/>
  <c r="AH65" i="58"/>
  <c r="D65" i="58"/>
  <c r="AM64" i="58"/>
  <c r="AH64" i="58"/>
  <c r="AI15" i="58"/>
  <c r="E5" i="58"/>
  <c r="C10" i="58"/>
  <c r="H8" i="58"/>
  <c r="L5" i="58"/>
  <c r="V94" i="58"/>
  <c r="U94" i="58"/>
  <c r="T94" i="58"/>
  <c r="V93" i="58"/>
  <c r="U93" i="58"/>
  <c r="T93" i="58"/>
  <c r="V92" i="58"/>
  <c r="U92" i="58"/>
  <c r="T92" i="58"/>
  <c r="Z90" i="58"/>
  <c r="Y90" i="58"/>
  <c r="X90" i="58"/>
  <c r="W90" i="58"/>
  <c r="V90" i="58"/>
  <c r="U90" i="58"/>
  <c r="T90" i="58"/>
  <c r="W87" i="58"/>
  <c r="T87" i="58"/>
  <c r="AJ81" i="58"/>
  <c r="X81" i="58"/>
  <c r="U80" i="58"/>
  <c r="D69" i="58"/>
  <c r="C67" i="58"/>
  <c r="V64" i="58"/>
  <c r="L19" i="58"/>
  <c r="H18" i="58"/>
  <c r="D78" i="58"/>
  <c r="Z77" i="58"/>
  <c r="C73" i="58"/>
  <c r="AJ8" i="58"/>
  <c r="J19" i="58"/>
  <c r="V9" i="58"/>
  <c r="D64" i="58"/>
  <c r="C64" i="58"/>
  <c r="D63" i="58"/>
  <c r="C63" i="58"/>
  <c r="D62" i="58"/>
  <c r="C62" i="58"/>
  <c r="AI61" i="58"/>
  <c r="AH61" i="58"/>
  <c r="D61" i="58"/>
  <c r="C61" i="58"/>
  <c r="D60" i="58"/>
  <c r="C60" i="58"/>
  <c r="D59" i="58"/>
  <c r="C59" i="58"/>
  <c r="D58" i="58"/>
  <c r="C58" i="58"/>
  <c r="D57" i="58"/>
  <c r="C57" i="58"/>
  <c r="V56" i="58"/>
  <c r="U56" i="58"/>
  <c r="T56" i="58"/>
  <c r="D56" i="58"/>
  <c r="C56" i="58"/>
  <c r="D55" i="58"/>
  <c r="C55" i="58"/>
  <c r="D54" i="58"/>
  <c r="C54" i="58"/>
  <c r="D53" i="58"/>
  <c r="C53" i="58"/>
  <c r="D52" i="58"/>
  <c r="C52" i="58"/>
  <c r="V51" i="58"/>
  <c r="U51" i="58"/>
  <c r="T51" i="58"/>
  <c r="D51" i="58"/>
  <c r="C51" i="58"/>
  <c r="E19" i="58"/>
  <c r="AK10" i="58"/>
  <c r="D50" i="58"/>
  <c r="C50" i="58"/>
  <c r="D49" i="58"/>
  <c r="C49" i="58"/>
  <c r="T48" i="58"/>
  <c r="D48" i="58"/>
  <c r="C48" i="58"/>
  <c r="D47" i="58"/>
  <c r="C47" i="58"/>
  <c r="D46" i="58"/>
  <c r="C46" i="58"/>
  <c r="V45" i="58"/>
  <c r="D45" i="58"/>
  <c r="C45" i="58"/>
  <c r="C36" i="58"/>
  <c r="C35" i="58"/>
  <c r="C34" i="58"/>
  <c r="V31" i="58"/>
  <c r="U31" i="58"/>
  <c r="T31" i="58"/>
  <c r="L31" i="58"/>
  <c r="AH30" i="58"/>
  <c r="C30" i="58"/>
  <c r="AI29" i="58"/>
  <c r="U29" i="58"/>
  <c r="K29" i="58"/>
  <c r="V28" i="58"/>
  <c r="K28" i="58"/>
  <c r="I28" i="58"/>
  <c r="V26" i="58"/>
  <c r="T26" i="58"/>
  <c r="K24" i="58"/>
  <c r="H24" i="58"/>
  <c r="E24" i="58"/>
  <c r="I22" i="58"/>
  <c r="E22" i="58"/>
  <c r="J21" i="58"/>
  <c r="H20" i="58"/>
  <c r="C18" i="58"/>
  <c r="AM15" i="58"/>
  <c r="AV14" i="58"/>
  <c r="AH13" i="58"/>
  <c r="U13" i="58"/>
  <c r="I12" i="58"/>
  <c r="AI9" i="58"/>
  <c r="I8" i="58"/>
  <c r="T7" i="58"/>
  <c r="E7" i="58"/>
  <c r="T6" i="58"/>
  <c r="G5" i="58"/>
  <c r="D44" i="58"/>
  <c r="C44" i="58"/>
  <c r="AM43" i="58"/>
  <c r="AL43" i="58"/>
  <c r="AK43" i="58"/>
  <c r="AJ43" i="58"/>
  <c r="AI43" i="58"/>
  <c r="AH43" i="58"/>
  <c r="D43" i="58"/>
  <c r="C43" i="58"/>
  <c r="D42" i="58"/>
  <c r="C42" i="58"/>
  <c r="U41" i="58"/>
  <c r="L41" i="58"/>
  <c r="K41" i="58"/>
  <c r="J41" i="58"/>
  <c r="I41" i="58"/>
  <c r="H41" i="58"/>
  <c r="G41" i="58"/>
  <c r="F41" i="58"/>
  <c r="E41" i="58"/>
  <c r="C41" i="58"/>
  <c r="V40" i="58"/>
  <c r="U40" i="58"/>
  <c r="T40" i="58"/>
  <c r="L40" i="58"/>
  <c r="K40" i="58"/>
  <c r="J40" i="58"/>
  <c r="I40" i="58"/>
  <c r="H40" i="58"/>
  <c r="G40" i="58"/>
  <c r="F40" i="58"/>
  <c r="E40" i="58"/>
  <c r="C40" i="58"/>
  <c r="V39" i="58"/>
  <c r="U39" i="58"/>
  <c r="T39" i="58"/>
  <c r="L39" i="58"/>
  <c r="K39" i="58"/>
  <c r="J39" i="58"/>
  <c r="I39" i="58"/>
  <c r="H39" i="58"/>
  <c r="G39" i="58"/>
  <c r="F39" i="58"/>
  <c r="E39" i="58"/>
  <c r="C39" i="58"/>
  <c r="C38" i="58"/>
  <c r="C37" i="58"/>
  <c r="Z36" i="58"/>
  <c r="Y36" i="58"/>
  <c r="W36" i="58"/>
  <c r="U36" i="58"/>
  <c r="T36" i="58"/>
  <c r="V34" i="58"/>
  <c r="T34" i="58"/>
  <c r="U33" i="58"/>
  <c r="C33" i="58"/>
  <c r="C32" i="58"/>
  <c r="C31" i="58"/>
  <c r="AI30" i="58"/>
  <c r="T30" i="58"/>
  <c r="T29" i="58"/>
  <c r="C29" i="58"/>
  <c r="Z28" i="58"/>
  <c r="X28" i="58"/>
  <c r="U28" i="58"/>
  <c r="L28" i="58"/>
  <c r="J28" i="58"/>
  <c r="H28" i="58"/>
  <c r="G28" i="58"/>
  <c r="F28" i="58"/>
  <c r="E28" i="58"/>
  <c r="D28" i="58"/>
  <c r="C28" i="58"/>
  <c r="C26" i="58"/>
  <c r="C25" i="58"/>
  <c r="AI24" i="58"/>
  <c r="L24" i="58"/>
  <c r="J24" i="58"/>
  <c r="G24" i="58"/>
  <c r="AI23" i="58"/>
  <c r="C23" i="58"/>
  <c r="H22" i="58"/>
  <c r="F22" i="58"/>
  <c r="C22" i="58"/>
  <c r="K21" i="58"/>
  <c r="C21" i="58"/>
  <c r="G20" i="58"/>
  <c r="C15" i="58"/>
  <c r="AH14" i="58"/>
  <c r="F12" i="58"/>
  <c r="T9" i="58"/>
  <c r="AL8" i="58"/>
  <c r="F8" i="58"/>
  <c r="V6" i="58"/>
  <c r="V29" i="58"/>
  <c r="L29" i="58"/>
  <c r="J29" i="58"/>
  <c r="Y28" i="58"/>
  <c r="W28" i="58"/>
  <c r="T28" i="58"/>
  <c r="C27" i="58"/>
  <c r="U26" i="58"/>
  <c r="K26" i="58"/>
  <c r="I24" i="58"/>
  <c r="F24" i="58"/>
  <c r="C24" i="58"/>
  <c r="AH23" i="58"/>
  <c r="G21" i="58"/>
  <c r="U20" i="58"/>
  <c r="J20" i="58"/>
  <c r="F20" i="58"/>
  <c r="I19" i="58"/>
  <c r="L17" i="58"/>
  <c r="C16" i="58"/>
  <c r="AL15" i="58"/>
  <c r="C14" i="58"/>
  <c r="V13" i="58"/>
  <c r="C13" i="58"/>
  <c r="K12" i="58"/>
  <c r="C12" i="58"/>
  <c r="AJ10" i="58"/>
  <c r="C9" i="58"/>
  <c r="G7" i="58"/>
  <c r="AI6" i="58"/>
  <c r="K4" i="58"/>
  <c r="J4" i="58"/>
  <c r="I4" i="58"/>
  <c r="H4" i="58"/>
  <c r="G4" i="58"/>
  <c r="F4" i="58"/>
  <c r="E4" i="58"/>
  <c r="C4" i="58"/>
  <c r="Z3" i="58"/>
  <c r="Y3" i="58"/>
  <c r="X3" i="58"/>
  <c r="W3" i="58"/>
  <c r="V3" i="58"/>
  <c r="L3" i="58"/>
  <c r="K3" i="58"/>
  <c r="J3" i="58"/>
  <c r="C3" i="58"/>
  <c r="L2" i="58"/>
  <c r="K2" i="58"/>
  <c r="J2" i="58"/>
  <c r="I2" i="58"/>
  <c r="H2" i="58"/>
  <c r="G2" i="58"/>
  <c r="F2" i="58"/>
  <c r="E2" i="58"/>
  <c r="C2" i="58"/>
  <c r="AH176" i="58"/>
  <c r="AH173" i="58"/>
  <c r="AH172" i="58"/>
  <c r="V170" i="58"/>
  <c r="T170" i="58"/>
  <c r="V104" i="58"/>
  <c r="U103" i="58"/>
  <c r="AH101" i="58"/>
  <c r="V101" i="58"/>
  <c r="U99" i="58"/>
  <c r="V98" i="58"/>
  <c r="AJ97" i="58"/>
  <c r="V95" i="58"/>
  <c r="T95" i="58"/>
  <c r="X87" i="58"/>
  <c r="T86" i="58"/>
  <c r="T82" i="58"/>
  <c r="V80" i="58"/>
  <c r="C78" i="58"/>
  <c r="AI77" i="58"/>
  <c r="D77" i="58"/>
  <c r="C75" i="58"/>
  <c r="U74" i="58"/>
  <c r="T73" i="58"/>
  <c r="AH71" i="58"/>
  <c r="T71" i="58"/>
  <c r="C71" i="58"/>
  <c r="D68" i="58"/>
  <c r="AL64" i="58"/>
  <c r="U64" i="58"/>
  <c r="H21" i="58"/>
  <c r="L20" i="58"/>
  <c r="H19" i="58"/>
  <c r="J17" i="58"/>
  <c r="E17" i="58"/>
  <c r="AL10" i="58"/>
  <c r="U5" i="58"/>
  <c r="AF205" i="58"/>
  <c r="AN204" i="58"/>
  <c r="AL204" i="58"/>
  <c r="AK204" i="58"/>
  <c r="AI204" i="58"/>
  <c r="AH204" i="58"/>
  <c r="AF204" i="58"/>
  <c r="AM203" i="58"/>
  <c r="AK203" i="58"/>
  <c r="AI203" i="58"/>
  <c r="AG203" i="58"/>
  <c r="AF203" i="58"/>
  <c r="AN202" i="58"/>
  <c r="AM202" i="58"/>
  <c r="AK202" i="58"/>
  <c r="AH202" i="58"/>
  <c r="AG202" i="58"/>
  <c r="AN201" i="58"/>
  <c r="AM201" i="58"/>
  <c r="AK201" i="58"/>
  <c r="AI201" i="58"/>
  <c r="AG201" i="58"/>
  <c r="AN199" i="58"/>
  <c r="AL199" i="58"/>
  <c r="AJ199" i="58"/>
  <c r="AH199" i="58"/>
  <c r="AF199" i="58"/>
  <c r="AN198" i="58"/>
  <c r="AM198" i="58"/>
  <c r="AL198" i="58"/>
  <c r="AK198" i="58"/>
  <c r="AJ198" i="58"/>
  <c r="AI198" i="58"/>
  <c r="AH198" i="58"/>
  <c r="AG198" i="58"/>
  <c r="AF197" i="58"/>
  <c r="AN196" i="58"/>
  <c r="AM196" i="58"/>
  <c r="AL196" i="58"/>
  <c r="AK196" i="58"/>
  <c r="AJ196" i="58"/>
  <c r="AI196" i="58"/>
  <c r="AH196" i="58"/>
  <c r="AG196" i="58"/>
  <c r="AF196" i="58"/>
  <c r="AN195" i="58"/>
  <c r="AM195" i="58"/>
  <c r="AL195" i="58"/>
  <c r="AK195" i="58"/>
  <c r="AJ195" i="58"/>
  <c r="AI195" i="58"/>
  <c r="AH195" i="58"/>
  <c r="AG195" i="58"/>
  <c r="AH183" i="58"/>
  <c r="AH180" i="58"/>
  <c r="AH179" i="58"/>
  <c r="AH175" i="58"/>
  <c r="Z81" i="58"/>
  <c r="T81" i="58"/>
  <c r="T80" i="58"/>
  <c r="D79" i="58"/>
  <c r="AI78" i="58"/>
  <c r="AJ77" i="58"/>
  <c r="U76" i="58"/>
  <c r="C76" i="58"/>
  <c r="D74" i="58"/>
  <c r="D73" i="58"/>
  <c r="V72" i="58"/>
  <c r="U71" i="58"/>
  <c r="AJ208" i="58"/>
  <c r="AN206" i="58"/>
  <c r="AL206" i="58"/>
  <c r="AK206" i="58"/>
  <c r="AI206" i="58"/>
  <c r="AH206" i="58"/>
  <c r="AF206" i="58"/>
  <c r="AN205" i="58"/>
  <c r="AM205" i="58"/>
  <c r="AL205" i="58"/>
  <c r="AK205" i="58"/>
  <c r="AJ205" i="58"/>
  <c r="AI205" i="58"/>
  <c r="AH205" i="58"/>
  <c r="AG205" i="58"/>
  <c r="AF202" i="58"/>
  <c r="AL201" i="58"/>
  <c r="AJ201" i="58"/>
  <c r="AH201" i="58"/>
  <c r="AF201" i="58"/>
  <c r="AN200" i="58"/>
  <c r="AM200" i="58"/>
  <c r="AL200" i="58"/>
  <c r="AK200" i="58"/>
  <c r="AJ200" i="58"/>
  <c r="AI200" i="58"/>
  <c r="AH200" i="58"/>
  <c r="AG200" i="58"/>
  <c r="AF200" i="58"/>
  <c r="AM199" i="58"/>
  <c r="AK199" i="58"/>
  <c r="AI199" i="58"/>
  <c r="AG199" i="58"/>
  <c r="AF198" i="58"/>
  <c r="AN197" i="58"/>
  <c r="AM197" i="58"/>
  <c r="AL197" i="58"/>
  <c r="AK197" i="58"/>
  <c r="AJ197" i="58"/>
  <c r="AI197" i="58"/>
  <c r="AH197" i="58"/>
  <c r="AG197" i="58"/>
  <c r="AF195" i="58"/>
  <c r="AH184" i="58"/>
  <c r="AH182" i="58"/>
  <c r="AH181" i="58"/>
  <c r="AH177" i="58"/>
  <c r="AH171" i="58"/>
  <c r="V171" i="58"/>
  <c r="T171" i="58"/>
  <c r="U102" i="58"/>
  <c r="U101" i="58"/>
  <c r="AN221" i="57"/>
  <c r="AM221" i="57"/>
  <c r="AL221" i="57"/>
  <c r="AK221" i="57"/>
  <c r="AJ221" i="57"/>
  <c r="AI221" i="57"/>
  <c r="AH221" i="57"/>
  <c r="AG221" i="57"/>
  <c r="AF221" i="57"/>
  <c r="AL209" i="57"/>
  <c r="AN205" i="57"/>
  <c r="AM205" i="57"/>
  <c r="AL205" i="57"/>
  <c r="AK205" i="57"/>
  <c r="AJ205" i="57"/>
  <c r="AI205" i="57"/>
  <c r="AG205" i="57"/>
  <c r="AF205" i="57"/>
  <c r="AL203" i="57"/>
  <c r="AI203" i="57"/>
  <c r="AF203" i="57"/>
  <c r="AN202" i="57"/>
  <c r="AM202" i="57"/>
  <c r="AL202" i="57"/>
  <c r="AK202" i="57"/>
  <c r="AJ202" i="57"/>
  <c r="AI202" i="57"/>
  <c r="AH202" i="57"/>
  <c r="AG202" i="57"/>
  <c r="AF202" i="57"/>
  <c r="AN201" i="57"/>
  <c r="AM201" i="57"/>
  <c r="AL201" i="57"/>
  <c r="AK201" i="57"/>
  <c r="AJ201" i="57"/>
  <c r="AI201" i="57"/>
  <c r="AH201" i="57"/>
  <c r="AG201" i="57"/>
  <c r="AF201" i="57"/>
  <c r="AN200" i="57"/>
  <c r="AM200" i="57"/>
  <c r="AL200" i="57"/>
  <c r="AK200" i="57"/>
  <c r="AJ200" i="57"/>
  <c r="AI200" i="57"/>
  <c r="AH200" i="57"/>
  <c r="AG200" i="57"/>
  <c r="AF200" i="57"/>
  <c r="AN199" i="57"/>
  <c r="AM199" i="57"/>
  <c r="AL199" i="57"/>
  <c r="AK199" i="57"/>
  <c r="AJ199" i="57"/>
  <c r="AI199" i="57"/>
  <c r="AH199" i="57"/>
  <c r="AG199" i="57"/>
  <c r="AF199" i="57"/>
  <c r="AN198" i="57"/>
  <c r="AL198" i="57"/>
  <c r="AK198" i="57"/>
  <c r="AI198" i="57"/>
  <c r="AG198" i="57"/>
  <c r="AH181" i="57"/>
  <c r="AH180" i="57"/>
  <c r="AH177" i="57"/>
  <c r="AG197" i="57"/>
  <c r="AF197" i="57"/>
  <c r="AN196" i="57"/>
  <c r="AM196" i="57"/>
  <c r="AL196" i="57"/>
  <c r="AK196" i="57"/>
  <c r="AJ196" i="57"/>
  <c r="AI196" i="57"/>
  <c r="AH196" i="57"/>
  <c r="AG196" i="57"/>
  <c r="AF196" i="57"/>
  <c r="AN195" i="57"/>
  <c r="AM195" i="57"/>
  <c r="AL195" i="57"/>
  <c r="AK195" i="57"/>
  <c r="AJ195" i="57"/>
  <c r="AI195" i="57"/>
  <c r="AH195" i="57"/>
  <c r="AG195" i="57"/>
  <c r="AF195" i="57"/>
  <c r="AN194" i="57"/>
  <c r="AM194" i="57"/>
  <c r="AL194" i="57"/>
  <c r="AK194" i="57"/>
  <c r="AJ194" i="57"/>
  <c r="AI194" i="57"/>
  <c r="AH194" i="57"/>
  <c r="AG194" i="57"/>
  <c r="AF194" i="57"/>
  <c r="AN193" i="57"/>
  <c r="AM193" i="57"/>
  <c r="AL193" i="57"/>
  <c r="AK193" i="57"/>
  <c r="AJ193" i="57"/>
  <c r="AI193" i="57"/>
  <c r="AH193" i="57"/>
  <c r="AG193" i="57"/>
  <c r="AF193" i="57"/>
  <c r="AN192" i="57"/>
  <c r="AM192" i="57"/>
  <c r="AL192" i="57"/>
  <c r="AK192" i="57"/>
  <c r="AJ192" i="57"/>
  <c r="AI192" i="57"/>
  <c r="AH192" i="57"/>
  <c r="AG192" i="57"/>
  <c r="AF192" i="57"/>
  <c r="AN191" i="57"/>
  <c r="AM191" i="57"/>
  <c r="AL191" i="57"/>
  <c r="AK191" i="57"/>
  <c r="AJ191" i="57"/>
  <c r="AI191" i="57"/>
  <c r="AH191" i="57"/>
  <c r="AG191" i="57"/>
  <c r="AF191" i="57"/>
  <c r="AN190" i="57"/>
  <c r="AM190" i="57"/>
  <c r="AL190" i="57"/>
  <c r="AK190" i="57"/>
  <c r="AJ190" i="57"/>
  <c r="AI190" i="57"/>
  <c r="AH190" i="57"/>
  <c r="AG190" i="57"/>
  <c r="AF190" i="57"/>
  <c r="AN189" i="57"/>
  <c r="AM189" i="57"/>
  <c r="AL189" i="57"/>
  <c r="AK189" i="57"/>
  <c r="AJ189" i="57"/>
  <c r="AI189" i="57"/>
  <c r="AH189" i="57"/>
  <c r="AG189" i="57"/>
  <c r="AF189" i="57"/>
  <c r="AN188" i="57"/>
  <c r="AM188" i="57"/>
  <c r="AL188" i="57"/>
  <c r="AK188" i="57"/>
  <c r="AJ188" i="57"/>
  <c r="AI188" i="57"/>
  <c r="AH188" i="57"/>
  <c r="AG188" i="57"/>
  <c r="AF188" i="57"/>
  <c r="AN187" i="57"/>
  <c r="AM187" i="57"/>
  <c r="AL187" i="57"/>
  <c r="AK187" i="57"/>
  <c r="AJ187" i="57"/>
  <c r="AI187" i="57"/>
  <c r="AH187" i="57"/>
  <c r="AG187" i="57"/>
  <c r="AF187" i="57"/>
  <c r="AH186" i="57"/>
  <c r="AH185" i="57"/>
  <c r="AH184" i="57"/>
  <c r="AH183" i="57"/>
  <c r="AH182" i="57"/>
  <c r="AH172" i="57"/>
  <c r="AH171" i="57"/>
  <c r="V171" i="57"/>
  <c r="U171" i="57"/>
  <c r="T171" i="57"/>
  <c r="AH170" i="57"/>
  <c r="V170" i="57"/>
  <c r="U170" i="57"/>
  <c r="T170" i="57"/>
  <c r="AH169" i="57"/>
  <c r="V169" i="57"/>
  <c r="U169" i="57"/>
  <c r="T169" i="57"/>
  <c r="AH168" i="57"/>
  <c r="V168" i="57"/>
  <c r="U168" i="57"/>
  <c r="T168" i="57"/>
  <c r="AH167" i="57"/>
  <c r="V167" i="57"/>
  <c r="U167" i="57"/>
  <c r="T167" i="57"/>
  <c r="AH166" i="57"/>
  <c r="V166" i="57"/>
  <c r="U166" i="57"/>
  <c r="T166" i="57"/>
  <c r="AH165" i="57"/>
  <c r="V165" i="57"/>
  <c r="U165" i="57"/>
  <c r="T165" i="57"/>
  <c r="AH164" i="57"/>
  <c r="V164" i="57"/>
  <c r="U164" i="57"/>
  <c r="T164" i="57"/>
  <c r="AH163" i="57"/>
  <c r="V163" i="57"/>
  <c r="U163" i="57"/>
  <c r="T163" i="57"/>
  <c r="AH162" i="57"/>
  <c r="V162" i="57"/>
  <c r="U162" i="57"/>
  <c r="T162" i="57"/>
  <c r="AH161" i="57"/>
  <c r="V161" i="57"/>
  <c r="U161" i="57"/>
  <c r="T161" i="57"/>
  <c r="AH160" i="57"/>
  <c r="V160" i="57"/>
  <c r="U160" i="57"/>
  <c r="T160" i="57"/>
  <c r="V159" i="57"/>
  <c r="U159" i="57"/>
  <c r="T159" i="57"/>
  <c r="V158" i="57"/>
  <c r="U158" i="57"/>
  <c r="T158" i="57"/>
  <c r="V157" i="57"/>
  <c r="U157" i="57"/>
  <c r="T157" i="57"/>
  <c r="V156" i="57"/>
  <c r="U156" i="57"/>
  <c r="T156" i="57"/>
  <c r="V155" i="57"/>
  <c r="U155" i="57"/>
  <c r="T155" i="57"/>
  <c r="V154" i="57"/>
  <c r="U154" i="57"/>
  <c r="T154" i="57"/>
  <c r="V153" i="57"/>
  <c r="U153" i="57"/>
  <c r="T153" i="57"/>
  <c r="V152" i="57"/>
  <c r="U152" i="57"/>
  <c r="T152" i="57"/>
  <c r="V151" i="57"/>
  <c r="U151" i="57"/>
  <c r="T151" i="57"/>
  <c r="V150" i="57"/>
  <c r="U150" i="57"/>
  <c r="T150" i="57"/>
  <c r="V149" i="57"/>
  <c r="U149" i="57"/>
  <c r="T149" i="57"/>
  <c r="V148" i="57"/>
  <c r="U148" i="57"/>
  <c r="T148" i="57"/>
  <c r="V147" i="57"/>
  <c r="U147" i="57"/>
  <c r="T147" i="57"/>
  <c r="V146" i="57"/>
  <c r="U146" i="57"/>
  <c r="T146" i="57"/>
  <c r="V145" i="57"/>
  <c r="U145" i="57"/>
  <c r="T145" i="57"/>
  <c r="V144" i="57"/>
  <c r="U144" i="57"/>
  <c r="T144" i="57"/>
  <c r="V143" i="57"/>
  <c r="U143" i="57"/>
  <c r="T143" i="57"/>
  <c r="V142" i="57"/>
  <c r="U142" i="57"/>
  <c r="T142" i="57"/>
  <c r="V141" i="57"/>
  <c r="U141" i="57"/>
  <c r="T141" i="57"/>
  <c r="V140" i="57"/>
  <c r="U140" i="57"/>
  <c r="T140" i="57"/>
  <c r="V139" i="57"/>
  <c r="U139" i="57"/>
  <c r="T139" i="57"/>
  <c r="V138" i="57"/>
  <c r="U138" i="57"/>
  <c r="T138" i="57"/>
  <c r="V137" i="57"/>
  <c r="U137" i="57"/>
  <c r="T137" i="57"/>
  <c r="V136" i="57"/>
  <c r="U136" i="57"/>
  <c r="T136" i="57"/>
  <c r="V135" i="57"/>
  <c r="U135" i="57"/>
  <c r="T135" i="57"/>
  <c r="V134" i="57"/>
  <c r="U134" i="57"/>
  <c r="T134" i="57"/>
  <c r="V133" i="57"/>
  <c r="U133" i="57"/>
  <c r="T133" i="57"/>
  <c r="V132" i="57"/>
  <c r="U132" i="57"/>
  <c r="T132" i="57"/>
  <c r="V131" i="57"/>
  <c r="U131" i="57"/>
  <c r="T131" i="57"/>
  <c r="V130" i="57"/>
  <c r="U130" i="57"/>
  <c r="T130" i="57"/>
  <c r="V129" i="57"/>
  <c r="U129" i="57"/>
  <c r="T129" i="57"/>
  <c r="V128" i="57"/>
  <c r="U128" i="57"/>
  <c r="T128" i="57"/>
  <c r="V127" i="57"/>
  <c r="U127" i="57"/>
  <c r="T127" i="57"/>
  <c r="V126" i="57"/>
  <c r="U126" i="57"/>
  <c r="T126" i="57"/>
  <c r="V125" i="57"/>
  <c r="U125" i="57"/>
  <c r="T125" i="57"/>
  <c r="V124" i="57"/>
  <c r="U124" i="57"/>
  <c r="T124" i="57"/>
  <c r="V123" i="57"/>
  <c r="U123" i="57"/>
  <c r="T123" i="57"/>
  <c r="V122" i="57"/>
  <c r="T122" i="57"/>
  <c r="V121" i="57"/>
  <c r="T121" i="57"/>
  <c r="V120" i="57"/>
  <c r="U120" i="57"/>
  <c r="T120" i="57"/>
  <c r="U119" i="57"/>
  <c r="V118" i="57"/>
  <c r="T118" i="57"/>
  <c r="AI117" i="57"/>
  <c r="AH117" i="57"/>
  <c r="V117" i="57"/>
  <c r="T117" i="57"/>
  <c r="U122" i="57"/>
  <c r="U121" i="57"/>
  <c r="V119" i="57"/>
  <c r="T119" i="57"/>
  <c r="U118" i="57"/>
  <c r="U117" i="57"/>
  <c r="V116" i="57"/>
  <c r="U116" i="57"/>
  <c r="T116" i="57"/>
  <c r="AI115" i="57"/>
  <c r="AH115" i="57"/>
  <c r="V115" i="57"/>
  <c r="U115" i="57"/>
  <c r="T115" i="57"/>
  <c r="V114" i="57"/>
  <c r="U114" i="57"/>
  <c r="T114" i="57"/>
  <c r="AM198" i="57"/>
  <c r="AJ198" i="57"/>
  <c r="AH198" i="57"/>
  <c r="AF198" i="57"/>
  <c r="AH179" i="57"/>
  <c r="V112" i="57"/>
  <c r="U112" i="57"/>
  <c r="T112" i="57"/>
  <c r="V111" i="57"/>
  <c r="U111" i="57"/>
  <c r="T111" i="57"/>
  <c r="V110" i="57"/>
  <c r="U110" i="57"/>
  <c r="T110" i="57"/>
  <c r="V109" i="57"/>
  <c r="U109" i="57"/>
  <c r="T109" i="57"/>
  <c r="V108" i="57"/>
  <c r="U108" i="57"/>
  <c r="T108" i="57"/>
  <c r="AI107" i="57"/>
  <c r="AH107" i="57"/>
  <c r="V107" i="57"/>
  <c r="U107" i="57"/>
  <c r="T107" i="57"/>
  <c r="V106" i="57"/>
  <c r="U106" i="57"/>
  <c r="T106" i="57"/>
  <c r="V105" i="57"/>
  <c r="U105" i="57"/>
  <c r="T105" i="57"/>
  <c r="V104" i="57"/>
  <c r="U104" i="57"/>
  <c r="T104" i="57"/>
  <c r="V103" i="57"/>
  <c r="U103" i="57"/>
  <c r="T103" i="57"/>
  <c r="V102" i="57"/>
  <c r="U102" i="57"/>
  <c r="T102" i="57"/>
  <c r="U43" i="57"/>
  <c r="D43" i="57"/>
  <c r="C43" i="57"/>
  <c r="C42" i="57"/>
  <c r="AM41" i="57"/>
  <c r="AK41" i="57"/>
  <c r="AJ41" i="57"/>
  <c r="AH41" i="57"/>
  <c r="U41" i="57"/>
  <c r="AM214" i="57"/>
  <c r="AL214" i="57"/>
  <c r="AK214" i="57"/>
  <c r="AH214" i="57"/>
  <c r="AG214" i="57"/>
  <c r="V101" i="57"/>
  <c r="U101" i="57"/>
  <c r="T101" i="57"/>
  <c r="AM100" i="57"/>
  <c r="AL100" i="57"/>
  <c r="AK100" i="57"/>
  <c r="AJ100" i="57"/>
  <c r="V100" i="57"/>
  <c r="U100" i="57"/>
  <c r="T100" i="57"/>
  <c r="AM99" i="57"/>
  <c r="AL99" i="57"/>
  <c r="AK99" i="57"/>
  <c r="AJ99" i="57"/>
  <c r="AI99" i="57"/>
  <c r="AH99" i="57"/>
  <c r="V99" i="57"/>
  <c r="U99" i="57"/>
  <c r="T99" i="57"/>
  <c r="V98" i="57"/>
  <c r="U98" i="57"/>
  <c r="T98" i="57"/>
  <c r="V97" i="57"/>
  <c r="U97" i="57"/>
  <c r="T97" i="57"/>
  <c r="V96" i="57"/>
  <c r="U96" i="57"/>
  <c r="T96" i="57"/>
  <c r="V95" i="57"/>
  <c r="U95" i="57"/>
  <c r="T95" i="57"/>
  <c r="V94" i="57"/>
  <c r="U94" i="57"/>
  <c r="T94" i="57"/>
  <c r="V93" i="57"/>
  <c r="U93" i="57"/>
  <c r="T93" i="57"/>
  <c r="AH205" i="57"/>
  <c r="AN204" i="57"/>
  <c r="AL204" i="57"/>
  <c r="AK204" i="57"/>
  <c r="AJ204" i="57"/>
  <c r="AI204" i="57"/>
  <c r="AH204" i="57"/>
  <c r="AG204" i="57"/>
  <c r="V92" i="57"/>
  <c r="U92" i="57"/>
  <c r="T92" i="57"/>
  <c r="AI90" i="57"/>
  <c r="AH90" i="57"/>
  <c r="V89" i="57"/>
  <c r="U89" i="57"/>
  <c r="T89" i="57"/>
  <c r="V88" i="57"/>
  <c r="U88" i="57"/>
  <c r="T88" i="57"/>
  <c r="Z87" i="57"/>
  <c r="Y87" i="57"/>
  <c r="X87" i="57"/>
  <c r="W87" i="57"/>
  <c r="V87" i="57"/>
  <c r="U87" i="57"/>
  <c r="T87" i="57"/>
  <c r="Z86" i="57"/>
  <c r="Y86" i="57"/>
  <c r="X86" i="57"/>
  <c r="W86" i="57"/>
  <c r="V86" i="57"/>
  <c r="U86" i="57"/>
  <c r="T86" i="57"/>
  <c r="AN214" i="57"/>
  <c r="AG213" i="57"/>
  <c r="AL212" i="57"/>
  <c r="AF212" i="57"/>
  <c r="AM211" i="57"/>
  <c r="AI211" i="57"/>
  <c r="AG211" i="57"/>
  <c r="AN210" i="57"/>
  <c r="AL210" i="57"/>
  <c r="AI210" i="57"/>
  <c r="AG210" i="57"/>
  <c r="V84" i="57"/>
  <c r="U84" i="57"/>
  <c r="T84" i="57"/>
  <c r="Z82" i="57"/>
  <c r="Y82" i="57"/>
  <c r="X82" i="57"/>
  <c r="W82" i="57"/>
  <c r="V82" i="57"/>
  <c r="U82" i="57"/>
  <c r="T82" i="57"/>
  <c r="V81" i="57"/>
  <c r="U81" i="57"/>
  <c r="T81" i="57"/>
  <c r="D80" i="57"/>
  <c r="C80" i="57"/>
  <c r="AM79" i="57"/>
  <c r="AL79" i="57"/>
  <c r="AK79" i="57"/>
  <c r="AJ79" i="57"/>
  <c r="D79" i="57"/>
  <c r="C79" i="57"/>
  <c r="AI78" i="57"/>
  <c r="AH78" i="57"/>
  <c r="D78" i="57"/>
  <c r="C78" i="57"/>
  <c r="AM77" i="57"/>
  <c r="AL77" i="57"/>
  <c r="AK77" i="57"/>
  <c r="AJ77" i="57"/>
  <c r="AI77" i="57"/>
  <c r="AH77" i="57"/>
  <c r="D42" i="57"/>
  <c r="AL41" i="57"/>
  <c r="AI41" i="57"/>
  <c r="V41" i="57"/>
  <c r="T41" i="57"/>
  <c r="AI214" i="57"/>
  <c r="AL213" i="57"/>
  <c r="AJ213" i="57"/>
  <c r="AH213" i="57"/>
  <c r="D77" i="57"/>
  <c r="C77" i="57"/>
  <c r="D76" i="57"/>
  <c r="C76" i="57"/>
  <c r="D75" i="57"/>
  <c r="C75" i="57"/>
  <c r="D74" i="57"/>
  <c r="C74" i="57"/>
  <c r="AI73" i="57"/>
  <c r="AH73" i="57"/>
  <c r="V73" i="57"/>
  <c r="U73" i="57"/>
  <c r="T73" i="57"/>
  <c r="D73" i="57"/>
  <c r="C73" i="57"/>
  <c r="AI72" i="57"/>
  <c r="AH72" i="57"/>
  <c r="V72" i="57"/>
  <c r="U72" i="57"/>
  <c r="T72" i="57"/>
  <c r="D72" i="57"/>
  <c r="C72" i="57"/>
  <c r="AM71" i="57"/>
  <c r="AL71" i="57"/>
  <c r="AK71" i="57"/>
  <c r="AJ71" i="57"/>
  <c r="AI71" i="57"/>
  <c r="AH71" i="57"/>
  <c r="AH176" i="57"/>
  <c r="AH175" i="57"/>
  <c r="AH174" i="57"/>
  <c r="AH173" i="57"/>
  <c r="T71" i="57"/>
  <c r="D71" i="57"/>
  <c r="C71" i="57"/>
  <c r="V70" i="57"/>
  <c r="U70" i="57"/>
  <c r="T70" i="57"/>
  <c r="D70" i="57"/>
  <c r="C70" i="57"/>
  <c r="AI69" i="57"/>
  <c r="AH69" i="57"/>
  <c r="D69" i="57"/>
  <c r="C69" i="57"/>
  <c r="AM68" i="57"/>
  <c r="AL68" i="57"/>
  <c r="AK68" i="57"/>
  <c r="AJ68" i="57"/>
  <c r="AI68" i="57"/>
  <c r="AH68" i="57"/>
  <c r="D68" i="57"/>
  <c r="C68" i="57"/>
  <c r="V67" i="57"/>
  <c r="U67" i="57"/>
  <c r="T67" i="57"/>
  <c r="D67" i="57"/>
  <c r="C67" i="57"/>
  <c r="D66" i="57"/>
  <c r="C66" i="57"/>
  <c r="AI65" i="57"/>
  <c r="AH65" i="57"/>
  <c r="D65" i="57"/>
  <c r="C65" i="57"/>
  <c r="V64" i="57"/>
  <c r="U64" i="57"/>
  <c r="T64" i="57"/>
  <c r="D64" i="57"/>
  <c r="C64" i="57"/>
  <c r="D63" i="57"/>
  <c r="C63" i="57"/>
  <c r="D62" i="57"/>
  <c r="C62" i="57"/>
  <c r="D61" i="57"/>
  <c r="C61" i="57"/>
  <c r="D60" i="57"/>
  <c r="C60" i="57"/>
  <c r="AM204" i="57"/>
  <c r="AF204" i="57"/>
  <c r="AN203" i="57"/>
  <c r="AM203" i="57"/>
  <c r="AK203" i="57"/>
  <c r="AJ203" i="57"/>
  <c r="AH203" i="57"/>
  <c r="AG203" i="57"/>
  <c r="D59" i="57"/>
  <c r="C59" i="57"/>
  <c r="D58" i="57"/>
  <c r="C58" i="57"/>
  <c r="D57" i="57"/>
  <c r="C57" i="57"/>
  <c r="D56" i="57"/>
  <c r="C56" i="57"/>
  <c r="V55" i="57"/>
  <c r="U55" i="57"/>
  <c r="T55" i="57"/>
  <c r="D55" i="57"/>
  <c r="C55" i="57"/>
  <c r="Z54" i="57"/>
  <c r="Y54" i="57"/>
  <c r="X54" i="57"/>
  <c r="W54" i="57"/>
  <c r="V54" i="57"/>
  <c r="U54" i="57"/>
  <c r="T54" i="57"/>
  <c r="D54" i="57"/>
  <c r="C54" i="57"/>
  <c r="AI53" i="57"/>
  <c r="AH53" i="57"/>
  <c r="AK207" i="57"/>
  <c r="AN206" i="57"/>
  <c r="AM206" i="57"/>
  <c r="AL206" i="57"/>
  <c r="AK206" i="57"/>
  <c r="AJ206" i="57"/>
  <c r="AI206" i="57"/>
  <c r="AH206" i="57"/>
  <c r="AG206" i="57"/>
  <c r="AF206" i="57"/>
  <c r="D53" i="57"/>
  <c r="C53" i="57"/>
  <c r="D52" i="57"/>
  <c r="C52" i="57"/>
  <c r="AI51" i="57"/>
  <c r="AH51" i="57"/>
  <c r="D51" i="57"/>
  <c r="C51" i="57"/>
  <c r="T50" i="57"/>
  <c r="D50" i="57"/>
  <c r="C50" i="57"/>
  <c r="V49" i="57"/>
  <c r="U49" i="57"/>
  <c r="T49" i="57"/>
  <c r="D49" i="57"/>
  <c r="C49" i="57"/>
  <c r="D48" i="57"/>
  <c r="C48" i="57"/>
  <c r="AK212" i="57"/>
  <c r="D47" i="57"/>
  <c r="C47" i="57"/>
  <c r="V46" i="57"/>
  <c r="U46" i="57"/>
  <c r="T46" i="57"/>
  <c r="D46" i="57"/>
  <c r="C46" i="57"/>
  <c r="AI45" i="57"/>
  <c r="AH45" i="57"/>
  <c r="V45" i="57"/>
  <c r="D45" i="57"/>
  <c r="C45" i="57"/>
  <c r="AI44" i="57"/>
  <c r="AH44" i="57"/>
  <c r="Z44" i="57"/>
  <c r="Y44" i="57"/>
  <c r="X44" i="57"/>
  <c r="W44" i="57"/>
  <c r="D44" i="57"/>
  <c r="C44" i="57"/>
  <c r="AJ214" i="57"/>
  <c r="AF214" i="57"/>
  <c r="AN213" i="57"/>
  <c r="AM213" i="57"/>
  <c r="AK213" i="57"/>
  <c r="AI213" i="57"/>
  <c r="AF213" i="57"/>
  <c r="AM212" i="57"/>
  <c r="AI212" i="57"/>
  <c r="AG212" i="57"/>
  <c r="AN211" i="57"/>
  <c r="AL211" i="57"/>
  <c r="AK211" i="57"/>
  <c r="AJ211" i="57"/>
  <c r="AH211" i="57"/>
  <c r="AF211" i="57"/>
  <c r="AM210" i="57"/>
  <c r="AK210" i="57"/>
  <c r="AJ210" i="57"/>
  <c r="AH210" i="57"/>
  <c r="AF210" i="57"/>
  <c r="AN209" i="57"/>
  <c r="AM209" i="57"/>
  <c r="AK209" i="57"/>
  <c r="AJ209" i="57"/>
  <c r="AI209" i="57"/>
  <c r="AH209" i="57"/>
  <c r="AG209" i="57"/>
  <c r="AF209" i="57"/>
  <c r="AN208" i="57"/>
  <c r="AM208" i="57"/>
  <c r="AL208" i="57"/>
  <c r="AK208" i="57"/>
  <c r="AJ208" i="57"/>
  <c r="AI208" i="57"/>
  <c r="AH208" i="57"/>
  <c r="AG208" i="57"/>
  <c r="AF208" i="57"/>
  <c r="AN207" i="57"/>
  <c r="AM207" i="57"/>
  <c r="AL207" i="57"/>
  <c r="AJ207" i="57"/>
  <c r="AI207" i="57"/>
  <c r="AH207" i="57"/>
  <c r="AG207" i="57"/>
  <c r="AF207" i="57"/>
  <c r="G41" i="57"/>
  <c r="F41" i="57"/>
  <c r="E41" i="57"/>
  <c r="C41" i="57"/>
  <c r="AI40" i="57"/>
  <c r="AH40" i="57"/>
  <c r="L40" i="57"/>
  <c r="K40" i="57"/>
  <c r="J40" i="57"/>
  <c r="I40" i="57"/>
  <c r="H40" i="57"/>
  <c r="G40" i="57"/>
  <c r="F40" i="57"/>
  <c r="E40" i="57"/>
  <c r="C40" i="57"/>
  <c r="AI39" i="57"/>
  <c r="AH39" i="57"/>
  <c r="V39" i="57"/>
  <c r="U39" i="57"/>
  <c r="T39" i="57"/>
  <c r="L39" i="57"/>
  <c r="K39" i="57"/>
  <c r="J39" i="57"/>
  <c r="I39" i="57"/>
  <c r="H39" i="57"/>
  <c r="G39" i="57"/>
  <c r="F39" i="57"/>
  <c r="E39" i="57"/>
  <c r="C39" i="57"/>
  <c r="AK38" i="57"/>
  <c r="AJ38" i="57"/>
  <c r="AI38" i="57"/>
  <c r="V38" i="57"/>
  <c r="U38" i="57"/>
  <c r="T38" i="57"/>
  <c r="C38" i="57"/>
  <c r="V37" i="57"/>
  <c r="U37" i="57"/>
  <c r="T37" i="57"/>
  <c r="C37" i="57"/>
  <c r="C36" i="57"/>
  <c r="AM35" i="57"/>
  <c r="AL35" i="57"/>
  <c r="AK35" i="57"/>
  <c r="AJ35" i="57"/>
  <c r="AH35" i="57"/>
  <c r="Z34" i="57"/>
  <c r="Y34" i="57"/>
  <c r="X34" i="57"/>
  <c r="W34" i="57"/>
  <c r="V34" i="57"/>
  <c r="U34" i="57"/>
  <c r="T34" i="57"/>
  <c r="C34" i="57"/>
  <c r="Z33" i="57"/>
  <c r="Y33" i="57"/>
  <c r="X33" i="57"/>
  <c r="W33" i="57"/>
  <c r="V33" i="57"/>
  <c r="U33" i="57"/>
  <c r="T33" i="57"/>
  <c r="C33" i="57"/>
  <c r="C32" i="57"/>
  <c r="AH31" i="57"/>
  <c r="Z31" i="57"/>
  <c r="W31" i="57"/>
  <c r="T31" i="57"/>
  <c r="U30" i="57"/>
  <c r="C30" i="57"/>
  <c r="U29" i="57"/>
  <c r="C35" i="57"/>
  <c r="AI31" i="57"/>
  <c r="Y31" i="57"/>
  <c r="X31" i="57"/>
  <c r="V31" i="57"/>
  <c r="U31" i="57"/>
  <c r="L31" i="57"/>
  <c r="C31" i="57"/>
  <c r="AI30" i="57"/>
  <c r="AH30" i="57"/>
  <c r="V30" i="57"/>
  <c r="T30" i="57"/>
  <c r="V29" i="57"/>
  <c r="T29" i="57"/>
  <c r="AH178" i="57"/>
  <c r="C29" i="57"/>
  <c r="V28" i="57"/>
  <c r="U28" i="57"/>
  <c r="T28" i="57"/>
  <c r="L28" i="57"/>
  <c r="K28" i="57"/>
  <c r="J28" i="57"/>
  <c r="I28" i="57"/>
  <c r="H28" i="57"/>
  <c r="G28" i="57"/>
  <c r="F28" i="57"/>
  <c r="E28" i="57"/>
  <c r="D28" i="57"/>
  <c r="C28" i="57"/>
  <c r="C27" i="57"/>
  <c r="AI26" i="57"/>
  <c r="K26" i="57"/>
  <c r="C26" i="57"/>
  <c r="T25" i="57"/>
  <c r="C25" i="57"/>
  <c r="AI24" i="57"/>
  <c r="AH24" i="57"/>
  <c r="V24" i="57"/>
  <c r="U24" i="57"/>
  <c r="T24" i="57"/>
  <c r="L24" i="57"/>
  <c r="K24" i="57"/>
  <c r="J24" i="57"/>
  <c r="I24" i="57"/>
  <c r="H24" i="57"/>
  <c r="G24" i="57"/>
  <c r="F24" i="57"/>
  <c r="E24" i="57"/>
  <c r="C24" i="57"/>
  <c r="C23" i="57"/>
  <c r="AN215" i="57"/>
  <c r="AM215" i="57"/>
  <c r="AL215" i="57"/>
  <c r="AK215" i="57"/>
  <c r="AJ215" i="57"/>
  <c r="AI215" i="57"/>
  <c r="AH215" i="57"/>
  <c r="AG215" i="57"/>
  <c r="AF215" i="57"/>
  <c r="I22" i="57"/>
  <c r="H22" i="57"/>
  <c r="F22" i="57"/>
  <c r="E22" i="57"/>
  <c r="C22" i="57"/>
  <c r="AI21" i="57"/>
  <c r="AH21" i="57"/>
  <c r="L21" i="57"/>
  <c r="K21" i="57"/>
  <c r="J21" i="57"/>
  <c r="I21" i="57"/>
  <c r="H21" i="57"/>
  <c r="G21" i="57"/>
  <c r="F21" i="57"/>
  <c r="E21" i="57"/>
  <c r="C21" i="57"/>
  <c r="AI20" i="57"/>
  <c r="AH20" i="57"/>
  <c r="L20" i="57"/>
  <c r="K20" i="57"/>
  <c r="J20" i="57"/>
  <c r="I20" i="57"/>
  <c r="H20" i="57"/>
  <c r="G20" i="57"/>
  <c r="F20" i="57"/>
  <c r="E20" i="57"/>
  <c r="C20" i="57"/>
  <c r="L19" i="57"/>
  <c r="K19" i="57"/>
  <c r="J19" i="57"/>
  <c r="I19" i="57"/>
  <c r="H19" i="57"/>
  <c r="F19" i="57"/>
  <c r="E19" i="57"/>
  <c r="C19" i="57"/>
  <c r="AI18" i="57"/>
  <c r="AH18" i="57"/>
  <c r="Z18" i="57"/>
  <c r="Y18" i="57"/>
  <c r="X18" i="57"/>
  <c r="W18" i="57"/>
  <c r="I18" i="57"/>
  <c r="H18" i="57"/>
  <c r="G18" i="57"/>
  <c r="F18" i="57"/>
  <c r="E18" i="57"/>
  <c r="C18" i="57"/>
  <c r="L17" i="57"/>
  <c r="K17" i="57"/>
  <c r="J17" i="57"/>
  <c r="I17" i="57"/>
  <c r="G17" i="57"/>
  <c r="F17" i="57"/>
  <c r="E17" i="57"/>
  <c r="C17" i="57"/>
  <c r="C16" i="57"/>
  <c r="AM15" i="57"/>
  <c r="AL15" i="57"/>
  <c r="AK15" i="57"/>
  <c r="AJ15" i="57"/>
  <c r="AI15" i="57"/>
  <c r="AH15" i="57"/>
  <c r="C15" i="57"/>
  <c r="AH14" i="57"/>
  <c r="V14" i="57"/>
  <c r="U14" i="57"/>
  <c r="T14" i="57"/>
  <c r="R14" i="57"/>
  <c r="C14" i="57"/>
  <c r="C13" i="57"/>
  <c r="L12" i="57"/>
  <c r="K12" i="57"/>
  <c r="J12" i="57"/>
  <c r="I12" i="57"/>
  <c r="F12" i="57"/>
  <c r="E12" i="57"/>
  <c r="C12" i="57"/>
  <c r="C11" i="57"/>
  <c r="AN212" i="57"/>
  <c r="AJ212" i="57"/>
  <c r="AH212" i="57"/>
  <c r="Z10" i="57"/>
  <c r="Y10" i="57"/>
  <c r="X10" i="57"/>
  <c r="W10" i="57"/>
  <c r="V10" i="57"/>
  <c r="U10" i="57"/>
  <c r="T10" i="57"/>
  <c r="C10" i="57"/>
  <c r="AI9" i="57"/>
  <c r="AH9" i="57"/>
  <c r="C9" i="57"/>
  <c r="I8" i="57"/>
  <c r="H8" i="57"/>
  <c r="G8" i="57"/>
  <c r="F8" i="57"/>
  <c r="E8" i="57"/>
  <c r="C8" i="57"/>
  <c r="Z7" i="57"/>
  <c r="Y7" i="57"/>
  <c r="X7" i="57"/>
  <c r="W7" i="57"/>
  <c r="V7" i="57"/>
  <c r="T7" i="57"/>
  <c r="I7" i="57"/>
  <c r="G7" i="57"/>
  <c r="F7" i="57"/>
  <c r="E7" i="57"/>
  <c r="C7" i="57"/>
  <c r="AH6" i="57"/>
  <c r="V6" i="57"/>
  <c r="U6" i="57"/>
  <c r="T6" i="57"/>
  <c r="C6" i="57"/>
  <c r="AM5" i="57"/>
  <c r="AL5" i="57"/>
  <c r="AK5" i="57"/>
  <c r="AJ5" i="57"/>
  <c r="L5" i="57"/>
  <c r="K5" i="57"/>
  <c r="J5" i="57"/>
  <c r="I5" i="57"/>
  <c r="H5" i="57"/>
  <c r="G5" i="57"/>
  <c r="F5" i="57"/>
  <c r="E5" i="57"/>
  <c r="C5" i="57"/>
  <c r="AN216" i="57"/>
  <c r="AM216" i="57"/>
  <c r="AL216" i="57"/>
  <c r="AK216" i="57"/>
  <c r="AJ216" i="57"/>
  <c r="AI216" i="57"/>
  <c r="AH216" i="57"/>
  <c r="AG216" i="57"/>
  <c r="AF216" i="57"/>
  <c r="L4" i="57"/>
  <c r="K4" i="57"/>
  <c r="J4" i="57"/>
  <c r="I4" i="57"/>
  <c r="H4" i="57"/>
  <c r="G4" i="57"/>
  <c r="F4" i="57"/>
  <c r="E4" i="57"/>
  <c r="C4" i="57"/>
  <c r="Z3" i="57"/>
  <c r="Y3" i="57"/>
  <c r="X3" i="57"/>
  <c r="W3" i="57"/>
  <c r="V3" i="57"/>
  <c r="L3" i="57"/>
  <c r="K3" i="57"/>
  <c r="J3" i="57"/>
  <c r="C3" i="57"/>
  <c r="L2" i="57"/>
  <c r="K2" i="57"/>
  <c r="J2" i="57"/>
  <c r="I2" i="57"/>
  <c r="H2" i="57"/>
  <c r="G2" i="57"/>
  <c r="F2" i="57"/>
  <c r="E2" i="57"/>
  <c r="C2" i="57"/>
  <c r="AN220" i="57"/>
  <c r="AM220" i="57"/>
  <c r="AL220" i="57"/>
  <c r="AK220" i="57"/>
  <c r="AJ220" i="57"/>
  <c r="AI220" i="57"/>
  <c r="AH220" i="57"/>
  <c r="AG220" i="57"/>
  <c r="AF220" i="57"/>
  <c r="AN219" i="57"/>
  <c r="AM219" i="57"/>
  <c r="AL219" i="57"/>
  <c r="AK219" i="57"/>
  <c r="AJ219" i="57"/>
  <c r="AI219" i="57"/>
  <c r="AH219" i="57"/>
  <c r="AG219" i="57"/>
  <c r="AF219" i="57"/>
  <c r="AN218" i="57"/>
  <c r="AM218" i="57"/>
  <c r="AL218" i="57"/>
  <c r="AJ218" i="57"/>
  <c r="AI218" i="57"/>
  <c r="AH218" i="57"/>
  <c r="AG218" i="57"/>
  <c r="AF218" i="57"/>
  <c r="AN217" i="57"/>
  <c r="AM217" i="57"/>
  <c r="AL217" i="57"/>
  <c r="AK217" i="57"/>
  <c r="AJ217" i="57"/>
  <c r="AI217" i="57"/>
  <c r="AH217" i="57"/>
  <c r="AG217" i="57"/>
  <c r="AF217" i="57"/>
  <c r="AA17" i="25"/>
  <c r="AA18" i="25"/>
  <c r="AA16" i="25"/>
  <c r="AA14" i="25"/>
  <c r="AA19" i="25"/>
  <c r="AA16" i="19"/>
  <c r="AA9" i="19"/>
  <c r="AA18" i="20"/>
  <c r="AA16" i="20"/>
  <c r="AA15" i="20"/>
  <c r="AA17" i="20"/>
  <c r="AA19" i="20"/>
  <c r="AA19" i="21"/>
  <c r="AA17" i="24"/>
  <c r="AA19" i="24"/>
  <c r="AA16" i="24"/>
  <c r="AA19" i="2"/>
  <c r="AA8" i="2"/>
  <c r="AA15" i="2"/>
  <c r="AA9" i="2"/>
  <c r="AA10" i="2"/>
  <c r="AA11" i="2"/>
  <c r="AA7" i="31"/>
  <c r="AA9" i="31"/>
  <c r="AA8" i="31"/>
  <c r="AA6" i="31"/>
  <c r="W14" i="25"/>
  <c r="W18" i="25"/>
  <c r="W16" i="25"/>
  <c r="W19" i="25"/>
  <c r="W17" i="25"/>
  <c r="W16" i="19"/>
  <c r="W9" i="19"/>
  <c r="W18" i="20"/>
  <c r="W17" i="20"/>
  <c r="W19" i="20"/>
  <c r="W16" i="20"/>
  <c r="W15" i="20"/>
  <c r="W19" i="21"/>
  <c r="W19" i="24"/>
  <c r="W16" i="24"/>
  <c r="W17" i="24"/>
  <c r="W3" i="26"/>
  <c r="W4" i="26"/>
  <c r="W15" i="2"/>
  <c r="W7" i="2"/>
  <c r="W9" i="2"/>
  <c r="W10" i="2"/>
  <c r="W6" i="2"/>
  <c r="I6" i="2" s="1"/>
  <c r="W11" i="2"/>
  <c r="W19" i="2"/>
  <c r="W8" i="2"/>
  <c r="W8" i="31"/>
  <c r="W6" i="31"/>
  <c r="W9" i="31"/>
  <c r="W7" i="31"/>
  <c r="AB19" i="1"/>
  <c r="AB18" i="1"/>
  <c r="AB14" i="1"/>
  <c r="AB17" i="1"/>
  <c r="AB15" i="1"/>
  <c r="AB13" i="9"/>
  <c r="AB16" i="9"/>
  <c r="AB9" i="9"/>
  <c r="AB18" i="9"/>
  <c r="AB14" i="9"/>
  <c r="AB8" i="9"/>
  <c r="AB7" i="9"/>
  <c r="AB19" i="10"/>
  <c r="AB18" i="10"/>
  <c r="AB17" i="10"/>
  <c r="AB18" i="11"/>
  <c r="AB17" i="11"/>
  <c r="AB19" i="11"/>
  <c r="AB16" i="11"/>
  <c r="AB15" i="11"/>
  <c r="AB17" i="14"/>
  <c r="AB18" i="14"/>
  <c r="AB9" i="2"/>
  <c r="AB11" i="2"/>
  <c r="AB10" i="2"/>
  <c r="AB14" i="25"/>
  <c r="AB17" i="25"/>
  <c r="AB19" i="25"/>
  <c r="AB16" i="25"/>
  <c r="AB18" i="25"/>
  <c r="AB19" i="20"/>
  <c r="AB18" i="20"/>
  <c r="AB17" i="20"/>
  <c r="AB16" i="20"/>
  <c r="AB15" i="20"/>
  <c r="AB19" i="21"/>
  <c r="AB16" i="24"/>
  <c r="AB19" i="24"/>
  <c r="AB17" i="24"/>
  <c r="AB22" i="2"/>
  <c r="AB8" i="2"/>
  <c r="AB16" i="2"/>
  <c r="AB18" i="2"/>
  <c r="AB15" i="2"/>
  <c r="AB19" i="2"/>
  <c r="AB23" i="2"/>
  <c r="AB6" i="2"/>
  <c r="AB7" i="2"/>
  <c r="AB13" i="2"/>
  <c r="AB14" i="2"/>
  <c r="AB17" i="2"/>
  <c r="AB8" i="31"/>
  <c r="AB7" i="31"/>
  <c r="AB9" i="31"/>
  <c r="AB6" i="31"/>
  <c r="AB11" i="9"/>
  <c r="AA11" i="9"/>
  <c r="W11" i="9"/>
  <c r="AB10" i="9"/>
  <c r="AA10" i="9"/>
  <c r="W10" i="9"/>
  <c r="AB24" i="8"/>
  <c r="AA24" i="8"/>
  <c r="C10" i="9"/>
  <c r="D41" i="36" s="1"/>
  <c r="AB6" i="9"/>
  <c r="AA6" i="9"/>
  <c r="W6" i="9"/>
  <c r="C6" i="9"/>
  <c r="D37" i="36" s="1"/>
  <c r="AB9" i="8"/>
  <c r="AA9" i="8"/>
  <c r="W9" i="8"/>
  <c r="I9" i="8" s="1"/>
  <c r="C9" i="8"/>
  <c r="D35" i="36" s="1"/>
  <c r="AB7" i="8"/>
  <c r="AA7" i="8"/>
  <c r="W7" i="8"/>
  <c r="I7" i="8" s="1"/>
  <c r="C7" i="8"/>
  <c r="D33" i="36" s="1"/>
  <c r="AB10" i="27"/>
  <c r="AA10" i="27"/>
  <c r="W10" i="27"/>
  <c r="AB9" i="27"/>
  <c r="AA9" i="27"/>
  <c r="W9" i="27"/>
  <c r="AB8" i="27"/>
  <c r="AA8" i="27"/>
  <c r="W8" i="27"/>
  <c r="AB24" i="28"/>
  <c r="AA24" i="28"/>
  <c r="AB23" i="28"/>
  <c r="AA23" i="28"/>
  <c r="AB22" i="28"/>
  <c r="AA22" i="28"/>
  <c r="AB14" i="3"/>
  <c r="AA14" i="3"/>
  <c r="AB16" i="3"/>
  <c r="AA16" i="3"/>
  <c r="AB17" i="3"/>
  <c r="AA17" i="3"/>
  <c r="AB18" i="3"/>
  <c r="AA18" i="3"/>
  <c r="AA23" i="27"/>
  <c r="AB23" i="27"/>
  <c r="AA24" i="27"/>
  <c r="AB24" i="27"/>
  <c r="AA25" i="27"/>
  <c r="AB25" i="27"/>
  <c r="AB23" i="19"/>
  <c r="AA23" i="19"/>
  <c r="AB24" i="19"/>
  <c r="AA24" i="19"/>
  <c r="AB22" i="19"/>
  <c r="AA22" i="19"/>
  <c r="B55" i="33"/>
  <c r="B20" i="33"/>
  <c r="AB22" i="5"/>
  <c r="AB23" i="5"/>
  <c r="AF28" i="31"/>
  <c r="AI25" i="31"/>
  <c r="AI20" i="31"/>
  <c r="AI17" i="31"/>
  <c r="AI9" i="31"/>
  <c r="AB24" i="29"/>
  <c r="AA24" i="29"/>
  <c r="AB23" i="29"/>
  <c r="AA23" i="29"/>
  <c r="AF28" i="2"/>
  <c r="AB19" i="27"/>
  <c r="AA19" i="27"/>
  <c r="AB18" i="27"/>
  <c r="AA18" i="27"/>
  <c r="AB16" i="27"/>
  <c r="AA16" i="27"/>
  <c r="AB13" i="27"/>
  <c r="AA13" i="27"/>
  <c r="AB17" i="27"/>
  <c r="AA17" i="27"/>
  <c r="AB15" i="27"/>
  <c r="AA15" i="27"/>
  <c r="AB14" i="27"/>
  <c r="AA14" i="27"/>
  <c r="AH2" i="20"/>
  <c r="AH6" i="20"/>
  <c r="AB7" i="19"/>
  <c r="AA7" i="19"/>
  <c r="W7" i="19"/>
  <c r="AB8" i="19"/>
  <c r="AA8" i="19"/>
  <c r="W8" i="19"/>
  <c r="AB6" i="19"/>
  <c r="AA6" i="19"/>
  <c r="W6" i="19"/>
  <c r="AB14" i="15"/>
  <c r="AH2" i="8"/>
  <c r="AH3" i="8"/>
  <c r="AH4" i="8"/>
  <c r="AH6" i="8"/>
  <c r="AH7" i="8"/>
  <c r="AH8" i="8"/>
  <c r="AH9" i="8"/>
  <c r="AH10" i="8"/>
  <c r="AH11" i="8"/>
  <c r="AH13" i="8"/>
  <c r="AH14" i="8"/>
  <c r="AH15" i="8"/>
  <c r="AH16" i="8"/>
  <c r="AH17" i="8"/>
  <c r="AH18" i="8"/>
  <c r="AH19" i="8"/>
  <c r="AH20" i="8"/>
  <c r="AH2" i="6"/>
  <c r="AH8" i="6"/>
  <c r="AH3" i="4"/>
  <c r="AH4" i="4"/>
  <c r="AH6" i="4"/>
  <c r="AH7" i="4"/>
  <c r="AH8" i="4"/>
  <c r="AH9" i="4"/>
  <c r="AH10" i="4"/>
  <c r="AH11" i="4"/>
  <c r="AH13" i="4"/>
  <c r="AH14" i="4"/>
  <c r="AH15" i="4"/>
  <c r="AH16" i="4"/>
  <c r="AH17" i="4"/>
  <c r="AH18" i="4"/>
  <c r="AH19" i="4"/>
  <c r="AH20" i="4"/>
  <c r="AH3" i="5"/>
  <c r="AH4" i="5"/>
  <c r="AH6" i="5"/>
  <c r="AH7" i="5"/>
  <c r="AH8" i="5"/>
  <c r="AH9" i="5"/>
  <c r="AH10" i="5"/>
  <c r="AH11" i="5"/>
  <c r="AH13" i="5"/>
  <c r="AH14" i="5"/>
  <c r="AH15" i="5"/>
  <c r="AH16" i="5"/>
  <c r="AH17" i="5"/>
  <c r="AH18" i="5"/>
  <c r="AH19" i="5"/>
  <c r="AH20" i="5"/>
  <c r="AH3" i="6"/>
  <c r="AH4" i="6"/>
  <c r="AH6" i="6"/>
  <c r="AH7" i="6"/>
  <c r="AH9" i="6"/>
  <c r="AH10" i="6"/>
  <c r="AH11" i="6"/>
  <c r="AH13" i="6"/>
  <c r="AH14" i="6"/>
  <c r="AH15" i="6"/>
  <c r="AH16" i="6"/>
  <c r="AH17" i="6"/>
  <c r="AH18" i="6"/>
  <c r="AH19" i="6"/>
  <c r="AH20" i="6"/>
  <c r="AH3" i="1"/>
  <c r="AH4" i="1"/>
  <c r="AH6" i="1"/>
  <c r="AH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3" i="7"/>
  <c r="AH4" i="7"/>
  <c r="AH6" i="7"/>
  <c r="AH7" i="7"/>
  <c r="AH8" i="7"/>
  <c r="AH9" i="7"/>
  <c r="AH10" i="7"/>
  <c r="AH11" i="7"/>
  <c r="AH13" i="7"/>
  <c r="AH14" i="7"/>
  <c r="AH15" i="7"/>
  <c r="AH16" i="7"/>
  <c r="AH17" i="7"/>
  <c r="AH18" i="7"/>
  <c r="AH19" i="7"/>
  <c r="AH20" i="7"/>
  <c r="AH3" i="9"/>
  <c r="AH4" i="9"/>
  <c r="AH6" i="9"/>
  <c r="AH7" i="9"/>
  <c r="AH8" i="9"/>
  <c r="AH9" i="9"/>
  <c r="AH10" i="9"/>
  <c r="AH11" i="9"/>
  <c r="AH13" i="9"/>
  <c r="AH14" i="9"/>
  <c r="AH15" i="9"/>
  <c r="AH16" i="9"/>
  <c r="AH17" i="9"/>
  <c r="AH18" i="9"/>
  <c r="AH19" i="9"/>
  <c r="AH20" i="9"/>
  <c r="AH3" i="10"/>
  <c r="AH4" i="10"/>
  <c r="AH6" i="10"/>
  <c r="AH7" i="10"/>
  <c r="AH8" i="10"/>
  <c r="AH9" i="10"/>
  <c r="AH10" i="10"/>
  <c r="AH11" i="10"/>
  <c r="AH13" i="10"/>
  <c r="AH14" i="10"/>
  <c r="AH15" i="10"/>
  <c r="AH16" i="10"/>
  <c r="AH17" i="10"/>
  <c r="AH18" i="10"/>
  <c r="AH19" i="10"/>
  <c r="AH20" i="10"/>
  <c r="AH3" i="11"/>
  <c r="AH4" i="11"/>
  <c r="AH6" i="11"/>
  <c r="AH7" i="11"/>
  <c r="AH8" i="11"/>
  <c r="AH9" i="11"/>
  <c r="AH10" i="11"/>
  <c r="AH11" i="11"/>
  <c r="AH13" i="11"/>
  <c r="AH14" i="11"/>
  <c r="AH15" i="11"/>
  <c r="AH16" i="11"/>
  <c r="AH17" i="11"/>
  <c r="AH18" i="11"/>
  <c r="AH19" i="11"/>
  <c r="AH20" i="11"/>
  <c r="AH3" i="12"/>
  <c r="AH4" i="12"/>
  <c r="AH6" i="12"/>
  <c r="AH7" i="12"/>
  <c r="AH8" i="12"/>
  <c r="AH9" i="12"/>
  <c r="AH10" i="12"/>
  <c r="AH11" i="12"/>
  <c r="AH13" i="12"/>
  <c r="AH14" i="12"/>
  <c r="AH15" i="12"/>
  <c r="AH16" i="12"/>
  <c r="AH17" i="12"/>
  <c r="AH18" i="12"/>
  <c r="AH19" i="12"/>
  <c r="AH20" i="12"/>
  <c r="AH3" i="13"/>
  <c r="AH4" i="13"/>
  <c r="AH6" i="13"/>
  <c r="AH7" i="13"/>
  <c r="AH8" i="13"/>
  <c r="AH9" i="13"/>
  <c r="AH10" i="13"/>
  <c r="AH11" i="13"/>
  <c r="AH13" i="13"/>
  <c r="AH14" i="13"/>
  <c r="AH15" i="13"/>
  <c r="AH16" i="13"/>
  <c r="AH17" i="13"/>
  <c r="AH18" i="13"/>
  <c r="AH19" i="13"/>
  <c r="AH20" i="13"/>
  <c r="AH3" i="14"/>
  <c r="AH4" i="14"/>
  <c r="AH6" i="14"/>
  <c r="AH7" i="14"/>
  <c r="AH8" i="14"/>
  <c r="AH9" i="14"/>
  <c r="AH10" i="14"/>
  <c r="AH11" i="14"/>
  <c r="AH13" i="14"/>
  <c r="AH14" i="14"/>
  <c r="AH15" i="14"/>
  <c r="AH16" i="14"/>
  <c r="AH17" i="14"/>
  <c r="AH18" i="14"/>
  <c r="AH19" i="14"/>
  <c r="AH20" i="14"/>
  <c r="AH3" i="15"/>
  <c r="AH4" i="15"/>
  <c r="AH6" i="15"/>
  <c r="AH7" i="15"/>
  <c r="AH8" i="15"/>
  <c r="AH9" i="15"/>
  <c r="AH10" i="15"/>
  <c r="AH11" i="15"/>
  <c r="AH13" i="15"/>
  <c r="AH14" i="15"/>
  <c r="AH15" i="15"/>
  <c r="AH16" i="15"/>
  <c r="AH17" i="15"/>
  <c r="AH18" i="15"/>
  <c r="AH19" i="15"/>
  <c r="AH20" i="15"/>
  <c r="AH3" i="16"/>
  <c r="AH4" i="16"/>
  <c r="AH6" i="16"/>
  <c r="AH7" i="16"/>
  <c r="AH8" i="16"/>
  <c r="AH9" i="16"/>
  <c r="AH10" i="16"/>
  <c r="AH11" i="16"/>
  <c r="AH13" i="16"/>
  <c r="AH14" i="16"/>
  <c r="AH15" i="16"/>
  <c r="AH16" i="16"/>
  <c r="AH17" i="16"/>
  <c r="AH18" i="16"/>
  <c r="AH19" i="16"/>
  <c r="AH20" i="16"/>
  <c r="AH3" i="17"/>
  <c r="AH4" i="17"/>
  <c r="AH6" i="17"/>
  <c r="AH7" i="17"/>
  <c r="AH8" i="17"/>
  <c r="AH9" i="17"/>
  <c r="AH10" i="17"/>
  <c r="AH11" i="17"/>
  <c r="AH13" i="17"/>
  <c r="AH14" i="17"/>
  <c r="AH15" i="17"/>
  <c r="AH16" i="17"/>
  <c r="AH17" i="17"/>
  <c r="AH18" i="17"/>
  <c r="AH19" i="17"/>
  <c r="AH20" i="17"/>
  <c r="AH3" i="25"/>
  <c r="AH4" i="25"/>
  <c r="AH6" i="25"/>
  <c r="AH7" i="25"/>
  <c r="AH8" i="25"/>
  <c r="AH9" i="25"/>
  <c r="AH10" i="25"/>
  <c r="AH11" i="25"/>
  <c r="AH13" i="25"/>
  <c r="AH14" i="25"/>
  <c r="AH15" i="25"/>
  <c r="AH16" i="25"/>
  <c r="AH17" i="25"/>
  <c r="AH18" i="25"/>
  <c r="AH19" i="25"/>
  <c r="AH20" i="25"/>
  <c r="AH3" i="3"/>
  <c r="AH4" i="3"/>
  <c r="AH6" i="3"/>
  <c r="AH7" i="3"/>
  <c r="AH8" i="3"/>
  <c r="AH9" i="3"/>
  <c r="AH10" i="3"/>
  <c r="AH11" i="3"/>
  <c r="AH13" i="3"/>
  <c r="AH14" i="3"/>
  <c r="AH15" i="3"/>
  <c r="AH16" i="3"/>
  <c r="AH17" i="3"/>
  <c r="AH18" i="3"/>
  <c r="AH19" i="3"/>
  <c r="AH20" i="3"/>
  <c r="AH3" i="18"/>
  <c r="AH4" i="18"/>
  <c r="AH6" i="18"/>
  <c r="AH7" i="18"/>
  <c r="AH8" i="18"/>
  <c r="AH9" i="18"/>
  <c r="AH10" i="18"/>
  <c r="AH11" i="18"/>
  <c r="AH13" i="18"/>
  <c r="AH14" i="18"/>
  <c r="AH15" i="18"/>
  <c r="AH16" i="18"/>
  <c r="AH17" i="18"/>
  <c r="AH18" i="18"/>
  <c r="AH19" i="18"/>
  <c r="AH20" i="18"/>
  <c r="AH3" i="19"/>
  <c r="AH4" i="19"/>
  <c r="AH6" i="19"/>
  <c r="AH7" i="19"/>
  <c r="AH8" i="19"/>
  <c r="AH9" i="19"/>
  <c r="AH10" i="19"/>
  <c r="AH11" i="19"/>
  <c r="AH13" i="19"/>
  <c r="AH14" i="19"/>
  <c r="AH15" i="19"/>
  <c r="AH16" i="19"/>
  <c r="AH17" i="19"/>
  <c r="AH18" i="19"/>
  <c r="AH19" i="19"/>
  <c r="AH20" i="19"/>
  <c r="AH3" i="20"/>
  <c r="AH4" i="20"/>
  <c r="AH7" i="20"/>
  <c r="AH8" i="20"/>
  <c r="AH9" i="20"/>
  <c r="AH10" i="20"/>
  <c r="AH11" i="20"/>
  <c r="AH13" i="20"/>
  <c r="AH14" i="20"/>
  <c r="AH15" i="20"/>
  <c r="AH16" i="20"/>
  <c r="AH17" i="20"/>
  <c r="AH18" i="20"/>
  <c r="AH19" i="20"/>
  <c r="AH20" i="20"/>
  <c r="AH3" i="21"/>
  <c r="AH4" i="21"/>
  <c r="AH6" i="21"/>
  <c r="AH7" i="21"/>
  <c r="AH8" i="21"/>
  <c r="AH9" i="21"/>
  <c r="AH10" i="21"/>
  <c r="AH11" i="21"/>
  <c r="AH13" i="21"/>
  <c r="AH14" i="21"/>
  <c r="AH15" i="21"/>
  <c r="AH16" i="21"/>
  <c r="AH17" i="21"/>
  <c r="AH18" i="21"/>
  <c r="AH19" i="21"/>
  <c r="AH20" i="21"/>
  <c r="AH3" i="22"/>
  <c r="AH4" i="22"/>
  <c r="AH6" i="22"/>
  <c r="AH7" i="22"/>
  <c r="AH8" i="22"/>
  <c r="AH9" i="22"/>
  <c r="AH10" i="22"/>
  <c r="AH11" i="22"/>
  <c r="AH13" i="22"/>
  <c r="AH14" i="22"/>
  <c r="AH15" i="22"/>
  <c r="AH16" i="22"/>
  <c r="AH17" i="22"/>
  <c r="AH18" i="22"/>
  <c r="AH19" i="22"/>
  <c r="AH20" i="22"/>
  <c r="AH3" i="23"/>
  <c r="AH4" i="23"/>
  <c r="AH6" i="23"/>
  <c r="AH7" i="23"/>
  <c r="AH8" i="23"/>
  <c r="AH9" i="23"/>
  <c r="AH10" i="23"/>
  <c r="AH11" i="23"/>
  <c r="AH13" i="23"/>
  <c r="AH14" i="23"/>
  <c r="AH15" i="23"/>
  <c r="AH16" i="23"/>
  <c r="AH17" i="23"/>
  <c r="AH18" i="23"/>
  <c r="AH19" i="23"/>
  <c r="AH20" i="23"/>
  <c r="AH3" i="24"/>
  <c r="AH4" i="24"/>
  <c r="AH6" i="24"/>
  <c r="AH7" i="24"/>
  <c r="AH8" i="24"/>
  <c r="AH9" i="24"/>
  <c r="AH10" i="24"/>
  <c r="AH11" i="24"/>
  <c r="AH13" i="24"/>
  <c r="AH14" i="24"/>
  <c r="AH15" i="24"/>
  <c r="AH16" i="24"/>
  <c r="AH17" i="24"/>
  <c r="AH18" i="24"/>
  <c r="AH19" i="24"/>
  <c r="AH20" i="24"/>
  <c r="AH3" i="26"/>
  <c r="AH4" i="26"/>
  <c r="AH6" i="26"/>
  <c r="AH7" i="26"/>
  <c r="AH8" i="26"/>
  <c r="AH9" i="26"/>
  <c r="AH10" i="26"/>
  <c r="AH11" i="26"/>
  <c r="AH13" i="26"/>
  <c r="AH14" i="26"/>
  <c r="AH15" i="26"/>
  <c r="AH16" i="26"/>
  <c r="AH17" i="26"/>
  <c r="AH18" i="26"/>
  <c r="AH19" i="26"/>
  <c r="AH20" i="26"/>
  <c r="AH3" i="27"/>
  <c r="AH4" i="27"/>
  <c r="AH6" i="27"/>
  <c r="AH7" i="27"/>
  <c r="AH8" i="27"/>
  <c r="AH9" i="27"/>
  <c r="AH10" i="27"/>
  <c r="AH11" i="27"/>
  <c r="AH13" i="27"/>
  <c r="AH14" i="27"/>
  <c r="AH15" i="27"/>
  <c r="AH16" i="27"/>
  <c r="AH17" i="27"/>
  <c r="AH18" i="27"/>
  <c r="AH19" i="27"/>
  <c r="AH20" i="27"/>
  <c r="AH3" i="2"/>
  <c r="AH4" i="2"/>
  <c r="AH6" i="2"/>
  <c r="AH7" i="2"/>
  <c r="AH8" i="2"/>
  <c r="AH9" i="2"/>
  <c r="AH10" i="2"/>
  <c r="AH11" i="2"/>
  <c r="AH13" i="2"/>
  <c r="AH14" i="2"/>
  <c r="AH15" i="2"/>
  <c r="AH16" i="2"/>
  <c r="AH17" i="2"/>
  <c r="AH18" i="2"/>
  <c r="AH19" i="2"/>
  <c r="AH20" i="2"/>
  <c r="AH3" i="28"/>
  <c r="AH4" i="28"/>
  <c r="AH6" i="28"/>
  <c r="AH7" i="28"/>
  <c r="AH8" i="28"/>
  <c r="AH9" i="28"/>
  <c r="AH10" i="28"/>
  <c r="AH11" i="28"/>
  <c r="AH13" i="28"/>
  <c r="AH14" i="28"/>
  <c r="AH15" i="28"/>
  <c r="AH16" i="28"/>
  <c r="AH17" i="28"/>
  <c r="AH18" i="28"/>
  <c r="AH19" i="28"/>
  <c r="AH20" i="28"/>
  <c r="AH3" i="29"/>
  <c r="AH4" i="29"/>
  <c r="AH6" i="29"/>
  <c r="AH7" i="29"/>
  <c r="AH8" i="29"/>
  <c r="AH9" i="29"/>
  <c r="AH10" i="29"/>
  <c r="AH11" i="29"/>
  <c r="AH13" i="29"/>
  <c r="AH14" i="29"/>
  <c r="AH15" i="29"/>
  <c r="AH16" i="29"/>
  <c r="AH17" i="29"/>
  <c r="AH18" i="29"/>
  <c r="AH19" i="29"/>
  <c r="AH20" i="29"/>
  <c r="AH3" i="30"/>
  <c r="AH4" i="30"/>
  <c r="AH6" i="30"/>
  <c r="AH7" i="30"/>
  <c r="AH8" i="30"/>
  <c r="AH9" i="30"/>
  <c r="AH10" i="30"/>
  <c r="AH11" i="30"/>
  <c r="AH13" i="30"/>
  <c r="AH14" i="30"/>
  <c r="AH15" i="30"/>
  <c r="AH16" i="30"/>
  <c r="AH17" i="30"/>
  <c r="AH18" i="30"/>
  <c r="AH19" i="30"/>
  <c r="AH20" i="30"/>
  <c r="AH3" i="31"/>
  <c r="AH4" i="31"/>
  <c r="AH6" i="31"/>
  <c r="AH7" i="31"/>
  <c r="AH8" i="31"/>
  <c r="AH9" i="31"/>
  <c r="AH10" i="31"/>
  <c r="AH11" i="31"/>
  <c r="AH13" i="31"/>
  <c r="AH14" i="31"/>
  <c r="AH15" i="31"/>
  <c r="AH16" i="31"/>
  <c r="AH17" i="31"/>
  <c r="AH18" i="31"/>
  <c r="AH19" i="31"/>
  <c r="AH20" i="31"/>
  <c r="AH3" i="32"/>
  <c r="AH4" i="32"/>
  <c r="AH6" i="32"/>
  <c r="AH7" i="32"/>
  <c r="AH8" i="32"/>
  <c r="AH9" i="32"/>
  <c r="AH10" i="32"/>
  <c r="AH11" i="32"/>
  <c r="AH13" i="32"/>
  <c r="AH14" i="32"/>
  <c r="AH15" i="32"/>
  <c r="AH16" i="32"/>
  <c r="AH17" i="32"/>
  <c r="AH18" i="32"/>
  <c r="AH19" i="32"/>
  <c r="AH20" i="32"/>
  <c r="AH2" i="4"/>
  <c r="AH2" i="5"/>
  <c r="AH2" i="1"/>
  <c r="AH2" i="7"/>
  <c r="AH2" i="9"/>
  <c r="AH2" i="10"/>
  <c r="AH2" i="11"/>
  <c r="AH2" i="12"/>
  <c r="AH2" i="13"/>
  <c r="AH2" i="14"/>
  <c r="AH2" i="15"/>
  <c r="AH2" i="16"/>
  <c r="AH2" i="17"/>
  <c r="AH2" i="25"/>
  <c r="AH2" i="3"/>
  <c r="AH2" i="18"/>
  <c r="AH2" i="19"/>
  <c r="AH2" i="21"/>
  <c r="AH2" i="22"/>
  <c r="AH2" i="23"/>
  <c r="AH2" i="24"/>
  <c r="AH2" i="26"/>
  <c r="AH2" i="27"/>
  <c r="AH2" i="2"/>
  <c r="AH2" i="28"/>
  <c r="AH2" i="29"/>
  <c r="AH2" i="30"/>
  <c r="AH2" i="31"/>
  <c r="AH2" i="32"/>
  <c r="AI7" i="4"/>
  <c r="AI8" i="4"/>
  <c r="AI9" i="4"/>
  <c r="AI10" i="4"/>
  <c r="AI11" i="4"/>
  <c r="AI13" i="4"/>
  <c r="AI14" i="4"/>
  <c r="AI15" i="4"/>
  <c r="AI16" i="4"/>
  <c r="AI17" i="4"/>
  <c r="AI18" i="4"/>
  <c r="AI19" i="4"/>
  <c r="AI20" i="4"/>
  <c r="AI22" i="4"/>
  <c r="AI23" i="4"/>
  <c r="AI24" i="4"/>
  <c r="AI25" i="4"/>
  <c r="AI7" i="5"/>
  <c r="AI8" i="5"/>
  <c r="AI9" i="5"/>
  <c r="AI10" i="5"/>
  <c r="AI11" i="5"/>
  <c r="AI13" i="5"/>
  <c r="AI14" i="5"/>
  <c r="AI15" i="5"/>
  <c r="AI16" i="5"/>
  <c r="AI17" i="5"/>
  <c r="AI18" i="5"/>
  <c r="AI19" i="5"/>
  <c r="AI20" i="5"/>
  <c r="AI22" i="5"/>
  <c r="AI23" i="5"/>
  <c r="AI24" i="5"/>
  <c r="AI25" i="5"/>
  <c r="AI7" i="6"/>
  <c r="AI8" i="6"/>
  <c r="AI9" i="6"/>
  <c r="AI10" i="6"/>
  <c r="AI11" i="6"/>
  <c r="AI13" i="6"/>
  <c r="AI14" i="6"/>
  <c r="AI15" i="6"/>
  <c r="AI16" i="6"/>
  <c r="AI17" i="6"/>
  <c r="AI18" i="6"/>
  <c r="AI19" i="6"/>
  <c r="AI20" i="6"/>
  <c r="AI22" i="6"/>
  <c r="AI23" i="6"/>
  <c r="AI24" i="6"/>
  <c r="AI25" i="6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22" i="1"/>
  <c r="AI23" i="1"/>
  <c r="AI24" i="1"/>
  <c r="AI25" i="1"/>
  <c r="AI7" i="7"/>
  <c r="AI8" i="7"/>
  <c r="AI9" i="7"/>
  <c r="AI10" i="7"/>
  <c r="AI11" i="7"/>
  <c r="AI13" i="7"/>
  <c r="AI14" i="7"/>
  <c r="AI15" i="7"/>
  <c r="AI16" i="7"/>
  <c r="AI17" i="7"/>
  <c r="AI18" i="7"/>
  <c r="AI19" i="7"/>
  <c r="AI20" i="7"/>
  <c r="AI22" i="7"/>
  <c r="AI23" i="7"/>
  <c r="AI24" i="7"/>
  <c r="AI25" i="7"/>
  <c r="AI7" i="8"/>
  <c r="AI8" i="8"/>
  <c r="AI9" i="8"/>
  <c r="AI10" i="8"/>
  <c r="AI11" i="8"/>
  <c r="AI13" i="8"/>
  <c r="AI14" i="8"/>
  <c r="AI15" i="8"/>
  <c r="AI16" i="8"/>
  <c r="AI17" i="8"/>
  <c r="AI18" i="8"/>
  <c r="AI19" i="8"/>
  <c r="AI20" i="8"/>
  <c r="AI22" i="8"/>
  <c r="AI23" i="8"/>
  <c r="AI24" i="8"/>
  <c r="AI25" i="8"/>
  <c r="AI7" i="9"/>
  <c r="AI8" i="9"/>
  <c r="AI9" i="9"/>
  <c r="AI10" i="9"/>
  <c r="AI11" i="9"/>
  <c r="AI13" i="9"/>
  <c r="AI14" i="9"/>
  <c r="AI15" i="9"/>
  <c r="AI16" i="9"/>
  <c r="AI17" i="9"/>
  <c r="AI18" i="9"/>
  <c r="AI19" i="9"/>
  <c r="AI20" i="9"/>
  <c r="AI22" i="9"/>
  <c r="AI23" i="9"/>
  <c r="AI24" i="9"/>
  <c r="AI25" i="9"/>
  <c r="AI7" i="10"/>
  <c r="AI8" i="10"/>
  <c r="AI9" i="10"/>
  <c r="AI10" i="10"/>
  <c r="AI11" i="10"/>
  <c r="AI13" i="10"/>
  <c r="AI14" i="10"/>
  <c r="AI15" i="10"/>
  <c r="AI16" i="10"/>
  <c r="AI17" i="10"/>
  <c r="AI18" i="10"/>
  <c r="AI19" i="10"/>
  <c r="AI20" i="10"/>
  <c r="AI22" i="10"/>
  <c r="AI23" i="10"/>
  <c r="AI24" i="10"/>
  <c r="AI25" i="10"/>
  <c r="AI7" i="11"/>
  <c r="AI8" i="11"/>
  <c r="AI9" i="11"/>
  <c r="AI10" i="11"/>
  <c r="AI11" i="11"/>
  <c r="AI13" i="11"/>
  <c r="AI14" i="11"/>
  <c r="AI15" i="11"/>
  <c r="AI16" i="11"/>
  <c r="AI17" i="11"/>
  <c r="AI18" i="11"/>
  <c r="AI19" i="11"/>
  <c r="AI20" i="11"/>
  <c r="AI22" i="11"/>
  <c r="AI23" i="11"/>
  <c r="AI24" i="11"/>
  <c r="AI25" i="11"/>
  <c r="AI7" i="12"/>
  <c r="AI8" i="12"/>
  <c r="AI9" i="12"/>
  <c r="AI10" i="12"/>
  <c r="AI11" i="12"/>
  <c r="AI13" i="12"/>
  <c r="AI14" i="12"/>
  <c r="AI15" i="12"/>
  <c r="AI16" i="12"/>
  <c r="AI17" i="12"/>
  <c r="AI18" i="12"/>
  <c r="AI19" i="12"/>
  <c r="AI20" i="12"/>
  <c r="AI22" i="12"/>
  <c r="AI23" i="12"/>
  <c r="AI24" i="12"/>
  <c r="AI25" i="12"/>
  <c r="AI7" i="13"/>
  <c r="AI8" i="13"/>
  <c r="AI9" i="13"/>
  <c r="AI10" i="13"/>
  <c r="AI11" i="13"/>
  <c r="AI13" i="13"/>
  <c r="AI14" i="13"/>
  <c r="AI15" i="13"/>
  <c r="AI16" i="13"/>
  <c r="AI17" i="13"/>
  <c r="AI18" i="13"/>
  <c r="AI19" i="13"/>
  <c r="AI20" i="13"/>
  <c r="AI22" i="13"/>
  <c r="AI23" i="13"/>
  <c r="AI24" i="13"/>
  <c r="AI25" i="13"/>
  <c r="AI7" i="14"/>
  <c r="AI8" i="14"/>
  <c r="AI9" i="14"/>
  <c r="AI10" i="14"/>
  <c r="AI11" i="14"/>
  <c r="AI13" i="14"/>
  <c r="AI14" i="14"/>
  <c r="AI15" i="14"/>
  <c r="AI16" i="14"/>
  <c r="AI17" i="14"/>
  <c r="AI18" i="14"/>
  <c r="AI19" i="14"/>
  <c r="AI20" i="14"/>
  <c r="AI22" i="14"/>
  <c r="AI23" i="14"/>
  <c r="AI24" i="14"/>
  <c r="AI25" i="14"/>
  <c r="AI7" i="15"/>
  <c r="AI8" i="15"/>
  <c r="AI9" i="15"/>
  <c r="AI10" i="15"/>
  <c r="AI11" i="15"/>
  <c r="AI13" i="15"/>
  <c r="AI14" i="15"/>
  <c r="AI15" i="15"/>
  <c r="AI16" i="15"/>
  <c r="AI17" i="15"/>
  <c r="AI18" i="15"/>
  <c r="AI19" i="15"/>
  <c r="AI20" i="15"/>
  <c r="AI22" i="15"/>
  <c r="AI23" i="15"/>
  <c r="AI24" i="15"/>
  <c r="AI25" i="15"/>
  <c r="AI7" i="16"/>
  <c r="AI8" i="16"/>
  <c r="AI9" i="16"/>
  <c r="AI10" i="16"/>
  <c r="AI11" i="16"/>
  <c r="AI13" i="16"/>
  <c r="AI14" i="16"/>
  <c r="AI15" i="16"/>
  <c r="AI16" i="16"/>
  <c r="AI17" i="16"/>
  <c r="AI18" i="16"/>
  <c r="AI19" i="16"/>
  <c r="AI20" i="16"/>
  <c r="AI22" i="16"/>
  <c r="AI23" i="16"/>
  <c r="AI24" i="16"/>
  <c r="AI25" i="16"/>
  <c r="AI7" i="17"/>
  <c r="AI8" i="17"/>
  <c r="AI9" i="17"/>
  <c r="AI10" i="17"/>
  <c r="AI11" i="17"/>
  <c r="AI13" i="17"/>
  <c r="AI14" i="17"/>
  <c r="AI15" i="17"/>
  <c r="AI16" i="17"/>
  <c r="AI17" i="17"/>
  <c r="AI18" i="17"/>
  <c r="AI19" i="17"/>
  <c r="AI20" i="17"/>
  <c r="AI22" i="17"/>
  <c r="AI23" i="17"/>
  <c r="AI24" i="17"/>
  <c r="AI25" i="17"/>
  <c r="AI7" i="25"/>
  <c r="AI8" i="25"/>
  <c r="AI9" i="25"/>
  <c r="AI10" i="25"/>
  <c r="AI11" i="25"/>
  <c r="AI13" i="25"/>
  <c r="AI14" i="25"/>
  <c r="AI15" i="25"/>
  <c r="AI16" i="25"/>
  <c r="AI17" i="25"/>
  <c r="AI18" i="25"/>
  <c r="AI19" i="25"/>
  <c r="AI20" i="25"/>
  <c r="AI22" i="25"/>
  <c r="AI23" i="25"/>
  <c r="AI24" i="25"/>
  <c r="AI25" i="25"/>
  <c r="AI7" i="3"/>
  <c r="AI8" i="3"/>
  <c r="AI9" i="3"/>
  <c r="AI10" i="3"/>
  <c r="AI11" i="3"/>
  <c r="AI13" i="3"/>
  <c r="AI14" i="3"/>
  <c r="AI15" i="3"/>
  <c r="AI16" i="3"/>
  <c r="AI17" i="3"/>
  <c r="AI18" i="3"/>
  <c r="AI19" i="3"/>
  <c r="AI20" i="3"/>
  <c r="AI22" i="3"/>
  <c r="AI23" i="3"/>
  <c r="AI24" i="3"/>
  <c r="AI25" i="3"/>
  <c r="AI7" i="18"/>
  <c r="AI8" i="18"/>
  <c r="AI9" i="18"/>
  <c r="AI10" i="18"/>
  <c r="AI11" i="18"/>
  <c r="AI13" i="18"/>
  <c r="AI14" i="18"/>
  <c r="AI15" i="18"/>
  <c r="AI16" i="18"/>
  <c r="AI17" i="18"/>
  <c r="AI18" i="18"/>
  <c r="AI19" i="18"/>
  <c r="AI20" i="18"/>
  <c r="AI22" i="18"/>
  <c r="AI23" i="18"/>
  <c r="AI24" i="18"/>
  <c r="AI25" i="18"/>
  <c r="AI7" i="19"/>
  <c r="AI8" i="19"/>
  <c r="AI9" i="19"/>
  <c r="AI10" i="19"/>
  <c r="AI11" i="19"/>
  <c r="AI13" i="19"/>
  <c r="AI14" i="19"/>
  <c r="AI15" i="19"/>
  <c r="AI16" i="19"/>
  <c r="AI17" i="19"/>
  <c r="AI18" i="19"/>
  <c r="AI19" i="19"/>
  <c r="AI20" i="19"/>
  <c r="AI22" i="19"/>
  <c r="AI23" i="19"/>
  <c r="AI24" i="19"/>
  <c r="AI25" i="19"/>
  <c r="AI7" i="20"/>
  <c r="AI8" i="20"/>
  <c r="AI9" i="20"/>
  <c r="AI10" i="20"/>
  <c r="AI11" i="20"/>
  <c r="AI13" i="20"/>
  <c r="AI14" i="20"/>
  <c r="AI15" i="20"/>
  <c r="AI16" i="20"/>
  <c r="AI17" i="20"/>
  <c r="AI18" i="20"/>
  <c r="AI19" i="20"/>
  <c r="AI20" i="20"/>
  <c r="AI22" i="20"/>
  <c r="AI23" i="20"/>
  <c r="AI24" i="20"/>
  <c r="AI25" i="20"/>
  <c r="AI7" i="21"/>
  <c r="AI8" i="21"/>
  <c r="AI9" i="21"/>
  <c r="AI10" i="21"/>
  <c r="AI11" i="21"/>
  <c r="AI13" i="21"/>
  <c r="AI14" i="21"/>
  <c r="AI15" i="21"/>
  <c r="AI16" i="21"/>
  <c r="AI17" i="21"/>
  <c r="AI18" i="21"/>
  <c r="AI19" i="21"/>
  <c r="AI20" i="21"/>
  <c r="AI22" i="21"/>
  <c r="AI23" i="21"/>
  <c r="AI24" i="21"/>
  <c r="AI25" i="21"/>
  <c r="AI7" i="22"/>
  <c r="AI8" i="22"/>
  <c r="AI9" i="22"/>
  <c r="AI10" i="22"/>
  <c r="AI11" i="22"/>
  <c r="AI13" i="22"/>
  <c r="AI14" i="22"/>
  <c r="AI15" i="22"/>
  <c r="AI16" i="22"/>
  <c r="AI17" i="22"/>
  <c r="AI18" i="22"/>
  <c r="AI19" i="22"/>
  <c r="AI20" i="22"/>
  <c r="AI22" i="22"/>
  <c r="AI23" i="22"/>
  <c r="AI24" i="22"/>
  <c r="AI25" i="22"/>
  <c r="AI7" i="23"/>
  <c r="AI8" i="23"/>
  <c r="AI9" i="23"/>
  <c r="AI10" i="23"/>
  <c r="AI11" i="23"/>
  <c r="AI13" i="23"/>
  <c r="AI14" i="23"/>
  <c r="AI15" i="23"/>
  <c r="AI16" i="23"/>
  <c r="AI17" i="23"/>
  <c r="AI18" i="23"/>
  <c r="AI19" i="23"/>
  <c r="AI20" i="23"/>
  <c r="AI22" i="23"/>
  <c r="AI23" i="23"/>
  <c r="AI24" i="23"/>
  <c r="AI25" i="23"/>
  <c r="AI7" i="24"/>
  <c r="AI8" i="24"/>
  <c r="AI9" i="24"/>
  <c r="AI10" i="24"/>
  <c r="AI11" i="24"/>
  <c r="AI13" i="24"/>
  <c r="AI14" i="24"/>
  <c r="AI15" i="24"/>
  <c r="AI16" i="24"/>
  <c r="AI17" i="24"/>
  <c r="AI18" i="24"/>
  <c r="AI19" i="24"/>
  <c r="AI20" i="24"/>
  <c r="AI22" i="24"/>
  <c r="AI23" i="24"/>
  <c r="AI24" i="24"/>
  <c r="AI25" i="24"/>
  <c r="AI7" i="26"/>
  <c r="AI8" i="26"/>
  <c r="AI9" i="26"/>
  <c r="AI10" i="26"/>
  <c r="AI11" i="26"/>
  <c r="AI13" i="26"/>
  <c r="AI14" i="26"/>
  <c r="AI15" i="26"/>
  <c r="AI16" i="26"/>
  <c r="AI17" i="26"/>
  <c r="AI18" i="26"/>
  <c r="AI19" i="26"/>
  <c r="AI20" i="26"/>
  <c r="AI22" i="26"/>
  <c r="AI23" i="26"/>
  <c r="AI24" i="26"/>
  <c r="AI25" i="26"/>
  <c r="AI7" i="27"/>
  <c r="AI8" i="27"/>
  <c r="AI9" i="27"/>
  <c r="AI10" i="27"/>
  <c r="AI11" i="27"/>
  <c r="AI13" i="27"/>
  <c r="AI14" i="27"/>
  <c r="AI15" i="27"/>
  <c r="AI16" i="27"/>
  <c r="AI17" i="27"/>
  <c r="AI18" i="27"/>
  <c r="AI19" i="27"/>
  <c r="AI20" i="27"/>
  <c r="AI22" i="27"/>
  <c r="AI23" i="27"/>
  <c r="AI24" i="27"/>
  <c r="AI25" i="27"/>
  <c r="AI7" i="2"/>
  <c r="AI8" i="2"/>
  <c r="AI9" i="2"/>
  <c r="AI10" i="2"/>
  <c r="AI11" i="2"/>
  <c r="AI13" i="2"/>
  <c r="AI14" i="2"/>
  <c r="AI15" i="2"/>
  <c r="AI16" i="2"/>
  <c r="AI17" i="2"/>
  <c r="AI18" i="2"/>
  <c r="AI19" i="2"/>
  <c r="AI20" i="2"/>
  <c r="AI22" i="2"/>
  <c r="AI23" i="2"/>
  <c r="AI24" i="2"/>
  <c r="AI25" i="2"/>
  <c r="AI7" i="28"/>
  <c r="AI8" i="28"/>
  <c r="AI9" i="28"/>
  <c r="AI10" i="28"/>
  <c r="AI11" i="28"/>
  <c r="AI13" i="28"/>
  <c r="AI14" i="28"/>
  <c r="AI15" i="28"/>
  <c r="AI16" i="28"/>
  <c r="AI17" i="28"/>
  <c r="AI18" i="28"/>
  <c r="AI19" i="28"/>
  <c r="AI20" i="28"/>
  <c r="AI22" i="28"/>
  <c r="AI23" i="28"/>
  <c r="AI24" i="28"/>
  <c r="AI25" i="28"/>
  <c r="AI7" i="29"/>
  <c r="AI8" i="29"/>
  <c r="AI9" i="29"/>
  <c r="AI10" i="29"/>
  <c r="AI11" i="29"/>
  <c r="AI13" i="29"/>
  <c r="AI14" i="29"/>
  <c r="AI15" i="29"/>
  <c r="AI16" i="29"/>
  <c r="AI17" i="29"/>
  <c r="AI18" i="29"/>
  <c r="AI19" i="29"/>
  <c r="AI20" i="29"/>
  <c r="AI22" i="29"/>
  <c r="AI23" i="29"/>
  <c r="AI24" i="29"/>
  <c r="AI25" i="29"/>
  <c r="AI7" i="30"/>
  <c r="AI8" i="30"/>
  <c r="AI9" i="30"/>
  <c r="AI10" i="30"/>
  <c r="AI11" i="30"/>
  <c r="AI13" i="30"/>
  <c r="AI14" i="30"/>
  <c r="AI15" i="30"/>
  <c r="AI16" i="30"/>
  <c r="AI17" i="30"/>
  <c r="AI18" i="30"/>
  <c r="AI19" i="30"/>
  <c r="AI20" i="30"/>
  <c r="AI22" i="30"/>
  <c r="AI23" i="30"/>
  <c r="AI24" i="30"/>
  <c r="AI25" i="30"/>
  <c r="AI7" i="31"/>
  <c r="AI8" i="31"/>
  <c r="AI14" i="31"/>
  <c r="AI15" i="31"/>
  <c r="AI7" i="32"/>
  <c r="AI8" i="32"/>
  <c r="AI9" i="32"/>
  <c r="AI10" i="32"/>
  <c r="AI11" i="32"/>
  <c r="AI13" i="32"/>
  <c r="AI14" i="32"/>
  <c r="AI15" i="32"/>
  <c r="AI16" i="32"/>
  <c r="AI17" i="32"/>
  <c r="AI18" i="32"/>
  <c r="AI19" i="32"/>
  <c r="AI20" i="32"/>
  <c r="AI22" i="32"/>
  <c r="AI23" i="32"/>
  <c r="AI24" i="32"/>
  <c r="AI25" i="32"/>
  <c r="AI6" i="4"/>
  <c r="AI6" i="5"/>
  <c r="AI6" i="6"/>
  <c r="AI6" i="1"/>
  <c r="AI6" i="7"/>
  <c r="AI6" i="8"/>
  <c r="AI6" i="9"/>
  <c r="AI6" i="10"/>
  <c r="AI6" i="11"/>
  <c r="AI6" i="12"/>
  <c r="AI6" i="13"/>
  <c r="AI6" i="14"/>
  <c r="AI6" i="15"/>
  <c r="AI6" i="16"/>
  <c r="AI6" i="17"/>
  <c r="AI6" i="25"/>
  <c r="AI6" i="3"/>
  <c r="AI6" i="18"/>
  <c r="AI6" i="19"/>
  <c r="AI6" i="20"/>
  <c r="AI6" i="21"/>
  <c r="AI6" i="22"/>
  <c r="AI6" i="23"/>
  <c r="AI6" i="24"/>
  <c r="AI6" i="26"/>
  <c r="AI6" i="27"/>
  <c r="AI6" i="2"/>
  <c r="AI6" i="28"/>
  <c r="AI6" i="29"/>
  <c r="AI6" i="30"/>
  <c r="AI6" i="32"/>
  <c r="AF28" i="32"/>
  <c r="AI6" i="31"/>
  <c r="AI24" i="31"/>
  <c r="AI22" i="31"/>
  <c r="AI23" i="31"/>
  <c r="AI19" i="31"/>
  <c r="AI18" i="31"/>
  <c r="AI16" i="31"/>
  <c r="AI13" i="31"/>
  <c r="AI11" i="31"/>
  <c r="AI10" i="31"/>
  <c r="AB16" i="6"/>
  <c r="AB14" i="30"/>
  <c r="W3" i="4"/>
  <c r="Q3" i="4"/>
  <c r="C3" i="4"/>
  <c r="D6" i="33" s="1"/>
  <c r="AB10" i="11"/>
  <c r="AA10" i="11"/>
  <c r="W10" i="11"/>
  <c r="AB6" i="11"/>
  <c r="AA6" i="11"/>
  <c r="W6" i="11"/>
  <c r="AB8" i="11"/>
  <c r="AA8" i="11"/>
  <c r="W8" i="11"/>
  <c r="W15" i="26"/>
  <c r="W16" i="26"/>
  <c r="W19" i="26"/>
  <c r="W18" i="26"/>
  <c r="W10" i="10"/>
  <c r="W7" i="10"/>
  <c r="W9" i="10"/>
  <c r="W19" i="23"/>
  <c r="W16" i="23"/>
  <c r="W17" i="23"/>
  <c r="W10" i="32"/>
  <c r="W8" i="32"/>
  <c r="W9" i="32"/>
  <c r="W10" i="3"/>
  <c r="W9" i="3"/>
  <c r="AB16" i="16"/>
  <c r="AA8" i="4"/>
  <c r="AA22" i="4"/>
  <c r="AA13" i="4"/>
  <c r="C4" i="4"/>
  <c r="C6" i="4"/>
  <c r="D7" i="36" s="1"/>
  <c r="C7" i="4"/>
  <c r="D9" i="36" s="1"/>
  <c r="C8" i="4"/>
  <c r="D8" i="36" s="1"/>
  <c r="C9" i="4"/>
  <c r="D10" i="36" s="1"/>
  <c r="C10" i="4"/>
  <c r="D11" i="36" s="1"/>
  <c r="C11" i="4"/>
  <c r="C13" i="4"/>
  <c r="D8" i="35" s="1"/>
  <c r="C16" i="4"/>
  <c r="C15" i="4"/>
  <c r="C14" i="4"/>
  <c r="C17" i="4"/>
  <c r="D11" i="35" s="1"/>
  <c r="C18" i="4"/>
  <c r="D13" i="35" s="1"/>
  <c r="C19" i="4"/>
  <c r="C20" i="4"/>
  <c r="C22" i="4"/>
  <c r="D5" i="34" s="1"/>
  <c r="C24" i="4"/>
  <c r="D7" i="34" s="1"/>
  <c r="AO8" i="47" s="1"/>
  <c r="C23" i="4"/>
  <c r="D6" i="34" s="1"/>
  <c r="C25" i="4"/>
  <c r="C3" i="5"/>
  <c r="D8" i="33" s="1"/>
  <c r="C4" i="5"/>
  <c r="C6" i="5"/>
  <c r="D12" i="36" s="1"/>
  <c r="C9" i="5"/>
  <c r="D15" i="36" s="1"/>
  <c r="C7" i="5"/>
  <c r="D14" i="36" s="1"/>
  <c r="C8" i="5"/>
  <c r="D13" i="36" s="1"/>
  <c r="C10" i="5"/>
  <c r="D16" i="36" s="1"/>
  <c r="C11" i="5"/>
  <c r="C13" i="5"/>
  <c r="D14" i="35" s="1"/>
  <c r="C14" i="5"/>
  <c r="D15" i="35" s="1"/>
  <c r="C17" i="5"/>
  <c r="D16" i="35" s="1"/>
  <c r="C15" i="5"/>
  <c r="C16" i="5"/>
  <c r="D19" i="35" s="1"/>
  <c r="C18" i="5"/>
  <c r="D18" i="35" s="1"/>
  <c r="C19" i="5"/>
  <c r="C20" i="5"/>
  <c r="C22" i="5"/>
  <c r="D8" i="34" s="1"/>
  <c r="C23" i="5"/>
  <c r="D9" i="34" s="1"/>
  <c r="C24" i="5"/>
  <c r="D10" i="34" s="1"/>
  <c r="C25" i="5"/>
  <c r="C3" i="6"/>
  <c r="D10" i="33" s="1"/>
  <c r="C4" i="6"/>
  <c r="C6" i="6"/>
  <c r="D17" i="36" s="1"/>
  <c r="C7" i="6"/>
  <c r="C8" i="6"/>
  <c r="D19" i="36" s="1"/>
  <c r="C9" i="6"/>
  <c r="D20" i="36" s="1"/>
  <c r="C10" i="6"/>
  <c r="D21" i="36" s="1"/>
  <c r="C11" i="6"/>
  <c r="C15" i="6"/>
  <c r="D23" i="35" s="1"/>
  <c r="C17" i="6"/>
  <c r="D24" i="35" s="1"/>
  <c r="C14" i="6"/>
  <c r="D21" i="35" s="1"/>
  <c r="C13" i="6"/>
  <c r="D20" i="35" s="1"/>
  <c r="C16" i="6"/>
  <c r="D22" i="35" s="1"/>
  <c r="C18" i="6"/>
  <c r="D25" i="35" s="1"/>
  <c r="C19" i="6"/>
  <c r="D26" i="35" s="1"/>
  <c r="C20" i="6"/>
  <c r="C22" i="6"/>
  <c r="D11" i="34" s="1"/>
  <c r="C23" i="6"/>
  <c r="D12" i="34" s="1"/>
  <c r="C24" i="6"/>
  <c r="D13" i="34" s="1"/>
  <c r="C25" i="6"/>
  <c r="C3" i="1"/>
  <c r="C4" i="1"/>
  <c r="C6" i="1"/>
  <c r="D22" i="36" s="1"/>
  <c r="C7" i="1"/>
  <c r="D24" i="36" s="1"/>
  <c r="C9" i="1"/>
  <c r="D23" i="36" s="1"/>
  <c r="C8" i="1"/>
  <c r="D25" i="36" s="1"/>
  <c r="C10" i="1"/>
  <c r="D26" i="36" s="1"/>
  <c r="C11" i="1"/>
  <c r="C13" i="1"/>
  <c r="D27" i="35" s="1"/>
  <c r="C16" i="1"/>
  <c r="D28" i="35" s="1"/>
  <c r="D32" i="35"/>
  <c r="C20" i="1"/>
  <c r="C22" i="1"/>
  <c r="D14" i="34" s="1"/>
  <c r="C23" i="1"/>
  <c r="D15" i="34" s="1"/>
  <c r="C24" i="1"/>
  <c r="D16" i="34" s="1"/>
  <c r="C25" i="1"/>
  <c r="C3" i="7"/>
  <c r="D15" i="33" s="1"/>
  <c r="C4" i="7"/>
  <c r="C6" i="7"/>
  <c r="D27" i="36" s="1"/>
  <c r="C8" i="7"/>
  <c r="D28" i="36" s="1"/>
  <c r="C7" i="7"/>
  <c r="D29" i="36" s="1"/>
  <c r="C9" i="7"/>
  <c r="D30" i="36" s="1"/>
  <c r="C10" i="7"/>
  <c r="D31" i="36" s="1"/>
  <c r="C11" i="7"/>
  <c r="C13" i="7"/>
  <c r="C14" i="7"/>
  <c r="D34" i="35" s="1"/>
  <c r="C15" i="7"/>
  <c r="D36" i="35" s="1"/>
  <c r="C17" i="7"/>
  <c r="C16" i="7"/>
  <c r="D38" i="35" s="1"/>
  <c r="C18" i="7"/>
  <c r="D39" i="35" s="1"/>
  <c r="C19" i="7"/>
  <c r="D40" i="35" s="1"/>
  <c r="C20" i="7"/>
  <c r="C23" i="7"/>
  <c r="D18" i="34" s="1"/>
  <c r="C22" i="7"/>
  <c r="D17" i="34" s="1"/>
  <c r="C24" i="7"/>
  <c r="D19" i="34" s="1"/>
  <c r="C25" i="7"/>
  <c r="C3" i="8"/>
  <c r="D17" i="33" s="1"/>
  <c r="C4" i="8"/>
  <c r="C6" i="8"/>
  <c r="D32" i="36" s="1"/>
  <c r="C8" i="8"/>
  <c r="C10" i="8"/>
  <c r="D36" i="36" s="1"/>
  <c r="C11" i="8"/>
  <c r="C13" i="8"/>
  <c r="D41" i="35" s="1"/>
  <c r="C14" i="8"/>
  <c r="D42" i="35" s="1"/>
  <c r="C15" i="8"/>
  <c r="D43" i="35" s="1"/>
  <c r="C17" i="8"/>
  <c r="D45" i="35" s="1"/>
  <c r="C16" i="8"/>
  <c r="D44" i="35" s="1"/>
  <c r="C18" i="8"/>
  <c r="C19" i="8"/>
  <c r="C20" i="8"/>
  <c r="C22" i="8"/>
  <c r="D20" i="34" s="1"/>
  <c r="C24" i="8"/>
  <c r="D22" i="34" s="1"/>
  <c r="C23" i="8"/>
  <c r="D21" i="34" s="1"/>
  <c r="C25" i="8"/>
  <c r="C3" i="9"/>
  <c r="D19" i="33" s="1"/>
  <c r="C4" i="9"/>
  <c r="D20" i="33" s="1"/>
  <c r="C11" i="9"/>
  <c r="C15" i="9"/>
  <c r="D46" i="35" s="1"/>
  <c r="C17" i="9"/>
  <c r="C19" i="9"/>
  <c r="C20" i="9"/>
  <c r="C22" i="9"/>
  <c r="D23" i="34" s="1"/>
  <c r="C24" i="9"/>
  <c r="D24" i="34" s="1"/>
  <c r="C23" i="9"/>
  <c r="D25" i="34" s="1"/>
  <c r="C25" i="9"/>
  <c r="C3" i="10"/>
  <c r="D22" i="33" s="1"/>
  <c r="C4" i="10"/>
  <c r="C6" i="10"/>
  <c r="D42" i="36" s="1"/>
  <c r="C8" i="10"/>
  <c r="D43" i="36" s="1"/>
  <c r="C9" i="10"/>
  <c r="D45" i="36" s="1"/>
  <c r="C7" i="10"/>
  <c r="D44" i="36" s="1"/>
  <c r="C10" i="10"/>
  <c r="D46" i="36" s="1"/>
  <c r="C11" i="10"/>
  <c r="C13" i="10"/>
  <c r="D52" i="35" s="1"/>
  <c r="C16" i="10"/>
  <c r="D55" i="35" s="1"/>
  <c r="C15" i="10"/>
  <c r="D54" i="35" s="1"/>
  <c r="C14" i="10"/>
  <c r="D53" i="35" s="1"/>
  <c r="C20" i="10"/>
  <c r="C22" i="10"/>
  <c r="D26" i="34" s="1"/>
  <c r="C23" i="10"/>
  <c r="D27" i="34" s="1"/>
  <c r="C24" i="10"/>
  <c r="D28" i="34" s="1"/>
  <c r="C25" i="10"/>
  <c r="C3" i="11"/>
  <c r="D24" i="33" s="1"/>
  <c r="C4" i="11"/>
  <c r="C7" i="11"/>
  <c r="C9" i="11"/>
  <c r="D50" i="36" s="1"/>
  <c r="C8" i="11"/>
  <c r="D48" i="36" s="1"/>
  <c r="C6" i="11"/>
  <c r="D49" i="36" s="1"/>
  <c r="C10" i="11"/>
  <c r="D51" i="36" s="1"/>
  <c r="C11" i="11"/>
  <c r="C14" i="11"/>
  <c r="C13" i="11"/>
  <c r="D59" i="35" s="1"/>
  <c r="C20" i="11"/>
  <c r="C22" i="11"/>
  <c r="D29" i="34" s="1"/>
  <c r="C23" i="11"/>
  <c r="D30" i="34" s="1"/>
  <c r="C24" i="11"/>
  <c r="D31" i="34" s="1"/>
  <c r="C25" i="11"/>
  <c r="C3" i="12"/>
  <c r="D26" i="33" s="1"/>
  <c r="C4" i="12"/>
  <c r="C6" i="12"/>
  <c r="D52" i="36" s="1"/>
  <c r="C7" i="12"/>
  <c r="D54" i="36" s="1"/>
  <c r="C8" i="12"/>
  <c r="D53" i="36" s="1"/>
  <c r="C9" i="12"/>
  <c r="D55" i="36" s="1"/>
  <c r="C10" i="12"/>
  <c r="D56" i="36" s="1"/>
  <c r="C11" i="12"/>
  <c r="C13" i="12"/>
  <c r="D65" i="35" s="1"/>
  <c r="C14" i="12"/>
  <c r="D64" i="35" s="1"/>
  <c r="C15" i="12"/>
  <c r="D67" i="35" s="1"/>
  <c r="C17" i="12"/>
  <c r="D69" i="35" s="1"/>
  <c r="C16" i="12"/>
  <c r="D66" i="35" s="1"/>
  <c r="C18" i="12"/>
  <c r="D68" i="35" s="1"/>
  <c r="C19" i="12"/>
  <c r="C20" i="12"/>
  <c r="C22" i="12"/>
  <c r="D32" i="34" s="1"/>
  <c r="C23" i="12"/>
  <c r="D33" i="34" s="1"/>
  <c r="C24" i="12"/>
  <c r="D34" i="34" s="1"/>
  <c r="C25" i="12"/>
  <c r="C3" i="13"/>
  <c r="D28" i="33" s="1"/>
  <c r="C4" i="13"/>
  <c r="C6" i="13"/>
  <c r="D57" i="36" s="1"/>
  <c r="C7" i="13"/>
  <c r="C9" i="13"/>
  <c r="C8" i="13"/>
  <c r="D59" i="36" s="1"/>
  <c r="C10" i="13"/>
  <c r="D61" i="36" s="1"/>
  <c r="C11" i="13"/>
  <c r="C14" i="13"/>
  <c r="D71" i="35" s="1"/>
  <c r="C15" i="13"/>
  <c r="D72" i="35" s="1"/>
  <c r="C13" i="13"/>
  <c r="D70" i="35" s="1"/>
  <c r="C17" i="13"/>
  <c r="D73" i="35" s="1"/>
  <c r="C16" i="13"/>
  <c r="D74" i="35" s="1"/>
  <c r="C18" i="13"/>
  <c r="D75" i="35" s="1"/>
  <c r="C19" i="13"/>
  <c r="D76" i="35" s="1"/>
  <c r="C20" i="13"/>
  <c r="C22" i="13"/>
  <c r="D35" i="34" s="1"/>
  <c r="C23" i="13"/>
  <c r="D36" i="34" s="1"/>
  <c r="C24" i="13"/>
  <c r="D37" i="34" s="1"/>
  <c r="C25" i="13"/>
  <c r="C3" i="14"/>
  <c r="D29" i="33" s="1"/>
  <c r="C4" i="14"/>
  <c r="D31" i="33" s="1"/>
  <c r="C7" i="14"/>
  <c r="D64" i="36" s="1"/>
  <c r="C8" i="14"/>
  <c r="D63" i="36" s="1"/>
  <c r="C9" i="14"/>
  <c r="D65" i="36" s="1"/>
  <c r="C6" i="14"/>
  <c r="D62" i="36" s="1"/>
  <c r="C10" i="14"/>
  <c r="D66" i="36" s="1"/>
  <c r="C11" i="14"/>
  <c r="C13" i="14"/>
  <c r="D77" i="35" s="1"/>
  <c r="C14" i="14"/>
  <c r="D78" i="35" s="1"/>
  <c r="C16" i="14"/>
  <c r="C15" i="14"/>
  <c r="D80" i="35" s="1"/>
  <c r="C20" i="14"/>
  <c r="C22" i="14"/>
  <c r="D38" i="34" s="1"/>
  <c r="C23" i="14"/>
  <c r="C24" i="14"/>
  <c r="D39" i="34" s="1"/>
  <c r="C25" i="14"/>
  <c r="C3" i="15"/>
  <c r="D33" i="33" s="1"/>
  <c r="C4" i="15"/>
  <c r="C6" i="15"/>
  <c r="D67" i="36" s="1"/>
  <c r="C8" i="15"/>
  <c r="D68" i="36" s="1"/>
  <c r="C7" i="15"/>
  <c r="D69" i="36" s="1"/>
  <c r="C9" i="15"/>
  <c r="D70" i="36" s="1"/>
  <c r="C10" i="15"/>
  <c r="D71" i="36" s="1"/>
  <c r="C11" i="15"/>
  <c r="C13" i="15"/>
  <c r="C14" i="15"/>
  <c r="D84" i="35" s="1"/>
  <c r="C15" i="15"/>
  <c r="D86" i="35" s="1"/>
  <c r="C17" i="15"/>
  <c r="C18" i="15"/>
  <c r="D88" i="35" s="1"/>
  <c r="C16" i="15"/>
  <c r="D89" i="35" s="1"/>
  <c r="C19" i="15"/>
  <c r="C20" i="15"/>
  <c r="C22" i="15"/>
  <c r="D41" i="34" s="1"/>
  <c r="C24" i="15"/>
  <c r="D43" i="34" s="1"/>
  <c r="C23" i="15"/>
  <c r="D42" i="34" s="1"/>
  <c r="C25" i="15"/>
  <c r="C3" i="16"/>
  <c r="D35" i="33" s="1"/>
  <c r="C4" i="16"/>
  <c r="C7" i="16"/>
  <c r="D72" i="36" s="1"/>
  <c r="C6" i="16"/>
  <c r="D74" i="36" s="1"/>
  <c r="C8" i="16"/>
  <c r="D73" i="36" s="1"/>
  <c r="C9" i="16"/>
  <c r="D75" i="36" s="1"/>
  <c r="C10" i="16"/>
  <c r="D76" i="36" s="1"/>
  <c r="C11" i="16"/>
  <c r="C14" i="16"/>
  <c r="C15" i="16"/>
  <c r="D91" i="35" s="1"/>
  <c r="C13" i="16"/>
  <c r="C16" i="16"/>
  <c r="D93" i="35" s="1"/>
  <c r="C17" i="16"/>
  <c r="C18" i="16"/>
  <c r="D94" i="35" s="1"/>
  <c r="C19" i="16"/>
  <c r="D96" i="35" s="1"/>
  <c r="C20" i="16"/>
  <c r="C22" i="16"/>
  <c r="D44" i="34" s="1"/>
  <c r="C24" i="16"/>
  <c r="C23" i="16"/>
  <c r="D46" i="34" s="1"/>
  <c r="C25" i="16"/>
  <c r="C3" i="17"/>
  <c r="D37" i="33" s="1"/>
  <c r="C4" i="17"/>
  <c r="C6" i="17"/>
  <c r="D77" i="36" s="1"/>
  <c r="C8" i="17"/>
  <c r="C9" i="17"/>
  <c r="D80" i="36" s="1"/>
  <c r="C7" i="17"/>
  <c r="D78" i="36" s="1"/>
  <c r="C10" i="17"/>
  <c r="D81" i="36" s="1"/>
  <c r="C11" i="17"/>
  <c r="C13" i="17"/>
  <c r="D98" i="35" s="1"/>
  <c r="C14" i="17"/>
  <c r="D97" i="35" s="1"/>
  <c r="C15" i="17"/>
  <c r="D99" i="35" s="1"/>
  <c r="C18" i="17"/>
  <c r="D102" i="35" s="1"/>
  <c r="C19" i="17"/>
  <c r="C16" i="17"/>
  <c r="C17" i="17"/>
  <c r="D100" i="35" s="1"/>
  <c r="C20" i="17"/>
  <c r="C22" i="17"/>
  <c r="D47" i="34" s="1"/>
  <c r="C23" i="17"/>
  <c r="D48" i="34" s="1"/>
  <c r="C24" i="17"/>
  <c r="D49" i="34" s="1"/>
  <c r="C25" i="17"/>
  <c r="C3" i="25"/>
  <c r="D43" i="33" s="1"/>
  <c r="C4" i="25"/>
  <c r="C6" i="25"/>
  <c r="D92" i="36" s="1"/>
  <c r="C7" i="25"/>
  <c r="D94" i="36" s="1"/>
  <c r="C8" i="25"/>
  <c r="D93" i="36" s="1"/>
  <c r="C9" i="25"/>
  <c r="D95" i="36" s="1"/>
  <c r="C10" i="25"/>
  <c r="D96" i="36" s="1"/>
  <c r="C11" i="25"/>
  <c r="C15" i="25"/>
  <c r="D119" i="35"/>
  <c r="D118" i="35"/>
  <c r="C13" i="25"/>
  <c r="D117" i="35" s="1"/>
  <c r="C20" i="25"/>
  <c r="C22" i="25"/>
  <c r="D74" i="34" s="1"/>
  <c r="C23" i="25"/>
  <c r="D75" i="34" s="1"/>
  <c r="C24" i="25"/>
  <c r="D76" i="34" s="1"/>
  <c r="C25" i="25"/>
  <c r="C3" i="3"/>
  <c r="D39" i="33" s="1"/>
  <c r="C4" i="3"/>
  <c r="C7" i="3"/>
  <c r="C6" i="3"/>
  <c r="D82" i="36" s="1"/>
  <c r="C8" i="3"/>
  <c r="D83" i="36" s="1"/>
  <c r="C9" i="3"/>
  <c r="D85" i="36" s="1"/>
  <c r="C10" i="3"/>
  <c r="D86" i="36" s="1"/>
  <c r="C11" i="3"/>
  <c r="C15" i="3"/>
  <c r="D105" i="35" s="1"/>
  <c r="C13" i="3"/>
  <c r="D103" i="35" s="1"/>
  <c r="C16" i="3"/>
  <c r="C14" i="3"/>
  <c r="D104" i="35" s="1"/>
  <c r="C17" i="3"/>
  <c r="D106" i="35" s="1"/>
  <c r="C18" i="3"/>
  <c r="C19" i="3"/>
  <c r="D109" i="35" s="1"/>
  <c r="C20" i="3"/>
  <c r="C23" i="3"/>
  <c r="C22" i="3"/>
  <c r="D50" i="34" s="1"/>
  <c r="C24" i="3"/>
  <c r="D51" i="34" s="1"/>
  <c r="C25" i="3"/>
  <c r="C3" i="18"/>
  <c r="D41" i="33" s="1"/>
  <c r="C4" i="18"/>
  <c r="C6" i="18"/>
  <c r="D87" i="36" s="1"/>
  <c r="C7" i="18"/>
  <c r="D89" i="36" s="1"/>
  <c r="C8" i="18"/>
  <c r="D88" i="36" s="1"/>
  <c r="C9" i="18"/>
  <c r="D90" i="36" s="1"/>
  <c r="C10" i="18"/>
  <c r="D91" i="36" s="1"/>
  <c r="C11" i="18"/>
  <c r="C13" i="18"/>
  <c r="D111" i="35" s="1"/>
  <c r="C14" i="18"/>
  <c r="D110" i="35" s="1"/>
  <c r="C16" i="18"/>
  <c r="C15" i="18"/>
  <c r="D113" i="35" s="1"/>
  <c r="C17" i="18"/>
  <c r="D114" i="35" s="1"/>
  <c r="C18" i="18"/>
  <c r="D115" i="35" s="1"/>
  <c r="C19" i="18"/>
  <c r="C20" i="18"/>
  <c r="C25" i="18"/>
  <c r="C23" i="18"/>
  <c r="D55" i="34" s="1"/>
  <c r="C22" i="18"/>
  <c r="D53" i="34" s="1"/>
  <c r="C24" i="18"/>
  <c r="C3" i="19"/>
  <c r="D45" i="33" s="1"/>
  <c r="C4" i="19"/>
  <c r="C6" i="19"/>
  <c r="D97" i="36" s="1"/>
  <c r="C8" i="19"/>
  <c r="D98" i="36" s="1"/>
  <c r="C9" i="19"/>
  <c r="D100" i="36" s="1"/>
  <c r="C7" i="19"/>
  <c r="D99" i="36" s="1"/>
  <c r="C10" i="19"/>
  <c r="D101" i="36" s="1"/>
  <c r="C11" i="19"/>
  <c r="C17" i="19"/>
  <c r="D123" i="35" s="1"/>
  <c r="C18" i="19"/>
  <c r="D126" i="35" s="1"/>
  <c r="C15" i="19"/>
  <c r="D124" i="35" s="1"/>
  <c r="C14" i="19"/>
  <c r="C13" i="19"/>
  <c r="D128" i="35" s="1"/>
  <c r="C19" i="19"/>
  <c r="D127" i="35" s="1"/>
  <c r="C20" i="19"/>
  <c r="C22" i="19"/>
  <c r="D56" i="34" s="1"/>
  <c r="C24" i="19"/>
  <c r="D57" i="34" s="1"/>
  <c r="C23" i="19"/>
  <c r="D58" i="34" s="1"/>
  <c r="C25" i="19"/>
  <c r="C3" i="20"/>
  <c r="D47" i="33" s="1"/>
  <c r="C4" i="20"/>
  <c r="C6" i="20"/>
  <c r="D102" i="36" s="1"/>
  <c r="C7" i="20"/>
  <c r="D104" i="36" s="1"/>
  <c r="C8" i="20"/>
  <c r="D103" i="36" s="1"/>
  <c r="C9" i="20"/>
  <c r="D105" i="36" s="1"/>
  <c r="C10" i="20"/>
  <c r="D106" i="36" s="1"/>
  <c r="C11" i="20"/>
  <c r="C13" i="20"/>
  <c r="D129" i="35" s="1"/>
  <c r="C14" i="20"/>
  <c r="D130" i="35" s="1"/>
  <c r="C20" i="20"/>
  <c r="C22" i="20"/>
  <c r="D59" i="34" s="1"/>
  <c r="C23" i="20"/>
  <c r="D60" i="34" s="1"/>
  <c r="C24" i="20"/>
  <c r="D61" i="34" s="1"/>
  <c r="C25" i="20"/>
  <c r="C3" i="21"/>
  <c r="D49" i="33" s="1"/>
  <c r="C4" i="21"/>
  <c r="C6" i="21"/>
  <c r="D107" i="36" s="1"/>
  <c r="C7" i="21"/>
  <c r="D109" i="36" s="1"/>
  <c r="C8" i="21"/>
  <c r="D108" i="36" s="1"/>
  <c r="C9" i="21"/>
  <c r="D110" i="36" s="1"/>
  <c r="C10" i="21"/>
  <c r="D111" i="36" s="1"/>
  <c r="C11" i="21"/>
  <c r="C13" i="21"/>
  <c r="D135" i="35" s="1"/>
  <c r="C16" i="21"/>
  <c r="C17" i="21"/>
  <c r="D137" i="35" s="1"/>
  <c r="C15" i="21"/>
  <c r="C14" i="21"/>
  <c r="D139" i="35" s="1"/>
  <c r="C20" i="21"/>
  <c r="C22" i="21"/>
  <c r="D62" i="34" s="1"/>
  <c r="C24" i="21"/>
  <c r="D63" i="34" s="1"/>
  <c r="C23" i="21"/>
  <c r="C25" i="21"/>
  <c r="C3" i="22"/>
  <c r="D51" i="33" s="1"/>
  <c r="C4" i="22"/>
  <c r="D52" i="33" s="1"/>
  <c r="C6" i="22"/>
  <c r="D112" i="36" s="1"/>
  <c r="C9" i="22"/>
  <c r="D113" i="36" s="1"/>
  <c r="C8" i="22"/>
  <c r="D115" i="36" s="1"/>
  <c r="C7" i="22"/>
  <c r="D114" i="36" s="1"/>
  <c r="C10" i="22"/>
  <c r="D116" i="36" s="1"/>
  <c r="C11" i="22"/>
  <c r="C13" i="22"/>
  <c r="D141" i="35" s="1"/>
  <c r="C14" i="22"/>
  <c r="D142" i="35" s="1"/>
  <c r="C15" i="22"/>
  <c r="D143" i="35" s="1"/>
  <c r="C16" i="22"/>
  <c r="C18" i="22"/>
  <c r="D146" i="35" s="1"/>
  <c r="C17" i="22"/>
  <c r="D144" i="35" s="1"/>
  <c r="C19" i="22"/>
  <c r="C20" i="22"/>
  <c r="C22" i="22"/>
  <c r="D65" i="34" s="1"/>
  <c r="C23" i="22"/>
  <c r="D66" i="34" s="1"/>
  <c r="C24" i="22"/>
  <c r="D67" i="34" s="1"/>
  <c r="C25" i="22"/>
  <c r="C3" i="23"/>
  <c r="D54" i="33" s="1"/>
  <c r="C4" i="23"/>
  <c r="D55" i="33" s="1"/>
  <c r="C7" i="23"/>
  <c r="D119" i="36" s="1"/>
  <c r="C8" i="23"/>
  <c r="D118" i="36" s="1"/>
  <c r="C6" i="23"/>
  <c r="D117" i="36" s="1"/>
  <c r="C9" i="23"/>
  <c r="D120" i="36" s="1"/>
  <c r="C10" i="23"/>
  <c r="D121" i="36" s="1"/>
  <c r="C11" i="23"/>
  <c r="C13" i="23"/>
  <c r="D147" i="35" s="1"/>
  <c r="C14" i="23"/>
  <c r="D148" i="35" s="1"/>
  <c r="C15" i="23"/>
  <c r="D149" i="35" s="1"/>
  <c r="C18" i="23"/>
  <c r="C17" i="23"/>
  <c r="D151" i="35" s="1"/>
  <c r="C16" i="23"/>
  <c r="D152" i="35" s="1"/>
  <c r="C19" i="23"/>
  <c r="D153" i="35" s="1"/>
  <c r="C20" i="23"/>
  <c r="C22" i="23"/>
  <c r="D68" i="34" s="1"/>
  <c r="C23" i="23"/>
  <c r="D69" i="34" s="1"/>
  <c r="C24" i="23"/>
  <c r="D70" i="34" s="1"/>
  <c r="C25" i="23"/>
  <c r="C3" i="24"/>
  <c r="D57" i="33" s="1"/>
  <c r="C4" i="24"/>
  <c r="D58" i="33" s="1"/>
  <c r="C6" i="24"/>
  <c r="D122" i="36" s="1"/>
  <c r="C7" i="24"/>
  <c r="D124" i="36" s="1"/>
  <c r="C8" i="24"/>
  <c r="D123" i="36" s="1"/>
  <c r="C9" i="24"/>
  <c r="D125" i="36" s="1"/>
  <c r="C10" i="24"/>
  <c r="D126" i="36" s="1"/>
  <c r="C11" i="24"/>
  <c r="C13" i="24"/>
  <c r="D154" i="35" s="1"/>
  <c r="C15" i="24"/>
  <c r="C18" i="24"/>
  <c r="C14" i="24"/>
  <c r="D156" i="35" s="1"/>
  <c r="C20" i="24"/>
  <c r="C23" i="24"/>
  <c r="C22" i="24"/>
  <c r="D72" i="34" s="1"/>
  <c r="C24" i="24"/>
  <c r="D73" i="34" s="1"/>
  <c r="C25" i="24"/>
  <c r="C6" i="26"/>
  <c r="D127" i="36" s="1"/>
  <c r="C8" i="26"/>
  <c r="D128" i="36" s="1"/>
  <c r="C7" i="26"/>
  <c r="D129" i="36" s="1"/>
  <c r="C9" i="26"/>
  <c r="D130" i="36" s="1"/>
  <c r="C10" i="26"/>
  <c r="D131" i="36" s="1"/>
  <c r="C11" i="26"/>
  <c r="C17" i="26"/>
  <c r="C13" i="26"/>
  <c r="C16" i="26"/>
  <c r="D164" i="35" s="1"/>
  <c r="C18" i="26"/>
  <c r="D165" i="35" s="1"/>
  <c r="C14" i="26"/>
  <c r="C19" i="26"/>
  <c r="D166" i="35" s="1"/>
  <c r="C15" i="26"/>
  <c r="C20" i="26"/>
  <c r="C22" i="26"/>
  <c r="D77" i="34" s="1"/>
  <c r="C24" i="26"/>
  <c r="C23" i="26"/>
  <c r="D79" i="34" s="1"/>
  <c r="C25" i="26"/>
  <c r="C3" i="27"/>
  <c r="D62" i="33" s="1"/>
  <c r="C4" i="27"/>
  <c r="D63" i="33" s="1"/>
  <c r="C6" i="27"/>
  <c r="D132" i="36" s="1"/>
  <c r="C7" i="27"/>
  <c r="D134" i="36" s="1"/>
  <c r="C8" i="27"/>
  <c r="D133" i="36" s="1"/>
  <c r="C9" i="27"/>
  <c r="D135" i="36" s="1"/>
  <c r="C10" i="27"/>
  <c r="D136" i="36" s="1"/>
  <c r="C11" i="27"/>
  <c r="C14" i="27"/>
  <c r="C15" i="27"/>
  <c r="D169" i="35" s="1"/>
  <c r="C17" i="27"/>
  <c r="C13" i="27"/>
  <c r="D168" i="35" s="1"/>
  <c r="C16" i="27"/>
  <c r="D171" i="35" s="1"/>
  <c r="C18" i="27"/>
  <c r="D172" i="35" s="1"/>
  <c r="C19" i="27"/>
  <c r="C20" i="27"/>
  <c r="C22" i="27"/>
  <c r="D80" i="34" s="1"/>
  <c r="C23" i="27"/>
  <c r="D81" i="34" s="1"/>
  <c r="C24" i="27"/>
  <c r="D82" i="34" s="1"/>
  <c r="C25" i="27"/>
  <c r="C3" i="2"/>
  <c r="C4" i="2"/>
  <c r="C6" i="2"/>
  <c r="D142" i="36" s="1"/>
  <c r="C7" i="2"/>
  <c r="D144" i="36" s="1"/>
  <c r="C16" i="2"/>
  <c r="D180" i="35" s="1"/>
  <c r="C13" i="2"/>
  <c r="D178" i="35" s="1"/>
  <c r="C14" i="2"/>
  <c r="D179" i="35" s="1"/>
  <c r="C17" i="2"/>
  <c r="D181" i="35" s="1"/>
  <c r="C18" i="2"/>
  <c r="C20" i="2"/>
  <c r="C22" i="2"/>
  <c r="D86" i="34" s="1"/>
  <c r="C23" i="2"/>
  <c r="D87" i="34" s="1"/>
  <c r="C24" i="2"/>
  <c r="D88" i="34" s="1"/>
  <c r="C25" i="2"/>
  <c r="C3" i="28"/>
  <c r="D65" i="33" s="1"/>
  <c r="C4" i="28"/>
  <c r="C6" i="28"/>
  <c r="D137" i="36" s="1"/>
  <c r="C7" i="28"/>
  <c r="D139" i="36" s="1"/>
  <c r="C9" i="28"/>
  <c r="C8" i="28"/>
  <c r="D140" i="36" s="1"/>
  <c r="C10" i="28"/>
  <c r="D141" i="36" s="1"/>
  <c r="C11" i="28"/>
  <c r="C13" i="28"/>
  <c r="D173" i="35" s="1"/>
  <c r="C14" i="28"/>
  <c r="D174" i="35" s="1"/>
  <c r="C16" i="28"/>
  <c r="D176" i="35" s="1"/>
  <c r="C15" i="28"/>
  <c r="D175" i="35" s="1"/>
  <c r="C17" i="28"/>
  <c r="D177" i="35" s="1"/>
  <c r="C18" i="28"/>
  <c r="C19" i="28"/>
  <c r="C20" i="28"/>
  <c r="C22" i="28"/>
  <c r="D83" i="34" s="1"/>
  <c r="C23" i="28"/>
  <c r="D84" i="34" s="1"/>
  <c r="C24" i="28"/>
  <c r="D85" i="34" s="1"/>
  <c r="C25" i="28"/>
  <c r="C3" i="29"/>
  <c r="D70" i="33" s="1"/>
  <c r="C4" i="29"/>
  <c r="C6" i="29"/>
  <c r="D147" i="36" s="1"/>
  <c r="C7" i="29"/>
  <c r="D149" i="36" s="1"/>
  <c r="C8" i="29"/>
  <c r="D148" i="36" s="1"/>
  <c r="C9" i="29"/>
  <c r="D150" i="36" s="1"/>
  <c r="C10" i="29"/>
  <c r="D151" i="36" s="1"/>
  <c r="C11" i="29"/>
  <c r="C13" i="29"/>
  <c r="D184" i="35" s="1"/>
  <c r="C15" i="29"/>
  <c r="D186" i="35" s="1"/>
  <c r="C14" i="29"/>
  <c r="D185" i="35" s="1"/>
  <c r="C16" i="29"/>
  <c r="C18" i="29"/>
  <c r="D189" i="35" s="1"/>
  <c r="C17" i="29"/>
  <c r="D187" i="35" s="1"/>
  <c r="C19" i="29"/>
  <c r="C20" i="29"/>
  <c r="C22" i="29"/>
  <c r="D89" i="34" s="1"/>
  <c r="C23" i="29"/>
  <c r="D90" i="34" s="1"/>
  <c r="C24" i="29"/>
  <c r="D91" i="34" s="1"/>
  <c r="C25" i="29"/>
  <c r="C3" i="30"/>
  <c r="D72" i="33" s="1"/>
  <c r="C4" i="30"/>
  <c r="D73" i="33" s="1"/>
  <c r="C6" i="30"/>
  <c r="D152" i="36" s="1"/>
  <c r="C7" i="30"/>
  <c r="D154" i="36" s="1"/>
  <c r="C9" i="30"/>
  <c r="D155" i="36" s="1"/>
  <c r="C8" i="30"/>
  <c r="D153" i="36" s="1"/>
  <c r="C10" i="30"/>
  <c r="D156" i="36" s="1"/>
  <c r="C11" i="30"/>
  <c r="C13" i="30"/>
  <c r="D190" i="35" s="1"/>
  <c r="C15" i="30"/>
  <c r="C16" i="30"/>
  <c r="D193" i="35" s="1"/>
  <c r="C14" i="30"/>
  <c r="D192" i="35" s="1"/>
  <c r="C17" i="30"/>
  <c r="D194" i="35" s="1"/>
  <c r="C18" i="30"/>
  <c r="D195" i="35" s="1"/>
  <c r="C19" i="30"/>
  <c r="D196" i="35" s="1"/>
  <c r="C20" i="30"/>
  <c r="C22" i="30"/>
  <c r="D92" i="34" s="1"/>
  <c r="C23" i="30"/>
  <c r="D93" i="34" s="1"/>
  <c r="C24" i="30"/>
  <c r="D94" i="34" s="1"/>
  <c r="C25" i="30"/>
  <c r="C3" i="31"/>
  <c r="D75" i="33" s="1"/>
  <c r="C4" i="31"/>
  <c r="D76" i="33" s="1"/>
  <c r="C10" i="31"/>
  <c r="D161" i="36" s="1"/>
  <c r="C11" i="31"/>
  <c r="C13" i="31"/>
  <c r="C17" i="31"/>
  <c r="C14" i="31"/>
  <c r="C18" i="31"/>
  <c r="C15" i="31"/>
  <c r="D202" i="35" s="1"/>
  <c r="C16" i="31"/>
  <c r="D200" i="35" s="1"/>
  <c r="C19" i="31"/>
  <c r="D203" i="35" s="1"/>
  <c r="C20" i="31"/>
  <c r="C22" i="31"/>
  <c r="D95" i="34" s="1"/>
  <c r="C23" i="31"/>
  <c r="D96" i="34" s="1"/>
  <c r="C24" i="31"/>
  <c r="D97" i="34" s="1"/>
  <c r="C25" i="31"/>
  <c r="C3" i="32"/>
  <c r="C4" i="32"/>
  <c r="C6" i="32"/>
  <c r="D2" i="36" s="1"/>
  <c r="L3" i="47" s="1"/>
  <c r="S14" i="57" s="1"/>
  <c r="C7" i="32"/>
  <c r="D3" i="36" s="1"/>
  <c r="C9" i="32"/>
  <c r="C8" i="32"/>
  <c r="D5" i="36" s="1"/>
  <c r="C10" i="32"/>
  <c r="D6" i="36" s="1"/>
  <c r="C11" i="32"/>
  <c r="C13" i="32"/>
  <c r="D2" i="35" s="1"/>
  <c r="C15" i="32"/>
  <c r="D4" i="35" s="1"/>
  <c r="C17" i="32"/>
  <c r="C14" i="32"/>
  <c r="D3" i="35" s="1"/>
  <c r="C18" i="32"/>
  <c r="D6" i="35" s="1"/>
  <c r="C16" i="32"/>
  <c r="D7" i="35" s="1"/>
  <c r="C19" i="32"/>
  <c r="C20" i="32"/>
  <c r="C22" i="32"/>
  <c r="D2" i="34" s="1"/>
  <c r="C24" i="32"/>
  <c r="D4" i="34" s="1"/>
  <c r="C23" i="32"/>
  <c r="D3" i="34" s="1"/>
  <c r="C25" i="32"/>
  <c r="C2" i="4"/>
  <c r="D5" i="33" s="1"/>
  <c r="C2" i="5"/>
  <c r="D7" i="33" s="1"/>
  <c r="C2" i="6"/>
  <c r="D9" i="33" s="1"/>
  <c r="C2" i="1"/>
  <c r="D11" i="33" s="1"/>
  <c r="C2" i="7"/>
  <c r="D14" i="33" s="1"/>
  <c r="C2" i="8"/>
  <c r="D16" i="33" s="1"/>
  <c r="C2" i="9"/>
  <c r="D18" i="33" s="1"/>
  <c r="C2" i="10"/>
  <c r="D21" i="33" s="1"/>
  <c r="C2" i="11"/>
  <c r="D23" i="33" s="1"/>
  <c r="C2" i="12"/>
  <c r="D25" i="33" s="1"/>
  <c r="C2" i="13"/>
  <c r="D27" i="33" s="1"/>
  <c r="C2" i="14"/>
  <c r="D30" i="33" s="1"/>
  <c r="C2" i="15"/>
  <c r="D32" i="33" s="1"/>
  <c r="C2" i="16"/>
  <c r="D34" i="33" s="1"/>
  <c r="C2" i="17"/>
  <c r="D36" i="33" s="1"/>
  <c r="C2" i="25"/>
  <c r="D42" i="33" s="1"/>
  <c r="C2" i="3"/>
  <c r="D38" i="33" s="1"/>
  <c r="C2" i="18"/>
  <c r="D40" i="33" s="1"/>
  <c r="C2" i="19"/>
  <c r="D44" i="33" s="1"/>
  <c r="C2" i="20"/>
  <c r="D46" i="33" s="1"/>
  <c r="C2" i="21"/>
  <c r="D48" i="33" s="1"/>
  <c r="C2" i="22"/>
  <c r="D50" i="33" s="1"/>
  <c r="C2" i="23"/>
  <c r="D53" i="33" s="1"/>
  <c r="C2" i="24"/>
  <c r="D56" i="33" s="1"/>
  <c r="C2" i="26"/>
  <c r="D59" i="33" s="1"/>
  <c r="C2" i="27"/>
  <c r="D61" i="33" s="1"/>
  <c r="C2" i="2"/>
  <c r="D66" i="33" s="1"/>
  <c r="C2" i="28"/>
  <c r="D64" i="33" s="1"/>
  <c r="C2" i="29"/>
  <c r="D69" i="33" s="1"/>
  <c r="C2" i="30"/>
  <c r="D71" i="33" s="1"/>
  <c r="C2" i="31"/>
  <c r="D74" i="33" s="1"/>
  <c r="C2" i="32"/>
  <c r="D2" i="33" s="1"/>
  <c r="E3" i="47" s="1"/>
  <c r="AA19" i="18"/>
  <c r="W19" i="18"/>
  <c r="AA18" i="18"/>
  <c r="W18" i="18"/>
  <c r="AA17" i="18"/>
  <c r="W17" i="18"/>
  <c r="AA15" i="18"/>
  <c r="W15" i="18"/>
  <c r="W14" i="30"/>
  <c r="AA14" i="30"/>
  <c r="W17" i="30"/>
  <c r="AA17" i="30"/>
  <c r="W18" i="30"/>
  <c r="AA18" i="30"/>
  <c r="W19" i="30"/>
  <c r="AA19" i="30"/>
  <c r="W14" i="23"/>
  <c r="AA19" i="16"/>
  <c r="W19" i="16"/>
  <c r="AB18" i="16"/>
  <c r="AA18" i="16"/>
  <c r="W18" i="16"/>
  <c r="AB17" i="16"/>
  <c r="AA17" i="16"/>
  <c r="W17" i="16"/>
  <c r="AA16" i="16"/>
  <c r="W16" i="16"/>
  <c r="AB13" i="6"/>
  <c r="AB16" i="7"/>
  <c r="AA9" i="32"/>
  <c r="AA23" i="32"/>
  <c r="AA24" i="31"/>
  <c r="W15" i="15"/>
  <c r="AA15" i="15"/>
  <c r="W18" i="15"/>
  <c r="AA18" i="15"/>
  <c r="W17" i="15"/>
  <c r="AA17" i="15"/>
  <c r="W9" i="1"/>
  <c r="AA9" i="1"/>
  <c r="W8" i="1"/>
  <c r="AA8" i="1"/>
  <c r="W16" i="3"/>
  <c r="W13" i="3"/>
  <c r="AA13" i="3"/>
  <c r="W14" i="3"/>
  <c r="W17" i="3"/>
  <c r="W14" i="6"/>
  <c r="AA14" i="6"/>
  <c r="W13" i="6"/>
  <c r="AA13" i="6"/>
  <c r="W16" i="6"/>
  <c r="AA16" i="6"/>
  <c r="W18" i="6"/>
  <c r="AA18" i="6"/>
  <c r="AA13" i="17"/>
  <c r="W13" i="17"/>
  <c r="W17" i="2"/>
  <c r="AA17" i="2"/>
  <c r="W18" i="2"/>
  <c r="AA18" i="2"/>
  <c r="W14" i="17"/>
  <c r="AA14" i="17"/>
  <c r="W15" i="17"/>
  <c r="AA15" i="17"/>
  <c r="W19" i="17"/>
  <c r="AA19" i="17"/>
  <c r="W18" i="17"/>
  <c r="AA18" i="17"/>
  <c r="W16" i="17"/>
  <c r="AA16" i="17"/>
  <c r="W14" i="16"/>
  <c r="AA14" i="16"/>
  <c r="W13" i="16"/>
  <c r="AA13" i="16"/>
  <c r="AA23" i="25"/>
  <c r="AA24" i="25"/>
  <c r="W4" i="11"/>
  <c r="Q4" i="11"/>
  <c r="Q3" i="20"/>
  <c r="W3" i="20"/>
  <c r="Q4" i="20"/>
  <c r="W4" i="20"/>
  <c r="AA14" i="23"/>
  <c r="W15" i="23"/>
  <c r="AA15" i="23"/>
  <c r="W18" i="23"/>
  <c r="AA18" i="23"/>
  <c r="AA17" i="23"/>
  <c r="AA16" i="23"/>
  <c r="W15" i="32"/>
  <c r="AA15" i="32"/>
  <c r="W17" i="32"/>
  <c r="AA17" i="32"/>
  <c r="W18" i="32"/>
  <c r="AA18" i="32"/>
  <c r="W16" i="32"/>
  <c r="AA16" i="32"/>
  <c r="W17" i="7"/>
  <c r="AA17" i="7"/>
  <c r="W16" i="7"/>
  <c r="AA16" i="7"/>
  <c r="F29" i="32"/>
  <c r="D35" i="32" s="1"/>
  <c r="Q4" i="4"/>
  <c r="Q3" i="5"/>
  <c r="Q4" i="5"/>
  <c r="Q3" i="6"/>
  <c r="Q4" i="6"/>
  <c r="Q3" i="1"/>
  <c r="Q4" i="1"/>
  <c r="Q3" i="7"/>
  <c r="Q4" i="7"/>
  <c r="Q3" i="8"/>
  <c r="Q4" i="8"/>
  <c r="Q3" i="9"/>
  <c r="Q4" i="9"/>
  <c r="Q3" i="10"/>
  <c r="Q4" i="10"/>
  <c r="Q3" i="11"/>
  <c r="Q3" i="12"/>
  <c r="Q4" i="12"/>
  <c r="D4" i="12" s="1"/>
  <c r="Q3" i="13"/>
  <c r="Q4" i="13"/>
  <c r="Q3" i="14"/>
  <c r="Q4" i="14"/>
  <c r="Q3" i="15"/>
  <c r="Q4" i="15"/>
  <c r="Q3" i="16"/>
  <c r="Q4" i="16"/>
  <c r="Q3" i="17"/>
  <c r="Q4" i="17"/>
  <c r="Q3" i="25"/>
  <c r="Q4" i="25"/>
  <c r="Q3" i="3"/>
  <c r="Q4" i="3"/>
  <c r="Q3" i="18"/>
  <c r="Q4" i="18"/>
  <c r="Q3" i="19"/>
  <c r="Q4" i="19"/>
  <c r="Q3" i="21"/>
  <c r="Q4" i="21"/>
  <c r="Q3" i="22"/>
  <c r="Q4" i="22"/>
  <c r="Q3" i="23"/>
  <c r="Q4" i="23"/>
  <c r="Q3" i="24"/>
  <c r="D3" i="24" s="1"/>
  <c r="Q4" i="24"/>
  <c r="D4" i="24" s="1"/>
  <c r="Q3" i="27"/>
  <c r="Q4" i="27"/>
  <c r="Q3" i="2"/>
  <c r="Q4" i="2"/>
  <c r="Q3" i="28"/>
  <c r="Q4" i="28"/>
  <c r="Q3" i="29"/>
  <c r="Q4" i="29"/>
  <c r="Q3" i="30"/>
  <c r="Q4" i="30"/>
  <c r="Q3" i="31"/>
  <c r="Q4" i="31"/>
  <c r="Q3" i="32"/>
  <c r="D3" i="32" s="1"/>
  <c r="Q4" i="32"/>
  <c r="Q2" i="4"/>
  <c r="Q2" i="5"/>
  <c r="Q2" i="6"/>
  <c r="Q2" i="1"/>
  <c r="Q2" i="7"/>
  <c r="Q2" i="8"/>
  <c r="Q2" i="9"/>
  <c r="Q2" i="10"/>
  <c r="Q2" i="11"/>
  <c r="Q2" i="12"/>
  <c r="Q2" i="13"/>
  <c r="D2" i="13" s="1"/>
  <c r="Q2" i="14"/>
  <c r="Q2" i="15"/>
  <c r="Q2" i="16"/>
  <c r="Q2" i="17"/>
  <c r="Q2" i="25"/>
  <c r="Q2" i="3"/>
  <c r="Q2" i="18"/>
  <c r="Q2" i="19"/>
  <c r="Q2" i="20"/>
  <c r="Q2" i="21"/>
  <c r="Q2" i="22"/>
  <c r="Q2" i="23"/>
  <c r="Q2" i="24"/>
  <c r="D2" i="24" s="1"/>
  <c r="Q2" i="26"/>
  <c r="Q2" i="27"/>
  <c r="Q2" i="2"/>
  <c r="Q2" i="28"/>
  <c r="Q2" i="29"/>
  <c r="Q2" i="30"/>
  <c r="Q2" i="31"/>
  <c r="Q2" i="32"/>
  <c r="AB19" i="30"/>
  <c r="AB17" i="30"/>
  <c r="AB18" i="30"/>
  <c r="AB18" i="18"/>
  <c r="AB17" i="18"/>
  <c r="AB15" i="18"/>
  <c r="AB19" i="18"/>
  <c r="AB19" i="16"/>
  <c r="AB24" i="25"/>
  <c r="AB13" i="17"/>
  <c r="AB19" i="17"/>
  <c r="AB9" i="1"/>
  <c r="AB8" i="1"/>
  <c r="AB18" i="17"/>
  <c r="AB24" i="31"/>
  <c r="AB14" i="17"/>
  <c r="AB13" i="16"/>
  <c r="AB18" i="32"/>
  <c r="AB15" i="15"/>
  <c r="AB23" i="25"/>
  <c r="AB14" i="16"/>
  <c r="AB16" i="32"/>
  <c r="AB17" i="7"/>
  <c r="AB13" i="3"/>
  <c r="AB18" i="6"/>
  <c r="AB14" i="23"/>
  <c r="AB15" i="17"/>
  <c r="AB17" i="32"/>
  <c r="AB16" i="17"/>
  <c r="AB14" i="6"/>
  <c r="AB17" i="15"/>
  <c r="AB15" i="32"/>
  <c r="AB18" i="15"/>
  <c r="AB16" i="23"/>
  <c r="AB17" i="23"/>
  <c r="AB18" i="23"/>
  <c r="AB23" i="32"/>
  <c r="AB15" i="23"/>
  <c r="AB9" i="32"/>
  <c r="D3" i="46"/>
  <c r="D4" i="46"/>
  <c r="D5" i="46"/>
  <c r="D6" i="46"/>
  <c r="AG7" i="47" s="1"/>
  <c r="D7" i="46"/>
  <c r="AG8" i="47" s="1"/>
  <c r="D8" i="46"/>
  <c r="AG9" i="47" s="1"/>
  <c r="D9" i="46"/>
  <c r="AG10" i="47" s="1"/>
  <c r="D10" i="46"/>
  <c r="AG11" i="47" s="1"/>
  <c r="D11" i="46"/>
  <c r="AG12" i="47" s="1"/>
  <c r="D12" i="46"/>
  <c r="D13" i="46"/>
  <c r="AG14" i="47" s="1"/>
  <c r="D14" i="46"/>
  <c r="AG15" i="47" s="1"/>
  <c r="D15" i="46"/>
  <c r="AG16" i="47" s="1"/>
  <c r="D16" i="46"/>
  <c r="AG17" i="47" s="1"/>
  <c r="D17" i="46"/>
  <c r="AG18" i="47" s="1"/>
  <c r="D18" i="46"/>
  <c r="AG19" i="47" s="1"/>
  <c r="D19" i="46"/>
  <c r="AG20" i="47" s="1"/>
  <c r="D20" i="46"/>
  <c r="AG21" i="47" s="1"/>
  <c r="D21" i="46"/>
  <c r="AG22" i="47" s="1"/>
  <c r="D22" i="46"/>
  <c r="AG23" i="47" s="1"/>
  <c r="D23" i="46"/>
  <c r="AG24" i="47" s="1"/>
  <c r="D24" i="46"/>
  <c r="AG25" i="47" s="1"/>
  <c r="D25" i="46"/>
  <c r="D26" i="46"/>
  <c r="AG27" i="47" s="1"/>
  <c r="D27" i="46"/>
  <c r="AG28" i="47" s="1"/>
  <c r="D28" i="46"/>
  <c r="AG29" i="47" s="1"/>
  <c r="D29" i="46"/>
  <c r="AG30" i="47" s="1"/>
  <c r="D30" i="46"/>
  <c r="AG31" i="47" s="1"/>
  <c r="D31" i="46"/>
  <c r="AG32" i="47" s="1"/>
  <c r="D32" i="46"/>
  <c r="AG33" i="47" s="1"/>
  <c r="D33" i="46"/>
  <c r="AG34" i="47" s="1"/>
  <c r="D2" i="46"/>
  <c r="AG3" i="47" s="1"/>
  <c r="AG26" i="47"/>
  <c r="B4" i="33"/>
  <c r="AR2" i="55"/>
  <c r="AR3" i="55"/>
  <c r="AR4" i="55"/>
  <c r="AR5" i="55"/>
  <c r="AR6" i="55"/>
  <c r="AR7" i="55"/>
  <c r="AR8" i="55"/>
  <c r="AR9" i="55"/>
  <c r="AR10" i="55"/>
  <c r="AR11" i="55"/>
  <c r="AR12" i="55"/>
  <c r="AR13" i="55"/>
  <c r="AR14" i="55"/>
  <c r="AR15" i="55"/>
  <c r="AR16" i="55"/>
  <c r="AR17" i="55"/>
  <c r="AR18" i="55"/>
  <c r="AR19" i="55"/>
  <c r="AR20" i="55"/>
  <c r="AR21" i="55"/>
  <c r="AR22" i="55"/>
  <c r="AR23" i="55"/>
  <c r="AR24" i="55"/>
  <c r="AR25" i="55"/>
  <c r="AR26" i="55"/>
  <c r="AR27" i="55"/>
  <c r="AR28" i="55"/>
  <c r="AR29" i="55"/>
  <c r="AR30" i="55"/>
  <c r="AR31" i="55"/>
  <c r="AR32" i="55"/>
  <c r="AR33" i="55"/>
  <c r="AR34" i="55"/>
  <c r="AR35" i="55"/>
  <c r="AR36" i="55"/>
  <c r="AR37" i="55"/>
  <c r="AR38" i="55"/>
  <c r="AR39" i="55"/>
  <c r="AR40" i="55"/>
  <c r="AR41" i="55"/>
  <c r="AR42" i="55"/>
  <c r="AR43" i="55"/>
  <c r="AR44" i="55"/>
  <c r="AR45" i="55"/>
  <c r="AR46" i="55"/>
  <c r="AR47" i="55"/>
  <c r="AR48" i="55"/>
  <c r="AR49" i="55"/>
  <c r="AR50" i="55"/>
  <c r="AR51" i="55"/>
  <c r="AR52" i="55"/>
  <c r="AR53" i="55"/>
  <c r="AR54" i="55"/>
  <c r="AR55" i="55"/>
  <c r="AR56" i="55"/>
  <c r="AR57" i="55"/>
  <c r="AR58" i="55"/>
  <c r="AR59" i="55"/>
  <c r="AR60" i="55"/>
  <c r="AR61" i="55"/>
  <c r="AR62" i="55"/>
  <c r="AR63" i="55"/>
  <c r="AR64" i="55"/>
  <c r="AR65" i="55"/>
  <c r="AR66" i="55"/>
  <c r="AR67" i="55"/>
  <c r="AR68" i="55"/>
  <c r="AR69" i="55"/>
  <c r="AR70" i="55"/>
  <c r="AR71" i="55"/>
  <c r="AR72" i="55"/>
  <c r="AR73" i="55"/>
  <c r="AR74" i="55"/>
  <c r="AR75" i="55"/>
  <c r="AR76" i="55"/>
  <c r="AR77" i="55"/>
  <c r="AR78" i="55"/>
  <c r="AR79" i="55"/>
  <c r="AR80" i="55"/>
  <c r="AR81" i="55"/>
  <c r="AR82" i="55"/>
  <c r="AR83" i="55"/>
  <c r="AR84" i="55"/>
  <c r="AR85" i="55"/>
  <c r="AR86" i="55"/>
  <c r="AR87" i="55"/>
  <c r="AR88" i="55"/>
  <c r="AR89" i="55"/>
  <c r="AR90" i="55"/>
  <c r="AR91" i="55"/>
  <c r="AR92" i="55"/>
  <c r="AR93" i="55"/>
  <c r="AR94" i="55"/>
  <c r="AR95" i="55"/>
  <c r="AR96" i="55"/>
  <c r="AR97" i="55"/>
  <c r="AR98" i="55"/>
  <c r="AR99" i="55"/>
  <c r="AR100" i="55"/>
  <c r="AR101" i="55"/>
  <c r="AE2" i="55"/>
  <c r="AE3" i="55"/>
  <c r="AE4" i="55"/>
  <c r="AE5" i="55"/>
  <c r="AE6" i="55"/>
  <c r="AE7" i="55"/>
  <c r="AE8" i="55"/>
  <c r="AE9" i="55"/>
  <c r="AE10" i="55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5" i="55"/>
  <c r="AE56" i="55"/>
  <c r="AE57" i="55"/>
  <c r="AE58" i="55"/>
  <c r="AE59" i="55"/>
  <c r="AE60" i="55"/>
  <c r="AE61" i="55"/>
  <c r="AE62" i="55"/>
  <c r="AE63" i="55"/>
  <c r="AE64" i="55"/>
  <c r="AE65" i="55"/>
  <c r="AE66" i="55"/>
  <c r="AE67" i="55"/>
  <c r="AE68" i="55"/>
  <c r="AE69" i="55"/>
  <c r="AE70" i="55"/>
  <c r="AE71" i="55"/>
  <c r="AE72" i="55"/>
  <c r="AE73" i="55"/>
  <c r="AE74" i="55"/>
  <c r="AE75" i="55"/>
  <c r="AE76" i="55"/>
  <c r="AE77" i="55"/>
  <c r="AE78" i="55"/>
  <c r="AE79" i="55"/>
  <c r="AE80" i="55"/>
  <c r="AE81" i="55"/>
  <c r="AE82" i="55"/>
  <c r="AE83" i="55"/>
  <c r="AE84" i="55"/>
  <c r="AE85" i="55"/>
  <c r="AE86" i="55"/>
  <c r="AE87" i="55"/>
  <c r="AE88" i="55"/>
  <c r="AE89" i="55"/>
  <c r="AE90" i="55"/>
  <c r="AE91" i="55"/>
  <c r="AE92" i="55"/>
  <c r="AE93" i="55"/>
  <c r="AE94" i="55"/>
  <c r="AE95" i="55"/>
  <c r="AE96" i="55"/>
  <c r="AE97" i="55"/>
  <c r="AE98" i="55"/>
  <c r="AE99" i="55"/>
  <c r="AE100" i="55"/>
  <c r="AE101" i="55"/>
  <c r="AE102" i="55"/>
  <c r="AE103" i="55"/>
  <c r="AE104" i="55"/>
  <c r="AE105" i="55"/>
  <c r="AE106" i="55"/>
  <c r="AE107" i="55"/>
  <c r="AE108" i="55"/>
  <c r="AE109" i="55"/>
  <c r="AE110" i="55"/>
  <c r="AE111" i="55"/>
  <c r="AE112" i="55"/>
  <c r="AE113" i="55"/>
  <c r="AE114" i="55"/>
  <c r="AE115" i="55"/>
  <c r="AE116" i="55"/>
  <c r="AE117" i="55"/>
  <c r="AE118" i="55"/>
  <c r="AE119" i="55"/>
  <c r="AE120" i="55"/>
  <c r="AE121" i="55"/>
  <c r="AE122" i="55"/>
  <c r="AE123" i="55"/>
  <c r="AE124" i="55"/>
  <c r="AE125" i="55"/>
  <c r="AE126" i="55"/>
  <c r="AE127" i="55"/>
  <c r="AE128" i="55"/>
  <c r="AE129" i="55"/>
  <c r="AE130" i="55"/>
  <c r="AE131" i="55"/>
  <c r="AE132" i="55"/>
  <c r="AE133" i="55"/>
  <c r="AE134" i="55"/>
  <c r="AE135" i="55"/>
  <c r="AE136" i="55"/>
  <c r="AE137" i="55"/>
  <c r="AE138" i="55"/>
  <c r="AE139" i="55"/>
  <c r="AE140" i="55"/>
  <c r="AE141" i="55"/>
  <c r="AE142" i="55"/>
  <c r="AE143" i="55"/>
  <c r="AE144" i="55"/>
  <c r="AE145" i="55"/>
  <c r="AE146" i="55"/>
  <c r="AE147" i="55"/>
  <c r="AE148" i="55"/>
  <c r="AE149" i="55"/>
  <c r="AE150" i="55"/>
  <c r="AE151" i="55"/>
  <c r="AE152" i="55"/>
  <c r="AE153" i="55"/>
  <c r="AE154" i="55"/>
  <c r="AE155" i="55"/>
  <c r="AE156" i="55"/>
  <c r="AE157" i="55"/>
  <c r="AE158" i="55"/>
  <c r="AE159" i="55"/>
  <c r="AE160" i="55"/>
  <c r="AE161" i="55"/>
  <c r="AE162" i="55"/>
  <c r="AE163" i="55"/>
  <c r="AE164" i="55"/>
  <c r="AE165" i="55"/>
  <c r="AE166" i="55"/>
  <c r="AE167" i="55"/>
  <c r="AE168" i="55"/>
  <c r="AE169" i="55"/>
  <c r="AE170" i="55"/>
  <c r="AE171" i="55"/>
  <c r="AE172" i="55"/>
  <c r="AE173" i="55"/>
  <c r="AE174" i="55"/>
  <c r="AE175" i="55"/>
  <c r="AE176" i="55"/>
  <c r="AE177" i="55"/>
  <c r="AE178" i="55"/>
  <c r="AE179" i="55"/>
  <c r="AE180" i="55"/>
  <c r="AE181" i="55"/>
  <c r="AE182" i="55"/>
  <c r="AE183" i="55"/>
  <c r="AE184" i="55"/>
  <c r="AE185" i="55"/>
  <c r="AE186" i="55"/>
  <c r="AE187" i="55"/>
  <c r="AE188" i="55"/>
  <c r="AE189" i="55"/>
  <c r="AE190" i="55"/>
  <c r="AE191" i="55"/>
  <c r="AI191" i="55" s="1"/>
  <c r="AE192" i="55"/>
  <c r="AE193" i="55"/>
  <c r="AG193" i="55" s="1"/>
  <c r="AE194" i="55"/>
  <c r="AE195" i="55"/>
  <c r="AE196" i="55"/>
  <c r="AE197" i="55"/>
  <c r="AE198" i="55"/>
  <c r="AE199" i="55"/>
  <c r="AM199" i="55" s="1"/>
  <c r="AE200" i="55"/>
  <c r="AE201" i="55"/>
  <c r="AE202" i="55"/>
  <c r="AL202" i="55" s="1"/>
  <c r="AE203" i="55"/>
  <c r="AF203" i="55" s="1"/>
  <c r="AE204" i="55"/>
  <c r="AI204" i="55" s="1"/>
  <c r="AE205" i="55"/>
  <c r="AE206" i="55"/>
  <c r="AE207" i="55"/>
  <c r="AE208" i="55"/>
  <c r="AE209" i="55"/>
  <c r="AE210" i="55"/>
  <c r="AL210" i="55" s="1"/>
  <c r="AE211" i="55"/>
  <c r="AE212" i="55"/>
  <c r="AE213" i="55"/>
  <c r="AE214" i="55"/>
  <c r="AE215" i="55"/>
  <c r="AE216" i="55"/>
  <c r="AE217" i="55"/>
  <c r="AH217" i="55" s="1"/>
  <c r="AE218" i="55"/>
  <c r="AE219" i="55"/>
  <c r="AE220" i="55"/>
  <c r="AE221" i="55"/>
  <c r="Q2" i="55"/>
  <c r="Q3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D32" i="31"/>
  <c r="F29" i="31"/>
  <c r="D35" i="31" s="1"/>
  <c r="AE28" i="31"/>
  <c r="AD28" i="31"/>
  <c r="AB25" i="31"/>
  <c r="AA25" i="31"/>
  <c r="AB23" i="31"/>
  <c r="AA23" i="31"/>
  <c r="AB22" i="31"/>
  <c r="AA22" i="31"/>
  <c r="AB20" i="31"/>
  <c r="AA20" i="31"/>
  <c r="W20" i="31"/>
  <c r="AB19" i="31"/>
  <c r="AA19" i="31"/>
  <c r="W19" i="31"/>
  <c r="AB14" i="31"/>
  <c r="AA14" i="31"/>
  <c r="W14" i="31"/>
  <c r="AB15" i="31"/>
  <c r="AA15" i="31"/>
  <c r="W15" i="31"/>
  <c r="AB16" i="31"/>
  <c r="AA16" i="31"/>
  <c r="W16" i="31"/>
  <c r="AB18" i="31"/>
  <c r="AA18" i="31"/>
  <c r="W18" i="31"/>
  <c r="AB17" i="31"/>
  <c r="AA17" i="31"/>
  <c r="W17" i="31"/>
  <c r="AB13" i="31"/>
  <c r="AA13" i="31"/>
  <c r="W13" i="31"/>
  <c r="AB11" i="31"/>
  <c r="AA11" i="31"/>
  <c r="W11" i="31"/>
  <c r="AB10" i="31"/>
  <c r="AA10" i="31"/>
  <c r="W10" i="31"/>
  <c r="W4" i="31"/>
  <c r="W3" i="31"/>
  <c r="W2" i="31"/>
  <c r="D32" i="30"/>
  <c r="F29" i="30"/>
  <c r="D35" i="30" s="1"/>
  <c r="AF28" i="30"/>
  <c r="AE28" i="30"/>
  <c r="AD28" i="30"/>
  <c r="AB25" i="30"/>
  <c r="AA25" i="30"/>
  <c r="AB24" i="30"/>
  <c r="AA24" i="30"/>
  <c r="AB23" i="30"/>
  <c r="AA23" i="30"/>
  <c r="AB22" i="30"/>
  <c r="AA22" i="30"/>
  <c r="AB20" i="30"/>
  <c r="AA20" i="30"/>
  <c r="W20" i="30"/>
  <c r="AB16" i="30"/>
  <c r="AA16" i="30"/>
  <c r="W16" i="30"/>
  <c r="AB15" i="30"/>
  <c r="AA15" i="30"/>
  <c r="W15" i="30"/>
  <c r="AB13" i="30"/>
  <c r="AA13" i="30"/>
  <c r="W13" i="30"/>
  <c r="AB11" i="30"/>
  <c r="AA11" i="30"/>
  <c r="W11" i="30"/>
  <c r="AB10" i="30"/>
  <c r="AA10" i="30"/>
  <c r="W10" i="30"/>
  <c r="AB8" i="30"/>
  <c r="AA8" i="30"/>
  <c r="W8" i="30"/>
  <c r="AB9" i="30"/>
  <c r="AA9" i="30"/>
  <c r="W9" i="30"/>
  <c r="AB7" i="30"/>
  <c r="AA7" i="30"/>
  <c r="W7" i="30"/>
  <c r="AB6" i="30"/>
  <c r="AA6" i="30"/>
  <c r="W6" i="30"/>
  <c r="W4" i="30"/>
  <c r="W3" i="30"/>
  <c r="W2" i="30"/>
  <c r="D32" i="29"/>
  <c r="F29" i="29"/>
  <c r="D35" i="29"/>
  <c r="AF28" i="29"/>
  <c r="AE28" i="29"/>
  <c r="AD28" i="29"/>
  <c r="AB25" i="29"/>
  <c r="AA25" i="29"/>
  <c r="AB22" i="29"/>
  <c r="AA22" i="29"/>
  <c r="AB20" i="29"/>
  <c r="AA20" i="29"/>
  <c r="W20" i="29"/>
  <c r="I20" i="29" s="1"/>
  <c r="AB19" i="29"/>
  <c r="AA19" i="29"/>
  <c r="W19" i="29"/>
  <c r="I19" i="29" s="1"/>
  <c r="K19" i="29" s="1"/>
  <c r="AB17" i="29"/>
  <c r="AA17" i="29"/>
  <c r="W17" i="29"/>
  <c r="I17" i="29" s="1"/>
  <c r="AB16" i="29"/>
  <c r="AA16" i="29"/>
  <c r="W16" i="29"/>
  <c r="I16" i="29" s="1"/>
  <c r="AB18" i="29"/>
  <c r="AA18" i="29"/>
  <c r="W18" i="29"/>
  <c r="I18" i="29" s="1"/>
  <c r="AB14" i="29"/>
  <c r="AA14" i="29"/>
  <c r="W14" i="29"/>
  <c r="I14" i="29" s="1"/>
  <c r="AB15" i="29"/>
  <c r="AA15" i="29"/>
  <c r="W15" i="29"/>
  <c r="I15" i="29" s="1"/>
  <c r="AB13" i="29"/>
  <c r="AA13" i="29"/>
  <c r="W13" i="29"/>
  <c r="I13" i="29" s="1"/>
  <c r="AB11" i="29"/>
  <c r="AA11" i="29"/>
  <c r="W11" i="29"/>
  <c r="I11" i="29" s="1"/>
  <c r="AB10" i="29"/>
  <c r="AA10" i="29"/>
  <c r="W10" i="29"/>
  <c r="I10" i="29" s="1"/>
  <c r="AB7" i="29"/>
  <c r="AA7" i="29"/>
  <c r="W7" i="29"/>
  <c r="I7" i="29" s="1"/>
  <c r="AB9" i="29"/>
  <c r="AA9" i="29"/>
  <c r="W9" i="29"/>
  <c r="I9" i="29" s="1"/>
  <c r="AB8" i="29"/>
  <c r="AA8" i="29"/>
  <c r="W8" i="29"/>
  <c r="I8" i="29" s="1"/>
  <c r="AB6" i="29"/>
  <c r="AA6" i="29"/>
  <c r="W6" i="29"/>
  <c r="I6" i="29" s="1"/>
  <c r="W4" i="29"/>
  <c r="I4" i="29" s="1"/>
  <c r="J4" i="29" s="1"/>
  <c r="W3" i="29"/>
  <c r="I3" i="29" s="1"/>
  <c r="W2" i="29"/>
  <c r="I2" i="29" s="1"/>
  <c r="D32" i="28"/>
  <c r="F29" i="28"/>
  <c r="D35" i="28"/>
  <c r="AF28" i="28"/>
  <c r="AE28" i="28"/>
  <c r="AB25" i="28"/>
  <c r="AA25" i="28"/>
  <c r="AB20" i="28"/>
  <c r="AA20" i="28"/>
  <c r="W20" i="28"/>
  <c r="I20" i="28" s="1"/>
  <c r="AB19" i="28"/>
  <c r="AA19" i="28"/>
  <c r="W19" i="28"/>
  <c r="I19" i="28" s="1"/>
  <c r="AB18" i="28"/>
  <c r="AA18" i="28"/>
  <c r="W18" i="28"/>
  <c r="I18" i="28" s="1"/>
  <c r="AB17" i="28"/>
  <c r="AA17" i="28"/>
  <c r="W17" i="28"/>
  <c r="I17" i="28" s="1"/>
  <c r="K17" i="28" s="1"/>
  <c r="F177" i="35" s="1"/>
  <c r="AB15" i="28"/>
  <c r="AA15" i="28"/>
  <c r="W15" i="28"/>
  <c r="I15" i="28" s="1"/>
  <c r="K15" i="28" s="1"/>
  <c r="AB16" i="28"/>
  <c r="AA16" i="28"/>
  <c r="W16" i="28"/>
  <c r="I16" i="28" s="1"/>
  <c r="J16" i="28" s="1"/>
  <c r="AB14" i="28"/>
  <c r="AA14" i="28"/>
  <c r="W14" i="28"/>
  <c r="I14" i="28" s="1"/>
  <c r="K14" i="28" s="1"/>
  <c r="F174" i="35" s="1"/>
  <c r="AB13" i="28"/>
  <c r="AA13" i="28"/>
  <c r="W13" i="28"/>
  <c r="I13" i="28" s="1"/>
  <c r="AB11" i="28"/>
  <c r="AA11" i="28"/>
  <c r="W11" i="28"/>
  <c r="I11" i="28" s="1"/>
  <c r="AB10" i="28"/>
  <c r="AA10" i="28"/>
  <c r="W10" i="28"/>
  <c r="I10" i="28" s="1"/>
  <c r="K10" i="28" s="1"/>
  <c r="G141" i="36" s="1"/>
  <c r="AB8" i="28"/>
  <c r="AA8" i="28"/>
  <c r="W8" i="28"/>
  <c r="I8" i="28" s="1"/>
  <c r="AB9" i="28"/>
  <c r="AA9" i="28"/>
  <c r="W9" i="28"/>
  <c r="I9" i="28" s="1"/>
  <c r="K9" i="28" s="1"/>
  <c r="AB7" i="28"/>
  <c r="AA7" i="28"/>
  <c r="W7" i="28"/>
  <c r="I7" i="28" s="1"/>
  <c r="K7" i="28" s="1"/>
  <c r="G138" i="36" s="1"/>
  <c r="AB6" i="28"/>
  <c r="AA6" i="28"/>
  <c r="W6" i="28"/>
  <c r="I6" i="28" s="1"/>
  <c r="W4" i="28"/>
  <c r="I4" i="28" s="1"/>
  <c r="K4" i="28" s="1"/>
  <c r="AD28" i="28"/>
  <c r="W3" i="28"/>
  <c r="I3" i="28" s="1"/>
  <c r="W2" i="28"/>
  <c r="I2" i="28" s="1"/>
  <c r="J2" i="28" s="1"/>
  <c r="K64" i="33" s="1"/>
  <c r="D32" i="2"/>
  <c r="F29" i="2"/>
  <c r="D35" i="2"/>
  <c r="AE28" i="2"/>
  <c r="AD28" i="2"/>
  <c r="AB25" i="2"/>
  <c r="AA25" i="2"/>
  <c r="AB24" i="2"/>
  <c r="AA24" i="2"/>
  <c r="AA23" i="2"/>
  <c r="AA22" i="2"/>
  <c r="AB20" i="2"/>
  <c r="AA20" i="2"/>
  <c r="W20" i="2"/>
  <c r="I20" i="2" s="1"/>
  <c r="K20" i="2" s="1"/>
  <c r="AA14" i="2"/>
  <c r="W14" i="2"/>
  <c r="I14" i="2" s="1"/>
  <c r="K14" i="2" s="1"/>
  <c r="F179" i="35" s="1"/>
  <c r="AA16" i="2"/>
  <c r="W16" i="2"/>
  <c r="I16" i="2" s="1"/>
  <c r="AA13" i="2"/>
  <c r="W13" i="2"/>
  <c r="I13" i="2" s="1"/>
  <c r="AA7" i="2"/>
  <c r="AA6" i="2"/>
  <c r="W4" i="2"/>
  <c r="I4" i="2" s="1"/>
  <c r="J4" i="2" s="1"/>
  <c r="K68" i="33" s="1"/>
  <c r="W3" i="2"/>
  <c r="I3" i="2" s="1"/>
  <c r="K3" i="2" s="1"/>
  <c r="L67" i="33" s="1"/>
  <c r="W2" i="2"/>
  <c r="D32" i="27"/>
  <c r="F29" i="27"/>
  <c r="D35" i="27"/>
  <c r="AF28" i="27"/>
  <c r="AE28" i="27"/>
  <c r="AB22" i="27"/>
  <c r="AA22" i="27"/>
  <c r="AB20" i="27"/>
  <c r="AA20" i="27"/>
  <c r="W20" i="27"/>
  <c r="I20" i="27" s="1"/>
  <c r="W19" i="27"/>
  <c r="I19" i="27" s="1"/>
  <c r="W18" i="27"/>
  <c r="I18" i="27" s="1"/>
  <c r="K18" i="27" s="1"/>
  <c r="F172" i="35" s="1"/>
  <c r="W15" i="27"/>
  <c r="I15" i="27" s="1"/>
  <c r="K15" i="27" s="1"/>
  <c r="F169" i="35" s="1"/>
  <c r="W16" i="27"/>
  <c r="I16" i="27" s="1"/>
  <c r="W13" i="27"/>
  <c r="I13" i="27" s="1"/>
  <c r="K13" i="27" s="1"/>
  <c r="W17" i="27"/>
  <c r="I17" i="27" s="1"/>
  <c r="W14" i="27"/>
  <c r="I14" i="27" s="1"/>
  <c r="AB11" i="27"/>
  <c r="AA11" i="27"/>
  <c r="W11" i="27"/>
  <c r="I11" i="27" s="1"/>
  <c r="AB7" i="27"/>
  <c r="AA7" i="27"/>
  <c r="W7" i="27"/>
  <c r="I7" i="27" s="1"/>
  <c r="AB6" i="27"/>
  <c r="AA6" i="27"/>
  <c r="W6" i="27"/>
  <c r="I6" i="27" s="1"/>
  <c r="W4" i="27"/>
  <c r="I4" i="27" s="1"/>
  <c r="K4" i="27" s="1"/>
  <c r="L63" i="33" s="1"/>
  <c r="AD28" i="27"/>
  <c r="W3" i="27"/>
  <c r="I3" i="27" s="1"/>
  <c r="J3" i="27" s="1"/>
  <c r="K62" i="33" s="1"/>
  <c r="W2" i="27"/>
  <c r="D32" i="26"/>
  <c r="F29" i="26"/>
  <c r="D35" i="26"/>
  <c r="E35" i="26" s="1"/>
  <c r="AF28" i="26"/>
  <c r="AE28" i="26"/>
  <c r="AB25" i="26"/>
  <c r="AA25" i="26"/>
  <c r="AB23" i="26"/>
  <c r="AA23" i="26"/>
  <c r="AB24" i="26"/>
  <c r="AA24" i="26"/>
  <c r="AB22" i="26"/>
  <c r="AA22" i="26"/>
  <c r="AB20" i="26"/>
  <c r="AA20" i="26"/>
  <c r="W20" i="26"/>
  <c r="I20" i="26" s="1"/>
  <c r="AB15" i="26"/>
  <c r="AA15" i="26"/>
  <c r="AB14" i="26"/>
  <c r="AA14" i="26"/>
  <c r="W14" i="26"/>
  <c r="I14" i="26" s="1"/>
  <c r="J14" i="26" s="1"/>
  <c r="AB16" i="26"/>
  <c r="AA16" i="26"/>
  <c r="AB13" i="26"/>
  <c r="AA13" i="26"/>
  <c r="W13" i="26"/>
  <c r="I13" i="26" s="1"/>
  <c r="W17" i="26"/>
  <c r="I17" i="26" s="1"/>
  <c r="AB11" i="26"/>
  <c r="AA11" i="26"/>
  <c r="W11" i="26"/>
  <c r="I11" i="26" s="1"/>
  <c r="J11" i="26" s="1"/>
  <c r="AB10" i="26"/>
  <c r="AA10" i="26"/>
  <c r="W10" i="26"/>
  <c r="I10" i="26" s="1"/>
  <c r="AB9" i="26"/>
  <c r="AA9" i="26"/>
  <c r="W9" i="26"/>
  <c r="I9" i="26" s="1"/>
  <c r="AB7" i="26"/>
  <c r="AA7" i="26"/>
  <c r="W7" i="26"/>
  <c r="I7" i="26" s="1"/>
  <c r="AB8" i="26"/>
  <c r="AA8" i="26"/>
  <c r="W8" i="26"/>
  <c r="I8" i="26" s="1"/>
  <c r="AB6" i="26"/>
  <c r="AA6" i="26"/>
  <c r="W6" i="26"/>
  <c r="I6" i="26" s="1"/>
  <c r="W2" i="26"/>
  <c r="I2" i="26" s="1"/>
  <c r="D32" i="24"/>
  <c r="F29" i="24"/>
  <c r="D35" i="24"/>
  <c r="E35" i="24"/>
  <c r="AF28" i="24"/>
  <c r="AE28" i="24"/>
  <c r="AB25" i="24"/>
  <c r="AA25" i="24"/>
  <c r="AB24" i="24"/>
  <c r="AA24" i="24"/>
  <c r="AB22" i="24"/>
  <c r="AA22" i="24"/>
  <c r="AB23" i="24"/>
  <c r="AA23" i="24"/>
  <c r="AB20" i="24"/>
  <c r="AA20" i="24"/>
  <c r="W20" i="24"/>
  <c r="I20" i="24" s="1"/>
  <c r="K20" i="24" s="1"/>
  <c r="AB18" i="24"/>
  <c r="AA18" i="24"/>
  <c r="W18" i="24"/>
  <c r="I18" i="24" s="1"/>
  <c r="AB14" i="24"/>
  <c r="AA14" i="24"/>
  <c r="W14" i="24"/>
  <c r="I14" i="24" s="1"/>
  <c r="K14" i="24" s="1"/>
  <c r="AB15" i="24"/>
  <c r="AA15" i="24"/>
  <c r="W15" i="24"/>
  <c r="I15" i="24" s="1"/>
  <c r="J15" i="24" s="1"/>
  <c r="AB13" i="24"/>
  <c r="AA13" i="24"/>
  <c r="W13" i="24"/>
  <c r="I13" i="24" s="1"/>
  <c r="J13" i="24" s="1"/>
  <c r="E154" i="35" s="1"/>
  <c r="AB11" i="24"/>
  <c r="AA11" i="24"/>
  <c r="W11" i="24"/>
  <c r="I11" i="24" s="1"/>
  <c r="J11" i="24" s="1"/>
  <c r="AB10" i="24"/>
  <c r="AA10" i="24"/>
  <c r="W10" i="24"/>
  <c r="I10" i="24" s="1"/>
  <c r="AB8" i="24"/>
  <c r="AA8" i="24"/>
  <c r="W8" i="24"/>
  <c r="I8" i="24" s="1"/>
  <c r="AB7" i="24"/>
  <c r="AA7" i="24"/>
  <c r="W7" i="24"/>
  <c r="I7" i="24" s="1"/>
  <c r="E123" i="36" s="1"/>
  <c r="AB9" i="24"/>
  <c r="AA9" i="24"/>
  <c r="W9" i="24"/>
  <c r="I9" i="24" s="1"/>
  <c r="J9" i="24" s="1"/>
  <c r="F125" i="36" s="1"/>
  <c r="AB6" i="24"/>
  <c r="AA6" i="24"/>
  <c r="W6" i="24"/>
  <c r="I6" i="24" s="1"/>
  <c r="W4" i="24"/>
  <c r="I4" i="24" s="1"/>
  <c r="J4" i="24" s="1"/>
  <c r="K58" i="33" s="1"/>
  <c r="W3" i="24"/>
  <c r="I3" i="24" s="1"/>
  <c r="K3" i="24" s="1"/>
  <c r="L57" i="33" s="1"/>
  <c r="W2" i="24"/>
  <c r="I2" i="24" s="1"/>
  <c r="K2" i="24" s="1"/>
  <c r="L56" i="33" s="1"/>
  <c r="D32" i="23"/>
  <c r="F29" i="23"/>
  <c r="D35" i="23"/>
  <c r="AF28" i="23"/>
  <c r="AE28" i="23"/>
  <c r="AB25" i="23"/>
  <c r="AA25" i="23"/>
  <c r="AB23" i="23"/>
  <c r="AA23" i="23"/>
  <c r="AB24" i="23"/>
  <c r="AA24" i="23"/>
  <c r="AB22" i="23"/>
  <c r="AA22" i="23"/>
  <c r="AB20" i="23"/>
  <c r="AA20" i="23"/>
  <c r="W20" i="23"/>
  <c r="I20" i="23" s="1"/>
  <c r="K20" i="23" s="1"/>
  <c r="AB19" i="23"/>
  <c r="AA19" i="23"/>
  <c r="AB13" i="23"/>
  <c r="AA13" i="23"/>
  <c r="W13" i="23"/>
  <c r="I13" i="23" s="1"/>
  <c r="K13" i="23" s="1"/>
  <c r="F147" i="35" s="1"/>
  <c r="AB11" i="23"/>
  <c r="AA11" i="23"/>
  <c r="W11" i="23"/>
  <c r="I11" i="23" s="1"/>
  <c r="AB10" i="23"/>
  <c r="AA10" i="23"/>
  <c r="W10" i="23"/>
  <c r="I10" i="23" s="1"/>
  <c r="K10" i="23" s="1"/>
  <c r="G121" i="36" s="1"/>
  <c r="AB6" i="23"/>
  <c r="AA6" i="23"/>
  <c r="W6" i="23"/>
  <c r="I6" i="23" s="1"/>
  <c r="AB9" i="23"/>
  <c r="AA9" i="23"/>
  <c r="W9" i="23"/>
  <c r="I9" i="23" s="1"/>
  <c r="AB8" i="23"/>
  <c r="AA8" i="23"/>
  <c r="W8" i="23"/>
  <c r="I8" i="23" s="1"/>
  <c r="AB7" i="23"/>
  <c r="AA7" i="23"/>
  <c r="W7" i="23"/>
  <c r="I7" i="23" s="1"/>
  <c r="W4" i="23"/>
  <c r="I4" i="23" s="1"/>
  <c r="K4" i="23" s="1"/>
  <c r="L55" i="33" s="1"/>
  <c r="AD28" i="23"/>
  <c r="W3" i="23"/>
  <c r="I3" i="23" s="1"/>
  <c r="J54" i="33" s="1"/>
  <c r="W2" i="23"/>
  <c r="D32" i="22"/>
  <c r="F29" i="22"/>
  <c r="D35" i="22"/>
  <c r="AF28" i="22"/>
  <c r="AE28" i="22"/>
  <c r="AD28" i="22"/>
  <c r="AB25" i="22"/>
  <c r="AA25" i="22"/>
  <c r="AB23" i="22"/>
  <c r="AA23" i="22"/>
  <c r="AB24" i="22"/>
  <c r="AA24" i="22"/>
  <c r="AB22" i="22"/>
  <c r="AA22" i="22"/>
  <c r="AB20" i="22"/>
  <c r="AA20" i="22"/>
  <c r="W20" i="22"/>
  <c r="I20" i="22" s="1"/>
  <c r="AB19" i="22"/>
  <c r="AA19" i="22"/>
  <c r="W19" i="22"/>
  <c r="I19" i="22" s="1"/>
  <c r="J19" i="22" s="1"/>
  <c r="AB18" i="22"/>
  <c r="AA18" i="22"/>
  <c r="W18" i="22"/>
  <c r="I18" i="22" s="1"/>
  <c r="AB17" i="22"/>
  <c r="AA17" i="22"/>
  <c r="W17" i="22"/>
  <c r="I17" i="22" s="1"/>
  <c r="K17" i="22" s="1"/>
  <c r="AB16" i="22"/>
  <c r="AA16" i="22"/>
  <c r="W16" i="22"/>
  <c r="I16" i="22" s="1"/>
  <c r="AB15" i="22"/>
  <c r="AA15" i="22"/>
  <c r="W15" i="22"/>
  <c r="I15" i="22" s="1"/>
  <c r="AB14" i="22"/>
  <c r="AA14" i="22"/>
  <c r="W14" i="22"/>
  <c r="I14" i="22" s="1"/>
  <c r="AB13" i="22"/>
  <c r="AA13" i="22"/>
  <c r="W13" i="22"/>
  <c r="I13" i="22" s="1"/>
  <c r="AB11" i="22"/>
  <c r="AA11" i="22"/>
  <c r="W11" i="22"/>
  <c r="I11" i="22" s="1"/>
  <c r="AB10" i="22"/>
  <c r="AA10" i="22"/>
  <c r="W10" i="22"/>
  <c r="I10" i="22" s="1"/>
  <c r="E116" i="36" s="1"/>
  <c r="AB7" i="22"/>
  <c r="AA7" i="22"/>
  <c r="W7" i="22"/>
  <c r="I7" i="22" s="1"/>
  <c r="K7" i="22" s="1"/>
  <c r="G113" i="36" s="1"/>
  <c r="AB9" i="22"/>
  <c r="AA9" i="22"/>
  <c r="W9" i="22"/>
  <c r="I9" i="22" s="1"/>
  <c r="AB8" i="22"/>
  <c r="AA8" i="22"/>
  <c r="W8" i="22"/>
  <c r="AB6" i="22"/>
  <c r="AA6" i="22"/>
  <c r="W6" i="22"/>
  <c r="W4" i="22"/>
  <c r="W3" i="22"/>
  <c r="W2" i="22"/>
  <c r="D32" i="21"/>
  <c r="F29" i="21"/>
  <c r="D35" i="21" s="1"/>
  <c r="AF28" i="21"/>
  <c r="AE28" i="21"/>
  <c r="AB25" i="21"/>
  <c r="AA25" i="21"/>
  <c r="AB23" i="21"/>
  <c r="AA23" i="21"/>
  <c r="AB24" i="21"/>
  <c r="AA24" i="21"/>
  <c r="AB22" i="21"/>
  <c r="AA22" i="21"/>
  <c r="AB20" i="21"/>
  <c r="AA20" i="21"/>
  <c r="W20" i="21"/>
  <c r="AB13" i="21"/>
  <c r="AA13" i="21"/>
  <c r="W13" i="21"/>
  <c r="AB11" i="21"/>
  <c r="AA11" i="21"/>
  <c r="W11" i="21"/>
  <c r="AB10" i="21"/>
  <c r="AA10" i="21"/>
  <c r="W10" i="21"/>
  <c r="AB9" i="21"/>
  <c r="AA9" i="21"/>
  <c r="W9" i="21"/>
  <c r="AB8" i="21"/>
  <c r="AA8" i="21"/>
  <c r="W8" i="21"/>
  <c r="AB7" i="21"/>
  <c r="AA7" i="21"/>
  <c r="W7" i="21"/>
  <c r="AB6" i="21"/>
  <c r="AA6" i="21"/>
  <c r="W6" i="21"/>
  <c r="W4" i="21"/>
  <c r="AD28" i="21"/>
  <c r="W3" i="21"/>
  <c r="W2" i="21"/>
  <c r="D32" i="20"/>
  <c r="F29" i="20"/>
  <c r="D35" i="20"/>
  <c r="E35" i="20"/>
  <c r="AF28" i="20"/>
  <c r="AE28" i="20"/>
  <c r="AB25" i="20"/>
  <c r="AA25" i="20"/>
  <c r="AB23" i="20"/>
  <c r="AA23" i="20"/>
  <c r="AB24" i="20"/>
  <c r="AA24" i="20"/>
  <c r="AB22" i="20"/>
  <c r="AA22" i="20"/>
  <c r="AB20" i="20"/>
  <c r="AA20" i="20"/>
  <c r="W20" i="20"/>
  <c r="I20" i="20" s="1"/>
  <c r="AB14" i="20"/>
  <c r="AA14" i="20"/>
  <c r="W14" i="20"/>
  <c r="I14" i="20" s="1"/>
  <c r="AB13" i="20"/>
  <c r="AA13" i="20"/>
  <c r="W13" i="20"/>
  <c r="I13" i="20" s="1"/>
  <c r="K13" i="20" s="1"/>
  <c r="F129" i="35" s="1"/>
  <c r="AB11" i="20"/>
  <c r="AA11" i="20"/>
  <c r="W11" i="20"/>
  <c r="I11" i="20" s="1"/>
  <c r="AB10" i="20"/>
  <c r="AA10" i="20"/>
  <c r="W10" i="20"/>
  <c r="AB9" i="20"/>
  <c r="AA9" i="20"/>
  <c r="W9" i="20"/>
  <c r="I9" i="20" s="1"/>
  <c r="K9" i="20" s="1"/>
  <c r="G105" i="36" s="1"/>
  <c r="AB8" i="20"/>
  <c r="AA8" i="20"/>
  <c r="W8" i="20"/>
  <c r="I8" i="20" s="1"/>
  <c r="AB7" i="20"/>
  <c r="AA7" i="20"/>
  <c r="W7" i="20"/>
  <c r="I7" i="20" s="1"/>
  <c r="AB6" i="20"/>
  <c r="AA6" i="20"/>
  <c r="W6" i="20"/>
  <c r="I6" i="20" s="1"/>
  <c r="AD28" i="20"/>
  <c r="W2" i="20"/>
  <c r="I2" i="20" s="1"/>
  <c r="D32" i="19"/>
  <c r="F29" i="19"/>
  <c r="D35" i="19"/>
  <c r="AF28" i="19"/>
  <c r="AE28" i="19"/>
  <c r="AB25" i="19"/>
  <c r="AA25" i="19"/>
  <c r="AB20" i="19"/>
  <c r="AA20" i="19"/>
  <c r="W20" i="19"/>
  <c r="I20" i="19" s="1"/>
  <c r="K20" i="19" s="1"/>
  <c r="AB19" i="19"/>
  <c r="AA19" i="19"/>
  <c r="W19" i="19"/>
  <c r="I19" i="19" s="1"/>
  <c r="J19" i="19" s="1"/>
  <c r="E127" i="35" s="1"/>
  <c r="AB13" i="19"/>
  <c r="AA13" i="19"/>
  <c r="W13" i="19"/>
  <c r="I13" i="19" s="1"/>
  <c r="AB15" i="19"/>
  <c r="AA15" i="19"/>
  <c r="W15" i="19"/>
  <c r="I15" i="19" s="1"/>
  <c r="J15" i="19" s="1"/>
  <c r="E124" i="35" s="1"/>
  <c r="AB18" i="19"/>
  <c r="AA18" i="19"/>
  <c r="W18" i="19"/>
  <c r="I18" i="19" s="1"/>
  <c r="K18" i="19" s="1"/>
  <c r="AB14" i="19"/>
  <c r="AA14" i="19"/>
  <c r="W14" i="19"/>
  <c r="I14" i="19" s="1"/>
  <c r="AB17" i="19"/>
  <c r="AA17" i="19"/>
  <c r="W17" i="19"/>
  <c r="I17" i="19" s="1"/>
  <c r="AB11" i="19"/>
  <c r="AA11" i="19"/>
  <c r="W11" i="19"/>
  <c r="I11" i="19" s="1"/>
  <c r="K11" i="19" s="1"/>
  <c r="AB10" i="19"/>
  <c r="AA10" i="19"/>
  <c r="W10" i="19"/>
  <c r="I10" i="19" s="1"/>
  <c r="K10" i="19" s="1"/>
  <c r="G101" i="36" s="1"/>
  <c r="W4" i="19"/>
  <c r="I4" i="19" s="1"/>
  <c r="AD28" i="19"/>
  <c r="W3" i="19"/>
  <c r="I3" i="19" s="1"/>
  <c r="W2" i="19"/>
  <c r="I2" i="19" s="1"/>
  <c r="D32" i="18"/>
  <c r="F29" i="18"/>
  <c r="D35" i="18" s="1"/>
  <c r="AF28" i="18"/>
  <c r="AE28" i="18"/>
  <c r="AB24" i="18"/>
  <c r="AA24" i="18"/>
  <c r="AB22" i="18"/>
  <c r="AA22" i="18"/>
  <c r="AB23" i="18"/>
  <c r="AA23" i="18"/>
  <c r="AB25" i="18"/>
  <c r="AA25" i="18"/>
  <c r="AB20" i="18"/>
  <c r="AA20" i="18"/>
  <c r="W20" i="18"/>
  <c r="AB16" i="18"/>
  <c r="AA16" i="18"/>
  <c r="W16" i="18"/>
  <c r="AB14" i="18"/>
  <c r="AA14" i="18"/>
  <c r="W14" i="18"/>
  <c r="AB13" i="18"/>
  <c r="AA13" i="18"/>
  <c r="W13" i="18"/>
  <c r="AB11" i="18"/>
  <c r="AA11" i="18"/>
  <c r="W11" i="18"/>
  <c r="AB10" i="18"/>
  <c r="AA10" i="18"/>
  <c r="W10" i="18"/>
  <c r="AB9" i="18"/>
  <c r="AA9" i="18"/>
  <c r="W9" i="18"/>
  <c r="AB8" i="18"/>
  <c r="AA8" i="18"/>
  <c r="W8" i="18"/>
  <c r="AB7" i="18"/>
  <c r="AA7" i="18"/>
  <c r="W7" i="18"/>
  <c r="AB6" i="18"/>
  <c r="AA6" i="18"/>
  <c r="W6" i="18"/>
  <c r="W4" i="18"/>
  <c r="AD28" i="18"/>
  <c r="W3" i="18"/>
  <c r="W2" i="18"/>
  <c r="D32" i="3"/>
  <c r="F29" i="3"/>
  <c r="D35" i="3" s="1"/>
  <c r="AF28" i="3"/>
  <c r="AE28" i="3"/>
  <c r="AB25" i="3"/>
  <c r="AA25" i="3"/>
  <c r="AB22" i="3"/>
  <c r="AA22" i="3"/>
  <c r="AB24" i="3"/>
  <c r="AA24" i="3"/>
  <c r="AB23" i="3"/>
  <c r="AA23" i="3"/>
  <c r="AB20" i="3"/>
  <c r="AA20" i="3"/>
  <c r="W20" i="3"/>
  <c r="AB19" i="3"/>
  <c r="AA19" i="3"/>
  <c r="W19" i="3"/>
  <c r="W18" i="3"/>
  <c r="AB15" i="3"/>
  <c r="AA15" i="3"/>
  <c r="W15" i="3"/>
  <c r="AB11" i="3"/>
  <c r="AA11" i="3"/>
  <c r="W11" i="3"/>
  <c r="AB10" i="3"/>
  <c r="AA10" i="3"/>
  <c r="AB6" i="3"/>
  <c r="AA6" i="3"/>
  <c r="W6" i="3"/>
  <c r="AB8" i="3"/>
  <c r="AA8" i="3"/>
  <c r="W8" i="3"/>
  <c r="AB9" i="3"/>
  <c r="AA9" i="3"/>
  <c r="AB7" i="3"/>
  <c r="AA7" i="3"/>
  <c r="W7" i="3"/>
  <c r="W4" i="3"/>
  <c r="AD28" i="3"/>
  <c r="W3" i="3"/>
  <c r="W2" i="3"/>
  <c r="D32" i="25"/>
  <c r="F29" i="25"/>
  <c r="D35" i="25" s="1"/>
  <c r="AF28" i="25"/>
  <c r="AE28" i="25"/>
  <c r="AB25" i="25"/>
  <c r="AA25" i="25"/>
  <c r="AB22" i="25"/>
  <c r="AA22" i="25"/>
  <c r="AB20" i="25"/>
  <c r="AA20" i="25"/>
  <c r="W20" i="25"/>
  <c r="AB13" i="25"/>
  <c r="AA13" i="25"/>
  <c r="W13" i="25"/>
  <c r="AB15" i="25"/>
  <c r="AA15" i="25"/>
  <c r="W15" i="25"/>
  <c r="AB11" i="25"/>
  <c r="AA11" i="25"/>
  <c r="W11" i="25"/>
  <c r="AB10" i="25"/>
  <c r="AA10" i="25"/>
  <c r="W10" i="25"/>
  <c r="AB9" i="25"/>
  <c r="AA9" i="25"/>
  <c r="W9" i="25"/>
  <c r="AB8" i="25"/>
  <c r="AA8" i="25"/>
  <c r="W8" i="25"/>
  <c r="AB7" i="25"/>
  <c r="AA7" i="25"/>
  <c r="W7" i="25"/>
  <c r="AB6" i="25"/>
  <c r="AA6" i="25"/>
  <c r="W6" i="25"/>
  <c r="W4" i="25"/>
  <c r="AD28" i="25"/>
  <c r="W3" i="25"/>
  <c r="W2" i="25"/>
  <c r="D32" i="17"/>
  <c r="F29" i="17"/>
  <c r="D35" i="17"/>
  <c r="AF28" i="17"/>
  <c r="AE28" i="17"/>
  <c r="AB25" i="17"/>
  <c r="AA25" i="17"/>
  <c r="AB24" i="17"/>
  <c r="AA24" i="17"/>
  <c r="AB23" i="17"/>
  <c r="AA23" i="17"/>
  <c r="AB22" i="17"/>
  <c r="AA22" i="17"/>
  <c r="AB20" i="17"/>
  <c r="AA20" i="17"/>
  <c r="W20" i="17"/>
  <c r="I20" i="17" s="1"/>
  <c r="J20" i="17" s="1"/>
  <c r="AB17" i="17"/>
  <c r="AA17" i="17"/>
  <c r="W17" i="17"/>
  <c r="I17" i="17" s="1"/>
  <c r="J17" i="17" s="1"/>
  <c r="AB11" i="17"/>
  <c r="AA11" i="17"/>
  <c r="W11" i="17"/>
  <c r="I11" i="17" s="1"/>
  <c r="AB10" i="17"/>
  <c r="AA10" i="17"/>
  <c r="W10" i="17"/>
  <c r="I10" i="17" s="1"/>
  <c r="J10" i="17" s="1"/>
  <c r="F81" i="36" s="1"/>
  <c r="AB7" i="17"/>
  <c r="AA7" i="17"/>
  <c r="W7" i="17"/>
  <c r="I7" i="17" s="1"/>
  <c r="K7" i="17" s="1"/>
  <c r="AB9" i="17"/>
  <c r="AA9" i="17"/>
  <c r="W9" i="17"/>
  <c r="I9" i="17" s="1"/>
  <c r="J9" i="17" s="1"/>
  <c r="AB8" i="17"/>
  <c r="AA8" i="17"/>
  <c r="W8" i="17"/>
  <c r="I8" i="17" s="1"/>
  <c r="J8" i="17" s="1"/>
  <c r="AB6" i="17"/>
  <c r="AA6" i="17"/>
  <c r="W6" i="17"/>
  <c r="I6" i="17" s="1"/>
  <c r="W4" i="17"/>
  <c r="AD28" i="17"/>
  <c r="W3" i="17"/>
  <c r="I3" i="17" s="1"/>
  <c r="W2" i="17"/>
  <c r="I2" i="17" s="1"/>
  <c r="D32" i="16"/>
  <c r="D3" i="16"/>
  <c r="F29" i="16"/>
  <c r="D35" i="16" s="1"/>
  <c r="AF28" i="16"/>
  <c r="AE28" i="16"/>
  <c r="AB25" i="16"/>
  <c r="AA25" i="16"/>
  <c r="AB24" i="16"/>
  <c r="AA24" i="16"/>
  <c r="AB23" i="16"/>
  <c r="AA23" i="16"/>
  <c r="AB22" i="16"/>
  <c r="AA22" i="16"/>
  <c r="AB20" i="16"/>
  <c r="AA20" i="16"/>
  <c r="W20" i="16"/>
  <c r="AB15" i="16"/>
  <c r="AA15" i="16"/>
  <c r="W15" i="16"/>
  <c r="AB11" i="16"/>
  <c r="AA11" i="16"/>
  <c r="W11" i="16"/>
  <c r="AB10" i="16"/>
  <c r="AA10" i="16"/>
  <c r="W10" i="16"/>
  <c r="AB9" i="16"/>
  <c r="AA9" i="16"/>
  <c r="W9" i="16"/>
  <c r="AB8" i="16"/>
  <c r="AA8" i="16"/>
  <c r="W8" i="16"/>
  <c r="AB6" i="16"/>
  <c r="AA6" i="16"/>
  <c r="W6" i="16"/>
  <c r="AB7" i="16"/>
  <c r="AA7" i="16"/>
  <c r="W7" i="16"/>
  <c r="W4" i="16"/>
  <c r="AD28" i="16"/>
  <c r="W3" i="16"/>
  <c r="W2" i="16"/>
  <c r="D32" i="15"/>
  <c r="F29" i="15"/>
  <c r="D35" i="15" s="1"/>
  <c r="AF28" i="15"/>
  <c r="AE28" i="15"/>
  <c r="AB25" i="15"/>
  <c r="AA25" i="15"/>
  <c r="AB22" i="15"/>
  <c r="AA22" i="15"/>
  <c r="AB23" i="15"/>
  <c r="AA23" i="15"/>
  <c r="AB24" i="15"/>
  <c r="AA24" i="15"/>
  <c r="AB20" i="15"/>
  <c r="AA20" i="15"/>
  <c r="W20" i="15"/>
  <c r="AB19" i="15"/>
  <c r="AA19" i="15"/>
  <c r="W19" i="15"/>
  <c r="AB16" i="15"/>
  <c r="AA16" i="15"/>
  <c r="W16" i="15"/>
  <c r="AA14" i="15"/>
  <c r="W14" i="15"/>
  <c r="AB13" i="15"/>
  <c r="AA13" i="15"/>
  <c r="W13" i="15"/>
  <c r="AB11" i="15"/>
  <c r="AA11" i="15"/>
  <c r="W11" i="15"/>
  <c r="AB10" i="15"/>
  <c r="AA10" i="15"/>
  <c r="W10" i="15"/>
  <c r="AB9" i="15"/>
  <c r="AA9" i="15"/>
  <c r="W9" i="15"/>
  <c r="AB7" i="15"/>
  <c r="AA7" i="15"/>
  <c r="W7" i="15"/>
  <c r="AB8" i="15"/>
  <c r="AA8" i="15"/>
  <c r="W8" i="15"/>
  <c r="AB6" i="15"/>
  <c r="AA6" i="15"/>
  <c r="W6" i="15"/>
  <c r="W4" i="15"/>
  <c r="AD28" i="15"/>
  <c r="W3" i="15"/>
  <c r="W2" i="15"/>
  <c r="D32" i="14"/>
  <c r="D4" i="14" s="1"/>
  <c r="E31" i="33" s="1"/>
  <c r="F29" i="14"/>
  <c r="D35" i="14" s="1"/>
  <c r="AF28" i="14"/>
  <c r="AE28" i="14"/>
  <c r="AB25" i="14"/>
  <c r="AA25" i="14"/>
  <c r="AB24" i="14"/>
  <c r="AA24" i="14"/>
  <c r="AB23" i="14"/>
  <c r="AA23" i="14"/>
  <c r="AB22" i="14"/>
  <c r="AA22" i="14"/>
  <c r="W20" i="14"/>
  <c r="AB15" i="14"/>
  <c r="AA15" i="14"/>
  <c r="W15" i="14"/>
  <c r="AB16" i="14"/>
  <c r="AA16" i="14"/>
  <c r="W16" i="14"/>
  <c r="AB14" i="14"/>
  <c r="AA14" i="14"/>
  <c r="W14" i="14"/>
  <c r="AB13" i="14"/>
  <c r="AA13" i="14"/>
  <c r="W13" i="14"/>
  <c r="AB11" i="14"/>
  <c r="AA11" i="14"/>
  <c r="W11" i="14"/>
  <c r="AB10" i="14"/>
  <c r="AA10" i="14"/>
  <c r="W10" i="14"/>
  <c r="AB6" i="14"/>
  <c r="AA6" i="14"/>
  <c r="W6" i="14"/>
  <c r="AB9" i="14"/>
  <c r="AA9" i="14"/>
  <c r="W9" i="14"/>
  <c r="AB8" i="14"/>
  <c r="AA8" i="14"/>
  <c r="W8" i="14"/>
  <c r="AB7" i="14"/>
  <c r="AA7" i="14"/>
  <c r="W7" i="14"/>
  <c r="W4" i="14"/>
  <c r="AD28" i="14"/>
  <c r="W3" i="14"/>
  <c r="W2" i="14"/>
  <c r="D32" i="13"/>
  <c r="F29" i="13"/>
  <c r="D35" i="13"/>
  <c r="E35" i="13"/>
  <c r="AF28" i="13"/>
  <c r="AE28" i="13"/>
  <c r="AB25" i="13"/>
  <c r="AA25" i="13"/>
  <c r="AB24" i="13"/>
  <c r="AA24" i="13"/>
  <c r="AB23" i="13"/>
  <c r="AA23" i="13"/>
  <c r="AB22" i="13"/>
  <c r="AA22" i="13"/>
  <c r="AB20" i="13"/>
  <c r="AA20" i="13"/>
  <c r="W20" i="13"/>
  <c r="I20" i="13" s="1"/>
  <c r="AB19" i="13"/>
  <c r="AA19" i="13"/>
  <c r="W19" i="13"/>
  <c r="I19" i="13" s="1"/>
  <c r="AB18" i="13"/>
  <c r="AA18" i="13"/>
  <c r="W18" i="13"/>
  <c r="I18" i="13" s="1"/>
  <c r="AB16" i="13"/>
  <c r="AA16" i="13"/>
  <c r="W16" i="13"/>
  <c r="I16" i="13" s="1"/>
  <c r="AB17" i="13"/>
  <c r="AA17" i="13"/>
  <c r="W17" i="13"/>
  <c r="I17" i="13" s="1"/>
  <c r="AB15" i="13"/>
  <c r="AA15" i="13"/>
  <c r="W15" i="13"/>
  <c r="I15" i="13" s="1"/>
  <c r="AB13" i="13"/>
  <c r="AA13" i="13"/>
  <c r="W13" i="13"/>
  <c r="I13" i="13" s="1"/>
  <c r="AB14" i="13"/>
  <c r="AA14" i="13"/>
  <c r="W14" i="13"/>
  <c r="I14" i="13" s="1"/>
  <c r="AB11" i="13"/>
  <c r="AA11" i="13"/>
  <c r="W11" i="13"/>
  <c r="I11" i="13" s="1"/>
  <c r="AB10" i="13"/>
  <c r="AA10" i="13"/>
  <c r="W10" i="13"/>
  <c r="I10" i="13" s="1"/>
  <c r="AB8" i="13"/>
  <c r="AA8" i="13"/>
  <c r="W8" i="13"/>
  <c r="I8" i="13" s="1"/>
  <c r="AB9" i="13"/>
  <c r="AA9" i="13"/>
  <c r="W9" i="13"/>
  <c r="I9" i="13" s="1"/>
  <c r="AB7" i="13"/>
  <c r="AA7" i="13"/>
  <c r="W7" i="13"/>
  <c r="I7" i="13" s="1"/>
  <c r="J7" i="13" s="1"/>
  <c r="AB6" i="13"/>
  <c r="AA6" i="13"/>
  <c r="W6" i="13"/>
  <c r="I6" i="13" s="1"/>
  <c r="W4" i="13"/>
  <c r="I4" i="13" s="1"/>
  <c r="W3" i="13"/>
  <c r="I3" i="13" s="1"/>
  <c r="W2" i="13"/>
  <c r="I2" i="13" s="1"/>
  <c r="D32" i="12"/>
  <c r="F29" i="12"/>
  <c r="D35" i="12"/>
  <c r="AF28" i="12"/>
  <c r="AE28" i="12"/>
  <c r="AB25" i="12"/>
  <c r="AA25" i="12"/>
  <c r="AB24" i="12"/>
  <c r="AA24" i="12"/>
  <c r="AB23" i="12"/>
  <c r="AA23" i="12"/>
  <c r="AB22" i="12"/>
  <c r="AA22" i="12"/>
  <c r="AB20" i="12"/>
  <c r="AA20" i="12"/>
  <c r="W20" i="12"/>
  <c r="I20" i="12" s="1"/>
  <c r="K20" i="12" s="1"/>
  <c r="AB19" i="12"/>
  <c r="AA19" i="12"/>
  <c r="W19" i="12"/>
  <c r="I19" i="12" s="1"/>
  <c r="K19" i="12" s="1"/>
  <c r="I18" i="12"/>
  <c r="AB16" i="12"/>
  <c r="AA16" i="12"/>
  <c r="W16" i="12"/>
  <c r="I16" i="12" s="1"/>
  <c r="J16" i="12" s="1"/>
  <c r="E66" i="35" s="1"/>
  <c r="AB17" i="12"/>
  <c r="AA17" i="12"/>
  <c r="W17" i="12"/>
  <c r="I17" i="12" s="1"/>
  <c r="K17" i="12" s="1"/>
  <c r="F69" i="35" s="1"/>
  <c r="AB15" i="12"/>
  <c r="AA15" i="12"/>
  <c r="W15" i="12"/>
  <c r="I15" i="12" s="1"/>
  <c r="K15" i="12" s="1"/>
  <c r="F67" i="35" s="1"/>
  <c r="AB14" i="12"/>
  <c r="AA14" i="12"/>
  <c r="W14" i="12"/>
  <c r="I14" i="12" s="1"/>
  <c r="J14" i="12" s="1"/>
  <c r="E64" i="35" s="1"/>
  <c r="AB13" i="12"/>
  <c r="AA13" i="12"/>
  <c r="W13" i="12"/>
  <c r="I13" i="12" s="1"/>
  <c r="AB11" i="12"/>
  <c r="AA11" i="12"/>
  <c r="W11" i="12"/>
  <c r="I11" i="12" s="1"/>
  <c r="J11" i="12" s="1"/>
  <c r="AB10" i="12"/>
  <c r="AA10" i="12"/>
  <c r="W10" i="12"/>
  <c r="I10" i="12" s="1"/>
  <c r="K10" i="12" s="1"/>
  <c r="G56" i="36" s="1"/>
  <c r="AB9" i="12"/>
  <c r="AA9" i="12"/>
  <c r="W9" i="12"/>
  <c r="I9" i="12" s="1"/>
  <c r="AB8" i="12"/>
  <c r="AA8" i="12"/>
  <c r="W8" i="12"/>
  <c r="I8" i="12" s="1"/>
  <c r="E54" i="36" s="1"/>
  <c r="AB7" i="12"/>
  <c r="AA7" i="12"/>
  <c r="W7" i="12"/>
  <c r="I7" i="12" s="1"/>
  <c r="AB6" i="12"/>
  <c r="AA6" i="12"/>
  <c r="W6" i="12"/>
  <c r="I6" i="12" s="1"/>
  <c r="K6" i="12" s="1"/>
  <c r="G52" i="36" s="1"/>
  <c r="W4" i="12"/>
  <c r="I4" i="12" s="1"/>
  <c r="AD28" i="12"/>
  <c r="W3" i="12"/>
  <c r="I3" i="12" s="1"/>
  <c r="J3" i="12" s="1"/>
  <c r="K26" i="33" s="1"/>
  <c r="W2" i="12"/>
  <c r="I2" i="12" s="1"/>
  <c r="D32" i="11"/>
  <c r="F29" i="11"/>
  <c r="D35" i="11"/>
  <c r="E35" i="11" s="1"/>
  <c r="AF28" i="11"/>
  <c r="AE28" i="11"/>
  <c r="AB25" i="11"/>
  <c r="AA25" i="11"/>
  <c r="AB24" i="11"/>
  <c r="AA24" i="11"/>
  <c r="AB23" i="11"/>
  <c r="AA23" i="11"/>
  <c r="AB22" i="11"/>
  <c r="AA22" i="11"/>
  <c r="AB20" i="11"/>
  <c r="AA20" i="11"/>
  <c r="W20" i="11"/>
  <c r="AB13" i="11"/>
  <c r="AA13" i="11"/>
  <c r="W13" i="11"/>
  <c r="AB14" i="11"/>
  <c r="AA14" i="11"/>
  <c r="W14" i="11"/>
  <c r="AB11" i="11"/>
  <c r="AA11" i="11"/>
  <c r="W11" i="11"/>
  <c r="AB9" i="11"/>
  <c r="AA9" i="11"/>
  <c r="W9" i="11"/>
  <c r="AB7" i="11"/>
  <c r="AA7" i="11"/>
  <c r="W7" i="11"/>
  <c r="AD28" i="11"/>
  <c r="W3" i="11"/>
  <c r="W2" i="11"/>
  <c r="D32" i="10"/>
  <c r="F29" i="10"/>
  <c r="D35" i="10" s="1"/>
  <c r="AF28" i="10"/>
  <c r="AE28" i="10"/>
  <c r="AB25" i="10"/>
  <c r="AA25" i="10"/>
  <c r="AB24" i="10"/>
  <c r="AA24" i="10"/>
  <c r="AB23" i="10"/>
  <c r="AA23" i="10"/>
  <c r="AB22" i="10"/>
  <c r="AA22" i="10"/>
  <c r="AB20" i="10"/>
  <c r="AA20" i="10"/>
  <c r="W20" i="10"/>
  <c r="AB14" i="10"/>
  <c r="AA14" i="10"/>
  <c r="W14" i="10"/>
  <c r="AB15" i="10"/>
  <c r="AA15" i="10"/>
  <c r="W15" i="10"/>
  <c r="AB16" i="10"/>
  <c r="AA16" i="10"/>
  <c r="W16" i="10"/>
  <c r="AB13" i="10"/>
  <c r="AA13" i="10"/>
  <c r="W13" i="10"/>
  <c r="AB11" i="10"/>
  <c r="AA11" i="10"/>
  <c r="W11" i="10"/>
  <c r="AB10" i="10"/>
  <c r="AA10" i="10"/>
  <c r="AB9" i="10"/>
  <c r="AA9" i="10"/>
  <c r="AB6" i="10"/>
  <c r="AA6" i="10"/>
  <c r="W6" i="10"/>
  <c r="AB7" i="10"/>
  <c r="AA7" i="10"/>
  <c r="AB8" i="10"/>
  <c r="AA8" i="10"/>
  <c r="W8" i="10"/>
  <c r="W4" i="10"/>
  <c r="W3" i="10"/>
  <c r="W2" i="10"/>
  <c r="D32" i="9"/>
  <c r="F29" i="9"/>
  <c r="D35" i="9" s="1"/>
  <c r="AF28" i="9"/>
  <c r="AE28" i="9"/>
  <c r="AB25" i="9"/>
  <c r="AA25" i="9"/>
  <c r="AB23" i="9"/>
  <c r="AA23" i="9"/>
  <c r="AB24" i="9"/>
  <c r="AA24" i="9"/>
  <c r="AB22" i="9"/>
  <c r="AA22" i="9"/>
  <c r="AB20" i="9"/>
  <c r="AA20" i="9"/>
  <c r="W20" i="9"/>
  <c r="AB19" i="9"/>
  <c r="AA19" i="9"/>
  <c r="W19" i="9"/>
  <c r="AB17" i="9"/>
  <c r="AA17" i="9"/>
  <c r="W17" i="9"/>
  <c r="AB15" i="9"/>
  <c r="AA15" i="9"/>
  <c r="W15" i="9"/>
  <c r="W4" i="9"/>
  <c r="AD28" i="9"/>
  <c r="W3" i="9"/>
  <c r="W2" i="9"/>
  <c r="D32" i="8"/>
  <c r="D4" i="8" s="1"/>
  <c r="F29" i="8"/>
  <c r="D35" i="8"/>
  <c r="E35" i="8" s="1"/>
  <c r="AF28" i="8"/>
  <c r="AE28" i="8"/>
  <c r="AB25" i="8"/>
  <c r="AA25" i="8"/>
  <c r="AB23" i="8"/>
  <c r="AA23" i="8"/>
  <c r="AB22" i="8"/>
  <c r="AA22" i="8"/>
  <c r="AB20" i="8"/>
  <c r="AA20" i="8"/>
  <c r="W20" i="8"/>
  <c r="I20" i="8" s="1"/>
  <c r="AB19" i="8"/>
  <c r="AA19" i="8"/>
  <c r="W19" i="8"/>
  <c r="I19" i="8" s="1"/>
  <c r="AB18" i="8"/>
  <c r="AA18" i="8"/>
  <c r="W18" i="8"/>
  <c r="I18" i="8" s="1"/>
  <c r="AB15" i="8"/>
  <c r="AA15" i="8"/>
  <c r="W15" i="8"/>
  <c r="I15" i="8" s="1"/>
  <c r="AB16" i="8"/>
  <c r="AA16" i="8"/>
  <c r="W16" i="8"/>
  <c r="I16" i="8" s="1"/>
  <c r="AB17" i="8"/>
  <c r="AA17" i="8"/>
  <c r="W17" i="8"/>
  <c r="I17" i="8" s="1"/>
  <c r="AB14" i="8"/>
  <c r="AA14" i="8"/>
  <c r="W14" i="8"/>
  <c r="I14" i="8" s="1"/>
  <c r="AB13" i="8"/>
  <c r="AA13" i="8"/>
  <c r="W13" i="8"/>
  <c r="I13" i="8" s="1"/>
  <c r="AB11" i="8"/>
  <c r="AA11" i="8"/>
  <c r="W11" i="8"/>
  <c r="I11" i="8" s="1"/>
  <c r="AB10" i="8"/>
  <c r="AA10" i="8"/>
  <c r="W10" i="8"/>
  <c r="I10" i="8" s="1"/>
  <c r="E36" i="36" s="1"/>
  <c r="AB8" i="8"/>
  <c r="AA8" i="8"/>
  <c r="W8" i="8"/>
  <c r="I8" i="8" s="1"/>
  <c r="AB6" i="8"/>
  <c r="AA6" i="8"/>
  <c r="W6" i="8"/>
  <c r="I6" i="8" s="1"/>
  <c r="W4" i="8"/>
  <c r="I4" i="8" s="1"/>
  <c r="AD28" i="8"/>
  <c r="W3" i="8"/>
  <c r="I3" i="8" s="1"/>
  <c r="W2" i="8"/>
  <c r="I2" i="8" s="1"/>
  <c r="D32" i="7"/>
  <c r="F29" i="7"/>
  <c r="D35" i="7"/>
  <c r="E35" i="7" s="1"/>
  <c r="AF28" i="7"/>
  <c r="AE28" i="7"/>
  <c r="AB25" i="7"/>
  <c r="AA25" i="7"/>
  <c r="AB24" i="7"/>
  <c r="AA24" i="7"/>
  <c r="AB22" i="7"/>
  <c r="AA22" i="7"/>
  <c r="AB23" i="7"/>
  <c r="AA23" i="7"/>
  <c r="AB20" i="7"/>
  <c r="AA20" i="7"/>
  <c r="W20" i="7"/>
  <c r="AB19" i="7"/>
  <c r="AA19" i="7"/>
  <c r="W19" i="7"/>
  <c r="I19" i="7" s="1"/>
  <c r="AB18" i="7"/>
  <c r="AA18" i="7"/>
  <c r="W18" i="7"/>
  <c r="I18" i="7" s="1"/>
  <c r="J18" i="7" s="1"/>
  <c r="E39" i="35" s="1"/>
  <c r="AB15" i="7"/>
  <c r="AA15" i="7"/>
  <c r="W15" i="7"/>
  <c r="I15" i="7" s="1"/>
  <c r="AB14" i="7"/>
  <c r="AA14" i="7"/>
  <c r="W14" i="7"/>
  <c r="I14" i="7" s="1"/>
  <c r="AB13" i="7"/>
  <c r="AA13" i="7"/>
  <c r="W13" i="7"/>
  <c r="I13" i="7" s="1"/>
  <c r="J13" i="7" s="1"/>
  <c r="AB11" i="7"/>
  <c r="AA11" i="7"/>
  <c r="W11" i="7"/>
  <c r="I11" i="7" s="1"/>
  <c r="AB10" i="7"/>
  <c r="AA10" i="7"/>
  <c r="W10" i="7"/>
  <c r="I10" i="7" s="1"/>
  <c r="J10" i="7" s="1"/>
  <c r="F31" i="36" s="1"/>
  <c r="AB9" i="7"/>
  <c r="AA9" i="7"/>
  <c r="W9" i="7"/>
  <c r="I9" i="7" s="1"/>
  <c r="AB7" i="7"/>
  <c r="AA7" i="7"/>
  <c r="W7" i="7"/>
  <c r="I7" i="7" s="1"/>
  <c r="AB8" i="7"/>
  <c r="AA8" i="7"/>
  <c r="W8" i="7"/>
  <c r="I8" i="7" s="1"/>
  <c r="J8" i="7" s="1"/>
  <c r="AB6" i="7"/>
  <c r="AA6" i="7"/>
  <c r="W6" i="7"/>
  <c r="I6" i="7" s="1"/>
  <c r="E27" i="36" s="1"/>
  <c r="W4" i="7"/>
  <c r="I4" i="7" s="1"/>
  <c r="K4" i="7" s="1"/>
  <c r="AD28" i="7"/>
  <c r="W3" i="7"/>
  <c r="I3" i="7" s="1"/>
  <c r="K3" i="7" s="1"/>
  <c r="L15" i="33" s="1"/>
  <c r="W2" i="7"/>
  <c r="I2" i="7" s="1"/>
  <c r="D32" i="1"/>
  <c r="F29" i="1"/>
  <c r="D35" i="1"/>
  <c r="E35" i="1" s="1"/>
  <c r="AF28" i="1"/>
  <c r="AE28" i="1"/>
  <c r="AD28" i="1"/>
  <c r="AB25" i="1"/>
  <c r="AA25" i="1"/>
  <c r="AB22" i="1"/>
  <c r="AA22" i="1"/>
  <c r="AB24" i="1"/>
  <c r="AA24" i="1"/>
  <c r="AB23" i="1"/>
  <c r="AA23" i="1"/>
  <c r="AB20" i="1"/>
  <c r="AA20" i="1"/>
  <c r="W20" i="1"/>
  <c r="I20" i="1" s="1"/>
  <c r="K20" i="1" s="1"/>
  <c r="AB16" i="1"/>
  <c r="AA16" i="1"/>
  <c r="W16" i="1"/>
  <c r="I16" i="1" s="1"/>
  <c r="AB13" i="1"/>
  <c r="AA13" i="1"/>
  <c r="W13" i="1"/>
  <c r="I13" i="1" s="1"/>
  <c r="J13" i="1" s="1"/>
  <c r="E27" i="35" s="1"/>
  <c r="AB11" i="1"/>
  <c r="AA11" i="1"/>
  <c r="W11" i="1"/>
  <c r="I11" i="1" s="1"/>
  <c r="AB10" i="1"/>
  <c r="AA10" i="1"/>
  <c r="W10" i="1"/>
  <c r="I10" i="1" s="1"/>
  <c r="AB7" i="1"/>
  <c r="AA7" i="1"/>
  <c r="W7" i="1"/>
  <c r="I7" i="1" s="1"/>
  <c r="J7" i="1" s="1"/>
  <c r="F23" i="36" s="1"/>
  <c r="AB6" i="1"/>
  <c r="AA6" i="1"/>
  <c r="W6" i="1"/>
  <c r="I6" i="1" s="1"/>
  <c r="W4" i="1"/>
  <c r="I4" i="1" s="1"/>
  <c r="J13" i="33" s="1"/>
  <c r="W3" i="1"/>
  <c r="I3" i="1" s="1"/>
  <c r="W2" i="1"/>
  <c r="I2" i="1" s="1"/>
  <c r="K2" i="1" s="1"/>
  <c r="D32" i="6"/>
  <c r="F29" i="6"/>
  <c r="D35" i="6"/>
  <c r="E35" i="6" s="1"/>
  <c r="AF28" i="6"/>
  <c r="AE28" i="6"/>
  <c r="AB25" i="6"/>
  <c r="AA25" i="6"/>
  <c r="AB24" i="6"/>
  <c r="AA24" i="6"/>
  <c r="AB23" i="6"/>
  <c r="AA23" i="6"/>
  <c r="AB22" i="6"/>
  <c r="AA22" i="6"/>
  <c r="AB20" i="6"/>
  <c r="AA20" i="6"/>
  <c r="W20" i="6"/>
  <c r="I20" i="6" s="1"/>
  <c r="AB19" i="6"/>
  <c r="AA19" i="6"/>
  <c r="W19" i="6"/>
  <c r="I19" i="6" s="1"/>
  <c r="AB15" i="6"/>
  <c r="AA15" i="6"/>
  <c r="W15" i="6"/>
  <c r="I15" i="6" s="1"/>
  <c r="AB17" i="6"/>
  <c r="AA17" i="6"/>
  <c r="W17" i="6"/>
  <c r="I17" i="6" s="1"/>
  <c r="J17" i="6" s="1"/>
  <c r="E24" i="35" s="1"/>
  <c r="AB11" i="6"/>
  <c r="AA11" i="6"/>
  <c r="W11" i="6"/>
  <c r="I11" i="6" s="1"/>
  <c r="AB10" i="6"/>
  <c r="AA10" i="6"/>
  <c r="W10" i="6"/>
  <c r="I10" i="6" s="1"/>
  <c r="AB9" i="6"/>
  <c r="AA9" i="6"/>
  <c r="W9" i="6"/>
  <c r="I9" i="6" s="1"/>
  <c r="E20" i="36" s="1"/>
  <c r="AB8" i="6"/>
  <c r="AA8" i="6"/>
  <c r="W8" i="6"/>
  <c r="I8" i="6" s="1"/>
  <c r="AB7" i="6"/>
  <c r="AA7" i="6"/>
  <c r="W7" i="6"/>
  <c r="I7" i="6" s="1"/>
  <c r="K7" i="6" s="1"/>
  <c r="AB6" i="6"/>
  <c r="AA6" i="6"/>
  <c r="W6" i="6"/>
  <c r="I6" i="6" s="1"/>
  <c r="W4" i="6"/>
  <c r="I4" i="6" s="1"/>
  <c r="K4" i="6" s="1"/>
  <c r="AD28" i="6"/>
  <c r="W3" i="6"/>
  <c r="I3" i="6" s="1"/>
  <c r="J10" i="33" s="1"/>
  <c r="W2" i="6"/>
  <c r="I2" i="6" s="1"/>
  <c r="J9" i="33" s="1"/>
  <c r="D32" i="5"/>
  <c r="D4" i="5" s="1"/>
  <c r="F29" i="5"/>
  <c r="D35" i="5" s="1"/>
  <c r="AF28" i="5"/>
  <c r="AE28" i="5"/>
  <c r="AB25" i="5"/>
  <c r="AA25" i="5"/>
  <c r="AB24" i="5"/>
  <c r="AA24" i="5"/>
  <c r="AA23" i="5"/>
  <c r="AA22" i="5"/>
  <c r="AB20" i="5"/>
  <c r="AA20" i="5"/>
  <c r="W20" i="5"/>
  <c r="AB19" i="5"/>
  <c r="AA19" i="5"/>
  <c r="W19" i="5"/>
  <c r="AB18" i="5"/>
  <c r="AA18" i="5"/>
  <c r="W18" i="5"/>
  <c r="AB15" i="5"/>
  <c r="AA15" i="5"/>
  <c r="W15" i="5"/>
  <c r="AB16" i="5"/>
  <c r="AA16" i="5"/>
  <c r="W16" i="5"/>
  <c r="AB17" i="5"/>
  <c r="AA17" i="5"/>
  <c r="W17" i="5"/>
  <c r="AB14" i="5"/>
  <c r="AA14" i="5"/>
  <c r="W14" i="5"/>
  <c r="AB13" i="5"/>
  <c r="AA13" i="5"/>
  <c r="W13" i="5"/>
  <c r="AB11" i="5"/>
  <c r="AA11" i="5"/>
  <c r="W11" i="5"/>
  <c r="AB10" i="5"/>
  <c r="AA10" i="5"/>
  <c r="W10" i="5"/>
  <c r="AB9" i="5"/>
  <c r="AA9" i="5"/>
  <c r="W9" i="5"/>
  <c r="AB8" i="5"/>
  <c r="AA8" i="5"/>
  <c r="W8" i="5"/>
  <c r="AB7" i="5"/>
  <c r="AA7" i="5"/>
  <c r="W7" i="5"/>
  <c r="AB6" i="5"/>
  <c r="AA6" i="5"/>
  <c r="W6" i="5"/>
  <c r="W4" i="5"/>
  <c r="AD28" i="5"/>
  <c r="W3" i="5"/>
  <c r="W2" i="5"/>
  <c r="D32" i="4"/>
  <c r="F29" i="4"/>
  <c r="D35" i="4"/>
  <c r="AF28" i="4"/>
  <c r="AE28" i="4"/>
  <c r="AB25" i="4"/>
  <c r="AA25" i="4"/>
  <c r="AB23" i="4"/>
  <c r="AA23" i="4"/>
  <c r="AB24" i="4"/>
  <c r="AA24" i="4"/>
  <c r="AB22" i="4"/>
  <c r="AB20" i="4"/>
  <c r="AA20" i="4"/>
  <c r="W20" i="4"/>
  <c r="I20" i="4" s="1"/>
  <c r="J20" i="4" s="1"/>
  <c r="AB19" i="4"/>
  <c r="AA19" i="4"/>
  <c r="W19" i="4"/>
  <c r="I19" i="4" s="1"/>
  <c r="J19" i="4" s="1"/>
  <c r="AB18" i="4"/>
  <c r="AA18" i="4"/>
  <c r="W18" i="4"/>
  <c r="I18" i="4" s="1"/>
  <c r="J18" i="4" s="1"/>
  <c r="E13" i="35" s="1"/>
  <c r="AB17" i="4"/>
  <c r="AA17" i="4"/>
  <c r="W17" i="4"/>
  <c r="I17" i="4" s="1"/>
  <c r="AB14" i="4"/>
  <c r="AA14" i="4"/>
  <c r="W14" i="4"/>
  <c r="I14" i="4" s="1"/>
  <c r="AB15" i="4"/>
  <c r="AA15" i="4"/>
  <c r="W15" i="4"/>
  <c r="I15" i="4" s="1"/>
  <c r="J15" i="4" s="1"/>
  <c r="AB16" i="4"/>
  <c r="AA16" i="4"/>
  <c r="W16" i="4"/>
  <c r="I16" i="4" s="1"/>
  <c r="AB13" i="4"/>
  <c r="W13" i="4"/>
  <c r="I13" i="4" s="1"/>
  <c r="AB11" i="4"/>
  <c r="AA11" i="4"/>
  <c r="W11" i="4"/>
  <c r="I11" i="4" s="1"/>
  <c r="K11" i="4" s="1"/>
  <c r="AB10" i="4"/>
  <c r="AA10" i="4"/>
  <c r="W10" i="4"/>
  <c r="I10" i="4" s="1"/>
  <c r="AB9" i="4"/>
  <c r="AA9" i="4"/>
  <c r="W9" i="4"/>
  <c r="I9" i="4" s="1"/>
  <c r="AB8" i="4"/>
  <c r="W8" i="4"/>
  <c r="I8" i="4" s="1"/>
  <c r="AB7" i="4"/>
  <c r="AA7" i="4"/>
  <c r="W7" i="4"/>
  <c r="I7" i="4" s="1"/>
  <c r="J7" i="4" s="1"/>
  <c r="F8" i="36" s="1"/>
  <c r="U49" i="58" s="1"/>
  <c r="AB6" i="4"/>
  <c r="AA6" i="4"/>
  <c r="W6" i="4"/>
  <c r="I6" i="4" s="1"/>
  <c r="W4" i="4"/>
  <c r="I4" i="4" s="1"/>
  <c r="W2" i="4"/>
  <c r="I2" i="4" s="1"/>
  <c r="D32" i="32"/>
  <c r="AE28" i="32"/>
  <c r="AD28" i="32"/>
  <c r="AB25" i="32"/>
  <c r="AA25" i="32"/>
  <c r="AB24" i="32"/>
  <c r="AA24" i="32"/>
  <c r="AB22" i="32"/>
  <c r="AA22" i="32"/>
  <c r="AB20" i="32"/>
  <c r="AA20" i="32"/>
  <c r="W20" i="32"/>
  <c r="AB19" i="32"/>
  <c r="AA19" i="32"/>
  <c r="W19" i="32"/>
  <c r="AB14" i="32"/>
  <c r="AA14" i="32"/>
  <c r="W14" i="32"/>
  <c r="AB13" i="32"/>
  <c r="AA13" i="32"/>
  <c r="W13" i="32"/>
  <c r="AB11" i="32"/>
  <c r="AA11" i="32"/>
  <c r="W11" i="32"/>
  <c r="AB10" i="32"/>
  <c r="AA10" i="32"/>
  <c r="AB8" i="32"/>
  <c r="AA8" i="32"/>
  <c r="AB7" i="32"/>
  <c r="AA7" i="32"/>
  <c r="W7" i="32"/>
  <c r="AB6" i="32"/>
  <c r="AA6" i="32"/>
  <c r="W6" i="32"/>
  <c r="W4" i="32"/>
  <c r="W3" i="32"/>
  <c r="W2" i="32"/>
  <c r="B102" i="35"/>
  <c r="AD2" i="48"/>
  <c r="B68" i="33"/>
  <c r="B73" i="33"/>
  <c r="B49" i="33"/>
  <c r="B58" i="33"/>
  <c r="B76" i="33"/>
  <c r="B199" i="35"/>
  <c r="B200" i="35"/>
  <c r="B201" i="35"/>
  <c r="B202" i="35"/>
  <c r="B203" i="35"/>
  <c r="B192" i="35"/>
  <c r="B193" i="35"/>
  <c r="B194" i="35"/>
  <c r="B195" i="35"/>
  <c r="B196" i="35"/>
  <c r="B180" i="35"/>
  <c r="B181" i="35"/>
  <c r="B182" i="35"/>
  <c r="B183" i="35"/>
  <c r="B175" i="35"/>
  <c r="B176" i="35"/>
  <c r="B177" i="35"/>
  <c r="B169" i="35"/>
  <c r="B170" i="35"/>
  <c r="B171" i="35"/>
  <c r="B172" i="35"/>
  <c r="B156" i="35"/>
  <c r="B157" i="35"/>
  <c r="B158" i="35"/>
  <c r="D158" i="35"/>
  <c r="B159" i="35"/>
  <c r="B160" i="35"/>
  <c r="D160" i="35"/>
  <c r="B153" i="35"/>
  <c r="B149" i="35"/>
  <c r="B150" i="35"/>
  <c r="B151" i="35"/>
  <c r="B152" i="35"/>
  <c r="B137" i="35"/>
  <c r="B138" i="35"/>
  <c r="B139" i="35"/>
  <c r="B140" i="35"/>
  <c r="D140" i="35"/>
  <c r="B131" i="35"/>
  <c r="D131" i="35"/>
  <c r="B132" i="35"/>
  <c r="D132" i="35"/>
  <c r="B133" i="35"/>
  <c r="D133" i="35"/>
  <c r="B134" i="35"/>
  <c r="D134" i="35"/>
  <c r="B127" i="35"/>
  <c r="B128" i="35"/>
  <c r="B120" i="35"/>
  <c r="D120" i="35"/>
  <c r="B121" i="35"/>
  <c r="D121" i="35"/>
  <c r="B114" i="35"/>
  <c r="B115" i="35"/>
  <c r="B112" i="35"/>
  <c r="B113" i="35"/>
  <c r="B105" i="35"/>
  <c r="B106" i="35"/>
  <c r="B107" i="35"/>
  <c r="B108" i="35"/>
  <c r="B109" i="35"/>
  <c r="B99" i="35"/>
  <c r="B100" i="35"/>
  <c r="B101" i="35"/>
  <c r="B92" i="35"/>
  <c r="B93" i="35"/>
  <c r="B94" i="35"/>
  <c r="B95" i="35"/>
  <c r="B96" i="35"/>
  <c r="B86" i="35"/>
  <c r="B87" i="35"/>
  <c r="B88" i="35"/>
  <c r="B89" i="35"/>
  <c r="B85" i="35"/>
  <c r="B84" i="35"/>
  <c r="B79" i="35"/>
  <c r="B80" i="35"/>
  <c r="B81" i="35"/>
  <c r="D81" i="35"/>
  <c r="B82" i="35"/>
  <c r="D82" i="35"/>
  <c r="B83" i="35"/>
  <c r="D83" i="35"/>
  <c r="B72" i="35"/>
  <c r="B73" i="35"/>
  <c r="B74" i="35"/>
  <c r="B75" i="35"/>
  <c r="B76" i="35"/>
  <c r="B71" i="35"/>
  <c r="B66" i="35"/>
  <c r="B67" i="35"/>
  <c r="B68" i="35"/>
  <c r="B69" i="35"/>
  <c r="B60" i="35"/>
  <c r="D60" i="35"/>
  <c r="B61" i="35"/>
  <c r="D61" i="35"/>
  <c r="B62" i="35"/>
  <c r="D62" i="35"/>
  <c r="B63" i="35"/>
  <c r="D63" i="35"/>
  <c r="D122" i="35"/>
  <c r="D57" i="35"/>
  <c r="D56" i="35"/>
  <c r="D51" i="35"/>
  <c r="D49" i="35"/>
  <c r="D48" i="35"/>
  <c r="D33" i="35"/>
  <c r="D31" i="35"/>
  <c r="D30" i="35"/>
  <c r="D29" i="35"/>
  <c r="B54" i="35"/>
  <c r="B55" i="35"/>
  <c r="B56" i="35"/>
  <c r="B57" i="35"/>
  <c r="B48" i="35"/>
  <c r="B49" i="35"/>
  <c r="B50" i="35"/>
  <c r="B51" i="35"/>
  <c r="B43" i="35"/>
  <c r="B44" i="35"/>
  <c r="B45" i="35"/>
  <c r="B36" i="35"/>
  <c r="B37" i="35"/>
  <c r="B38" i="35"/>
  <c r="B39" i="35"/>
  <c r="B40" i="35"/>
  <c r="B29" i="35"/>
  <c r="B30" i="35"/>
  <c r="B31" i="35"/>
  <c r="B32" i="35"/>
  <c r="B33" i="35"/>
  <c r="B22" i="35"/>
  <c r="B23" i="35"/>
  <c r="B24" i="35"/>
  <c r="B25" i="35"/>
  <c r="B26" i="35"/>
  <c r="B16" i="35"/>
  <c r="B17" i="35"/>
  <c r="B18" i="35"/>
  <c r="B19" i="35"/>
  <c r="B10" i="35"/>
  <c r="B11" i="35"/>
  <c r="B12" i="35"/>
  <c r="B13" i="35"/>
  <c r="B4" i="35"/>
  <c r="B5" i="35"/>
  <c r="B6" i="35"/>
  <c r="B7" i="35"/>
  <c r="B198" i="35"/>
  <c r="B197" i="35"/>
  <c r="B191" i="35"/>
  <c r="B190" i="35"/>
  <c r="B179" i="35"/>
  <c r="B178" i="35"/>
  <c r="B174" i="35"/>
  <c r="B173" i="35"/>
  <c r="B168" i="35"/>
  <c r="B167" i="35"/>
  <c r="B162" i="35"/>
  <c r="B161" i="35"/>
  <c r="B155" i="35"/>
  <c r="B154" i="35"/>
  <c r="B148" i="35"/>
  <c r="B147" i="35"/>
  <c r="B141" i="35"/>
  <c r="B136" i="35"/>
  <c r="B135" i="35"/>
  <c r="B130" i="35"/>
  <c r="B129" i="35"/>
  <c r="B126" i="35"/>
  <c r="B125" i="35"/>
  <c r="B124" i="35"/>
  <c r="B123" i="35"/>
  <c r="B122" i="35"/>
  <c r="B119" i="35"/>
  <c r="B118" i="35"/>
  <c r="B117" i="35"/>
  <c r="B116" i="35"/>
  <c r="B111" i="35"/>
  <c r="B110" i="35"/>
  <c r="B104" i="35"/>
  <c r="B103" i="35"/>
  <c r="B98" i="35"/>
  <c r="B97" i="35"/>
  <c r="B91" i="35"/>
  <c r="B90" i="35"/>
  <c r="B78" i="35"/>
  <c r="B77" i="35"/>
  <c r="B70" i="35"/>
  <c r="B65" i="35"/>
  <c r="B64" i="35"/>
  <c r="B59" i="35"/>
  <c r="B58" i="35"/>
  <c r="B53" i="35"/>
  <c r="B52" i="35"/>
  <c r="B47" i="35"/>
  <c r="B46" i="35"/>
  <c r="B42" i="35"/>
  <c r="B41" i="35"/>
  <c r="B35" i="35"/>
  <c r="B34" i="35"/>
  <c r="B28" i="35"/>
  <c r="B27" i="35"/>
  <c r="B21" i="35"/>
  <c r="B20" i="35"/>
  <c r="B15" i="35"/>
  <c r="B14" i="35"/>
  <c r="B9" i="35"/>
  <c r="B8" i="35"/>
  <c r="B3" i="35"/>
  <c r="A3" i="35" s="1"/>
  <c r="AN104" i="47" s="1"/>
  <c r="B2" i="35"/>
  <c r="B13" i="33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64" i="55"/>
  <c r="B65" i="55"/>
  <c r="B66" i="55"/>
  <c r="B67" i="55"/>
  <c r="B68" i="55"/>
  <c r="B69" i="55"/>
  <c r="B70" i="55"/>
  <c r="B71" i="55"/>
  <c r="B72" i="55"/>
  <c r="B73" i="55"/>
  <c r="B74" i="55"/>
  <c r="B75" i="55"/>
  <c r="B76" i="55"/>
  <c r="B77" i="55"/>
  <c r="B78" i="55"/>
  <c r="B79" i="55"/>
  <c r="B80" i="55"/>
  <c r="AD8" i="48"/>
  <c r="AN103" i="47"/>
  <c r="AN3" i="47"/>
  <c r="B161" i="36"/>
  <c r="D160" i="36"/>
  <c r="B160" i="36"/>
  <c r="D159" i="36"/>
  <c r="B159" i="36"/>
  <c r="D158" i="36"/>
  <c r="B158" i="36"/>
  <c r="D157" i="36"/>
  <c r="B157" i="36"/>
  <c r="B156" i="36"/>
  <c r="B155" i="36"/>
  <c r="B154" i="36"/>
  <c r="B153" i="36"/>
  <c r="B152" i="36"/>
  <c r="B151" i="36"/>
  <c r="B150" i="36"/>
  <c r="B149" i="36"/>
  <c r="B148" i="36"/>
  <c r="B147" i="36"/>
  <c r="D146" i="36"/>
  <c r="B146" i="36"/>
  <c r="D145" i="36"/>
  <c r="B145" i="36"/>
  <c r="B144" i="36"/>
  <c r="D143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D40" i="36"/>
  <c r="B40" i="36"/>
  <c r="D39" i="36"/>
  <c r="B39" i="36"/>
  <c r="D38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9" i="36"/>
  <c r="B8" i="36"/>
  <c r="B7" i="36"/>
  <c r="B10" i="36"/>
  <c r="B11" i="36"/>
  <c r="B2" i="36"/>
  <c r="J3" i="47"/>
  <c r="B3" i="36"/>
  <c r="A3" i="36" s="1"/>
  <c r="B4" i="36"/>
  <c r="B5" i="36"/>
  <c r="B6" i="36"/>
  <c r="Y3" i="47"/>
  <c r="R3" i="47"/>
  <c r="D3" i="47"/>
  <c r="AD7" i="48"/>
  <c r="AJ3" i="48"/>
  <c r="AJ4" i="48"/>
  <c r="AJ5" i="48"/>
  <c r="AJ6" i="48"/>
  <c r="AJ7" i="48"/>
  <c r="AJ8" i="48"/>
  <c r="AJ9" i="48"/>
  <c r="AJ10" i="48"/>
  <c r="AJ11" i="48"/>
  <c r="AJ12" i="48"/>
  <c r="AJ13" i="48"/>
  <c r="AJ14" i="48"/>
  <c r="AJ15" i="48"/>
  <c r="AJ16" i="48"/>
  <c r="AJ17" i="48"/>
  <c r="AJ18" i="48"/>
  <c r="AJ19" i="48"/>
  <c r="AJ20" i="48"/>
  <c r="AJ21" i="48"/>
  <c r="AJ22" i="48"/>
  <c r="AJ23" i="48"/>
  <c r="AJ24" i="48"/>
  <c r="AJ25" i="48"/>
  <c r="AJ26" i="48"/>
  <c r="AJ27" i="48"/>
  <c r="AJ28" i="48"/>
  <c r="AJ29" i="48"/>
  <c r="AJ30" i="48"/>
  <c r="AJ31" i="48"/>
  <c r="AJ32" i="48"/>
  <c r="AJ33" i="48"/>
  <c r="AJ34" i="48"/>
  <c r="AJ35" i="48"/>
  <c r="AJ36" i="48"/>
  <c r="AJ37" i="48"/>
  <c r="AJ38" i="48"/>
  <c r="AJ39" i="48"/>
  <c r="AJ40" i="48"/>
  <c r="AJ41" i="48"/>
  <c r="AJ42" i="48"/>
  <c r="AJ43" i="48"/>
  <c r="AJ44" i="48"/>
  <c r="AJ45" i="48"/>
  <c r="AJ46" i="48"/>
  <c r="AJ47" i="48"/>
  <c r="AJ48" i="48"/>
  <c r="AJ49" i="48"/>
  <c r="AJ50" i="48"/>
  <c r="AJ51" i="48"/>
  <c r="AJ52" i="48"/>
  <c r="AJ53" i="48"/>
  <c r="AJ54" i="48"/>
  <c r="AJ55" i="48"/>
  <c r="AJ56" i="48"/>
  <c r="AJ57" i="48"/>
  <c r="AJ58" i="48"/>
  <c r="AJ59" i="48"/>
  <c r="AJ60" i="48"/>
  <c r="AJ61" i="48"/>
  <c r="AJ62" i="48"/>
  <c r="AJ63" i="48"/>
  <c r="AJ64" i="48"/>
  <c r="AJ65" i="48"/>
  <c r="AJ66" i="48"/>
  <c r="AJ67" i="48"/>
  <c r="AJ68" i="48"/>
  <c r="AJ69" i="48"/>
  <c r="AJ70" i="48"/>
  <c r="AJ71" i="48"/>
  <c r="AJ72" i="48"/>
  <c r="AJ73" i="48"/>
  <c r="AJ74" i="48"/>
  <c r="AJ75" i="48"/>
  <c r="AJ76" i="48"/>
  <c r="AJ77" i="48"/>
  <c r="AJ78" i="48"/>
  <c r="AJ79" i="48"/>
  <c r="AJ80" i="48"/>
  <c r="AJ81" i="48"/>
  <c r="AJ82" i="48"/>
  <c r="AJ83" i="48"/>
  <c r="AJ84" i="48"/>
  <c r="AJ85" i="48"/>
  <c r="AJ86" i="48"/>
  <c r="AJ87" i="48"/>
  <c r="AJ88" i="48"/>
  <c r="AJ89" i="48"/>
  <c r="AJ90" i="48"/>
  <c r="AJ91" i="48"/>
  <c r="AJ92" i="48"/>
  <c r="AJ93" i="48"/>
  <c r="AJ94" i="48"/>
  <c r="AJ95" i="48"/>
  <c r="AJ96" i="48"/>
  <c r="AJ97" i="48"/>
  <c r="AJ98" i="48"/>
  <c r="AJ99" i="48"/>
  <c r="AJ100" i="48"/>
  <c r="AJ101" i="48"/>
  <c r="AJ102" i="48"/>
  <c r="AJ103" i="48"/>
  <c r="AJ104" i="48"/>
  <c r="AJ105" i="48"/>
  <c r="AJ106" i="48"/>
  <c r="AJ107" i="48"/>
  <c r="AJ108" i="48"/>
  <c r="AJ109" i="48"/>
  <c r="AJ110" i="48"/>
  <c r="AJ111" i="48"/>
  <c r="AJ112" i="48"/>
  <c r="AJ113" i="48"/>
  <c r="AJ114" i="48"/>
  <c r="AJ115" i="48"/>
  <c r="AJ116" i="48"/>
  <c r="AJ117" i="48"/>
  <c r="AJ118" i="48"/>
  <c r="AJ119" i="48"/>
  <c r="AJ120" i="48"/>
  <c r="AJ121" i="48"/>
  <c r="AJ122" i="48"/>
  <c r="AJ123" i="48"/>
  <c r="AJ124" i="48"/>
  <c r="AJ125" i="48"/>
  <c r="AJ126" i="48"/>
  <c r="AJ127" i="48"/>
  <c r="AJ128" i="48"/>
  <c r="AJ129" i="48"/>
  <c r="AJ130" i="48"/>
  <c r="AJ131" i="48"/>
  <c r="AJ132" i="48"/>
  <c r="AJ133" i="48"/>
  <c r="AJ134" i="48"/>
  <c r="AJ135" i="48"/>
  <c r="AJ136" i="48"/>
  <c r="AJ137" i="48"/>
  <c r="AJ138" i="48"/>
  <c r="AJ139" i="48"/>
  <c r="AJ140" i="48"/>
  <c r="AJ141" i="48"/>
  <c r="AJ142" i="48"/>
  <c r="AJ143" i="48"/>
  <c r="AJ144" i="48"/>
  <c r="AJ145" i="48"/>
  <c r="AJ146" i="48"/>
  <c r="AJ147" i="48"/>
  <c r="AJ148" i="48"/>
  <c r="AJ149" i="48"/>
  <c r="AJ150" i="48"/>
  <c r="AJ151" i="48"/>
  <c r="AJ152" i="48"/>
  <c r="AJ153" i="48"/>
  <c r="AJ154" i="48"/>
  <c r="AJ155" i="48"/>
  <c r="AJ156" i="48"/>
  <c r="AJ157" i="48"/>
  <c r="AJ158" i="48"/>
  <c r="AJ159" i="48"/>
  <c r="AJ160" i="48"/>
  <c r="AJ161" i="48"/>
  <c r="AJ162" i="48"/>
  <c r="AJ163" i="48"/>
  <c r="AJ164" i="48"/>
  <c r="AJ165" i="48"/>
  <c r="AJ166" i="48"/>
  <c r="AJ167" i="48"/>
  <c r="AJ168" i="48"/>
  <c r="AJ169" i="48"/>
  <c r="AJ170" i="48"/>
  <c r="AJ171" i="48"/>
  <c r="AJ172" i="48"/>
  <c r="AJ173" i="48"/>
  <c r="AJ174" i="48"/>
  <c r="AJ175" i="48"/>
  <c r="AJ176" i="48"/>
  <c r="AJ177" i="48"/>
  <c r="AJ178" i="48"/>
  <c r="AJ179" i="48"/>
  <c r="AJ180" i="48"/>
  <c r="AJ181" i="48"/>
  <c r="AJ182" i="48"/>
  <c r="AJ183" i="48"/>
  <c r="AJ184" i="48"/>
  <c r="AJ185" i="48"/>
  <c r="AJ186" i="48"/>
  <c r="AJ187" i="48"/>
  <c r="AJ188" i="48"/>
  <c r="AJ189" i="48"/>
  <c r="AJ190" i="48"/>
  <c r="AJ191" i="48"/>
  <c r="AJ192" i="48"/>
  <c r="AJ193" i="48"/>
  <c r="AJ194" i="48"/>
  <c r="AJ195" i="48"/>
  <c r="AJ196" i="48"/>
  <c r="AJ197" i="48"/>
  <c r="AJ198" i="48"/>
  <c r="AJ199" i="48"/>
  <c r="AJ200" i="48"/>
  <c r="AJ201" i="48"/>
  <c r="AJ202" i="48"/>
  <c r="AJ203" i="48"/>
  <c r="AJ204" i="48"/>
  <c r="AJ205" i="48"/>
  <c r="AJ206" i="48"/>
  <c r="AJ207" i="48"/>
  <c r="AJ208" i="48"/>
  <c r="AJ209" i="48"/>
  <c r="AJ210" i="48"/>
  <c r="AJ211" i="48"/>
  <c r="AJ212" i="48"/>
  <c r="AJ213" i="48"/>
  <c r="AJ214" i="48"/>
  <c r="AJ215" i="48"/>
  <c r="AJ216" i="48"/>
  <c r="AJ217" i="48"/>
  <c r="AJ218" i="48"/>
  <c r="AJ219" i="48"/>
  <c r="AJ220" i="48"/>
  <c r="AJ221" i="48"/>
  <c r="AJ222" i="48"/>
  <c r="AJ223" i="48"/>
  <c r="AJ224" i="48"/>
  <c r="AJ225" i="48"/>
  <c r="AJ226" i="48"/>
  <c r="AJ227" i="48"/>
  <c r="AJ228" i="48"/>
  <c r="AJ229" i="48"/>
  <c r="AJ230" i="48"/>
  <c r="AJ231" i="48"/>
  <c r="AJ232" i="48"/>
  <c r="AJ233" i="48"/>
  <c r="AJ234" i="48"/>
  <c r="AJ235" i="48"/>
  <c r="AJ236" i="48"/>
  <c r="AJ237" i="48"/>
  <c r="AJ238" i="48"/>
  <c r="AJ239" i="48"/>
  <c r="AJ240" i="48"/>
  <c r="AJ241" i="48"/>
  <c r="AJ242" i="48"/>
  <c r="AJ243" i="48"/>
  <c r="AJ244" i="48"/>
  <c r="AJ245" i="48"/>
  <c r="AJ246" i="48"/>
  <c r="AJ247" i="48"/>
  <c r="AJ248" i="48"/>
  <c r="AJ249" i="48"/>
  <c r="AJ250" i="48"/>
  <c r="AJ251" i="48"/>
  <c r="AJ252" i="48"/>
  <c r="AJ253" i="48"/>
  <c r="AJ254" i="48"/>
  <c r="AJ255" i="48"/>
  <c r="AJ256" i="48"/>
  <c r="AJ257" i="48"/>
  <c r="AJ258" i="48"/>
  <c r="AJ259" i="48"/>
  <c r="AJ260" i="48"/>
  <c r="AJ261" i="48"/>
  <c r="AJ262" i="48"/>
  <c r="AJ263" i="48"/>
  <c r="AJ264" i="48"/>
  <c r="AJ265" i="48"/>
  <c r="AJ266" i="48"/>
  <c r="AJ267" i="48"/>
  <c r="AJ268" i="48"/>
  <c r="AJ269" i="48"/>
  <c r="AJ270" i="48"/>
  <c r="AJ271" i="48"/>
  <c r="AJ272" i="48"/>
  <c r="AJ273" i="48"/>
  <c r="AJ274" i="48"/>
  <c r="AJ275" i="48"/>
  <c r="AJ276" i="48"/>
  <c r="AJ277" i="48"/>
  <c r="AJ278" i="48"/>
  <c r="AJ279" i="48"/>
  <c r="AJ280" i="48"/>
  <c r="AJ281" i="48"/>
  <c r="AJ282" i="48"/>
  <c r="AJ283" i="48"/>
  <c r="AJ284" i="48"/>
  <c r="AJ285" i="48"/>
  <c r="AJ286" i="48"/>
  <c r="AJ287" i="48"/>
  <c r="AJ288" i="48"/>
  <c r="AJ289" i="48"/>
  <c r="AJ290" i="48"/>
  <c r="AJ291" i="48"/>
  <c r="AJ292" i="48"/>
  <c r="AJ293" i="48"/>
  <c r="AJ294" i="48"/>
  <c r="AJ295" i="48"/>
  <c r="AJ296" i="48"/>
  <c r="AJ297" i="48"/>
  <c r="AJ298" i="48"/>
  <c r="AJ299" i="48"/>
  <c r="AJ300" i="48"/>
  <c r="AJ301" i="48"/>
  <c r="C33" i="46"/>
  <c r="AF34" i="47"/>
  <c r="B33" i="46"/>
  <c r="AE34" i="47"/>
  <c r="C32" i="46"/>
  <c r="AF33" i="47"/>
  <c r="B32" i="46"/>
  <c r="AE33" i="47"/>
  <c r="C31" i="46"/>
  <c r="AF32" i="47"/>
  <c r="B31" i="46"/>
  <c r="AE32" i="47"/>
  <c r="C30" i="46"/>
  <c r="AF31" i="47"/>
  <c r="B30" i="46"/>
  <c r="AE31" i="47"/>
  <c r="C29" i="46"/>
  <c r="AF30" i="47"/>
  <c r="B29" i="46"/>
  <c r="AE30" i="47"/>
  <c r="C28" i="46"/>
  <c r="AF29" i="47"/>
  <c r="B28" i="46"/>
  <c r="AE29" i="47"/>
  <c r="C27" i="46"/>
  <c r="AF28" i="47"/>
  <c r="B27" i="46"/>
  <c r="AE28" i="47"/>
  <c r="C26" i="46"/>
  <c r="AF27" i="47"/>
  <c r="B26" i="46"/>
  <c r="AE27" i="47"/>
  <c r="C25" i="46"/>
  <c r="AF26" i="47"/>
  <c r="B25" i="46"/>
  <c r="AE26" i="47"/>
  <c r="C24" i="46"/>
  <c r="AF25" i="47"/>
  <c r="B24" i="46"/>
  <c r="AE25" i="47"/>
  <c r="C23" i="46"/>
  <c r="AF24" i="47"/>
  <c r="B23" i="46"/>
  <c r="AE24" i="47"/>
  <c r="C22" i="46"/>
  <c r="AF23" i="47"/>
  <c r="B22" i="46"/>
  <c r="AE23" i="47"/>
  <c r="C21" i="46"/>
  <c r="AF22" i="47"/>
  <c r="B21" i="46"/>
  <c r="AE22" i="47"/>
  <c r="C20" i="46"/>
  <c r="AF21" i="47"/>
  <c r="B20" i="46"/>
  <c r="AE21" i="47"/>
  <c r="C19" i="46"/>
  <c r="AF20" i="47"/>
  <c r="B19" i="46"/>
  <c r="AE20" i="47"/>
  <c r="C18" i="46"/>
  <c r="AF19" i="47"/>
  <c r="B18" i="46"/>
  <c r="AE19" i="47"/>
  <c r="C17" i="46"/>
  <c r="AF18" i="47"/>
  <c r="B17" i="46"/>
  <c r="AE18" i="47"/>
  <c r="C16" i="46"/>
  <c r="AF17" i="47"/>
  <c r="B16" i="46"/>
  <c r="AE17" i="47"/>
  <c r="C15" i="46"/>
  <c r="AF16" i="47"/>
  <c r="B15" i="46"/>
  <c r="AE16" i="47"/>
  <c r="C14" i="46"/>
  <c r="AF15" i="47"/>
  <c r="B14" i="46"/>
  <c r="AE15" i="47"/>
  <c r="C13" i="46"/>
  <c r="AF14" i="47"/>
  <c r="B13" i="46"/>
  <c r="AE14" i="47"/>
  <c r="C12" i="46"/>
  <c r="AF13" i="47"/>
  <c r="B12" i="46"/>
  <c r="AE13" i="47"/>
  <c r="C11" i="46"/>
  <c r="AF12" i="47"/>
  <c r="B11" i="46"/>
  <c r="AE12" i="47"/>
  <c r="C10" i="46"/>
  <c r="AF11" i="47"/>
  <c r="B10" i="46"/>
  <c r="AE11" i="47"/>
  <c r="C9" i="46"/>
  <c r="AF10" i="47"/>
  <c r="B9" i="46"/>
  <c r="AE10" i="47"/>
  <c r="C8" i="46"/>
  <c r="AF9" i="47"/>
  <c r="B8" i="46"/>
  <c r="AE9" i="47"/>
  <c r="C7" i="46"/>
  <c r="AF8" i="47"/>
  <c r="B7" i="46"/>
  <c r="AE8" i="47"/>
  <c r="C6" i="46"/>
  <c r="AF7" i="47"/>
  <c r="B6" i="46"/>
  <c r="AE7" i="47"/>
  <c r="C5" i="46"/>
  <c r="AF6" i="47"/>
  <c r="B5" i="46"/>
  <c r="AE6" i="47"/>
  <c r="C4" i="46"/>
  <c r="AF5" i="47"/>
  <c r="B4" i="46"/>
  <c r="AE5" i="47"/>
  <c r="C3" i="46"/>
  <c r="AF4" i="47"/>
  <c r="B3" i="46"/>
  <c r="AE4" i="47"/>
  <c r="C2" i="46"/>
  <c r="AF3" i="47"/>
  <c r="B2" i="46"/>
  <c r="AE3" i="47"/>
  <c r="D60" i="33"/>
  <c r="B63" i="33"/>
  <c r="B52" i="33"/>
  <c r="B31" i="33"/>
  <c r="B3" i="33"/>
  <c r="A3" i="33" s="1"/>
  <c r="B2" i="33"/>
  <c r="C3" i="47"/>
  <c r="B75" i="33"/>
  <c r="B72" i="33"/>
  <c r="B70" i="33"/>
  <c r="B67" i="33"/>
  <c r="B65" i="33"/>
  <c r="B62" i="33"/>
  <c r="B43" i="33"/>
  <c r="B57" i="33"/>
  <c r="B54" i="33"/>
  <c r="B51" i="33"/>
  <c r="B47" i="33"/>
  <c r="B45" i="33"/>
  <c r="B41" i="33"/>
  <c r="B39" i="33"/>
  <c r="B37" i="33"/>
  <c r="B35" i="33"/>
  <c r="B33" i="33"/>
  <c r="B29" i="33"/>
  <c r="B28" i="33"/>
  <c r="B26" i="33"/>
  <c r="B24" i="33"/>
  <c r="B22" i="33"/>
  <c r="B19" i="33"/>
  <c r="B17" i="33"/>
  <c r="B15" i="33"/>
  <c r="B12" i="33"/>
  <c r="B10" i="33"/>
  <c r="B8" i="33"/>
  <c r="B6" i="33"/>
  <c r="B74" i="33"/>
  <c r="B71" i="33"/>
  <c r="B69" i="33"/>
  <c r="B66" i="33"/>
  <c r="B64" i="33"/>
  <c r="B61" i="33"/>
  <c r="B42" i="33"/>
  <c r="B56" i="33"/>
  <c r="B53" i="33"/>
  <c r="B50" i="33"/>
  <c r="B48" i="33"/>
  <c r="B46" i="33"/>
  <c r="B44" i="33"/>
  <c r="B40" i="33"/>
  <c r="B38" i="33"/>
  <c r="B36" i="33"/>
  <c r="B34" i="33"/>
  <c r="B32" i="33"/>
  <c r="B30" i="33"/>
  <c r="B27" i="33"/>
  <c r="B25" i="33"/>
  <c r="B23" i="33"/>
  <c r="B21" i="33"/>
  <c r="B18" i="33"/>
  <c r="B16" i="33"/>
  <c r="B14" i="33"/>
  <c r="B11" i="33"/>
  <c r="B9" i="33"/>
  <c r="B7" i="33"/>
  <c r="B5" i="33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A3" i="34"/>
  <c r="B2" i="34"/>
  <c r="AL3" i="47"/>
  <c r="AJ2" i="48"/>
  <c r="K3" i="47"/>
  <c r="E35" i="22"/>
  <c r="E35" i="17"/>
  <c r="E35" i="27"/>
  <c r="A4" i="34"/>
  <c r="A5" i="34"/>
  <c r="Y5" i="47"/>
  <c r="E35" i="4"/>
  <c r="X3" i="47"/>
  <c r="AS3" i="58" s="1"/>
  <c r="Y4" i="47"/>
  <c r="AN4" i="47"/>
  <c r="X4" i="47"/>
  <c r="AL4" i="47"/>
  <c r="AD28" i="24"/>
  <c r="E35" i="28"/>
  <c r="AD28" i="4"/>
  <c r="AD28" i="26"/>
  <c r="E35" i="23"/>
  <c r="E35" i="29"/>
  <c r="AD28" i="13"/>
  <c r="E35" i="19"/>
  <c r="E35" i="12"/>
  <c r="AD28" i="10"/>
  <c r="AL5" i="47"/>
  <c r="X5" i="47"/>
  <c r="AN5" i="47"/>
  <c r="A6" i="34"/>
  <c r="A7" i="34"/>
  <c r="Y6" i="47"/>
  <c r="X6" i="47"/>
  <c r="AL6" i="47"/>
  <c r="AN6" i="47"/>
  <c r="AN7" i="47"/>
  <c r="AL7" i="47"/>
  <c r="Y7" i="47"/>
  <c r="X8" i="47"/>
  <c r="Y8" i="47"/>
  <c r="X7" i="47"/>
  <c r="AN8" i="47"/>
  <c r="H4" i="33"/>
  <c r="AV8" i="58" l="1"/>
  <c r="AV15" i="58"/>
  <c r="AW15" i="58"/>
  <c r="AW29" i="58"/>
  <c r="AX8" i="58"/>
  <c r="AX38" i="58"/>
  <c r="AW38" i="58"/>
  <c r="AV38" i="58"/>
  <c r="AU38" i="58"/>
  <c r="AV29" i="58"/>
  <c r="AU8" i="58"/>
  <c r="AX29" i="58"/>
  <c r="AU29" i="58"/>
  <c r="AX15" i="58"/>
  <c r="AW8" i="58"/>
  <c r="AU15" i="58"/>
  <c r="AX50" i="57"/>
  <c r="AW50" i="57"/>
  <c r="AV50" i="57"/>
  <c r="AU50" i="57"/>
  <c r="AW38" i="57"/>
  <c r="AV38" i="57"/>
  <c r="AU38" i="57"/>
  <c r="AX29" i="57"/>
  <c r="AV29" i="57"/>
  <c r="AW29" i="57"/>
  <c r="AU29" i="57"/>
  <c r="AX23" i="57"/>
  <c r="AW23" i="57"/>
  <c r="AV23" i="57"/>
  <c r="AU23" i="57"/>
  <c r="AX15" i="57"/>
  <c r="AW15" i="57"/>
  <c r="AV15" i="57"/>
  <c r="AU15" i="57"/>
  <c r="AX13" i="57"/>
  <c r="AW13" i="57"/>
  <c r="AV13" i="57"/>
  <c r="AU13" i="57"/>
  <c r="AU7" i="57"/>
  <c r="AX38" i="57"/>
  <c r="AS3" i="57"/>
  <c r="AH77" i="58"/>
  <c r="AM77" i="58"/>
  <c r="AI45" i="58"/>
  <c r="AH45" i="58"/>
  <c r="V73" i="58"/>
  <c r="U73" i="58"/>
  <c r="AO218" i="57"/>
  <c r="D138" i="36"/>
  <c r="V76" i="58"/>
  <c r="Z53" i="58"/>
  <c r="Y53" i="58"/>
  <c r="X53" i="58"/>
  <c r="W53" i="58"/>
  <c r="V53" i="58"/>
  <c r="U53" i="58"/>
  <c r="T53" i="58"/>
  <c r="T76" i="58"/>
  <c r="D155" i="35"/>
  <c r="D157" i="35"/>
  <c r="D159" i="35"/>
  <c r="D150" i="35"/>
  <c r="AL78" i="58"/>
  <c r="AL81" i="58"/>
  <c r="AK78" i="58"/>
  <c r="AI65" i="58"/>
  <c r="AM81" i="58"/>
  <c r="AH81" i="58"/>
  <c r="AK70" i="58"/>
  <c r="AH70" i="58"/>
  <c r="AK69" i="58"/>
  <c r="AI19" i="58"/>
  <c r="AH17" i="58"/>
  <c r="AI120" i="57"/>
  <c r="AO214" i="57"/>
  <c r="D64" i="34"/>
  <c r="D112" i="35"/>
  <c r="AI100" i="58"/>
  <c r="AH24" i="58"/>
  <c r="V62" i="58"/>
  <c r="U62" i="58"/>
  <c r="T62" i="58"/>
  <c r="T60" i="58"/>
  <c r="D116" i="35"/>
  <c r="V71" i="57"/>
  <c r="V84" i="58"/>
  <c r="U84" i="58"/>
  <c r="T84" i="58"/>
  <c r="D92" i="35"/>
  <c r="AH106" i="58"/>
  <c r="AI101" i="58"/>
  <c r="AI61" i="57"/>
  <c r="AM70" i="58"/>
  <c r="AH61" i="57"/>
  <c r="AH6" i="58"/>
  <c r="AI60" i="57"/>
  <c r="AH60" i="57"/>
  <c r="AI59" i="57"/>
  <c r="AH32" i="57"/>
  <c r="AI113" i="57"/>
  <c r="AH113" i="57"/>
  <c r="AH59" i="57"/>
  <c r="AI112" i="57"/>
  <c r="AH112" i="57"/>
  <c r="AI6" i="57"/>
  <c r="AI81" i="58"/>
  <c r="AI72" i="58"/>
  <c r="AH9" i="58"/>
  <c r="AI114" i="57"/>
  <c r="AH114" i="57"/>
  <c r="AN63" i="57"/>
  <c r="AM63" i="57"/>
  <c r="AL63" i="57"/>
  <c r="AK63" i="57"/>
  <c r="AJ63" i="57"/>
  <c r="AI63" i="57"/>
  <c r="AH63" i="57"/>
  <c r="D85" i="35"/>
  <c r="D87" i="35"/>
  <c r="AH114" i="58"/>
  <c r="AM111" i="58"/>
  <c r="AI111" i="58"/>
  <c r="AK64" i="58"/>
  <c r="AM38" i="58"/>
  <c r="AL38" i="58"/>
  <c r="AK38" i="58"/>
  <c r="AJ38" i="58"/>
  <c r="AI38" i="58"/>
  <c r="AH38" i="58"/>
  <c r="U87" i="58"/>
  <c r="V82" i="58"/>
  <c r="V81" i="58"/>
  <c r="V33" i="58"/>
  <c r="Z34" i="58"/>
  <c r="U70" i="58"/>
  <c r="Y34" i="58"/>
  <c r="X34" i="58"/>
  <c r="W34" i="58"/>
  <c r="U34" i="58"/>
  <c r="T33" i="58"/>
  <c r="V44" i="58"/>
  <c r="U44" i="58"/>
  <c r="T44" i="58"/>
  <c r="X36" i="58"/>
  <c r="V36" i="58"/>
  <c r="U71" i="57"/>
  <c r="D79" i="35"/>
  <c r="AM126" i="58"/>
  <c r="AK126" i="58"/>
  <c r="AI126" i="58"/>
  <c r="AH121" i="58"/>
  <c r="AN64" i="58"/>
  <c r="AJ64" i="58"/>
  <c r="AH19" i="58"/>
  <c r="AH31" i="58"/>
  <c r="AI13" i="57"/>
  <c r="AH13" i="57"/>
  <c r="D58" i="35"/>
  <c r="D47" i="35"/>
  <c r="D50" i="35"/>
  <c r="D35" i="35"/>
  <c r="D37" i="35"/>
  <c r="AI74" i="58"/>
  <c r="AI71" i="58"/>
  <c r="J58" i="58"/>
  <c r="J61" i="58"/>
  <c r="J63" i="58"/>
  <c r="J62" i="58"/>
  <c r="J68" i="58"/>
  <c r="J78" i="58"/>
  <c r="J57" i="57"/>
  <c r="J58" i="57"/>
  <c r="J59" i="57"/>
  <c r="J62" i="57"/>
  <c r="J64" i="57"/>
  <c r="J75" i="58"/>
  <c r="J79" i="58"/>
  <c r="J59" i="58"/>
  <c r="J60" i="58"/>
  <c r="J49" i="57"/>
  <c r="J60" i="57"/>
  <c r="J61" i="57"/>
  <c r="J72" i="58"/>
  <c r="J48" i="57"/>
  <c r="J51" i="57"/>
  <c r="J71" i="57"/>
  <c r="J69" i="58"/>
  <c r="J77" i="58"/>
  <c r="J65" i="58"/>
  <c r="J66" i="58"/>
  <c r="J70" i="58"/>
  <c r="J67" i="58"/>
  <c r="J44" i="57"/>
  <c r="J45" i="57"/>
  <c r="J46" i="57"/>
  <c r="J66" i="57"/>
  <c r="J67" i="57"/>
  <c r="J68" i="57"/>
  <c r="J69" i="57"/>
  <c r="J43" i="57"/>
  <c r="J42" i="58"/>
  <c r="J43" i="58"/>
  <c r="J71" i="58"/>
  <c r="J73" i="58"/>
  <c r="J76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2" i="57"/>
  <c r="J63" i="57"/>
  <c r="J65" i="57"/>
  <c r="J73" i="57"/>
  <c r="J74" i="57"/>
  <c r="J75" i="57"/>
  <c r="J76" i="57"/>
  <c r="J77" i="57"/>
  <c r="J42" i="57"/>
  <c r="J78" i="57"/>
  <c r="J79" i="57"/>
  <c r="J80" i="57"/>
  <c r="J80" i="58"/>
  <c r="J50" i="57"/>
  <c r="J53" i="57"/>
  <c r="J54" i="57"/>
  <c r="J55" i="57"/>
  <c r="J56" i="57"/>
  <c r="J70" i="57"/>
  <c r="J72" i="57"/>
  <c r="J74" i="58"/>
  <c r="J47" i="57"/>
  <c r="J44" i="58"/>
  <c r="J64" i="58"/>
  <c r="AH107" i="58"/>
  <c r="AK97" i="58"/>
  <c r="AK81" i="58"/>
  <c r="AI76" i="58"/>
  <c r="AH75" i="58"/>
  <c r="AJ74" i="58"/>
  <c r="AJ5" i="58"/>
  <c r="AI54" i="58"/>
  <c r="AH54" i="58"/>
  <c r="AI41" i="58"/>
  <c r="AH41" i="58"/>
  <c r="AI98" i="57"/>
  <c r="AH98" i="57"/>
  <c r="AI96" i="57"/>
  <c r="AH96" i="57"/>
  <c r="AH151" i="58"/>
  <c r="AH148" i="57"/>
  <c r="AH101" i="57"/>
  <c r="AI101" i="57"/>
  <c r="AN84" i="57"/>
  <c r="AM84" i="57"/>
  <c r="AL84" i="57"/>
  <c r="AK84" i="57"/>
  <c r="AJ84" i="57"/>
  <c r="AI84" i="57"/>
  <c r="AH84" i="57"/>
  <c r="AL97" i="58"/>
  <c r="AJ78" i="58"/>
  <c r="AL77" i="58"/>
  <c r="AK77" i="58"/>
  <c r="AH76" i="58"/>
  <c r="AH72" i="58"/>
  <c r="AL70" i="58"/>
  <c r="AJ70" i="58"/>
  <c r="AI69" i="58"/>
  <c r="AH69" i="58"/>
  <c r="AI17" i="58"/>
  <c r="AK15" i="58"/>
  <c r="AM5" i="58"/>
  <c r="AK5" i="58"/>
  <c r="AJ156" i="58"/>
  <c r="AI156" i="58"/>
  <c r="AH156" i="58"/>
  <c r="AJ155" i="58"/>
  <c r="AI155" i="58"/>
  <c r="AH155" i="58"/>
  <c r="AJ154" i="58"/>
  <c r="AI154" i="58"/>
  <c r="AH154" i="58"/>
  <c r="AJ153" i="58"/>
  <c r="AI153" i="58"/>
  <c r="AH153" i="58"/>
  <c r="AJ152" i="58"/>
  <c r="AI152" i="58"/>
  <c r="AH152" i="58"/>
  <c r="AJ151" i="58"/>
  <c r="AJ143" i="58"/>
  <c r="AI143" i="58"/>
  <c r="AH143" i="58"/>
  <c r="AJ142" i="58"/>
  <c r="AI142" i="58"/>
  <c r="AH142" i="58"/>
  <c r="AM139" i="58"/>
  <c r="AL139" i="58"/>
  <c r="AK139" i="58"/>
  <c r="AJ139" i="58"/>
  <c r="AI138" i="58"/>
  <c r="AH138" i="58"/>
  <c r="AM137" i="58"/>
  <c r="AL137" i="58"/>
  <c r="AK137" i="58"/>
  <c r="AJ137" i="58"/>
  <c r="AH137" i="58"/>
  <c r="AI133" i="58"/>
  <c r="AH133" i="58"/>
  <c r="AI131" i="58"/>
  <c r="AH131" i="58"/>
  <c r="AM128" i="58"/>
  <c r="AL128" i="58"/>
  <c r="AK128" i="58"/>
  <c r="AJ128" i="58"/>
  <c r="AI128" i="58"/>
  <c r="AH128" i="58"/>
  <c r="AL126" i="58"/>
  <c r="AJ126" i="58"/>
  <c r="AH126" i="58"/>
  <c r="AI121" i="58"/>
  <c r="AI90" i="58"/>
  <c r="AH90" i="58"/>
  <c r="AI48" i="58"/>
  <c r="AH48" i="58"/>
  <c r="AI47" i="58"/>
  <c r="AH47" i="58"/>
  <c r="AI46" i="58"/>
  <c r="AH46" i="58"/>
  <c r="AH34" i="58"/>
  <c r="AI34" i="58"/>
  <c r="AI32" i="58"/>
  <c r="AH32" i="58"/>
  <c r="AI31" i="58"/>
  <c r="AH29" i="58"/>
  <c r="AL5" i="58"/>
  <c r="AI159" i="57"/>
  <c r="AH159" i="57"/>
  <c r="AI158" i="57"/>
  <c r="AH158" i="57"/>
  <c r="AI157" i="57"/>
  <c r="AH157" i="57"/>
  <c r="AI156" i="57"/>
  <c r="AH156" i="57"/>
  <c r="AI155" i="57"/>
  <c r="AH155" i="57"/>
  <c r="AI154" i="57"/>
  <c r="AH154" i="57"/>
  <c r="AI153" i="57"/>
  <c r="AH153" i="57"/>
  <c r="AI152" i="57"/>
  <c r="AH152" i="57"/>
  <c r="AI151" i="57"/>
  <c r="AH151" i="57"/>
  <c r="AI150" i="57"/>
  <c r="AH150" i="57"/>
  <c r="AI149" i="57"/>
  <c r="AH149" i="57"/>
  <c r="AI147" i="57"/>
  <c r="AH147" i="57"/>
  <c r="AI146" i="57"/>
  <c r="AH146" i="57"/>
  <c r="AI145" i="57"/>
  <c r="AH145" i="57"/>
  <c r="AI144" i="57"/>
  <c r="AH144" i="57"/>
  <c r="AI143" i="57"/>
  <c r="AH143" i="57"/>
  <c r="AI142" i="57"/>
  <c r="AH142" i="57"/>
  <c r="AI140" i="57"/>
  <c r="AH140" i="57"/>
  <c r="AI135" i="57"/>
  <c r="AH135" i="57"/>
  <c r="AI133" i="57"/>
  <c r="AH133" i="57"/>
  <c r="AJ132" i="57"/>
  <c r="AI132" i="57"/>
  <c r="AH132" i="57"/>
  <c r="AI129" i="57"/>
  <c r="AH129" i="57"/>
  <c r="AI127" i="57"/>
  <c r="AH127" i="57"/>
  <c r="AM126" i="57"/>
  <c r="AL126" i="57"/>
  <c r="AK126" i="57"/>
  <c r="AJ126" i="57"/>
  <c r="AI126" i="57"/>
  <c r="AH126" i="57"/>
  <c r="AH123" i="57"/>
  <c r="AI121" i="57"/>
  <c r="AH121" i="57"/>
  <c r="AH120" i="57"/>
  <c r="AI106" i="57"/>
  <c r="AH106" i="57"/>
  <c r="AI104" i="57"/>
  <c r="AH104" i="57"/>
  <c r="AM76" i="57"/>
  <c r="AL76" i="57"/>
  <c r="AK76" i="57"/>
  <c r="AJ76" i="57"/>
  <c r="AI76" i="57"/>
  <c r="AI75" i="57"/>
  <c r="AH75" i="57"/>
  <c r="AI56" i="57"/>
  <c r="AH56" i="57"/>
  <c r="AH34" i="57"/>
  <c r="AL10" i="57"/>
  <c r="AK10" i="57"/>
  <c r="AJ10" i="57"/>
  <c r="AO207" i="57"/>
  <c r="AO210" i="57"/>
  <c r="D52" i="34"/>
  <c r="D4" i="3"/>
  <c r="E4" i="3" s="1"/>
  <c r="AO214" i="58"/>
  <c r="AO211" i="58"/>
  <c r="AO219" i="58"/>
  <c r="AO212" i="58"/>
  <c r="AO189" i="58"/>
  <c r="AO216" i="58"/>
  <c r="AO201" i="58"/>
  <c r="AO208" i="58"/>
  <c r="AO217" i="58"/>
  <c r="AO220" i="58"/>
  <c r="AO193" i="58"/>
  <c r="AO204" i="58"/>
  <c r="AO202" i="58"/>
  <c r="AO199" i="58"/>
  <c r="AO198" i="58"/>
  <c r="AO196" i="58"/>
  <c r="AO197" i="58"/>
  <c r="AO205" i="57"/>
  <c r="AO202" i="57"/>
  <c r="AO201" i="57"/>
  <c r="AO200" i="57"/>
  <c r="AO199" i="57"/>
  <c r="AO198" i="57"/>
  <c r="AO196" i="57"/>
  <c r="AO195" i="57"/>
  <c r="AO194" i="57"/>
  <c r="AO193" i="57"/>
  <c r="AO192" i="57"/>
  <c r="AO191" i="57"/>
  <c r="AO190" i="57"/>
  <c r="AO189" i="57"/>
  <c r="AO188" i="57"/>
  <c r="AO187" i="57"/>
  <c r="AO204" i="57"/>
  <c r="AO203" i="57"/>
  <c r="AO206" i="57"/>
  <c r="AO213" i="57"/>
  <c r="AO211" i="57"/>
  <c r="AO209" i="57"/>
  <c r="AO208" i="57"/>
  <c r="AO215" i="57"/>
  <c r="AO212" i="57"/>
  <c r="AO216" i="57"/>
  <c r="AO220" i="57"/>
  <c r="AO219" i="57"/>
  <c r="AO217" i="57"/>
  <c r="AO221" i="58"/>
  <c r="AO215" i="58"/>
  <c r="AO213" i="58"/>
  <c r="AO194" i="58"/>
  <c r="AO218" i="58"/>
  <c r="AO187" i="58"/>
  <c r="AO195" i="58"/>
  <c r="AO205" i="58"/>
  <c r="AO200" i="58"/>
  <c r="AO221" i="57"/>
  <c r="AO210" i="58"/>
  <c r="AO207" i="58"/>
  <c r="AO192" i="58"/>
  <c r="AO191" i="58"/>
  <c r="AO190" i="58"/>
  <c r="AO197" i="57"/>
  <c r="AO209" i="58"/>
  <c r="AO203" i="58"/>
  <c r="AO188" i="58"/>
  <c r="AO206" i="58"/>
  <c r="AI60" i="58"/>
  <c r="AH60" i="58"/>
  <c r="AG4" i="47"/>
  <c r="AG5" i="47"/>
  <c r="AG6" i="47"/>
  <c r="AG13" i="47"/>
  <c r="AC11" i="47" s="1"/>
  <c r="AF198" i="55"/>
  <c r="AM198" i="55"/>
  <c r="AL200" i="55"/>
  <c r="AH200" i="55"/>
  <c r="AI200" i="55"/>
  <c r="AF201" i="55"/>
  <c r="AL201" i="55"/>
  <c r="AG194" i="55"/>
  <c r="AM194" i="55"/>
  <c r="AJ194" i="55"/>
  <c r="AK194" i="55"/>
  <c r="AH194" i="55"/>
  <c r="AN194" i="55"/>
  <c r="AF194" i="55"/>
  <c r="AL194" i="55"/>
  <c r="AN197" i="55"/>
  <c r="AI197" i="55"/>
  <c r="AK197" i="55"/>
  <c r="AJ200" i="55"/>
  <c r="AM200" i="55"/>
  <c r="AK200" i="55"/>
  <c r="AF200" i="55"/>
  <c r="AN200" i="55"/>
  <c r="AG205" i="55"/>
  <c r="AH205" i="55"/>
  <c r="AJ206" i="55"/>
  <c r="AI206" i="55"/>
  <c r="AM215" i="55"/>
  <c r="AL215" i="55"/>
  <c r="AH215" i="55"/>
  <c r="AJ215" i="55"/>
  <c r="AI218" i="55"/>
  <c r="AG218" i="55"/>
  <c r="AK218" i="55"/>
  <c r="AN218" i="55"/>
  <c r="AF218" i="55"/>
  <c r="AH218" i="55"/>
  <c r="AL218" i="55"/>
  <c r="AM218" i="55"/>
  <c r="AI219" i="55"/>
  <c r="AG219" i="55"/>
  <c r="AN219" i="55"/>
  <c r="AH219" i="55"/>
  <c r="AK219" i="55"/>
  <c r="AM219" i="55"/>
  <c r="AF219" i="55"/>
  <c r="AL219" i="55"/>
  <c r="AM220" i="55"/>
  <c r="AK220" i="55"/>
  <c r="AF220" i="55"/>
  <c r="I20" i="21"/>
  <c r="J20" i="21" s="1"/>
  <c r="I16" i="21"/>
  <c r="I11" i="21"/>
  <c r="J11" i="21" s="1"/>
  <c r="I10" i="21"/>
  <c r="I9" i="21"/>
  <c r="I8" i="21"/>
  <c r="I7" i="21"/>
  <c r="I4" i="21"/>
  <c r="I13" i="21"/>
  <c r="I2" i="21"/>
  <c r="E35" i="21"/>
  <c r="I14" i="21"/>
  <c r="I3" i="21"/>
  <c r="K3" i="21" s="1"/>
  <c r="L49" i="33" s="1"/>
  <c r="I6" i="21"/>
  <c r="E107" i="36" s="1"/>
  <c r="I17" i="21"/>
  <c r="K17" i="21" s="1"/>
  <c r="F139" i="35" s="1"/>
  <c r="E18" i="36"/>
  <c r="D18" i="36"/>
  <c r="D78" i="34"/>
  <c r="D71" i="34"/>
  <c r="D54" i="34"/>
  <c r="D45" i="34"/>
  <c r="D40" i="34"/>
  <c r="D5" i="35"/>
  <c r="D9" i="35"/>
  <c r="D10" i="35"/>
  <c r="D12" i="35"/>
  <c r="D17" i="35"/>
  <c r="D90" i="35"/>
  <c r="D95" i="35"/>
  <c r="D101" i="35"/>
  <c r="D108" i="35"/>
  <c r="D107" i="35"/>
  <c r="D125" i="35"/>
  <c r="D138" i="35"/>
  <c r="D136" i="35"/>
  <c r="D145" i="35"/>
  <c r="D162" i="35"/>
  <c r="D161" i="35"/>
  <c r="D163" i="35"/>
  <c r="D170" i="35"/>
  <c r="D167" i="35"/>
  <c r="D188" i="35"/>
  <c r="D191" i="35"/>
  <c r="D198" i="35"/>
  <c r="D199" i="35"/>
  <c r="D201" i="35"/>
  <c r="D197" i="35"/>
  <c r="D84" i="36"/>
  <c r="D79" i="36"/>
  <c r="D58" i="36"/>
  <c r="D47" i="36"/>
  <c r="D34" i="36"/>
  <c r="D4" i="36"/>
  <c r="L5" i="47" s="1"/>
  <c r="Z6" i="47"/>
  <c r="AO6" i="47"/>
  <c r="AO7" i="47"/>
  <c r="Z7" i="47"/>
  <c r="D12" i="33"/>
  <c r="D67" i="33"/>
  <c r="D68" i="33"/>
  <c r="D182" i="35"/>
  <c r="D183" i="35"/>
  <c r="S3" i="47"/>
  <c r="AO103" i="47"/>
  <c r="AC34" i="47"/>
  <c r="AC10" i="47"/>
  <c r="AC20" i="47"/>
  <c r="AC12" i="47"/>
  <c r="AC15" i="47"/>
  <c r="AC25" i="47"/>
  <c r="AC19" i="47"/>
  <c r="AC16" i="47"/>
  <c r="AC7" i="47"/>
  <c r="AC32" i="47"/>
  <c r="AC3" i="47"/>
  <c r="AC18" i="47"/>
  <c r="AC17" i="47"/>
  <c r="AC27" i="47"/>
  <c r="AC4" i="47"/>
  <c r="AC8" i="47"/>
  <c r="AC26" i="47"/>
  <c r="AC22" i="47"/>
  <c r="AC13" i="47"/>
  <c r="AC33" i="47"/>
  <c r="AC9" i="47"/>
  <c r="AC5" i="47"/>
  <c r="AC28" i="47"/>
  <c r="AC14" i="47"/>
  <c r="AC21" i="47"/>
  <c r="AC23" i="47"/>
  <c r="AC24" i="47"/>
  <c r="AC29" i="47"/>
  <c r="AC30" i="47"/>
  <c r="AC31" i="47"/>
  <c r="D60" i="36"/>
  <c r="A4" i="35"/>
  <c r="D4" i="32"/>
  <c r="D2" i="22"/>
  <c r="D2" i="32"/>
  <c r="I2" i="27"/>
  <c r="I8" i="22"/>
  <c r="E114" i="36" s="1"/>
  <c r="I6" i="22"/>
  <c r="I4" i="22"/>
  <c r="I3" i="22"/>
  <c r="I2" i="22"/>
  <c r="D3" i="33"/>
  <c r="E4" i="47" s="1"/>
  <c r="D4" i="33"/>
  <c r="Z3" i="47"/>
  <c r="AO3" i="47"/>
  <c r="Z5" i="47"/>
  <c r="AO5" i="47"/>
  <c r="Z4" i="47"/>
  <c r="AO4" i="47"/>
  <c r="H2" i="13"/>
  <c r="I27" i="33" s="1"/>
  <c r="I19" i="55" s="1"/>
  <c r="E2" i="13"/>
  <c r="E35" i="16"/>
  <c r="I6" i="16"/>
  <c r="I8" i="16"/>
  <c r="I3" i="16"/>
  <c r="I10" i="16"/>
  <c r="I2" i="16"/>
  <c r="I11" i="16"/>
  <c r="I4" i="16"/>
  <c r="I7" i="16"/>
  <c r="I9" i="16"/>
  <c r="I7" i="15"/>
  <c r="I20" i="15"/>
  <c r="I14" i="15"/>
  <c r="I19" i="15"/>
  <c r="I16" i="15"/>
  <c r="E35" i="15"/>
  <c r="I3" i="15"/>
  <c r="I9" i="15"/>
  <c r="I11" i="15"/>
  <c r="I13" i="15"/>
  <c r="I2" i="15"/>
  <c r="I4" i="15"/>
  <c r="I8" i="15"/>
  <c r="I10" i="15"/>
  <c r="E35" i="10"/>
  <c r="I8" i="10"/>
  <c r="I3" i="10"/>
  <c r="I4" i="10"/>
  <c r="I6" i="10"/>
  <c r="E35" i="9"/>
  <c r="I3" i="9"/>
  <c r="J19" i="33" s="1"/>
  <c r="I4" i="9"/>
  <c r="J4" i="9" s="1"/>
  <c r="K20" i="33" s="1"/>
  <c r="I17" i="9"/>
  <c r="I15" i="9"/>
  <c r="I2" i="9"/>
  <c r="I19" i="9"/>
  <c r="D4" i="31"/>
  <c r="D2" i="31"/>
  <c r="I9" i="31"/>
  <c r="I8" i="31"/>
  <c r="I7" i="31"/>
  <c r="I6" i="31"/>
  <c r="E157" i="36" s="1"/>
  <c r="E35" i="30"/>
  <c r="I2" i="30"/>
  <c r="I7" i="30"/>
  <c r="I9" i="30"/>
  <c r="I10" i="30"/>
  <c r="I20" i="30"/>
  <c r="I3" i="30"/>
  <c r="I4" i="30"/>
  <c r="I6" i="30"/>
  <c r="I8" i="30"/>
  <c r="I11" i="30"/>
  <c r="I13" i="30"/>
  <c r="I15" i="30"/>
  <c r="I16" i="30"/>
  <c r="I14" i="30"/>
  <c r="I17" i="30"/>
  <c r="I18" i="30"/>
  <c r="I19" i="30"/>
  <c r="D3" i="30"/>
  <c r="D4" i="30"/>
  <c r="D2" i="30"/>
  <c r="D3" i="29"/>
  <c r="D2" i="29"/>
  <c r="D4" i="29"/>
  <c r="D3" i="28"/>
  <c r="D4" i="28"/>
  <c r="D2" i="28"/>
  <c r="I18" i="2"/>
  <c r="D4" i="2"/>
  <c r="D2" i="2"/>
  <c r="I17" i="2"/>
  <c r="D3" i="2"/>
  <c r="I7" i="2"/>
  <c r="E35" i="2"/>
  <c r="I15" i="2"/>
  <c r="I8" i="2"/>
  <c r="I10" i="2"/>
  <c r="I9" i="2"/>
  <c r="I19" i="2"/>
  <c r="I11" i="2"/>
  <c r="I10" i="27"/>
  <c r="I9" i="27"/>
  <c r="I8" i="27"/>
  <c r="D3" i="27"/>
  <c r="D4" i="27"/>
  <c r="D2" i="27"/>
  <c r="I15" i="26"/>
  <c r="I16" i="26"/>
  <c r="I19" i="26"/>
  <c r="I18" i="26"/>
  <c r="D2" i="26"/>
  <c r="D3" i="26"/>
  <c r="D4" i="26"/>
  <c r="I3" i="26"/>
  <c r="I4" i="26"/>
  <c r="I19" i="24"/>
  <c r="I16" i="24"/>
  <c r="I17" i="24"/>
  <c r="I19" i="23"/>
  <c r="I16" i="23"/>
  <c r="I17" i="23"/>
  <c r="I14" i="23"/>
  <c r="I15" i="23"/>
  <c r="I18" i="23"/>
  <c r="D3" i="23"/>
  <c r="D4" i="23"/>
  <c r="D2" i="23"/>
  <c r="D3" i="22"/>
  <c r="D4" i="22"/>
  <c r="D4" i="21"/>
  <c r="I15" i="21"/>
  <c r="D3" i="21"/>
  <c r="D2" i="21"/>
  <c r="I19" i="21"/>
  <c r="I18" i="21"/>
  <c r="D3" i="20"/>
  <c r="I3" i="20"/>
  <c r="D4" i="20"/>
  <c r="I4" i="20"/>
  <c r="D2" i="20"/>
  <c r="I18" i="20"/>
  <c r="I16" i="20"/>
  <c r="I17" i="20"/>
  <c r="I19" i="20"/>
  <c r="I15" i="20"/>
  <c r="I7" i="19"/>
  <c r="I8" i="19"/>
  <c r="K8" i="19" s="1"/>
  <c r="I6" i="19"/>
  <c r="D3" i="19"/>
  <c r="H3" i="19" s="1"/>
  <c r="I45" i="33" s="1"/>
  <c r="D4" i="19"/>
  <c r="D2" i="19"/>
  <c r="I9" i="19"/>
  <c r="I16" i="19"/>
  <c r="I13" i="18"/>
  <c r="I10" i="18"/>
  <c r="I9" i="18"/>
  <c r="I8" i="18"/>
  <c r="I7" i="18"/>
  <c r="I6" i="18"/>
  <c r="I4" i="18"/>
  <c r="I3" i="18"/>
  <c r="I14" i="18"/>
  <c r="E35" i="18"/>
  <c r="I2" i="18"/>
  <c r="I11" i="18"/>
  <c r="I18" i="18"/>
  <c r="I19" i="18"/>
  <c r="I17" i="18"/>
  <c r="I15" i="18"/>
  <c r="D3" i="18"/>
  <c r="D4" i="18"/>
  <c r="D2" i="18"/>
  <c r="I20" i="18"/>
  <c r="I16" i="18"/>
  <c r="I20" i="3"/>
  <c r="I19" i="3"/>
  <c r="E35" i="3"/>
  <c r="I2" i="3"/>
  <c r="I3" i="3"/>
  <c r="I4" i="3"/>
  <c r="I7" i="3"/>
  <c r="I8" i="3"/>
  <c r="I6" i="3"/>
  <c r="I11" i="3"/>
  <c r="I15" i="3"/>
  <c r="I18" i="3"/>
  <c r="I13" i="3"/>
  <c r="I10" i="3"/>
  <c r="I9" i="3"/>
  <c r="I16" i="3"/>
  <c r="I14" i="3"/>
  <c r="I17" i="3"/>
  <c r="D3" i="3"/>
  <c r="D2" i="3"/>
  <c r="I20" i="25"/>
  <c r="I11" i="25"/>
  <c r="I9" i="25"/>
  <c r="I3" i="25"/>
  <c r="E35" i="25"/>
  <c r="I2" i="25"/>
  <c r="I4" i="25"/>
  <c r="I6" i="25"/>
  <c r="I7" i="25"/>
  <c r="I10" i="25"/>
  <c r="I15" i="25"/>
  <c r="I13" i="25"/>
  <c r="D3" i="25"/>
  <c r="D4" i="25"/>
  <c r="D2" i="25"/>
  <c r="I17" i="25"/>
  <c r="I18" i="25"/>
  <c r="I14" i="25"/>
  <c r="I19" i="25"/>
  <c r="I16" i="25"/>
  <c r="I13" i="17"/>
  <c r="I19" i="17"/>
  <c r="I18" i="17"/>
  <c r="D4" i="17"/>
  <c r="D2" i="17"/>
  <c r="I14" i="17"/>
  <c r="I15" i="17"/>
  <c r="I16" i="17"/>
  <c r="D3" i="17"/>
  <c r="I20" i="16"/>
  <c r="I15" i="16"/>
  <c r="I19" i="16"/>
  <c r="I18" i="16"/>
  <c r="I17" i="16"/>
  <c r="I16" i="16"/>
  <c r="I14" i="16"/>
  <c r="I13" i="16"/>
  <c r="D2" i="16"/>
  <c r="D4" i="16"/>
  <c r="I15" i="15"/>
  <c r="I18" i="15"/>
  <c r="I17" i="15"/>
  <c r="D3" i="15"/>
  <c r="D4" i="15"/>
  <c r="D2" i="15"/>
  <c r="I15" i="14"/>
  <c r="I9" i="14"/>
  <c r="I7" i="14"/>
  <c r="I4" i="14"/>
  <c r="I2" i="14"/>
  <c r="E35" i="14"/>
  <c r="I3" i="14"/>
  <c r="I8" i="14"/>
  <c r="I6" i="14"/>
  <c r="I10" i="14"/>
  <c r="I11" i="14"/>
  <c r="I13" i="14"/>
  <c r="I14" i="14"/>
  <c r="I16" i="14"/>
  <c r="I20" i="14"/>
  <c r="D3" i="14"/>
  <c r="D2" i="14"/>
  <c r="I19" i="14"/>
  <c r="I18" i="14"/>
  <c r="I17" i="14"/>
  <c r="D3" i="13"/>
  <c r="D4" i="13"/>
  <c r="D3" i="12"/>
  <c r="D2" i="12"/>
  <c r="I10" i="11"/>
  <c r="I8" i="11"/>
  <c r="D4" i="11"/>
  <c r="D3" i="11"/>
  <c r="H3" i="11" s="1"/>
  <c r="I24" i="33" s="1"/>
  <c r="D2" i="11"/>
  <c r="I4" i="11"/>
  <c r="I20" i="11"/>
  <c r="I13" i="11"/>
  <c r="I14" i="11"/>
  <c r="I11" i="11"/>
  <c r="I9" i="11"/>
  <c r="I7" i="11"/>
  <c r="I3" i="11"/>
  <c r="I2" i="11"/>
  <c r="I19" i="11"/>
  <c r="I18" i="11"/>
  <c r="I16" i="11"/>
  <c r="I17" i="11"/>
  <c r="I15" i="11"/>
  <c r="I10" i="10"/>
  <c r="I7" i="10"/>
  <c r="I9" i="10"/>
  <c r="D3" i="10"/>
  <c r="D4" i="10"/>
  <c r="D2" i="10"/>
  <c r="I20" i="10"/>
  <c r="I14" i="10"/>
  <c r="I15" i="10"/>
  <c r="I16" i="10"/>
  <c r="I13" i="10"/>
  <c r="I11" i="10"/>
  <c r="I17" i="10"/>
  <c r="I19" i="10"/>
  <c r="I18" i="10"/>
  <c r="I11" i="9"/>
  <c r="I10" i="9"/>
  <c r="I6" i="9"/>
  <c r="D3" i="9"/>
  <c r="D4" i="9"/>
  <c r="D2" i="9"/>
  <c r="I20" i="9"/>
  <c r="I18" i="9"/>
  <c r="I13" i="9"/>
  <c r="I16" i="9"/>
  <c r="I14" i="9"/>
  <c r="I8" i="9"/>
  <c r="I7" i="9"/>
  <c r="I9" i="9"/>
  <c r="D3" i="8"/>
  <c r="H3" i="8" s="1"/>
  <c r="I17" i="33" s="1"/>
  <c r="I31" i="55" s="1"/>
  <c r="D2" i="8"/>
  <c r="I17" i="7"/>
  <c r="I16" i="7"/>
  <c r="D38" i="7" s="1"/>
  <c r="D39" i="7" s="1"/>
  <c r="D3" i="7"/>
  <c r="D4" i="7"/>
  <c r="D2" i="7"/>
  <c r="I20" i="7"/>
  <c r="I9" i="1"/>
  <c r="I8" i="1"/>
  <c r="D3" i="1"/>
  <c r="D4" i="1"/>
  <c r="E13" i="33" s="1"/>
  <c r="D2" i="1"/>
  <c r="I19" i="1"/>
  <c r="I17" i="1"/>
  <c r="I18" i="1"/>
  <c r="I15" i="1"/>
  <c r="I14" i="1"/>
  <c r="I14" i="6"/>
  <c r="I13" i="6"/>
  <c r="I16" i="6"/>
  <c r="I18" i="6"/>
  <c r="D3" i="6"/>
  <c r="D4" i="6"/>
  <c r="D2" i="6"/>
  <c r="I11" i="5"/>
  <c r="I3" i="5"/>
  <c r="E35" i="5"/>
  <c r="I4" i="5"/>
  <c r="I6" i="5"/>
  <c r="I7" i="5"/>
  <c r="I8" i="5"/>
  <c r="I9" i="5"/>
  <c r="I10" i="5"/>
  <c r="I13" i="5"/>
  <c r="I14" i="5"/>
  <c r="I17" i="5"/>
  <c r="I16" i="5"/>
  <c r="I15" i="5"/>
  <c r="I18" i="5"/>
  <c r="I19" i="5"/>
  <c r="I20" i="5"/>
  <c r="E4" i="5"/>
  <c r="H4" i="5"/>
  <c r="D3" i="5"/>
  <c r="D2" i="5"/>
  <c r="L25" i="5" s="1"/>
  <c r="M25" i="5" s="1"/>
  <c r="I3" i="4"/>
  <c r="D3" i="4"/>
  <c r="D4" i="4"/>
  <c r="D2" i="4"/>
  <c r="L14" i="4" s="1"/>
  <c r="I10" i="32"/>
  <c r="I8" i="32"/>
  <c r="I9" i="32"/>
  <c r="E4" i="36" s="1"/>
  <c r="I15" i="32"/>
  <c r="I17" i="32"/>
  <c r="I18" i="32"/>
  <c r="I16" i="32"/>
  <c r="I2" i="32"/>
  <c r="I3" i="32"/>
  <c r="I4" i="32"/>
  <c r="I6" i="32"/>
  <c r="I7" i="32"/>
  <c r="I11" i="32"/>
  <c r="I13" i="32"/>
  <c r="I14" i="32"/>
  <c r="I19" i="32"/>
  <c r="I20" i="32"/>
  <c r="E35" i="32"/>
  <c r="W28" i="8"/>
  <c r="L22" i="5"/>
  <c r="L20" i="5"/>
  <c r="M20" i="5" s="1"/>
  <c r="L24" i="5"/>
  <c r="L11" i="5"/>
  <c r="M11" i="5" s="1"/>
  <c r="L9" i="5"/>
  <c r="J9" i="8"/>
  <c r="F35" i="36" s="1"/>
  <c r="E35" i="36"/>
  <c r="K9" i="8"/>
  <c r="G35" i="36" s="1"/>
  <c r="E34" i="36"/>
  <c r="J7" i="8"/>
  <c r="K7" i="8"/>
  <c r="E4" i="11"/>
  <c r="H4" i="11"/>
  <c r="E3" i="5"/>
  <c r="E8" i="33"/>
  <c r="H3" i="5"/>
  <c r="I8" i="33" s="1"/>
  <c r="H3" i="6"/>
  <c r="I10" i="33" s="1"/>
  <c r="E10" i="33"/>
  <c r="E3" i="6"/>
  <c r="E17" i="33"/>
  <c r="E3" i="8"/>
  <c r="E4" i="8"/>
  <c r="H4" i="8"/>
  <c r="E28" i="33"/>
  <c r="E3" i="13"/>
  <c r="G3" i="13" s="1"/>
  <c r="H28" i="33" s="1"/>
  <c r="E57" i="33"/>
  <c r="E3" i="24"/>
  <c r="H3" i="24"/>
  <c r="I57" i="33" s="1"/>
  <c r="E58" i="33"/>
  <c r="E4" i="24"/>
  <c r="H4" i="24"/>
  <c r="I58" i="33" s="1"/>
  <c r="E7" i="33"/>
  <c r="E2" i="55" s="1"/>
  <c r="E2" i="5"/>
  <c r="L13" i="5"/>
  <c r="H2" i="5"/>
  <c r="I7" i="33" s="1"/>
  <c r="I2" i="55" s="1"/>
  <c r="H2" i="7"/>
  <c r="I14" i="33" s="1"/>
  <c r="E14" i="33"/>
  <c r="E2" i="7"/>
  <c r="H2" i="8"/>
  <c r="I16" i="33" s="1"/>
  <c r="E2" i="8"/>
  <c r="E16" i="33"/>
  <c r="E2" i="11"/>
  <c r="E23" i="33"/>
  <c r="H2" i="24"/>
  <c r="I56" i="33" s="1"/>
  <c r="L16" i="24"/>
  <c r="M16" i="24" s="1"/>
  <c r="L17" i="24"/>
  <c r="L19" i="24"/>
  <c r="E2" i="24"/>
  <c r="E56" i="33"/>
  <c r="L6" i="24"/>
  <c r="L14" i="24"/>
  <c r="H3" i="16"/>
  <c r="I35" i="33" s="1"/>
  <c r="E35" i="33"/>
  <c r="E3" i="16"/>
  <c r="H4" i="12"/>
  <c r="E4" i="12"/>
  <c r="J20" i="8"/>
  <c r="K20" i="8"/>
  <c r="J19" i="8"/>
  <c r="K19" i="8"/>
  <c r="J18" i="8"/>
  <c r="K18" i="8"/>
  <c r="J15" i="8"/>
  <c r="E43" i="35" s="1"/>
  <c r="K15" i="8"/>
  <c r="F43" i="35" s="1"/>
  <c r="J16" i="8"/>
  <c r="E44" i="35" s="1"/>
  <c r="K16" i="8"/>
  <c r="F44" i="35" s="1"/>
  <c r="J17" i="8"/>
  <c r="E45" i="35" s="1"/>
  <c r="K17" i="8"/>
  <c r="F45" i="35" s="1"/>
  <c r="J14" i="8"/>
  <c r="E42" i="35" s="1"/>
  <c r="K14" i="8"/>
  <c r="F42" i="35" s="1"/>
  <c r="K13" i="8"/>
  <c r="F41" i="35" s="1"/>
  <c r="AI4" i="55" s="1"/>
  <c r="J13" i="8"/>
  <c r="E41" i="35" s="1"/>
  <c r="AH4" i="58" s="1"/>
  <c r="K11" i="8"/>
  <c r="J11" i="8"/>
  <c r="K10" i="8"/>
  <c r="G36" i="36" s="1"/>
  <c r="J10" i="8"/>
  <c r="F36" i="36" s="1"/>
  <c r="J8" i="8"/>
  <c r="K8" i="8"/>
  <c r="E33" i="36"/>
  <c r="K6" i="8"/>
  <c r="G32" i="36" s="1"/>
  <c r="J6" i="8"/>
  <c r="F32" i="36" s="1"/>
  <c r="E32" i="36"/>
  <c r="J4" i="8"/>
  <c r="K4" i="8"/>
  <c r="K2" i="8"/>
  <c r="L16" i="33" s="1"/>
  <c r="J16" i="33"/>
  <c r="K15" i="6"/>
  <c r="F23" i="35" s="1"/>
  <c r="J15" i="6"/>
  <c r="E23" i="35" s="1"/>
  <c r="J10" i="6"/>
  <c r="F21" i="36" s="1"/>
  <c r="K10" i="6"/>
  <c r="G21" i="36" s="1"/>
  <c r="E21" i="36"/>
  <c r="K14" i="4"/>
  <c r="J14" i="4"/>
  <c r="J13" i="4"/>
  <c r="E8" i="35" s="1"/>
  <c r="K13" i="4"/>
  <c r="F8" i="35" s="1"/>
  <c r="J10" i="4"/>
  <c r="F11" i="36" s="1"/>
  <c r="K10" i="4"/>
  <c r="G11" i="36" s="1"/>
  <c r="E11" i="36"/>
  <c r="K2" i="4"/>
  <c r="L5" i="33" s="1"/>
  <c r="J5" i="33"/>
  <c r="J2" i="4"/>
  <c r="K5" i="33" s="1"/>
  <c r="H3" i="32"/>
  <c r="I3" i="33" s="1"/>
  <c r="E3" i="33"/>
  <c r="J4" i="12"/>
  <c r="K4" i="12"/>
  <c r="W28" i="25"/>
  <c r="J3" i="8"/>
  <c r="K17" i="33" s="1"/>
  <c r="J17" i="33"/>
  <c r="K3" i="8"/>
  <c r="J2" i="8"/>
  <c r="D38" i="8"/>
  <c r="D39" i="8" s="1"/>
  <c r="G3" i="24"/>
  <c r="F3" i="24"/>
  <c r="G57" i="33" s="1"/>
  <c r="F57" i="33"/>
  <c r="G4" i="24"/>
  <c r="H58" i="33" s="1"/>
  <c r="F4" i="24"/>
  <c r="G58" i="33" s="1"/>
  <c r="F58" i="33"/>
  <c r="F4" i="12"/>
  <c r="G4" i="12"/>
  <c r="G2" i="24"/>
  <c r="F2" i="24"/>
  <c r="F56" i="33"/>
  <c r="E32" i="24"/>
  <c r="AL8" i="47"/>
  <c r="Z8" i="47"/>
  <c r="A8" i="34"/>
  <c r="J2" i="12"/>
  <c r="K25" i="33" s="1"/>
  <c r="J25" i="33"/>
  <c r="K2" i="12"/>
  <c r="L25" i="33" s="1"/>
  <c r="K14" i="12"/>
  <c r="F64" i="35" s="1"/>
  <c r="J20" i="12"/>
  <c r="K9" i="12"/>
  <c r="G55" i="36" s="1"/>
  <c r="E55" i="36"/>
  <c r="J9" i="12"/>
  <c r="F55" i="36" s="1"/>
  <c r="K18" i="12"/>
  <c r="F68" i="35" s="1"/>
  <c r="J18" i="12"/>
  <c r="E68" i="35" s="1"/>
  <c r="J13" i="12"/>
  <c r="E65" i="35" s="1"/>
  <c r="K13" i="12"/>
  <c r="F65" i="35" s="1"/>
  <c r="K7" i="12"/>
  <c r="G53" i="36" s="1"/>
  <c r="E53" i="36"/>
  <c r="J7" i="12"/>
  <c r="F53" i="36" s="1"/>
  <c r="J15" i="12"/>
  <c r="E67" i="35" s="1"/>
  <c r="K3" i="12"/>
  <c r="L26" i="33" s="1"/>
  <c r="J8" i="12"/>
  <c r="F54" i="36" s="1"/>
  <c r="W28" i="12"/>
  <c r="K16" i="12"/>
  <c r="F66" i="35" s="1"/>
  <c r="AI137" i="58" s="1"/>
  <c r="J10" i="12"/>
  <c r="F56" i="36" s="1"/>
  <c r="K11" i="12"/>
  <c r="E56" i="36"/>
  <c r="E52" i="36"/>
  <c r="J19" i="12"/>
  <c r="J26" i="33"/>
  <c r="A4" i="33"/>
  <c r="D4" i="47"/>
  <c r="C4" i="47"/>
  <c r="K10" i="1"/>
  <c r="G26" i="36" s="1"/>
  <c r="E26" i="36"/>
  <c r="E105" i="36"/>
  <c r="J6" i="12"/>
  <c r="F52" i="36" s="1"/>
  <c r="D38" i="12"/>
  <c r="D39" i="12" s="1"/>
  <c r="J17" i="12"/>
  <c r="E69" i="35" s="1"/>
  <c r="K8" i="12"/>
  <c r="G54" i="36" s="1"/>
  <c r="AM203" i="55"/>
  <c r="AK202" i="55"/>
  <c r="AI203" i="55"/>
  <c r="AF202" i="55"/>
  <c r="AJ202" i="55"/>
  <c r="AH203" i="55"/>
  <c r="AL198" i="55"/>
  <c r="AL204" i="55"/>
  <c r="AO204" i="55"/>
  <c r="AL203" i="55"/>
  <c r="AO203" i="55"/>
  <c r="AN202" i="55"/>
  <c r="AO202" i="55"/>
  <c r="AJ201" i="55"/>
  <c r="AO201" i="55"/>
  <c r="AG200" i="55"/>
  <c r="AO200" i="55"/>
  <c r="AH199" i="55"/>
  <c r="AO199" i="55"/>
  <c r="AJ198" i="55"/>
  <c r="AO198" i="55"/>
  <c r="AN221" i="55"/>
  <c r="AO221" i="55"/>
  <c r="AF197" i="55"/>
  <c r="AO197" i="55"/>
  <c r="AI220" i="55"/>
  <c r="AO220" i="55"/>
  <c r="AG196" i="55"/>
  <c r="AO196" i="55"/>
  <c r="AJ219" i="55"/>
  <c r="AO219" i="55"/>
  <c r="AG195" i="55"/>
  <c r="AO195" i="55"/>
  <c r="AJ218" i="55"/>
  <c r="AO218" i="55"/>
  <c r="AI194" i="55"/>
  <c r="AO194" i="55"/>
  <c r="AG217" i="55"/>
  <c r="AO217" i="55"/>
  <c r="AF193" i="55"/>
  <c r="AO193" i="55"/>
  <c r="AN216" i="55"/>
  <c r="AO216" i="55"/>
  <c r="AM192" i="55"/>
  <c r="AO192" i="55"/>
  <c r="AG215" i="55"/>
  <c r="AO215" i="55"/>
  <c r="AF191" i="55"/>
  <c r="AO191" i="55"/>
  <c r="AH214" i="55"/>
  <c r="AO214" i="55"/>
  <c r="AI190" i="55"/>
  <c r="AO190" i="55"/>
  <c r="AG213" i="55"/>
  <c r="AO213" i="55"/>
  <c r="AH189" i="55"/>
  <c r="AO189" i="55"/>
  <c r="AJ212" i="55"/>
  <c r="AO212" i="55"/>
  <c r="AL188" i="55"/>
  <c r="AO188" i="55"/>
  <c r="AL211" i="55"/>
  <c r="AO211" i="55"/>
  <c r="AI187" i="55"/>
  <c r="AO187" i="55"/>
  <c r="AF210" i="55"/>
  <c r="AO210" i="55"/>
  <c r="AM209" i="55"/>
  <c r="AO209" i="55"/>
  <c r="AJ208" i="55"/>
  <c r="AO208" i="55"/>
  <c r="AF207" i="55"/>
  <c r="AO207" i="55"/>
  <c r="AG206" i="55"/>
  <c r="AO206" i="55"/>
  <c r="AN205" i="55"/>
  <c r="AO205" i="55"/>
  <c r="J3" i="21"/>
  <c r="K49" i="33" s="1"/>
  <c r="J49" i="33"/>
  <c r="J17" i="21"/>
  <c r="K4" i="21"/>
  <c r="J4" i="21"/>
  <c r="E108" i="36"/>
  <c r="K7" i="21"/>
  <c r="G108" i="36" s="1"/>
  <c r="J16" i="21"/>
  <c r="K16" i="21"/>
  <c r="K2" i="21"/>
  <c r="L48" i="33" s="1"/>
  <c r="J48" i="33"/>
  <c r="W28" i="21"/>
  <c r="K14" i="21"/>
  <c r="J14" i="21"/>
  <c r="E139" i="35" s="1"/>
  <c r="J9" i="21"/>
  <c r="F110" i="36" s="1"/>
  <c r="K9" i="21"/>
  <c r="G110" i="36" s="1"/>
  <c r="E110" i="36"/>
  <c r="K6" i="21"/>
  <c r="G107" i="36" s="1"/>
  <c r="J7" i="21"/>
  <c r="F108" i="36" s="1"/>
  <c r="J6" i="21"/>
  <c r="F107" i="36" s="1"/>
  <c r="J2" i="21"/>
  <c r="K48" i="33" s="1"/>
  <c r="K11" i="21"/>
  <c r="K20" i="21"/>
  <c r="AB28" i="12"/>
  <c r="I8" i="25"/>
  <c r="J19" i="27"/>
  <c r="K19" i="27"/>
  <c r="J13" i="27"/>
  <c r="J63" i="33"/>
  <c r="J4" i="27"/>
  <c r="K63" i="33" s="1"/>
  <c r="J14" i="33"/>
  <c r="K2" i="7"/>
  <c r="L14" i="33" s="1"/>
  <c r="J10" i="1"/>
  <c r="F26" i="36" s="1"/>
  <c r="K11" i="1"/>
  <c r="J11" i="1"/>
  <c r="AS3" i="55"/>
  <c r="AD3" i="48"/>
  <c r="AI188" i="55"/>
  <c r="AF214" i="55"/>
  <c r="AI214" i="55"/>
  <c r="AN214" i="55"/>
  <c r="J16" i="2"/>
  <c r="K16" i="2"/>
  <c r="J20" i="2"/>
  <c r="D3" i="31"/>
  <c r="W28" i="2"/>
  <c r="J67" i="33"/>
  <c r="I2" i="2"/>
  <c r="J68" i="33"/>
  <c r="AN210" i="55"/>
  <c r="AF188" i="55"/>
  <c r="AJ213" i="55"/>
  <c r="AM206" i="55"/>
  <c r="AJ188" i="55"/>
  <c r="AK206" i="55"/>
  <c r="AM205" i="55"/>
  <c r="AH212" i="55"/>
  <c r="AF206" i="55"/>
  <c r="AF205" i="55"/>
  <c r="AG188" i="55"/>
  <c r="AM188" i="55"/>
  <c r="AL206" i="55"/>
  <c r="AK188" i="55"/>
  <c r="AN206" i="55"/>
  <c r="AI199" i="55"/>
  <c r="L24" i="55"/>
  <c r="AH210" i="55"/>
  <c r="AL197" i="55"/>
  <c r="AF199" i="55"/>
  <c r="AL199" i="55"/>
  <c r="AK205" i="55"/>
  <c r="AG202" i="55"/>
  <c r="AH220" i="55"/>
  <c r="AJ205" i="55"/>
  <c r="AJ220" i="55"/>
  <c r="AN198" i="55"/>
  <c r="AG197" i="55"/>
  <c r="AJ203" i="55"/>
  <c r="AL205" i="55"/>
  <c r="AJ199" i="55"/>
  <c r="AK210" i="55"/>
  <c r="AH198" i="55"/>
  <c r="AN199" i="55"/>
  <c r="AI205" i="55"/>
  <c r="AI198" i="55"/>
  <c r="AN203" i="55"/>
  <c r="AM202" i="55"/>
  <c r="AM197" i="55"/>
  <c r="AG198" i="55"/>
  <c r="AH202" i="55"/>
  <c r="AG199" i="55"/>
  <c r="AG220" i="55"/>
  <c r="AH213" i="55"/>
  <c r="AK198" i="55"/>
  <c r="AN220" i="55"/>
  <c r="AJ197" i="55"/>
  <c r="AI202" i="55"/>
  <c r="AH196" i="55"/>
  <c r="AH197" i="55"/>
  <c r="AG208" i="55"/>
  <c r="AM187" i="55"/>
  <c r="AJ207" i="55"/>
  <c r="AI210" i="55"/>
  <c r="AH206" i="55"/>
  <c r="AL191" i="55"/>
  <c r="H4" i="14"/>
  <c r="I31" i="33" s="1"/>
  <c r="E3" i="11"/>
  <c r="H2" i="11"/>
  <c r="I23" i="33" s="1"/>
  <c r="L15" i="11"/>
  <c r="M15" i="11" s="1"/>
  <c r="L16" i="11"/>
  <c r="M16" i="11" s="1"/>
  <c r="L19" i="11"/>
  <c r="M19" i="11" s="1"/>
  <c r="L17" i="11"/>
  <c r="M17" i="11" s="1"/>
  <c r="L18" i="11"/>
  <c r="M18" i="11" s="1"/>
  <c r="E24" i="33"/>
  <c r="L22" i="11"/>
  <c r="M22" i="11" s="1"/>
  <c r="F29" i="34" s="1"/>
  <c r="J11" i="6"/>
  <c r="K11" i="6"/>
  <c r="K20" i="6"/>
  <c r="J20" i="6"/>
  <c r="K17" i="6"/>
  <c r="F24" i="35" s="1"/>
  <c r="J2" i="6"/>
  <c r="K9" i="33" s="1"/>
  <c r="K4" i="55" s="1"/>
  <c r="K8" i="6"/>
  <c r="J8" i="6"/>
  <c r="K2" i="6"/>
  <c r="L9" i="33" s="1"/>
  <c r="L4" i="55" s="1"/>
  <c r="J7" i="6"/>
  <c r="F19" i="36" s="1"/>
  <c r="E139" i="36"/>
  <c r="L10" i="24"/>
  <c r="H126" i="36" s="1"/>
  <c r="L11" i="24"/>
  <c r="M11" i="24" s="1"/>
  <c r="L20" i="24"/>
  <c r="M20" i="24" s="1"/>
  <c r="N20" i="24" s="1"/>
  <c r="L23" i="24"/>
  <c r="L13" i="24"/>
  <c r="M13" i="24" s="1"/>
  <c r="H154" i="35" s="1"/>
  <c r="L22" i="24"/>
  <c r="M22" i="24" s="1"/>
  <c r="L15" i="24"/>
  <c r="L24" i="24"/>
  <c r="M24" i="24" s="1"/>
  <c r="F73" i="34" s="1"/>
  <c r="L25" i="24"/>
  <c r="M25" i="24" s="1"/>
  <c r="O25" i="24" s="1"/>
  <c r="L9" i="24"/>
  <c r="H125" i="36" s="1"/>
  <c r="L18" i="24"/>
  <c r="M18" i="24" s="1"/>
  <c r="O18" i="24" s="1"/>
  <c r="L7" i="24"/>
  <c r="H123" i="36" s="1"/>
  <c r="L8" i="24"/>
  <c r="H124" i="36" s="1"/>
  <c r="W28" i="20"/>
  <c r="H4" i="10"/>
  <c r="E4" i="10"/>
  <c r="F4" i="10" s="1"/>
  <c r="H3" i="10"/>
  <c r="I22" i="33" s="1"/>
  <c r="AB28" i="10"/>
  <c r="E15" i="33"/>
  <c r="H3" i="7"/>
  <c r="I15" i="33" s="1"/>
  <c r="E3" i="7"/>
  <c r="J3" i="7"/>
  <c r="K15" i="33" s="1"/>
  <c r="J15" i="33"/>
  <c r="J3" i="1"/>
  <c r="J12" i="33"/>
  <c r="K3" i="1"/>
  <c r="E12" i="33"/>
  <c r="E3" i="1"/>
  <c r="H3" i="1"/>
  <c r="K4" i="1"/>
  <c r="L13" i="33" s="1"/>
  <c r="J4" i="1"/>
  <c r="K13" i="33" s="1"/>
  <c r="K6" i="1"/>
  <c r="G22" i="36" s="1"/>
  <c r="E22" i="36"/>
  <c r="J6" i="1"/>
  <c r="F22" i="36" s="1"/>
  <c r="L11" i="33"/>
  <c r="J16" i="1"/>
  <c r="K16" i="1"/>
  <c r="J20" i="1"/>
  <c r="K7" i="1"/>
  <c r="G23" i="36" s="1"/>
  <c r="V41" i="58" s="1"/>
  <c r="E23" i="36"/>
  <c r="T41" i="58" s="1"/>
  <c r="K13" i="1"/>
  <c r="F27" i="35" s="1"/>
  <c r="AI13" i="58" s="1"/>
  <c r="J11" i="33"/>
  <c r="L25" i="1"/>
  <c r="M25" i="1" s="1"/>
  <c r="O25" i="1" s="1"/>
  <c r="L8" i="1"/>
  <c r="J2" i="1"/>
  <c r="L9" i="1"/>
  <c r="M9" i="1" s="1"/>
  <c r="L11" i="1"/>
  <c r="M11" i="1" s="1"/>
  <c r="O11" i="1" s="1"/>
  <c r="L13" i="1"/>
  <c r="M13" i="1" s="1"/>
  <c r="W28" i="1"/>
  <c r="L16" i="1"/>
  <c r="M16" i="1" s="1"/>
  <c r="E4" i="6"/>
  <c r="H4" i="6"/>
  <c r="K9" i="6"/>
  <c r="G20" i="36" s="1"/>
  <c r="J9" i="6"/>
  <c r="F20" i="36" s="1"/>
  <c r="J4" i="6"/>
  <c r="L7" i="6"/>
  <c r="L20" i="6"/>
  <c r="M20" i="6" s="1"/>
  <c r="N20" i="6" s="1"/>
  <c r="K3" i="6"/>
  <c r="L10" i="33" s="1"/>
  <c r="J3" i="6"/>
  <c r="K10" i="33" s="1"/>
  <c r="K19" i="6"/>
  <c r="F26" i="35" s="1"/>
  <c r="J19" i="6"/>
  <c r="E26" i="35" s="1"/>
  <c r="J6" i="6"/>
  <c r="F17" i="36" s="1"/>
  <c r="U14" i="55" s="1"/>
  <c r="K6" i="6"/>
  <c r="G17" i="36" s="1"/>
  <c r="V14" i="55" s="1"/>
  <c r="E17" i="36"/>
  <c r="T14" i="55" s="1"/>
  <c r="L14" i="6"/>
  <c r="M14" i="6" s="1"/>
  <c r="L6" i="6"/>
  <c r="H17" i="36" s="1"/>
  <c r="W6" i="58" s="1"/>
  <c r="L19" i="6"/>
  <c r="G26" i="35" s="1"/>
  <c r="E19" i="36"/>
  <c r="L22" i="6"/>
  <c r="M22" i="6" s="1"/>
  <c r="L8" i="6"/>
  <c r="L23" i="6"/>
  <c r="E12" i="34" s="1"/>
  <c r="L9" i="6"/>
  <c r="M9" i="6" s="1"/>
  <c r="L24" i="6"/>
  <c r="M24" i="6" s="1"/>
  <c r="N24" i="6" s="1"/>
  <c r="G13" i="34" s="1"/>
  <c r="L25" i="6"/>
  <c r="M25" i="6" s="1"/>
  <c r="O25" i="6" s="1"/>
  <c r="L10" i="6"/>
  <c r="H21" i="36" s="1"/>
  <c r="L11" i="6"/>
  <c r="M11" i="6" s="1"/>
  <c r="O11" i="6" s="1"/>
  <c r="L18" i="6"/>
  <c r="M18" i="6" s="1"/>
  <c r="N18" i="6" s="1"/>
  <c r="I25" i="35" s="1"/>
  <c r="W28" i="6"/>
  <c r="L17" i="6"/>
  <c r="G24" i="35" s="1"/>
  <c r="AJ131" i="58" s="1"/>
  <c r="L16" i="6"/>
  <c r="M16" i="6" s="1"/>
  <c r="L13" i="6"/>
  <c r="M13" i="6" s="1"/>
  <c r="L15" i="6"/>
  <c r="K4" i="4"/>
  <c r="J4" i="4"/>
  <c r="K8" i="4"/>
  <c r="G9" i="36" s="1"/>
  <c r="E9" i="36"/>
  <c r="J8" i="4"/>
  <c r="F9" i="36" s="1"/>
  <c r="J9" i="4"/>
  <c r="F10" i="36" s="1"/>
  <c r="K9" i="4"/>
  <c r="G10" i="36" s="1"/>
  <c r="E10" i="36"/>
  <c r="K17" i="4"/>
  <c r="J17" i="4"/>
  <c r="J6" i="4"/>
  <c r="F7" i="36" s="1"/>
  <c r="E7" i="36"/>
  <c r="K6" i="4"/>
  <c r="G7" i="36" s="1"/>
  <c r="J16" i="4"/>
  <c r="E9" i="35" s="1"/>
  <c r="K16" i="4"/>
  <c r="L6" i="4"/>
  <c r="M6" i="4" s="1"/>
  <c r="N6" i="4" s="1"/>
  <c r="J11" i="4"/>
  <c r="K20" i="4"/>
  <c r="W28" i="4"/>
  <c r="K15" i="4"/>
  <c r="L7" i="4"/>
  <c r="H8" i="36" s="1"/>
  <c r="L17" i="4"/>
  <c r="M17" i="4" s="1"/>
  <c r="H3" i="4"/>
  <c r="I6" i="33" s="1"/>
  <c r="K18" i="4"/>
  <c r="F13" i="35" s="1"/>
  <c r="E8" i="36"/>
  <c r="L18" i="4"/>
  <c r="G13" i="35" s="1"/>
  <c r="L9" i="4"/>
  <c r="H10" i="36" s="1"/>
  <c r="K19" i="4"/>
  <c r="L19" i="4"/>
  <c r="M19" i="4" s="1"/>
  <c r="N19" i="4" s="1"/>
  <c r="L10" i="4"/>
  <c r="M10" i="4" s="1"/>
  <c r="O10" i="4" s="1"/>
  <c r="K11" i="36" s="1"/>
  <c r="E2" i="4"/>
  <c r="K7" i="4"/>
  <c r="G8" i="36" s="1"/>
  <c r="E27" i="33"/>
  <c r="E19" i="55" s="1"/>
  <c r="AB28" i="13"/>
  <c r="L8" i="7"/>
  <c r="H29" i="36" s="1"/>
  <c r="L18" i="7"/>
  <c r="G39" i="35" s="1"/>
  <c r="E29" i="36"/>
  <c r="L7" i="7"/>
  <c r="M7" i="7" s="1"/>
  <c r="L19" i="7"/>
  <c r="M19" i="7" s="1"/>
  <c r="N19" i="7" s="1"/>
  <c r="I40" i="35" s="1"/>
  <c r="L9" i="7"/>
  <c r="H30" i="36" s="1"/>
  <c r="L20" i="7"/>
  <c r="M20" i="7" s="1"/>
  <c r="O20" i="7" s="1"/>
  <c r="L16" i="7"/>
  <c r="G38" i="35" s="1"/>
  <c r="L23" i="7"/>
  <c r="M23" i="7" s="1"/>
  <c r="L17" i="7"/>
  <c r="M17" i="7" s="1"/>
  <c r="O17" i="7" s="1"/>
  <c r="L10" i="7"/>
  <c r="M10" i="7" s="1"/>
  <c r="O10" i="7" s="1"/>
  <c r="K31" i="36" s="1"/>
  <c r="K13" i="7"/>
  <c r="AB28" i="7"/>
  <c r="L22" i="7"/>
  <c r="M22" i="7" s="1"/>
  <c r="L11" i="7"/>
  <c r="M11" i="7" s="1"/>
  <c r="L24" i="7"/>
  <c r="E19" i="34" s="1"/>
  <c r="L25" i="7"/>
  <c r="M25" i="7" s="1"/>
  <c r="N25" i="7" s="1"/>
  <c r="L13" i="7"/>
  <c r="M13" i="7" s="1"/>
  <c r="L14" i="7"/>
  <c r="M14" i="7" s="1"/>
  <c r="L6" i="7"/>
  <c r="H27" i="36" s="1"/>
  <c r="L15" i="7"/>
  <c r="G36" i="35" s="1"/>
  <c r="AB28" i="5"/>
  <c r="A4" i="36"/>
  <c r="J4" i="47"/>
  <c r="K4" i="47"/>
  <c r="L4" i="47"/>
  <c r="I19" i="31"/>
  <c r="K19" i="31" s="1"/>
  <c r="F203" i="35" s="1"/>
  <c r="I18" i="31"/>
  <c r="J18" i="31" s="1"/>
  <c r="I16" i="31"/>
  <c r="K16" i="31" s="1"/>
  <c r="I15" i="31"/>
  <c r="J15" i="31" s="1"/>
  <c r="I4" i="31"/>
  <c r="K4" i="31" s="1"/>
  <c r="L76" i="33" s="1"/>
  <c r="I14" i="31"/>
  <c r="J14" i="31" s="1"/>
  <c r="I10" i="31"/>
  <c r="E161" i="36" s="1"/>
  <c r="I11" i="31"/>
  <c r="K11" i="31" s="1"/>
  <c r="I20" i="31"/>
  <c r="K20" i="31" s="1"/>
  <c r="E35" i="31"/>
  <c r="I13" i="31"/>
  <c r="J13" i="31" s="1"/>
  <c r="E197" i="35" s="1"/>
  <c r="I2" i="31"/>
  <c r="J74" i="33" s="1"/>
  <c r="J3" i="55" s="1"/>
  <c r="I17" i="31"/>
  <c r="J17" i="31" s="1"/>
  <c r="E198" i="35" s="1"/>
  <c r="I3" i="31"/>
  <c r="J75" i="33" s="1"/>
  <c r="W28" i="14"/>
  <c r="W28" i="31"/>
  <c r="AB28" i="2"/>
  <c r="K11" i="27"/>
  <c r="J11" i="27"/>
  <c r="J16" i="27"/>
  <c r="K16" i="27"/>
  <c r="J17" i="27"/>
  <c r="E170" i="35" s="1"/>
  <c r="K17" i="27"/>
  <c r="F170" i="35" s="1"/>
  <c r="J20" i="27"/>
  <c r="K20" i="27"/>
  <c r="J62" i="33"/>
  <c r="J15" i="27"/>
  <c r="E169" i="35" s="1"/>
  <c r="E133" i="36"/>
  <c r="J7" i="27"/>
  <c r="F133" i="36" s="1"/>
  <c r="K7" i="27"/>
  <c r="G133" i="36" s="1"/>
  <c r="J14" i="27"/>
  <c r="K14" i="27"/>
  <c r="K6" i="27"/>
  <c r="G132" i="36" s="1"/>
  <c r="J6" i="27"/>
  <c r="F132" i="36" s="1"/>
  <c r="E132" i="36"/>
  <c r="J18" i="27"/>
  <c r="E172" i="35" s="1"/>
  <c r="W28" i="27"/>
  <c r="K3" i="27"/>
  <c r="L62" i="33" s="1"/>
  <c r="AB28" i="26"/>
  <c r="I10" i="20"/>
  <c r="J10" i="20" s="1"/>
  <c r="F106" i="36" s="1"/>
  <c r="J13" i="20"/>
  <c r="E129" i="35" s="1"/>
  <c r="AB28" i="18"/>
  <c r="AB28" i="14"/>
  <c r="E4" i="14"/>
  <c r="K8" i="13"/>
  <c r="E60" i="36"/>
  <c r="AB28" i="28"/>
  <c r="AA28" i="26"/>
  <c r="W28" i="9"/>
  <c r="AN192" i="55"/>
  <c r="AF192" i="55"/>
  <c r="AJ210" i="55"/>
  <c r="AM210" i="55"/>
  <c r="AG210" i="55"/>
  <c r="AI215" i="55"/>
  <c r="AF215" i="55"/>
  <c r="AK215" i="55"/>
  <c r="K10" i="22"/>
  <c r="G116" i="36" s="1"/>
  <c r="J13" i="19"/>
  <c r="K13" i="19"/>
  <c r="F128" i="35" s="1"/>
  <c r="K4" i="19"/>
  <c r="J4" i="19"/>
  <c r="J17" i="19"/>
  <c r="K17" i="19"/>
  <c r="K19" i="19"/>
  <c r="F127" i="35" s="1"/>
  <c r="E101" i="36"/>
  <c r="J14" i="19"/>
  <c r="E125" i="35" s="1"/>
  <c r="K14" i="19"/>
  <c r="F125" i="35" s="1"/>
  <c r="K2" i="19"/>
  <c r="J2" i="19"/>
  <c r="J44" i="33"/>
  <c r="K3" i="19"/>
  <c r="L45" i="33" s="1"/>
  <c r="J45" i="33"/>
  <c r="J3" i="19"/>
  <c r="K45" i="33" s="1"/>
  <c r="K15" i="19"/>
  <c r="F124" i="35" s="1"/>
  <c r="J11" i="19"/>
  <c r="W28" i="19"/>
  <c r="J18" i="19"/>
  <c r="J20" i="19"/>
  <c r="J10" i="19"/>
  <c r="F101" i="36" s="1"/>
  <c r="J13" i="2"/>
  <c r="E178" i="35" s="1"/>
  <c r="AH22" i="57" s="1"/>
  <c r="K13" i="2"/>
  <c r="F178" i="35" s="1"/>
  <c r="E142" i="36"/>
  <c r="T4" i="57" s="1"/>
  <c r="K6" i="2"/>
  <c r="G142" i="36" s="1"/>
  <c r="V4" i="57" s="1"/>
  <c r="J6" i="2"/>
  <c r="F142" i="36" s="1"/>
  <c r="U4" i="57" s="1"/>
  <c r="K4" i="2"/>
  <c r="L68" i="33" s="1"/>
  <c r="J3" i="2"/>
  <c r="K67" i="33" s="1"/>
  <c r="J14" i="2"/>
  <c r="E179" i="35" s="1"/>
  <c r="AH38" i="57" s="1"/>
  <c r="AB28" i="24"/>
  <c r="W28" i="17"/>
  <c r="AL103" i="47"/>
  <c r="Q3" i="47"/>
  <c r="S4" i="47"/>
  <c r="AO104" i="47"/>
  <c r="R4" i="47"/>
  <c r="Q4" i="47"/>
  <c r="E3" i="32"/>
  <c r="AL104" i="47"/>
  <c r="AB28" i="32"/>
  <c r="AA28" i="32"/>
  <c r="AB28" i="30"/>
  <c r="W28" i="30"/>
  <c r="AB28" i="16"/>
  <c r="AA28" i="16"/>
  <c r="AB28" i="6"/>
  <c r="AB28" i="23"/>
  <c r="AB28" i="31"/>
  <c r="AA28" i="31"/>
  <c r="K13" i="21"/>
  <c r="F135" i="35" s="1"/>
  <c r="J13" i="21"/>
  <c r="E135" i="35" s="1"/>
  <c r="E109" i="36"/>
  <c r="J8" i="21"/>
  <c r="F109" i="36" s="1"/>
  <c r="K8" i="21"/>
  <c r="E111" i="36"/>
  <c r="K10" i="21"/>
  <c r="G111" i="36" s="1"/>
  <c r="J10" i="21"/>
  <c r="F111" i="36" s="1"/>
  <c r="AB28" i="21"/>
  <c r="AB28" i="1"/>
  <c r="K19" i="28"/>
  <c r="J19" i="28"/>
  <c r="K6" i="28"/>
  <c r="G137" i="36" s="1"/>
  <c r="J6" i="28"/>
  <c r="F137" i="36" s="1"/>
  <c r="J9" i="28"/>
  <c r="K16" i="28"/>
  <c r="F175" i="35" s="1"/>
  <c r="AI82" i="58" s="1"/>
  <c r="E138" i="36"/>
  <c r="J64" i="33"/>
  <c r="K2" i="28"/>
  <c r="L64" i="33" s="1"/>
  <c r="K18" i="28"/>
  <c r="J18" i="28"/>
  <c r="K8" i="28"/>
  <c r="J8" i="28"/>
  <c r="F140" i="36" s="1"/>
  <c r="U39" i="55" s="1"/>
  <c r="E140" i="36"/>
  <c r="K3" i="28"/>
  <c r="L65" i="33" s="1"/>
  <c r="J65" i="33"/>
  <c r="J3" i="28"/>
  <c r="K65" i="33" s="1"/>
  <c r="J15" i="28"/>
  <c r="E176" i="35" s="1"/>
  <c r="AH124" i="58" s="1"/>
  <c r="J4" i="28"/>
  <c r="K14" i="26"/>
  <c r="E129" i="36"/>
  <c r="T83" i="57" s="1"/>
  <c r="K7" i="26"/>
  <c r="J7" i="26"/>
  <c r="K11" i="26"/>
  <c r="W28" i="15"/>
  <c r="I6" i="15"/>
  <c r="AB28" i="15"/>
  <c r="AN188" i="55"/>
  <c r="AK199" i="55"/>
  <c r="AN193" i="55"/>
  <c r="AL208" i="55"/>
  <c r="AH187" i="55"/>
  <c r="AM195" i="55"/>
  <c r="AL195" i="55"/>
  <c r="AN217" i="55"/>
  <c r="AK196" i="55"/>
  <c r="AH211" i="55"/>
  <c r="AH190" i="55"/>
  <c r="AL190" i="55"/>
  <c r="AF212" i="55"/>
  <c r="AJ217" i="55"/>
  <c r="AH195" i="55"/>
  <c r="AG203" i="55"/>
  <c r="AK192" i="55"/>
  <c r="AK195" i="55"/>
  <c r="AN195" i="55"/>
  <c r="AM190" i="55"/>
  <c r="AI195" i="55"/>
  <c r="AJ195" i="55"/>
  <c r="AG209" i="55"/>
  <c r="AI196" i="55"/>
  <c r="AF195" i="55"/>
  <c r="AJ209" i="55"/>
  <c r="AJ190" i="55"/>
  <c r="AJ196" i="55"/>
  <c r="AF190" i="55"/>
  <c r="AH209" i="55"/>
  <c r="AN190" i="55"/>
  <c r="AM217" i="55"/>
  <c r="AF196" i="55"/>
  <c r="AK190" i="55"/>
  <c r="AL209" i="55"/>
  <c r="AN196" i="55"/>
  <c r="AK209" i="55"/>
  <c r="AF217" i="55"/>
  <c r="AL217" i="55"/>
  <c r="AN209" i="55"/>
  <c r="AL192" i="55"/>
  <c r="AK217" i="55"/>
  <c r="AI217" i="55"/>
  <c r="AM196" i="55"/>
  <c r="AI209" i="55"/>
  <c r="AG190" i="55"/>
  <c r="AM211" i="55"/>
  <c r="AL196" i="55"/>
  <c r="AF209" i="55"/>
  <c r="AN212" i="55"/>
  <c r="AK214" i="55"/>
  <c r="AJ192" i="55"/>
  <c r="AI192" i="55"/>
  <c r="AJ193" i="55"/>
  <c r="AK211" i="55"/>
  <c r="AG192" i="55"/>
  <c r="AI211" i="55"/>
  <c r="AH193" i="55"/>
  <c r="AI193" i="55"/>
  <c r="AF189" i="55"/>
  <c r="AI213" i="55"/>
  <c r="AF213" i="55"/>
  <c r="AL214" i="55"/>
  <c r="AK208" i="55"/>
  <c r="AF211" i="55"/>
  <c r="AK193" i="55"/>
  <c r="AJ214" i="55"/>
  <c r="AM214" i="55"/>
  <c r="AN213" i="55"/>
  <c r="AM212" i="55"/>
  <c r="AH192" i="55"/>
  <c r="AK213" i="55"/>
  <c r="AL193" i="55"/>
  <c r="AK212" i="55"/>
  <c r="AJ211" i="55"/>
  <c r="AM193" i="55"/>
  <c r="AI212" i="55"/>
  <c r="AG211" i="55"/>
  <c r="AN211" i="55"/>
  <c r="AL212" i="55"/>
  <c r="AG214" i="55"/>
  <c r="AG212" i="55"/>
  <c r="AL213" i="55"/>
  <c r="AM213" i="55"/>
  <c r="AI208" i="55"/>
  <c r="AH204" i="55"/>
  <c r="AG207" i="55"/>
  <c r="AN208" i="55"/>
  <c r="AG191" i="55"/>
  <c r="AK191" i="55"/>
  <c r="AK204" i="55"/>
  <c r="AL189" i="55"/>
  <c r="AH207" i="55"/>
  <c r="AG204" i="55"/>
  <c r="AL207" i="55"/>
  <c r="AK189" i="55"/>
  <c r="AN191" i="55"/>
  <c r="AG189" i="55"/>
  <c r="AM204" i="55"/>
  <c r="AH191" i="55"/>
  <c r="AN207" i="55"/>
  <c r="AL187" i="55"/>
  <c r="AN189" i="55"/>
  <c r="AN204" i="55"/>
  <c r="AI189" i="55"/>
  <c r="AM207" i="55"/>
  <c r="AH208" i="55"/>
  <c r="AG187" i="55"/>
  <c r="AM191" i="55"/>
  <c r="AK207" i="55"/>
  <c r="AJ191" i="55"/>
  <c r="AM208" i="55"/>
  <c r="AI207" i="55"/>
  <c r="AJ189" i="55"/>
  <c r="AF204" i="55"/>
  <c r="AK187" i="55"/>
  <c r="AN187" i="55"/>
  <c r="AF208" i="55"/>
  <c r="AJ187" i="55"/>
  <c r="AF187" i="55"/>
  <c r="AJ204" i="55"/>
  <c r="AM189" i="55"/>
  <c r="AF216" i="55"/>
  <c r="AK221" i="55"/>
  <c r="AG201" i="55"/>
  <c r="AI216" i="55"/>
  <c r="AH216" i="55"/>
  <c r="AG221" i="55"/>
  <c r="AL216" i="55"/>
  <c r="AM221" i="55"/>
  <c r="AJ221" i="55"/>
  <c r="AI221" i="55"/>
  <c r="AM216" i="55"/>
  <c r="AL221" i="55"/>
  <c r="AM201" i="55"/>
  <c r="AK201" i="55"/>
  <c r="AN215" i="55"/>
  <c r="AH201" i="55"/>
  <c r="AK203" i="55"/>
  <c r="AI201" i="55"/>
  <c r="AN201" i="55"/>
  <c r="AH221" i="55"/>
  <c r="AJ216" i="55"/>
  <c r="J4" i="55"/>
  <c r="AG216" i="55"/>
  <c r="AL220" i="55"/>
  <c r="AH188" i="55"/>
  <c r="AF221" i="55"/>
  <c r="AK216" i="55"/>
  <c r="K19" i="22"/>
  <c r="J10" i="22"/>
  <c r="F116" i="36" s="1"/>
  <c r="K14" i="22"/>
  <c r="F142" i="35" s="1"/>
  <c r="J14" i="22"/>
  <c r="E142" i="35" s="1"/>
  <c r="J16" i="22"/>
  <c r="K16" i="22"/>
  <c r="F144" i="35" s="1"/>
  <c r="J9" i="22"/>
  <c r="K9" i="22"/>
  <c r="K18" i="22"/>
  <c r="J18" i="22"/>
  <c r="J17" i="22"/>
  <c r="E113" i="36"/>
  <c r="J7" i="22"/>
  <c r="F113" i="36" s="1"/>
  <c r="K15" i="22"/>
  <c r="F143" i="35" s="1"/>
  <c r="J15" i="22"/>
  <c r="E143" i="35" s="1"/>
  <c r="W28" i="22"/>
  <c r="J11" i="22"/>
  <c r="K11" i="22"/>
  <c r="K20" i="22"/>
  <c r="J20" i="22"/>
  <c r="K13" i="22"/>
  <c r="F141" i="35" s="1"/>
  <c r="J13" i="22"/>
  <c r="E141" i="35" s="1"/>
  <c r="AA28" i="28"/>
  <c r="AA28" i="30"/>
  <c r="AB28" i="29"/>
  <c r="E150" i="36"/>
  <c r="K9" i="29"/>
  <c r="G150" i="36" s="1"/>
  <c r="J9" i="29"/>
  <c r="F150" i="36" s="1"/>
  <c r="J7" i="29"/>
  <c r="F148" i="36" s="1"/>
  <c r="E148" i="36"/>
  <c r="K7" i="29"/>
  <c r="G148" i="36" s="1"/>
  <c r="K11" i="29"/>
  <c r="J11" i="29"/>
  <c r="K18" i="29"/>
  <c r="F189" i="35" s="1"/>
  <c r="J18" i="29"/>
  <c r="E189" i="35" s="1"/>
  <c r="K10" i="29"/>
  <c r="G151" i="36" s="1"/>
  <c r="E151" i="36"/>
  <c r="J10" i="29"/>
  <c r="F151" i="36" s="1"/>
  <c r="K6" i="29"/>
  <c r="G147" i="36" s="1"/>
  <c r="E147" i="36"/>
  <c r="J6" i="29"/>
  <c r="F147" i="36" s="1"/>
  <c r="W28" i="29"/>
  <c r="K16" i="29"/>
  <c r="J16" i="29"/>
  <c r="J17" i="29"/>
  <c r="K17" i="29"/>
  <c r="J69" i="33"/>
  <c r="J2" i="29"/>
  <c r="K2" i="29"/>
  <c r="D38" i="29"/>
  <c r="D39" i="29" s="1"/>
  <c r="K3" i="29"/>
  <c r="L70" i="33" s="1"/>
  <c r="J3" i="29"/>
  <c r="K70" i="33" s="1"/>
  <c r="J70" i="33"/>
  <c r="J20" i="29"/>
  <c r="K20" i="29"/>
  <c r="J13" i="29"/>
  <c r="K13" i="29"/>
  <c r="K15" i="29"/>
  <c r="J15" i="29"/>
  <c r="E149" i="36"/>
  <c r="K8" i="29"/>
  <c r="G149" i="36" s="1"/>
  <c r="J8" i="29"/>
  <c r="F149" i="36" s="1"/>
  <c r="K14" i="29"/>
  <c r="J14" i="29"/>
  <c r="J19" i="29"/>
  <c r="K4" i="29"/>
  <c r="AA28" i="29"/>
  <c r="J7" i="28"/>
  <c r="F138" i="36" s="1"/>
  <c r="E141" i="36"/>
  <c r="J10" i="28"/>
  <c r="F141" i="36" s="1"/>
  <c r="J17" i="28"/>
  <c r="E177" i="35" s="1"/>
  <c r="E137" i="36"/>
  <c r="J14" i="28"/>
  <c r="E174" i="35" s="1"/>
  <c r="J11" i="28"/>
  <c r="K11" i="28"/>
  <c r="D38" i="28"/>
  <c r="D39" i="28" s="1"/>
  <c r="K20" i="28"/>
  <c r="J20" i="28"/>
  <c r="J13" i="28"/>
  <c r="E173" i="35" s="1"/>
  <c r="K13" i="28"/>
  <c r="F173" i="35" s="1"/>
  <c r="W28" i="28"/>
  <c r="AA28" i="2"/>
  <c r="AB28" i="27"/>
  <c r="AA28" i="27"/>
  <c r="K20" i="26"/>
  <c r="J20" i="26"/>
  <c r="K17" i="26"/>
  <c r="J17" i="26"/>
  <c r="E131" i="36"/>
  <c r="K10" i="26"/>
  <c r="G131" i="36" s="1"/>
  <c r="J10" i="26"/>
  <c r="F131" i="36" s="1"/>
  <c r="J59" i="33"/>
  <c r="K2" i="26"/>
  <c r="J2" i="26"/>
  <c r="J13" i="26"/>
  <c r="E162" i="35" s="1"/>
  <c r="K13" i="26"/>
  <c r="K6" i="26"/>
  <c r="G127" i="36" s="1"/>
  <c r="V11" i="58" s="1"/>
  <c r="E127" i="36"/>
  <c r="J6" i="26"/>
  <c r="F127" i="36" s="1"/>
  <c r="U11" i="58" s="1"/>
  <c r="J8" i="26"/>
  <c r="E128" i="36"/>
  <c r="T56" i="57" s="1"/>
  <c r="K8" i="26"/>
  <c r="E130" i="36"/>
  <c r="K9" i="26"/>
  <c r="G130" i="36" s="1"/>
  <c r="J9" i="26"/>
  <c r="F130" i="36" s="1"/>
  <c r="W28" i="26"/>
  <c r="AA28" i="24"/>
  <c r="J10" i="24"/>
  <c r="F126" i="36" s="1"/>
  <c r="K10" i="24"/>
  <c r="G126" i="36" s="1"/>
  <c r="E126" i="36"/>
  <c r="E122" i="36"/>
  <c r="K6" i="24"/>
  <c r="G122" i="36" s="1"/>
  <c r="K9" i="24"/>
  <c r="G125" i="36" s="1"/>
  <c r="K13" i="24"/>
  <c r="F154" i="35" s="1"/>
  <c r="J56" i="33"/>
  <c r="J2" i="24"/>
  <c r="K56" i="33" s="1"/>
  <c r="K7" i="24"/>
  <c r="G123" i="36" s="1"/>
  <c r="J7" i="24"/>
  <c r="F123" i="36" s="1"/>
  <c r="J6" i="24"/>
  <c r="F122" i="36" s="1"/>
  <c r="J58" i="33"/>
  <c r="K4" i="24"/>
  <c r="L58" i="33" s="1"/>
  <c r="J14" i="24"/>
  <c r="E125" i="36"/>
  <c r="J57" i="33"/>
  <c r="J8" i="24"/>
  <c r="F124" i="36" s="1"/>
  <c r="K8" i="24"/>
  <c r="G124" i="36" s="1"/>
  <c r="E124" i="36"/>
  <c r="J18" i="24"/>
  <c r="J20" i="24"/>
  <c r="K15" i="24"/>
  <c r="W28" i="24"/>
  <c r="J3" i="24"/>
  <c r="K57" i="33" s="1"/>
  <c r="K11" i="24"/>
  <c r="K18" i="24"/>
  <c r="AA28" i="23"/>
  <c r="J10" i="23"/>
  <c r="F121" i="36" s="1"/>
  <c r="J20" i="23"/>
  <c r="K7" i="23"/>
  <c r="J7" i="23"/>
  <c r="J8" i="23"/>
  <c r="F119" i="36" s="1"/>
  <c r="E119" i="36"/>
  <c r="K8" i="23"/>
  <c r="G119" i="36" s="1"/>
  <c r="J13" i="23"/>
  <c r="E147" i="35" s="1"/>
  <c r="AH26" i="57" s="1"/>
  <c r="J55" i="33"/>
  <c r="E117" i="36"/>
  <c r="T22" i="55" s="1"/>
  <c r="J4" i="23"/>
  <c r="K55" i="33" s="1"/>
  <c r="E121" i="36"/>
  <c r="W28" i="23"/>
  <c r="E118" i="36"/>
  <c r="J6" i="23"/>
  <c r="K6" i="23"/>
  <c r="J9" i="23"/>
  <c r="F120" i="36" s="1"/>
  <c r="K9" i="23"/>
  <c r="G120" i="36" s="1"/>
  <c r="E120" i="36"/>
  <c r="K11" i="23"/>
  <c r="J11" i="23"/>
  <c r="I2" i="23"/>
  <c r="K3" i="23"/>
  <c r="L54" i="33" s="1"/>
  <c r="L40" i="55" s="1"/>
  <c r="J3" i="23"/>
  <c r="K54" i="33" s="1"/>
  <c r="AB28" i="22"/>
  <c r="AA28" i="22"/>
  <c r="AA28" i="21"/>
  <c r="AB28" i="20"/>
  <c r="J6" i="20"/>
  <c r="F102" i="36" s="1"/>
  <c r="E102" i="36"/>
  <c r="K8" i="20"/>
  <c r="G104" i="36" s="1"/>
  <c r="J8" i="20"/>
  <c r="F104" i="36" s="1"/>
  <c r="E104" i="36"/>
  <c r="J9" i="20"/>
  <c r="F105" i="36" s="1"/>
  <c r="J11" i="20"/>
  <c r="K11" i="20"/>
  <c r="K20" i="20"/>
  <c r="J20" i="20"/>
  <c r="J46" i="33"/>
  <c r="K2" i="20"/>
  <c r="J2" i="20"/>
  <c r="J14" i="20"/>
  <c r="E130" i="35" s="1"/>
  <c r="K14" i="20"/>
  <c r="F130" i="35" s="1"/>
  <c r="E103" i="36"/>
  <c r="K7" i="20"/>
  <c r="G103" i="36" s="1"/>
  <c r="J7" i="20"/>
  <c r="F103" i="36" s="1"/>
  <c r="K6" i="20"/>
  <c r="G102" i="36" s="1"/>
  <c r="AA28" i="20"/>
  <c r="AB28" i="19"/>
  <c r="AA28" i="19"/>
  <c r="AA28" i="18"/>
  <c r="W28" i="18"/>
  <c r="AB28" i="3"/>
  <c r="W28" i="3"/>
  <c r="AA28" i="3"/>
  <c r="AB28" i="25"/>
  <c r="AA28" i="25"/>
  <c r="AB28" i="17"/>
  <c r="AA28" i="17"/>
  <c r="K9" i="17"/>
  <c r="G80" i="36" s="1"/>
  <c r="J2" i="17"/>
  <c r="K36" i="33" s="1"/>
  <c r="J36" i="33"/>
  <c r="K2" i="17"/>
  <c r="L36" i="33" s="1"/>
  <c r="K20" i="17"/>
  <c r="E78" i="36"/>
  <c r="K6" i="17"/>
  <c r="G77" i="36" s="1"/>
  <c r="E77" i="36"/>
  <c r="J6" i="17"/>
  <c r="F77" i="36" s="1"/>
  <c r="J11" i="17"/>
  <c r="K11" i="17"/>
  <c r="J7" i="17"/>
  <c r="F78" i="36" s="1"/>
  <c r="E80" i="36"/>
  <c r="K8" i="17"/>
  <c r="I4" i="17"/>
  <c r="K3" i="17"/>
  <c r="E81" i="36"/>
  <c r="K10" i="17"/>
  <c r="G81" i="36" s="1"/>
  <c r="J3" i="17"/>
  <c r="K37" i="33" s="1"/>
  <c r="J37" i="33"/>
  <c r="K17" i="17"/>
  <c r="E79" i="36"/>
  <c r="W28" i="16"/>
  <c r="AA28" i="15"/>
  <c r="AA28" i="14"/>
  <c r="AA28" i="13"/>
  <c r="J20" i="13"/>
  <c r="K20" i="13"/>
  <c r="J16" i="13"/>
  <c r="K16" i="13"/>
  <c r="W28" i="13"/>
  <c r="K3" i="13"/>
  <c r="L28" i="33" s="1"/>
  <c r="L41" i="55" s="1"/>
  <c r="J3" i="13"/>
  <c r="K28" i="33" s="1"/>
  <c r="J28" i="33"/>
  <c r="K13" i="13"/>
  <c r="F70" i="35" s="1"/>
  <c r="J13" i="13"/>
  <c r="E70" i="35" s="1"/>
  <c r="K15" i="13"/>
  <c r="F72" i="35" s="1"/>
  <c r="J15" i="13"/>
  <c r="E72" i="35" s="1"/>
  <c r="K10" i="13"/>
  <c r="G61" i="36" s="1"/>
  <c r="J10" i="13"/>
  <c r="F61" i="36" s="1"/>
  <c r="E61" i="36"/>
  <c r="J11" i="13"/>
  <c r="K11" i="13"/>
  <c r="K7" i="13"/>
  <c r="E58" i="36"/>
  <c r="T59" i="57" s="1"/>
  <c r="J8" i="13"/>
  <c r="J19" i="13"/>
  <c r="E76" i="35" s="1"/>
  <c r="K19" i="13"/>
  <c r="F76" i="35" s="1"/>
  <c r="E57" i="36"/>
  <c r="J6" i="13"/>
  <c r="F57" i="36" s="1"/>
  <c r="K6" i="13"/>
  <c r="G57" i="36" s="1"/>
  <c r="J14" i="13"/>
  <c r="E71" i="35" s="1"/>
  <c r="K14" i="13"/>
  <c r="F71" i="35" s="1"/>
  <c r="J9" i="13"/>
  <c r="F59" i="36" s="1"/>
  <c r="K9" i="13"/>
  <c r="E59" i="36"/>
  <c r="T70" i="58" s="1"/>
  <c r="K17" i="13"/>
  <c r="J17" i="13"/>
  <c r="J27" i="33"/>
  <c r="K2" i="13"/>
  <c r="D38" i="13"/>
  <c r="D39" i="13" s="1"/>
  <c r="J2" i="13"/>
  <c r="K18" i="13"/>
  <c r="F75" i="35" s="1"/>
  <c r="J18" i="13"/>
  <c r="E75" i="35" s="1"/>
  <c r="J4" i="13"/>
  <c r="K4" i="13"/>
  <c r="AA28" i="12"/>
  <c r="AB28" i="11"/>
  <c r="AA28" i="11"/>
  <c r="W28" i="11"/>
  <c r="I6" i="11"/>
  <c r="AA28" i="10"/>
  <c r="W28" i="10"/>
  <c r="T46" i="55"/>
  <c r="I2" i="10"/>
  <c r="AB28" i="9"/>
  <c r="AA28" i="9"/>
  <c r="AA28" i="8"/>
  <c r="AB28" i="8"/>
  <c r="AA28" i="7"/>
  <c r="K19" i="7"/>
  <c r="F40" i="35" s="1"/>
  <c r="J19" i="7"/>
  <c r="E40" i="35" s="1"/>
  <c r="K14" i="7"/>
  <c r="J14" i="7"/>
  <c r="E35" i="35" s="1"/>
  <c r="E28" i="36"/>
  <c r="W28" i="7"/>
  <c r="K8" i="7"/>
  <c r="K7" i="7"/>
  <c r="J4" i="7"/>
  <c r="K11" i="7"/>
  <c r="J11" i="7"/>
  <c r="J15" i="7"/>
  <c r="E36" i="35" s="1"/>
  <c r="K15" i="7"/>
  <c r="F36" i="35" s="1"/>
  <c r="K9" i="7"/>
  <c r="G30" i="36" s="1"/>
  <c r="J9" i="7"/>
  <c r="F30" i="36" s="1"/>
  <c r="E30" i="36"/>
  <c r="J2" i="7"/>
  <c r="E31" i="36"/>
  <c r="J6" i="7"/>
  <c r="F27" i="36" s="1"/>
  <c r="K10" i="7"/>
  <c r="G31" i="36" s="1"/>
  <c r="K6" i="7"/>
  <c r="G27" i="36" s="1"/>
  <c r="K18" i="7"/>
  <c r="F39" i="35" s="1"/>
  <c r="J7" i="7"/>
  <c r="F29" i="36" s="1"/>
  <c r="AA28" i="1"/>
  <c r="AA28" i="6"/>
  <c r="AA28" i="5"/>
  <c r="W28" i="5"/>
  <c r="I2" i="5"/>
  <c r="AB28" i="4"/>
  <c r="AA28" i="4"/>
  <c r="W28" i="32"/>
  <c r="AC6" i="47" l="1"/>
  <c r="T32" i="55"/>
  <c r="AI27" i="57"/>
  <c r="AI26" i="58"/>
  <c r="AH27" i="57"/>
  <c r="AH26" i="58"/>
  <c r="AH3" i="57"/>
  <c r="AH3" i="58"/>
  <c r="AI3" i="57"/>
  <c r="AI3" i="58"/>
  <c r="T69" i="58"/>
  <c r="T68" i="57"/>
  <c r="T17" i="57"/>
  <c r="T16" i="58"/>
  <c r="U16" i="58"/>
  <c r="U17" i="57"/>
  <c r="V17" i="57"/>
  <c r="V16" i="58"/>
  <c r="AH50" i="58"/>
  <c r="AH49" i="57"/>
  <c r="AI50" i="58"/>
  <c r="AI49" i="57"/>
  <c r="J22" i="58"/>
  <c r="J22" i="57"/>
  <c r="AJ159" i="57"/>
  <c r="AJ158" i="57"/>
  <c r="AJ157" i="57"/>
  <c r="AJ156" i="57"/>
  <c r="AJ155" i="57"/>
  <c r="AJ154" i="57"/>
  <c r="AJ153" i="57"/>
  <c r="AJ152" i="57"/>
  <c r="AJ151" i="57"/>
  <c r="AJ150" i="57"/>
  <c r="AJ149" i="57"/>
  <c r="AJ147" i="57"/>
  <c r="AJ146" i="57"/>
  <c r="AJ145" i="57"/>
  <c r="AJ144" i="57"/>
  <c r="AJ143" i="57"/>
  <c r="AJ142" i="57"/>
  <c r="AH33" i="58"/>
  <c r="J7" i="57"/>
  <c r="J7" i="58"/>
  <c r="T4" i="55"/>
  <c r="T11" i="58"/>
  <c r="F139" i="36"/>
  <c r="T85" i="57"/>
  <c r="T78" i="58"/>
  <c r="V22" i="58"/>
  <c r="V21" i="57"/>
  <c r="U22" i="58"/>
  <c r="U21" i="57"/>
  <c r="AI85" i="58"/>
  <c r="AI86" i="57"/>
  <c r="T45" i="58"/>
  <c r="T45" i="57"/>
  <c r="J27" i="55"/>
  <c r="J26" i="57"/>
  <c r="J26" i="58"/>
  <c r="L26" i="57"/>
  <c r="L26" i="58"/>
  <c r="G140" i="36"/>
  <c r="G139" i="36"/>
  <c r="U45" i="58"/>
  <c r="U45" i="57"/>
  <c r="T21" i="57"/>
  <c r="T22" i="58"/>
  <c r="I31" i="58"/>
  <c r="I31" i="57"/>
  <c r="E24" i="55"/>
  <c r="E31" i="57"/>
  <c r="E31" i="58"/>
  <c r="F31" i="58"/>
  <c r="F31" i="57"/>
  <c r="T16" i="57"/>
  <c r="T18" i="58"/>
  <c r="V16" i="57"/>
  <c r="AI22" i="57"/>
  <c r="AI21" i="58"/>
  <c r="J24" i="55"/>
  <c r="J31" i="57"/>
  <c r="J31" i="58"/>
  <c r="K24" i="55"/>
  <c r="K31" i="57"/>
  <c r="K31" i="58"/>
  <c r="V48" i="58"/>
  <c r="V50" i="57"/>
  <c r="U48" i="58"/>
  <c r="U50" i="57"/>
  <c r="U18" i="58"/>
  <c r="U16" i="57"/>
  <c r="U89" i="58"/>
  <c r="U80" i="57"/>
  <c r="V89" i="58"/>
  <c r="V80" i="57"/>
  <c r="T80" i="57"/>
  <c r="T89" i="58"/>
  <c r="AO64" i="58"/>
  <c r="T23" i="57"/>
  <c r="T23" i="58"/>
  <c r="T47" i="57"/>
  <c r="T47" i="58"/>
  <c r="AO63" i="57"/>
  <c r="T76" i="55"/>
  <c r="J38" i="55"/>
  <c r="K38" i="55"/>
  <c r="U76" i="57"/>
  <c r="U75" i="58"/>
  <c r="K14" i="57"/>
  <c r="K14" i="58"/>
  <c r="J14" i="58"/>
  <c r="J14" i="57"/>
  <c r="T75" i="58"/>
  <c r="T76" i="57"/>
  <c r="V12" i="58"/>
  <c r="V11" i="57"/>
  <c r="T11" i="57"/>
  <c r="T12" i="58"/>
  <c r="U12" i="58"/>
  <c r="U11" i="57"/>
  <c r="K38" i="58"/>
  <c r="K38" i="57"/>
  <c r="J38" i="57"/>
  <c r="J38" i="58"/>
  <c r="T61" i="57"/>
  <c r="T61" i="58"/>
  <c r="L24" i="16"/>
  <c r="M24" i="16" s="1"/>
  <c r="L19" i="16"/>
  <c r="L23" i="16"/>
  <c r="E45" i="34" s="1"/>
  <c r="L8" i="16"/>
  <c r="L25" i="16"/>
  <c r="M25" i="16" s="1"/>
  <c r="W78" i="57"/>
  <c r="E3" i="15"/>
  <c r="E33" i="33"/>
  <c r="H3" i="15"/>
  <c r="I33" i="33" s="1"/>
  <c r="I37" i="55" s="1"/>
  <c r="H2" i="15"/>
  <c r="I32" i="33" s="1"/>
  <c r="L20" i="15"/>
  <c r="M20" i="15" s="1"/>
  <c r="L16" i="15"/>
  <c r="L6" i="15"/>
  <c r="L11" i="15"/>
  <c r="M11" i="15" s="1"/>
  <c r="L15" i="15"/>
  <c r="E32" i="33"/>
  <c r="L22" i="15"/>
  <c r="L24" i="15"/>
  <c r="R74" i="58"/>
  <c r="AI35" i="57"/>
  <c r="AH74" i="58"/>
  <c r="AH76" i="57"/>
  <c r="K18" i="58"/>
  <c r="K18" i="57"/>
  <c r="J18" i="58"/>
  <c r="J18" i="57"/>
  <c r="L18" i="57"/>
  <c r="L18" i="58"/>
  <c r="AH5" i="55"/>
  <c r="AH5" i="58"/>
  <c r="AH5" i="57"/>
  <c r="AI5" i="55"/>
  <c r="AI5" i="58"/>
  <c r="AI5" i="57"/>
  <c r="V46" i="58"/>
  <c r="V44" i="57"/>
  <c r="T46" i="58"/>
  <c r="T44" i="57"/>
  <c r="U46" i="58"/>
  <c r="U44" i="57"/>
  <c r="T3" i="58"/>
  <c r="T3" i="57"/>
  <c r="U3" i="58"/>
  <c r="U3" i="57"/>
  <c r="E9" i="55"/>
  <c r="E15" i="58"/>
  <c r="E15" i="57"/>
  <c r="I9" i="55"/>
  <c r="I15" i="58"/>
  <c r="I15" i="57"/>
  <c r="AV33" i="57"/>
  <c r="J14" i="10"/>
  <c r="E53" i="35" s="1"/>
  <c r="K14" i="10"/>
  <c r="F53" i="35" s="1"/>
  <c r="J16" i="10"/>
  <c r="E55" i="35" s="1"/>
  <c r="K16" i="10"/>
  <c r="F55" i="35" s="1"/>
  <c r="E46" i="36"/>
  <c r="J10" i="10"/>
  <c r="F46" i="36" s="1"/>
  <c r="K10" i="10"/>
  <c r="G46" i="36" s="1"/>
  <c r="K9" i="10"/>
  <c r="G45" i="36" s="1"/>
  <c r="E45" i="36"/>
  <c r="J9" i="10"/>
  <c r="F45" i="36" s="1"/>
  <c r="K20" i="10"/>
  <c r="J20" i="10"/>
  <c r="J15" i="10"/>
  <c r="E54" i="35" s="1"/>
  <c r="K15" i="10"/>
  <c r="F54" i="35" s="1"/>
  <c r="K13" i="10"/>
  <c r="F52" i="35" s="1"/>
  <c r="J13" i="10"/>
  <c r="E52" i="35" s="1"/>
  <c r="K11" i="10"/>
  <c r="J11" i="10"/>
  <c r="J34" i="58"/>
  <c r="J34" i="57"/>
  <c r="K10" i="9"/>
  <c r="G41" i="36" s="1"/>
  <c r="E41" i="36"/>
  <c r="J10" i="9"/>
  <c r="F41" i="36" s="1"/>
  <c r="H3" i="9"/>
  <c r="I19" i="33" s="1"/>
  <c r="E19" i="33"/>
  <c r="E3" i="9"/>
  <c r="L8" i="9"/>
  <c r="L22" i="9"/>
  <c r="H2" i="9"/>
  <c r="I18" i="33" s="1"/>
  <c r="L7" i="9"/>
  <c r="L24" i="9"/>
  <c r="L6" i="9"/>
  <c r="L20" i="9"/>
  <c r="M20" i="9" s="1"/>
  <c r="L25" i="9"/>
  <c r="M25" i="9" s="1"/>
  <c r="L9" i="8"/>
  <c r="L8" i="8"/>
  <c r="M8" i="8" s="1"/>
  <c r="L10" i="8"/>
  <c r="L11" i="8"/>
  <c r="M11" i="8" s="1"/>
  <c r="L13" i="8"/>
  <c r="L17" i="8"/>
  <c r="L15" i="8"/>
  <c r="L18" i="8"/>
  <c r="M18" i="8" s="1"/>
  <c r="L19" i="8"/>
  <c r="M19" i="8" s="1"/>
  <c r="L20" i="8"/>
  <c r="M20" i="8" s="1"/>
  <c r="L23" i="8"/>
  <c r="L25" i="8"/>
  <c r="M25" i="8" s="1"/>
  <c r="I6" i="55"/>
  <c r="I6" i="57"/>
  <c r="I6" i="58"/>
  <c r="E6" i="55"/>
  <c r="E6" i="58"/>
  <c r="E6" i="57"/>
  <c r="AH4" i="55"/>
  <c r="AO84" i="57"/>
  <c r="T91" i="57"/>
  <c r="T83" i="58"/>
  <c r="AH68" i="58"/>
  <c r="AH70" i="57"/>
  <c r="AI70" i="57"/>
  <c r="AI68" i="58"/>
  <c r="AH18" i="58"/>
  <c r="AH17" i="57"/>
  <c r="AI18" i="58"/>
  <c r="AI17" i="57"/>
  <c r="AI4" i="58"/>
  <c r="AI4" i="57"/>
  <c r="AH2" i="55"/>
  <c r="AH4" i="57"/>
  <c r="T66" i="58"/>
  <c r="T66" i="57"/>
  <c r="V10" i="58"/>
  <c r="V9" i="57"/>
  <c r="U9" i="57"/>
  <c r="U10" i="58"/>
  <c r="T10" i="58"/>
  <c r="T9" i="57"/>
  <c r="L6" i="55"/>
  <c r="L6" i="58"/>
  <c r="L6" i="57"/>
  <c r="J6" i="55"/>
  <c r="J6" i="58"/>
  <c r="J6" i="57"/>
  <c r="H4" i="7"/>
  <c r="E4" i="7"/>
  <c r="I11" i="55"/>
  <c r="I11" i="58"/>
  <c r="I11" i="57"/>
  <c r="E11" i="55"/>
  <c r="E11" i="58"/>
  <c r="E11" i="57"/>
  <c r="J11" i="57"/>
  <c r="J11" i="58"/>
  <c r="L11" i="58"/>
  <c r="L11" i="57"/>
  <c r="T52" i="55"/>
  <c r="T37" i="58"/>
  <c r="T35" i="57"/>
  <c r="AH123" i="58"/>
  <c r="AH124" i="57"/>
  <c r="AI124" i="57"/>
  <c r="AI123" i="58"/>
  <c r="U30" i="58"/>
  <c r="U25" i="57"/>
  <c r="V22" i="55"/>
  <c r="V30" i="58"/>
  <c r="V25" i="57"/>
  <c r="W30" i="58"/>
  <c r="AJ124" i="57"/>
  <c r="E55" i="55"/>
  <c r="E78" i="55"/>
  <c r="E66" i="55"/>
  <c r="E80" i="55"/>
  <c r="E72" i="55"/>
  <c r="E44" i="55"/>
  <c r="E60" i="55"/>
  <c r="E45" i="55"/>
  <c r="E73" i="55"/>
  <c r="E51" i="55"/>
  <c r="E62" i="55"/>
  <c r="E48" i="55"/>
  <c r="E54" i="55"/>
  <c r="E58" i="58"/>
  <c r="E60" i="58"/>
  <c r="E61" i="58"/>
  <c r="E62" i="58"/>
  <c r="E64" i="58"/>
  <c r="E58" i="57"/>
  <c r="E59" i="57"/>
  <c r="E70" i="57"/>
  <c r="E66" i="58"/>
  <c r="E67" i="58"/>
  <c r="E74" i="58"/>
  <c r="E59" i="58"/>
  <c r="E63" i="58"/>
  <c r="E69" i="58"/>
  <c r="E48" i="57"/>
  <c r="E49" i="57"/>
  <c r="E53" i="57"/>
  <c r="E56" i="57"/>
  <c r="E57" i="57"/>
  <c r="E61" i="57"/>
  <c r="E64" i="57"/>
  <c r="E75" i="57"/>
  <c r="E76" i="57"/>
  <c r="E78" i="57"/>
  <c r="E79" i="57"/>
  <c r="E80" i="57"/>
  <c r="E65" i="58"/>
  <c r="E68" i="58"/>
  <c r="E72" i="58"/>
  <c r="E73" i="58"/>
  <c r="E52" i="57"/>
  <c r="E63" i="57"/>
  <c r="E65" i="57"/>
  <c r="E71" i="57"/>
  <c r="E74" i="57"/>
  <c r="E77" i="58"/>
  <c r="E79" i="58"/>
  <c r="E44" i="58"/>
  <c r="E44" i="57"/>
  <c r="E45" i="57"/>
  <c r="E46" i="57"/>
  <c r="E66" i="57"/>
  <c r="E67" i="57"/>
  <c r="E68" i="57"/>
  <c r="E69" i="57"/>
  <c r="E42" i="57"/>
  <c r="E43" i="57"/>
  <c r="E42" i="58"/>
  <c r="E43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0" i="57"/>
  <c r="E55" i="57"/>
  <c r="E62" i="57"/>
  <c r="E70" i="58"/>
  <c r="E71" i="58"/>
  <c r="E80" i="58"/>
  <c r="E47" i="57"/>
  <c r="E51" i="57"/>
  <c r="E54" i="57"/>
  <c r="E60" i="57"/>
  <c r="E73" i="57"/>
  <c r="E72" i="57"/>
  <c r="E77" i="57"/>
  <c r="E76" i="58"/>
  <c r="E75" i="58"/>
  <c r="E78" i="58"/>
  <c r="L19" i="1"/>
  <c r="L18" i="1"/>
  <c r="H2" i="1"/>
  <c r="I11" i="33" s="1"/>
  <c r="L15" i="1"/>
  <c r="L14" i="1"/>
  <c r="L17" i="1"/>
  <c r="E2" i="1"/>
  <c r="E11" i="33"/>
  <c r="L10" i="1"/>
  <c r="L79" i="58"/>
  <c r="L58" i="58"/>
  <c r="L59" i="58"/>
  <c r="L60" i="58"/>
  <c r="L61" i="58"/>
  <c r="L63" i="58"/>
  <c r="L62" i="58"/>
  <c r="L66" i="58"/>
  <c r="L63" i="57"/>
  <c r="L70" i="57"/>
  <c r="L77" i="58"/>
  <c r="L73" i="58"/>
  <c r="L69" i="58"/>
  <c r="L65" i="58"/>
  <c r="L76" i="58"/>
  <c r="L44" i="58"/>
  <c r="L53" i="57"/>
  <c r="L56" i="57"/>
  <c r="L58" i="57"/>
  <c r="L59" i="57"/>
  <c r="L62" i="57"/>
  <c r="L65" i="57"/>
  <c r="L74" i="57"/>
  <c r="L71" i="58"/>
  <c r="L75" i="58"/>
  <c r="L51" i="57"/>
  <c r="L72" i="58"/>
  <c r="L80" i="58"/>
  <c r="L78" i="58"/>
  <c r="L67" i="58"/>
  <c r="L70" i="58"/>
  <c r="L44" i="57"/>
  <c r="L45" i="57"/>
  <c r="L46" i="57"/>
  <c r="L66" i="57"/>
  <c r="L67" i="57"/>
  <c r="L68" i="57"/>
  <c r="L69" i="57"/>
  <c r="L42" i="57"/>
  <c r="L43" i="57"/>
  <c r="L42" i="58"/>
  <c r="L43" i="58"/>
  <c r="L7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48" i="57"/>
  <c r="L50" i="57"/>
  <c r="L52" i="57"/>
  <c r="L55" i="57"/>
  <c r="L57" i="57"/>
  <c r="L71" i="57"/>
  <c r="L72" i="57"/>
  <c r="L75" i="57"/>
  <c r="L77" i="57"/>
  <c r="L78" i="57"/>
  <c r="L79" i="57"/>
  <c r="L80" i="57"/>
  <c r="L68" i="58"/>
  <c r="L49" i="57"/>
  <c r="L54" i="57"/>
  <c r="L60" i="57"/>
  <c r="L61" i="57"/>
  <c r="L64" i="57"/>
  <c r="L73" i="57"/>
  <c r="L76" i="57"/>
  <c r="L64" i="58"/>
  <c r="L47" i="57"/>
  <c r="K80" i="58"/>
  <c r="K58" i="58"/>
  <c r="K60" i="58"/>
  <c r="K63" i="58"/>
  <c r="K59" i="58"/>
  <c r="K61" i="58"/>
  <c r="K62" i="58"/>
  <c r="K56" i="57"/>
  <c r="K69" i="58"/>
  <c r="K65" i="58"/>
  <c r="K77" i="58"/>
  <c r="K51" i="57"/>
  <c r="K52" i="57"/>
  <c r="K64" i="57"/>
  <c r="K71" i="57"/>
  <c r="K76" i="57"/>
  <c r="K78" i="57"/>
  <c r="K79" i="57"/>
  <c r="K55" i="57"/>
  <c r="K57" i="57"/>
  <c r="K59" i="57"/>
  <c r="K65" i="57"/>
  <c r="K72" i="57"/>
  <c r="K73" i="58"/>
  <c r="K72" i="58"/>
  <c r="K74" i="58"/>
  <c r="K76" i="58"/>
  <c r="K78" i="58"/>
  <c r="K47" i="57"/>
  <c r="K68" i="58"/>
  <c r="K75" i="58"/>
  <c r="K44" i="57"/>
  <c r="K45" i="57"/>
  <c r="K46" i="57"/>
  <c r="K66" i="57"/>
  <c r="K67" i="57"/>
  <c r="K68" i="57"/>
  <c r="K69" i="57"/>
  <c r="K42" i="57"/>
  <c r="K43" i="57"/>
  <c r="K42" i="58"/>
  <c r="K43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48" i="57"/>
  <c r="K49" i="57"/>
  <c r="K50" i="57"/>
  <c r="K53" i="57"/>
  <c r="K63" i="57"/>
  <c r="K80" i="57"/>
  <c r="K66" i="58"/>
  <c r="K67" i="58"/>
  <c r="K79" i="58"/>
  <c r="K54" i="57"/>
  <c r="K58" i="57"/>
  <c r="K60" i="57"/>
  <c r="K61" i="57"/>
  <c r="K62" i="57"/>
  <c r="K70" i="57"/>
  <c r="K73" i="57"/>
  <c r="K74" i="57"/>
  <c r="K75" i="57"/>
  <c r="K77" i="57"/>
  <c r="K71" i="58"/>
  <c r="K70" i="58"/>
  <c r="K64" i="58"/>
  <c r="K44" i="58"/>
  <c r="V32" i="58"/>
  <c r="V32" i="57"/>
  <c r="T32" i="58"/>
  <c r="T32" i="57"/>
  <c r="U32" i="58"/>
  <c r="U32" i="57"/>
  <c r="L27" i="57"/>
  <c r="L27" i="58"/>
  <c r="V43" i="57"/>
  <c r="T43" i="57"/>
  <c r="AI14" i="58"/>
  <c r="AI14" i="57"/>
  <c r="J22" i="55"/>
  <c r="J27" i="58"/>
  <c r="J27" i="57"/>
  <c r="H18" i="36"/>
  <c r="W62" i="58" s="1"/>
  <c r="W7" i="58"/>
  <c r="W6" i="57"/>
  <c r="W56" i="57"/>
  <c r="AU35" i="57"/>
  <c r="AU34" i="58"/>
  <c r="AW96" i="58"/>
  <c r="AW95" i="58"/>
  <c r="AW87" i="58"/>
  <c r="AW66" i="58"/>
  <c r="AW65" i="58"/>
  <c r="AW84" i="58"/>
  <c r="AW83" i="58"/>
  <c r="AW75" i="58"/>
  <c r="AW70" i="58"/>
  <c r="AW63" i="58"/>
  <c r="AW81" i="58"/>
  <c r="AW80" i="58"/>
  <c r="AW67" i="58"/>
  <c r="AW85" i="58"/>
  <c r="AW101" i="57"/>
  <c r="AW100" i="57"/>
  <c r="AW99" i="57"/>
  <c r="AW97" i="57"/>
  <c r="AW95" i="57"/>
  <c r="AW92" i="57"/>
  <c r="AW72" i="58"/>
  <c r="AW88" i="58"/>
  <c r="AW84" i="57"/>
  <c r="AW83" i="57"/>
  <c r="AW82" i="57"/>
  <c r="AW81" i="57"/>
  <c r="AW80" i="57"/>
  <c r="AW79" i="57"/>
  <c r="AW78" i="57"/>
  <c r="AW77" i="57"/>
  <c r="AW68" i="57"/>
  <c r="AW67" i="57"/>
  <c r="AW66" i="57"/>
  <c r="AW65" i="57"/>
  <c r="AW64" i="57"/>
  <c r="AW63" i="57"/>
  <c r="AW62" i="57"/>
  <c r="AW61" i="57"/>
  <c r="AW60" i="57"/>
  <c r="AW59" i="57"/>
  <c r="AW58" i="57"/>
  <c r="AW57" i="57"/>
  <c r="AW56" i="57"/>
  <c r="AW55" i="57"/>
  <c r="AW54" i="57"/>
  <c r="AW53" i="57"/>
  <c r="AW52" i="57"/>
  <c r="AW61" i="58"/>
  <c r="AW60" i="58"/>
  <c r="AW59" i="58"/>
  <c r="AW58" i="58"/>
  <c r="AW57" i="58"/>
  <c r="AW56" i="58"/>
  <c r="AW55" i="58"/>
  <c r="AW54" i="58"/>
  <c r="AW53" i="58"/>
  <c r="AW52" i="58"/>
  <c r="AW62" i="58"/>
  <c r="AW76" i="58"/>
  <c r="AW100" i="58"/>
  <c r="AW89" i="58"/>
  <c r="AW98" i="57"/>
  <c r="AW96" i="57"/>
  <c r="AW94" i="57"/>
  <c r="AW93" i="57"/>
  <c r="AW91" i="57"/>
  <c r="AW90" i="57"/>
  <c r="AW89" i="57"/>
  <c r="AW76" i="57"/>
  <c r="AW75" i="57"/>
  <c r="AW74" i="57"/>
  <c r="AW73" i="57"/>
  <c r="AW72" i="57"/>
  <c r="AW71" i="57"/>
  <c r="AW70" i="57"/>
  <c r="AW69" i="57"/>
  <c r="AW97" i="58"/>
  <c r="AW94" i="58"/>
  <c r="AW101" i="58"/>
  <c r="AW99" i="58"/>
  <c r="AW98" i="58"/>
  <c r="AW73" i="58"/>
  <c r="AW69" i="58"/>
  <c r="AW79" i="58"/>
  <c r="AW77" i="58"/>
  <c r="AW78" i="58"/>
  <c r="AW64" i="58"/>
  <c r="AW92" i="58"/>
  <c r="AW82" i="58"/>
  <c r="AW68" i="58"/>
  <c r="AW74" i="58"/>
  <c r="AW86" i="58"/>
  <c r="AW71" i="58"/>
  <c r="AW93" i="58"/>
  <c r="AW91" i="58"/>
  <c r="AW90" i="58"/>
  <c r="AW88" i="57"/>
  <c r="AW87" i="57"/>
  <c r="AW86" i="57"/>
  <c r="AW85" i="57"/>
  <c r="AH7" i="55"/>
  <c r="AH7" i="58"/>
  <c r="AH7" i="57"/>
  <c r="AI7" i="55"/>
  <c r="AI7" i="58"/>
  <c r="AI7" i="57"/>
  <c r="L30" i="58"/>
  <c r="L30" i="57"/>
  <c r="J30" i="57"/>
  <c r="J30" i="58"/>
  <c r="K30" i="58"/>
  <c r="K30" i="57"/>
  <c r="U2" i="55"/>
  <c r="U2" i="57"/>
  <c r="U2" i="58"/>
  <c r="T2" i="55"/>
  <c r="T2" i="57"/>
  <c r="T2" i="58"/>
  <c r="V2" i="55"/>
  <c r="V2" i="57"/>
  <c r="V2" i="58"/>
  <c r="AH81" i="57"/>
  <c r="AH84" i="58"/>
  <c r="I26" i="55"/>
  <c r="I36" i="58"/>
  <c r="I36" i="57"/>
  <c r="AI148" i="57"/>
  <c r="AI182" i="57"/>
  <c r="AI166" i="58"/>
  <c r="AI165" i="57"/>
  <c r="AI160" i="58"/>
  <c r="AI184" i="58"/>
  <c r="AI159" i="58"/>
  <c r="AI180" i="57"/>
  <c r="AI186" i="57"/>
  <c r="AI167" i="57"/>
  <c r="AI181" i="58"/>
  <c r="AI185" i="57"/>
  <c r="AI162" i="57"/>
  <c r="AI185" i="58"/>
  <c r="AI180" i="58"/>
  <c r="AI150" i="58"/>
  <c r="AI183" i="58"/>
  <c r="AI151" i="58"/>
  <c r="AI173" i="58"/>
  <c r="AI148" i="58"/>
  <c r="AI184" i="57"/>
  <c r="AI147" i="58"/>
  <c r="AI183" i="57"/>
  <c r="AI146" i="58"/>
  <c r="AI171" i="57"/>
  <c r="AI145" i="58"/>
  <c r="AI160" i="57"/>
  <c r="AI144" i="58"/>
  <c r="AI171" i="58"/>
  <c r="AI172" i="57"/>
  <c r="AI149" i="58"/>
  <c r="AI178" i="58"/>
  <c r="AI169" i="57"/>
  <c r="AI174" i="58"/>
  <c r="AI168" i="57"/>
  <c r="AI172" i="58"/>
  <c r="AI168" i="58"/>
  <c r="AI165" i="58"/>
  <c r="AI167" i="58"/>
  <c r="AI177" i="58"/>
  <c r="AI162" i="58"/>
  <c r="AI181" i="57"/>
  <c r="AI161" i="58"/>
  <c r="AI179" i="57"/>
  <c r="AI177" i="57"/>
  <c r="AI158" i="58"/>
  <c r="AI176" i="57"/>
  <c r="AI186" i="58"/>
  <c r="AI173" i="57"/>
  <c r="AI182" i="58"/>
  <c r="AI175" i="58"/>
  <c r="AI175" i="57"/>
  <c r="AI178" i="57"/>
  <c r="AI174" i="57"/>
  <c r="AI169" i="58"/>
  <c r="AI163" i="58"/>
  <c r="AI170" i="57"/>
  <c r="AI157" i="58"/>
  <c r="AI179" i="58"/>
  <c r="AI176" i="58"/>
  <c r="AI170" i="58"/>
  <c r="AI166" i="57"/>
  <c r="AI164" i="57"/>
  <c r="AI163" i="57"/>
  <c r="AI161" i="57"/>
  <c r="AI164" i="58"/>
  <c r="T49" i="58"/>
  <c r="T51" i="57"/>
  <c r="AJ162" i="58"/>
  <c r="AJ181" i="58"/>
  <c r="AJ174" i="58"/>
  <c r="AJ186" i="57"/>
  <c r="AJ164" i="57"/>
  <c r="AJ163" i="57"/>
  <c r="AJ160" i="57"/>
  <c r="AJ148" i="57"/>
  <c r="AJ149" i="58"/>
  <c r="AJ148" i="58"/>
  <c r="AJ147" i="58"/>
  <c r="AJ146" i="58"/>
  <c r="AJ145" i="58"/>
  <c r="AJ144" i="58"/>
  <c r="AJ166" i="57"/>
  <c r="AJ150" i="58"/>
  <c r="AJ176" i="58"/>
  <c r="AJ172" i="58"/>
  <c r="AJ183" i="58"/>
  <c r="AJ180" i="58"/>
  <c r="AJ178" i="58"/>
  <c r="AJ181" i="57"/>
  <c r="AJ179" i="57"/>
  <c r="AJ176" i="57"/>
  <c r="AJ174" i="57"/>
  <c r="AJ185" i="58"/>
  <c r="AJ178" i="57"/>
  <c r="AJ170" i="57"/>
  <c r="AJ186" i="58"/>
  <c r="AJ159" i="58"/>
  <c r="AJ184" i="58"/>
  <c r="AJ171" i="57"/>
  <c r="AJ185" i="57"/>
  <c r="AJ160" i="58"/>
  <c r="AJ168" i="57"/>
  <c r="AJ180" i="57"/>
  <c r="AJ177" i="57"/>
  <c r="AJ161" i="57"/>
  <c r="AJ164" i="58"/>
  <c r="AJ165" i="57"/>
  <c r="AJ165" i="58"/>
  <c r="AJ158" i="58"/>
  <c r="AJ184" i="57"/>
  <c r="AJ157" i="58"/>
  <c r="AJ177" i="58"/>
  <c r="AJ167" i="58"/>
  <c r="AJ162" i="57"/>
  <c r="AJ173" i="58"/>
  <c r="AJ166" i="58"/>
  <c r="AJ167" i="57"/>
  <c r="AJ161" i="58"/>
  <c r="AJ169" i="58"/>
  <c r="AJ168" i="58"/>
  <c r="AJ182" i="58"/>
  <c r="AJ163" i="58"/>
  <c r="AJ179" i="58"/>
  <c r="AJ175" i="58"/>
  <c r="AJ171" i="58"/>
  <c r="AJ175" i="57"/>
  <c r="AJ173" i="57"/>
  <c r="AJ170" i="58"/>
  <c r="AJ183" i="57"/>
  <c r="AJ172" i="57"/>
  <c r="AJ182" i="57"/>
  <c r="AJ169" i="57"/>
  <c r="V49" i="58"/>
  <c r="AK22" i="57"/>
  <c r="W48" i="58"/>
  <c r="W50" i="57"/>
  <c r="F4" i="3"/>
  <c r="G4" i="3"/>
  <c r="H4" i="3"/>
  <c r="AT3" i="55"/>
  <c r="AT3" i="58"/>
  <c r="AT3" i="57"/>
  <c r="AX5" i="57"/>
  <c r="E20" i="33"/>
  <c r="H4" i="9"/>
  <c r="I20" i="33" s="1"/>
  <c r="E4" i="9"/>
  <c r="E202" i="35"/>
  <c r="E168" i="35"/>
  <c r="AH19" i="55" s="1"/>
  <c r="F161" i="35"/>
  <c r="E161" i="35"/>
  <c r="F162" i="35"/>
  <c r="AI32" i="57" s="1"/>
  <c r="G155" i="35"/>
  <c r="H56" i="33"/>
  <c r="G32" i="24"/>
  <c r="L17" i="15"/>
  <c r="L10" i="15"/>
  <c r="L18" i="15"/>
  <c r="L7" i="15"/>
  <c r="L19" i="15"/>
  <c r="M19" i="15" s="1"/>
  <c r="E4" i="15"/>
  <c r="H4" i="15"/>
  <c r="E2" i="15"/>
  <c r="E32" i="15" s="1"/>
  <c r="L14" i="15"/>
  <c r="M14" i="15" s="1"/>
  <c r="L9" i="15"/>
  <c r="L8" i="15"/>
  <c r="L23" i="15"/>
  <c r="L13" i="15"/>
  <c r="G84" i="35" s="1"/>
  <c r="L25" i="15"/>
  <c r="M25" i="15" s="1"/>
  <c r="E74" i="35"/>
  <c r="F74" i="35"/>
  <c r="K10" i="11"/>
  <c r="G51" i="36" s="1"/>
  <c r="E51" i="36"/>
  <c r="J10" i="11"/>
  <c r="F51" i="36" s="1"/>
  <c r="K4" i="11"/>
  <c r="J4" i="11"/>
  <c r="K20" i="11"/>
  <c r="J20" i="11"/>
  <c r="K13" i="11"/>
  <c r="J13" i="11"/>
  <c r="K14" i="11"/>
  <c r="J14" i="11"/>
  <c r="J11" i="11"/>
  <c r="K11" i="11"/>
  <c r="L11" i="9"/>
  <c r="M11" i="9" s="1"/>
  <c r="L9" i="9"/>
  <c r="L17" i="9"/>
  <c r="M17" i="9" s="1"/>
  <c r="F34" i="36"/>
  <c r="G34" i="36"/>
  <c r="H30" i="35"/>
  <c r="D38" i="1"/>
  <c r="D39" i="1" s="1"/>
  <c r="F18" i="36"/>
  <c r="H19" i="36"/>
  <c r="G18" i="36"/>
  <c r="G19" i="36"/>
  <c r="D38" i="6"/>
  <c r="D39" i="6" s="1"/>
  <c r="L13" i="4"/>
  <c r="L20" i="4"/>
  <c r="M20" i="4" s="1"/>
  <c r="L22" i="4"/>
  <c r="L8" i="4"/>
  <c r="L11" i="4"/>
  <c r="M11" i="4" s="1"/>
  <c r="L24" i="4"/>
  <c r="L15" i="4"/>
  <c r="L16" i="4"/>
  <c r="G11" i="35" s="1"/>
  <c r="L25" i="4"/>
  <c r="M25" i="4" s="1"/>
  <c r="L23" i="4"/>
  <c r="E4" i="4"/>
  <c r="H4" i="4"/>
  <c r="E3" i="4"/>
  <c r="E6" i="33"/>
  <c r="E5" i="33"/>
  <c r="H2" i="4"/>
  <c r="I5" i="33" s="1"/>
  <c r="G12" i="35"/>
  <c r="F10" i="35"/>
  <c r="D38" i="4"/>
  <c r="D39" i="4" s="1"/>
  <c r="K3" i="4"/>
  <c r="J3" i="4"/>
  <c r="J6" i="33"/>
  <c r="F12" i="35"/>
  <c r="AI116" i="55" s="1"/>
  <c r="J10" i="32"/>
  <c r="F6" i="36" s="1"/>
  <c r="K10" i="32"/>
  <c r="G6" i="36" s="1"/>
  <c r="E6" i="36"/>
  <c r="L23" i="9"/>
  <c r="L10" i="9"/>
  <c r="E18" i="33"/>
  <c r="L19" i="9"/>
  <c r="M19" i="9" s="1"/>
  <c r="L15" i="9"/>
  <c r="J3" i="32"/>
  <c r="K3" i="32"/>
  <c r="J3" i="33"/>
  <c r="J11" i="32"/>
  <c r="K11" i="32"/>
  <c r="J13" i="32"/>
  <c r="E2" i="35" s="1"/>
  <c r="AH25" i="55" s="1"/>
  <c r="K13" i="32"/>
  <c r="F2" i="35" s="1"/>
  <c r="AI25" i="55" s="1"/>
  <c r="K14" i="32"/>
  <c r="J14" i="32"/>
  <c r="E3" i="35" s="1"/>
  <c r="K19" i="32"/>
  <c r="J19" i="32"/>
  <c r="K20" i="32"/>
  <c r="J20" i="32"/>
  <c r="U145" i="55"/>
  <c r="U120" i="55"/>
  <c r="U126" i="55"/>
  <c r="U134" i="55"/>
  <c r="U121" i="55"/>
  <c r="U155" i="55"/>
  <c r="U170" i="55"/>
  <c r="U157" i="55"/>
  <c r="U105" i="55"/>
  <c r="U137" i="55"/>
  <c r="U139" i="55"/>
  <c r="U117" i="55"/>
  <c r="U110" i="55"/>
  <c r="U114" i="55"/>
  <c r="U144" i="55"/>
  <c r="U116" i="55"/>
  <c r="U125" i="55"/>
  <c r="U115" i="55"/>
  <c r="U133" i="55"/>
  <c r="U151" i="55"/>
  <c r="U122" i="55"/>
  <c r="U118" i="55"/>
  <c r="U132" i="55"/>
  <c r="U119" i="55"/>
  <c r="T124" i="55"/>
  <c r="T105" i="55"/>
  <c r="T150" i="55"/>
  <c r="T123" i="55"/>
  <c r="T153" i="55"/>
  <c r="T135" i="55"/>
  <c r="T117" i="55"/>
  <c r="T92" i="55"/>
  <c r="T118" i="55"/>
  <c r="T109" i="55"/>
  <c r="T116" i="55"/>
  <c r="T125" i="55"/>
  <c r="T136" i="55"/>
  <c r="T100" i="55"/>
  <c r="T162" i="55"/>
  <c r="T122" i="55"/>
  <c r="T165" i="55"/>
  <c r="T110" i="55"/>
  <c r="E11" i="35"/>
  <c r="F11" i="35"/>
  <c r="F9" i="35"/>
  <c r="E12" i="35"/>
  <c r="E10" i="35"/>
  <c r="F4" i="5"/>
  <c r="G4" i="5"/>
  <c r="H25" i="36"/>
  <c r="H4" i="1"/>
  <c r="I13" i="33" s="1"/>
  <c r="E4" i="1"/>
  <c r="F13" i="33" s="1"/>
  <c r="L6" i="1"/>
  <c r="L24" i="1"/>
  <c r="L23" i="1"/>
  <c r="L20" i="1"/>
  <c r="M20" i="1" s="1"/>
  <c r="L7" i="1"/>
  <c r="L22" i="1"/>
  <c r="F73" i="35"/>
  <c r="E73" i="35"/>
  <c r="F3" i="16"/>
  <c r="G35" i="33" s="1"/>
  <c r="G3" i="16"/>
  <c r="H35" i="33" s="1"/>
  <c r="F35" i="33"/>
  <c r="E128" i="35"/>
  <c r="E123" i="35"/>
  <c r="F123" i="35"/>
  <c r="E136" i="35"/>
  <c r="F136" i="35"/>
  <c r="H158" i="35"/>
  <c r="E156" i="35"/>
  <c r="AH82" i="57" s="1"/>
  <c r="E155" i="35"/>
  <c r="AH59" i="58" s="1"/>
  <c r="F155" i="35"/>
  <c r="AI59" i="58" s="1"/>
  <c r="F156" i="35"/>
  <c r="AI82" i="57" s="1"/>
  <c r="E171" i="35"/>
  <c r="AH64" i="55" s="1"/>
  <c r="F171" i="35"/>
  <c r="E167" i="35"/>
  <c r="AH50" i="55" s="1"/>
  <c r="F167" i="35"/>
  <c r="AI50" i="55" s="1"/>
  <c r="F168" i="35"/>
  <c r="E199" i="35"/>
  <c r="F79" i="36"/>
  <c r="F80" i="36"/>
  <c r="G78" i="36"/>
  <c r="G79" i="36"/>
  <c r="L8" i="17"/>
  <c r="M8" i="17" s="1"/>
  <c r="N8" i="17" s="1"/>
  <c r="E41" i="55"/>
  <c r="L18" i="13"/>
  <c r="H3" i="13"/>
  <c r="I28" i="33" s="1"/>
  <c r="I41" i="55" s="1"/>
  <c r="L9" i="13"/>
  <c r="L16" i="13"/>
  <c r="M16" i="13" s="1"/>
  <c r="L8" i="13"/>
  <c r="L10" i="13"/>
  <c r="L19" i="13"/>
  <c r="L11" i="13"/>
  <c r="M11" i="13" s="1"/>
  <c r="L20" i="13"/>
  <c r="M20" i="13" s="1"/>
  <c r="L22" i="13"/>
  <c r="L14" i="13"/>
  <c r="L23" i="13"/>
  <c r="L13" i="13"/>
  <c r="L24" i="13"/>
  <c r="L25" i="13"/>
  <c r="M25" i="13" s="1"/>
  <c r="L6" i="13"/>
  <c r="L7" i="13"/>
  <c r="L17" i="13"/>
  <c r="L15" i="13"/>
  <c r="E4" i="13"/>
  <c r="H4" i="13"/>
  <c r="F33" i="36"/>
  <c r="G33" i="36"/>
  <c r="E50" i="36"/>
  <c r="K9" i="11"/>
  <c r="G50" i="36" s="1"/>
  <c r="J9" i="11"/>
  <c r="F50" i="36" s="1"/>
  <c r="J7" i="11"/>
  <c r="K7" i="11"/>
  <c r="E47" i="36"/>
  <c r="J3" i="11"/>
  <c r="K24" i="33" s="1"/>
  <c r="K3" i="11"/>
  <c r="L24" i="33" s="1"/>
  <c r="J24" i="33"/>
  <c r="J23" i="33"/>
  <c r="K2" i="11"/>
  <c r="L23" i="33" s="1"/>
  <c r="J2" i="11"/>
  <c r="K23" i="33" s="1"/>
  <c r="E43" i="36"/>
  <c r="K7" i="10"/>
  <c r="G43" i="36" s="1"/>
  <c r="J7" i="10"/>
  <c r="F43" i="36" s="1"/>
  <c r="K11" i="9"/>
  <c r="J11" i="9"/>
  <c r="K20" i="9"/>
  <c r="J20" i="9"/>
  <c r="J17" i="7"/>
  <c r="K17" i="7"/>
  <c r="J14" i="6"/>
  <c r="E21" i="35" s="1"/>
  <c r="K14" i="6"/>
  <c r="F21" i="35" s="1"/>
  <c r="J16" i="7"/>
  <c r="K16" i="7"/>
  <c r="J20" i="7"/>
  <c r="K20" i="7"/>
  <c r="K17" i="9"/>
  <c r="J17" i="9"/>
  <c r="J16" i="16"/>
  <c r="E93" i="35" s="1"/>
  <c r="AH103" i="58" s="1"/>
  <c r="K16" i="16"/>
  <c r="F93" i="35" s="1"/>
  <c r="AI103" i="58" s="1"/>
  <c r="K14" i="16"/>
  <c r="J14" i="16"/>
  <c r="J13" i="16"/>
  <c r="K13" i="16"/>
  <c r="K15" i="15"/>
  <c r="F86" i="35" s="1"/>
  <c r="J15" i="15"/>
  <c r="E86" i="35" s="1"/>
  <c r="K18" i="15"/>
  <c r="J18" i="15"/>
  <c r="K17" i="15"/>
  <c r="J17" i="15"/>
  <c r="J6" i="9"/>
  <c r="F37" i="36" s="1"/>
  <c r="K6" i="9"/>
  <c r="G37" i="36" s="1"/>
  <c r="E37" i="36"/>
  <c r="J8" i="32"/>
  <c r="E5" i="36"/>
  <c r="K8" i="32"/>
  <c r="K15" i="32"/>
  <c r="J15" i="32"/>
  <c r="E4" i="35" s="1"/>
  <c r="J17" i="32"/>
  <c r="K17" i="32"/>
  <c r="J18" i="32"/>
  <c r="E6" i="35" s="1"/>
  <c r="K18" i="32"/>
  <c r="F6" i="35" s="1"/>
  <c r="K16" i="32"/>
  <c r="F7" i="35" s="1"/>
  <c r="J16" i="32"/>
  <c r="K2" i="32"/>
  <c r="L2" i="33" s="1"/>
  <c r="D38" i="32"/>
  <c r="D39" i="32" s="1"/>
  <c r="J2" i="32"/>
  <c r="K2" i="33" s="1"/>
  <c r="J2" i="33"/>
  <c r="J4" i="32"/>
  <c r="K4" i="33" s="1"/>
  <c r="K4" i="32"/>
  <c r="L4" i="33" s="1"/>
  <c r="J4" i="33"/>
  <c r="E2" i="36"/>
  <c r="K6" i="32"/>
  <c r="G2" i="36" s="1"/>
  <c r="J6" i="32"/>
  <c r="F2" i="36" s="1"/>
  <c r="J7" i="32"/>
  <c r="F3" i="36" s="1"/>
  <c r="K7" i="32"/>
  <c r="G3" i="36" s="1"/>
  <c r="V49" i="55" s="1"/>
  <c r="E3" i="36"/>
  <c r="T49" i="55" s="1"/>
  <c r="AD26" i="44"/>
  <c r="AF17" i="44"/>
  <c r="AD25" i="44"/>
  <c r="AF8" i="44"/>
  <c r="AD23" i="44"/>
  <c r="AE22" i="44"/>
  <c r="AD22" i="44"/>
  <c r="AF31" i="44"/>
  <c r="AE21" i="44"/>
  <c r="AD24" i="44"/>
  <c r="AE5" i="44"/>
  <c r="AF29" i="44"/>
  <c r="AF20" i="44"/>
  <c r="AD12" i="44"/>
  <c r="AD2" i="44"/>
  <c r="AD19" i="44"/>
  <c r="AE11" i="44"/>
  <c r="AE10" i="44"/>
  <c r="AF25" i="44"/>
  <c r="AD33" i="44"/>
  <c r="AF32" i="44"/>
  <c r="AE24" i="44"/>
  <c r="AD15" i="44"/>
  <c r="AF22" i="44"/>
  <c r="AE14" i="44"/>
  <c r="AD16" i="44"/>
  <c r="AD5" i="44"/>
  <c r="AF21" i="44"/>
  <c r="AE13" i="44"/>
  <c r="AD28" i="44"/>
  <c r="AD3" i="44"/>
  <c r="AD8" i="44"/>
  <c r="AF26" i="44"/>
  <c r="AE18" i="44"/>
  <c r="AF33" i="44"/>
  <c r="AE25" i="44"/>
  <c r="AD9" i="44"/>
  <c r="AF16" i="44"/>
  <c r="AE16" i="44"/>
  <c r="AE7" i="44"/>
  <c r="AD7" i="44"/>
  <c r="AD30" i="44"/>
  <c r="AD32" i="44"/>
  <c r="AE29" i="44"/>
  <c r="AE28" i="44"/>
  <c r="AE4" i="44"/>
  <c r="AE3" i="44"/>
  <c r="AF27" i="44"/>
  <c r="AE19" i="44"/>
  <c r="AF10" i="44"/>
  <c r="AD10" i="44"/>
  <c r="AE17" i="44"/>
  <c r="AF24" i="44"/>
  <c r="AE8" i="44"/>
  <c r="AD31" i="44"/>
  <c r="AF6" i="44"/>
  <c r="AE6" i="44"/>
  <c r="AD14" i="44"/>
  <c r="AF13" i="44"/>
  <c r="AF15" i="44"/>
  <c r="AF28" i="44"/>
  <c r="AF4" i="44"/>
  <c r="AD20" i="44"/>
  <c r="AE27" i="44"/>
  <c r="AE26" i="44"/>
  <c r="AE9" i="44"/>
  <c r="AE15" i="44"/>
  <c r="AE30" i="44"/>
  <c r="AD29" i="44"/>
  <c r="AE20" i="44"/>
  <c r="AF3" i="44"/>
  <c r="AF18" i="44"/>
  <c r="AE33" i="44"/>
  <c r="AE31" i="44"/>
  <c r="AF14" i="44"/>
  <c r="AD13" i="44"/>
  <c r="AE12" i="44"/>
  <c r="AE2" i="44"/>
  <c r="AF19" i="44"/>
  <c r="AD11" i="44"/>
  <c r="AD18" i="44"/>
  <c r="AF9" i="44"/>
  <c r="AD17" i="44"/>
  <c r="AE32" i="44"/>
  <c r="AE23" i="44"/>
  <c r="AF30" i="44"/>
  <c r="AF7" i="44"/>
  <c r="AD6" i="44"/>
  <c r="AD21" i="44"/>
  <c r="AF23" i="44"/>
  <c r="AF5" i="44"/>
  <c r="AF12" i="44"/>
  <c r="AD4" i="44"/>
  <c r="S5" i="47"/>
  <c r="AO105" i="47"/>
  <c r="Q5" i="47"/>
  <c r="R5" i="47"/>
  <c r="A5" i="35"/>
  <c r="AL105" i="47"/>
  <c r="AN105" i="47"/>
  <c r="E4" i="33"/>
  <c r="E4" i="32"/>
  <c r="H4" i="32"/>
  <c r="I4" i="33" s="1"/>
  <c r="H2" i="22"/>
  <c r="I50" i="33" s="1"/>
  <c r="I35" i="55" s="1"/>
  <c r="L16" i="22"/>
  <c r="L20" i="22"/>
  <c r="M20" i="22" s="1"/>
  <c r="L19" i="22"/>
  <c r="M19" i="22" s="1"/>
  <c r="L11" i="22"/>
  <c r="M11" i="22" s="1"/>
  <c r="L8" i="22"/>
  <c r="E50" i="33"/>
  <c r="E35" i="55" s="1"/>
  <c r="L14" i="22"/>
  <c r="L22" i="22"/>
  <c r="L25" i="22"/>
  <c r="M25" i="22" s="1"/>
  <c r="L9" i="22"/>
  <c r="E2" i="22"/>
  <c r="L24" i="22"/>
  <c r="L15" i="22"/>
  <c r="L7" i="22"/>
  <c r="L23" i="22"/>
  <c r="L17" i="22"/>
  <c r="L10" i="22"/>
  <c r="L18" i="22"/>
  <c r="L13" i="22"/>
  <c r="L6" i="22"/>
  <c r="L16" i="32"/>
  <c r="L6" i="32"/>
  <c r="E2" i="32"/>
  <c r="E32" i="32" s="1"/>
  <c r="H2" i="32"/>
  <c r="I2" i="33" s="1"/>
  <c r="I29" i="55" s="1"/>
  <c r="L11" i="32"/>
  <c r="M11" i="32" s="1"/>
  <c r="L22" i="32"/>
  <c r="L25" i="32"/>
  <c r="M25" i="32" s="1"/>
  <c r="L8" i="32"/>
  <c r="L10" i="32"/>
  <c r="L13" i="32"/>
  <c r="L24" i="32"/>
  <c r="L7" i="32"/>
  <c r="L14" i="32"/>
  <c r="L17" i="32"/>
  <c r="L9" i="32"/>
  <c r="L19" i="32"/>
  <c r="M19" i="32" s="1"/>
  <c r="E2" i="33"/>
  <c r="E29" i="55" s="1"/>
  <c r="L15" i="32"/>
  <c r="L23" i="32"/>
  <c r="L18" i="32"/>
  <c r="L20" i="32"/>
  <c r="M20" i="32" s="1"/>
  <c r="K2" i="27"/>
  <c r="L61" i="33" s="1"/>
  <c r="L29" i="55" s="1"/>
  <c r="D38" i="27"/>
  <c r="D39" i="27" s="1"/>
  <c r="J61" i="33"/>
  <c r="J2" i="27"/>
  <c r="J8" i="22"/>
  <c r="K8" i="22"/>
  <c r="E115" i="36"/>
  <c r="E112" i="36"/>
  <c r="J6" i="22"/>
  <c r="F112" i="36" s="1"/>
  <c r="K6" i="22"/>
  <c r="G112" i="36" s="1"/>
  <c r="K4" i="22"/>
  <c r="L52" i="33" s="1"/>
  <c r="J4" i="22"/>
  <c r="K52" i="33" s="1"/>
  <c r="J52" i="33"/>
  <c r="K3" i="22"/>
  <c r="L51" i="33" s="1"/>
  <c r="J51" i="33"/>
  <c r="J34" i="55" s="1"/>
  <c r="J3" i="22"/>
  <c r="K51" i="33" s="1"/>
  <c r="J2" i="22"/>
  <c r="D38" i="22"/>
  <c r="D39" i="22" s="1"/>
  <c r="J50" i="33"/>
  <c r="K2" i="22"/>
  <c r="G2" i="13"/>
  <c r="F2" i="13"/>
  <c r="G27" i="33" s="1"/>
  <c r="F27" i="33"/>
  <c r="F19" i="55" s="1"/>
  <c r="K6" i="16"/>
  <c r="J6" i="16"/>
  <c r="E73" i="36"/>
  <c r="T43" i="58" s="1"/>
  <c r="E74" i="36"/>
  <c r="T78" i="55" s="1"/>
  <c r="K8" i="16"/>
  <c r="G74" i="36" s="1"/>
  <c r="J8" i="16"/>
  <c r="F74" i="36" s="1"/>
  <c r="J35" i="33"/>
  <c r="J3" i="16"/>
  <c r="K35" i="33" s="1"/>
  <c r="K3" i="16"/>
  <c r="L35" i="33" s="1"/>
  <c r="J10" i="16"/>
  <c r="F76" i="36" s="1"/>
  <c r="K10" i="16"/>
  <c r="G76" i="36" s="1"/>
  <c r="E76" i="36"/>
  <c r="K2" i="16"/>
  <c r="J2" i="16"/>
  <c r="J34" i="33"/>
  <c r="D38" i="16"/>
  <c r="D39" i="16" s="1"/>
  <c r="J11" i="16"/>
  <c r="K11" i="16"/>
  <c r="J4" i="16"/>
  <c r="K4" i="16"/>
  <c r="E72" i="36"/>
  <c r="T25" i="58" s="1"/>
  <c r="J7" i="16"/>
  <c r="F72" i="36" s="1"/>
  <c r="U25" i="58" s="1"/>
  <c r="K7" i="16"/>
  <c r="E75" i="36"/>
  <c r="J9" i="16"/>
  <c r="F75" i="36" s="1"/>
  <c r="K9" i="16"/>
  <c r="G75" i="36" s="1"/>
  <c r="J7" i="15"/>
  <c r="E68" i="36"/>
  <c r="K7" i="15"/>
  <c r="J20" i="15"/>
  <c r="K20" i="15"/>
  <c r="J14" i="15"/>
  <c r="K14" i="15"/>
  <c r="K19" i="15"/>
  <c r="J19" i="15"/>
  <c r="J16" i="15"/>
  <c r="E89" i="35" s="1"/>
  <c r="K16" i="15"/>
  <c r="F89" i="35" s="1"/>
  <c r="K3" i="15"/>
  <c r="L33" i="33" s="1"/>
  <c r="J3" i="15"/>
  <c r="K33" i="33" s="1"/>
  <c r="J33" i="33"/>
  <c r="K9" i="15"/>
  <c r="G70" i="36" s="1"/>
  <c r="J9" i="15"/>
  <c r="F70" i="36" s="1"/>
  <c r="E70" i="36"/>
  <c r="J11" i="15"/>
  <c r="K11" i="15"/>
  <c r="K13" i="15"/>
  <c r="F85" i="35" s="1"/>
  <c r="J13" i="15"/>
  <c r="E85" i="35" s="1"/>
  <c r="J32" i="33"/>
  <c r="J2" i="15"/>
  <c r="K32" i="33" s="1"/>
  <c r="K2" i="15"/>
  <c r="L32" i="33" s="1"/>
  <c r="J4" i="15"/>
  <c r="K4" i="15"/>
  <c r="K8" i="15"/>
  <c r="G69" i="36" s="1"/>
  <c r="J8" i="15"/>
  <c r="F69" i="36" s="1"/>
  <c r="E69" i="36"/>
  <c r="E71" i="36"/>
  <c r="K10" i="15"/>
  <c r="G71" i="36" s="1"/>
  <c r="J10" i="15"/>
  <c r="F71" i="36" s="1"/>
  <c r="E44" i="36"/>
  <c r="J8" i="10"/>
  <c r="F44" i="36" s="1"/>
  <c r="K8" i="10"/>
  <c r="G44" i="36" s="1"/>
  <c r="J22" i="33"/>
  <c r="J3" i="10"/>
  <c r="K22" i="33" s="1"/>
  <c r="K3" i="10"/>
  <c r="L22" i="33" s="1"/>
  <c r="J4" i="10"/>
  <c r="K4" i="10"/>
  <c r="K6" i="10"/>
  <c r="G42" i="36" s="1"/>
  <c r="E42" i="36"/>
  <c r="J6" i="10"/>
  <c r="F42" i="36" s="1"/>
  <c r="U18" i="55" s="1"/>
  <c r="K3" i="9"/>
  <c r="L19" i="33" s="1"/>
  <c r="J3" i="9"/>
  <c r="K19" i="33" s="1"/>
  <c r="J20" i="33"/>
  <c r="K4" i="9"/>
  <c r="L20" i="33" s="1"/>
  <c r="K15" i="9"/>
  <c r="J15" i="9"/>
  <c r="K2" i="9"/>
  <c r="L18" i="33" s="1"/>
  <c r="J18" i="33"/>
  <c r="J2" i="9"/>
  <c r="K18" i="33" s="1"/>
  <c r="D38" i="9"/>
  <c r="D39" i="9" s="1"/>
  <c r="J19" i="9"/>
  <c r="K19" i="9"/>
  <c r="E76" i="33"/>
  <c r="E4" i="31"/>
  <c r="F76" i="33" s="1"/>
  <c r="H4" i="31"/>
  <c r="I76" i="33" s="1"/>
  <c r="L7" i="31"/>
  <c r="L9" i="31"/>
  <c r="L6" i="31"/>
  <c r="L8" i="31"/>
  <c r="E74" i="33"/>
  <c r="H2" i="31"/>
  <c r="I74" i="33" s="1"/>
  <c r="E2" i="31"/>
  <c r="H3" i="29"/>
  <c r="I70" i="33" s="1"/>
  <c r="E3" i="29"/>
  <c r="E70" i="33"/>
  <c r="H2" i="29"/>
  <c r="I69" i="33" s="1"/>
  <c r="I7" i="55" s="1"/>
  <c r="L23" i="29"/>
  <c r="L24" i="29"/>
  <c r="L7" i="29"/>
  <c r="L19" i="29"/>
  <c r="M19" i="29" s="1"/>
  <c r="L10" i="29"/>
  <c r="E2" i="29"/>
  <c r="L16" i="29"/>
  <c r="G187" i="35" s="1"/>
  <c r="L17" i="29"/>
  <c r="M17" i="29" s="1"/>
  <c r="O17" i="29" s="1"/>
  <c r="L15" i="29"/>
  <c r="E69" i="33"/>
  <c r="E7" i="55" s="1"/>
  <c r="L9" i="29"/>
  <c r="L8" i="29"/>
  <c r="L18" i="29"/>
  <c r="L14" i="29"/>
  <c r="L6" i="29"/>
  <c r="L11" i="29"/>
  <c r="M11" i="29" s="1"/>
  <c r="L20" i="29"/>
  <c r="M20" i="29" s="1"/>
  <c r="L22" i="29"/>
  <c r="L13" i="29"/>
  <c r="L25" i="29"/>
  <c r="M25" i="29" s="1"/>
  <c r="H4" i="29"/>
  <c r="E4" i="29"/>
  <c r="K10" i="27"/>
  <c r="G136" i="36" s="1"/>
  <c r="J10" i="27"/>
  <c r="F136" i="36" s="1"/>
  <c r="E136" i="36"/>
  <c r="K9" i="27"/>
  <c r="G135" i="36" s="1"/>
  <c r="E135" i="36"/>
  <c r="J9" i="27"/>
  <c r="F135" i="36" s="1"/>
  <c r="J8" i="27"/>
  <c r="F134" i="36" s="1"/>
  <c r="U31" i="55" s="1"/>
  <c r="K8" i="27"/>
  <c r="E134" i="36"/>
  <c r="T31" i="55" s="1"/>
  <c r="H3" i="27"/>
  <c r="I62" i="33" s="1"/>
  <c r="E3" i="27"/>
  <c r="E62" i="33"/>
  <c r="H4" i="27"/>
  <c r="I63" i="33" s="1"/>
  <c r="E63" i="33"/>
  <c r="E4" i="27"/>
  <c r="L13" i="27"/>
  <c r="L10" i="27"/>
  <c r="H2" i="27"/>
  <c r="I61" i="33" s="1"/>
  <c r="L18" i="27"/>
  <c r="L17" i="27"/>
  <c r="E2" i="27"/>
  <c r="L19" i="27"/>
  <c r="M19" i="27" s="1"/>
  <c r="L22" i="27"/>
  <c r="L20" i="27"/>
  <c r="M20" i="27" s="1"/>
  <c r="L25" i="27"/>
  <c r="M25" i="27" s="1"/>
  <c r="L11" i="27"/>
  <c r="M11" i="27" s="1"/>
  <c r="L7" i="27"/>
  <c r="L6" i="27"/>
  <c r="L15" i="27"/>
  <c r="L8" i="27"/>
  <c r="L23" i="27"/>
  <c r="L16" i="27"/>
  <c r="L9" i="27"/>
  <c r="E61" i="33"/>
  <c r="L24" i="27"/>
  <c r="L14" i="27"/>
  <c r="E3" i="22"/>
  <c r="H3" i="22"/>
  <c r="I51" i="33" s="1"/>
  <c r="I34" i="55" s="1"/>
  <c r="E51" i="33"/>
  <c r="E98" i="36"/>
  <c r="K7" i="19"/>
  <c r="G98" i="36" s="1"/>
  <c r="J7" i="19"/>
  <c r="F98" i="36" s="1"/>
  <c r="U72" i="55" s="1"/>
  <c r="K6" i="19"/>
  <c r="G97" i="36" s="1"/>
  <c r="E97" i="36"/>
  <c r="D38" i="19"/>
  <c r="D39" i="19" s="1"/>
  <c r="J6" i="19"/>
  <c r="H4" i="19"/>
  <c r="E4" i="19"/>
  <c r="L16" i="19"/>
  <c r="M16" i="19" s="1"/>
  <c r="L25" i="19"/>
  <c r="M25" i="19" s="1"/>
  <c r="L6" i="19"/>
  <c r="L20" i="19"/>
  <c r="M20" i="19" s="1"/>
  <c r="E2" i="19"/>
  <c r="H2" i="19"/>
  <c r="I44" i="33" s="1"/>
  <c r="L14" i="19"/>
  <c r="L15" i="19"/>
  <c r="L8" i="19"/>
  <c r="L9" i="19"/>
  <c r="E44" i="33"/>
  <c r="L11" i="19"/>
  <c r="M11" i="19" s="1"/>
  <c r="L19" i="19"/>
  <c r="L13" i="19"/>
  <c r="G122" i="35" s="1"/>
  <c r="L18" i="19"/>
  <c r="L24" i="19"/>
  <c r="E58" i="34" s="1"/>
  <c r="L7" i="19"/>
  <c r="L22" i="19"/>
  <c r="L10" i="19"/>
  <c r="L23" i="19"/>
  <c r="M23" i="19" s="1"/>
  <c r="L17" i="19"/>
  <c r="K9" i="19"/>
  <c r="G100" i="36" s="1"/>
  <c r="E100" i="36"/>
  <c r="J9" i="19"/>
  <c r="F100" i="36" s="1"/>
  <c r="J6" i="3"/>
  <c r="F82" i="36" s="1"/>
  <c r="U13" i="57" s="1"/>
  <c r="K6" i="3"/>
  <c r="G82" i="36" s="1"/>
  <c r="V13" i="57" s="1"/>
  <c r="E82" i="36"/>
  <c r="J18" i="3"/>
  <c r="K18" i="3"/>
  <c r="K20" i="25"/>
  <c r="J20" i="25"/>
  <c r="J11" i="25"/>
  <c r="K11" i="25"/>
  <c r="E95" i="36"/>
  <c r="K9" i="25"/>
  <c r="G95" i="36" s="1"/>
  <c r="J9" i="25"/>
  <c r="F95" i="36" s="1"/>
  <c r="K3" i="25"/>
  <c r="L43" i="33" s="1"/>
  <c r="J3" i="25"/>
  <c r="K43" i="33" s="1"/>
  <c r="J43" i="33"/>
  <c r="J42" i="33"/>
  <c r="J2" i="25"/>
  <c r="K2" i="25"/>
  <c r="K4" i="25"/>
  <c r="J4" i="25"/>
  <c r="J6" i="25"/>
  <c r="F92" i="36" s="1"/>
  <c r="E92" i="36"/>
  <c r="K6" i="25"/>
  <c r="G92" i="36" s="1"/>
  <c r="J7" i="25"/>
  <c r="F93" i="36" s="1"/>
  <c r="K7" i="25"/>
  <c r="G93" i="36" s="1"/>
  <c r="E93" i="36"/>
  <c r="J10" i="25"/>
  <c r="F96" i="36" s="1"/>
  <c r="K10" i="25"/>
  <c r="G96" i="36" s="1"/>
  <c r="E96" i="36"/>
  <c r="J15" i="25"/>
  <c r="K15" i="25"/>
  <c r="J13" i="25"/>
  <c r="K13" i="25"/>
  <c r="K13" i="17"/>
  <c r="J13" i="17"/>
  <c r="K19" i="17"/>
  <c r="J19" i="17"/>
  <c r="J18" i="17"/>
  <c r="K18" i="17"/>
  <c r="F102" i="35" s="1"/>
  <c r="E4" i="17"/>
  <c r="H4" i="17"/>
  <c r="J14" i="17"/>
  <c r="K14" i="17"/>
  <c r="F97" i="35" s="1"/>
  <c r="J15" i="17"/>
  <c r="E99" i="35" s="1"/>
  <c r="K15" i="17"/>
  <c r="F99" i="35" s="1"/>
  <c r="K16" i="17"/>
  <c r="J16" i="17"/>
  <c r="J20" i="16"/>
  <c r="K20" i="16"/>
  <c r="K15" i="16"/>
  <c r="J15" i="16"/>
  <c r="K19" i="16"/>
  <c r="F96" i="35" s="1"/>
  <c r="J19" i="16"/>
  <c r="E96" i="35" s="1"/>
  <c r="J18" i="16"/>
  <c r="K18" i="16"/>
  <c r="J17" i="16"/>
  <c r="K17" i="16"/>
  <c r="L15" i="16"/>
  <c r="E34" i="33"/>
  <c r="L22" i="16"/>
  <c r="E2" i="16"/>
  <c r="F34" i="33" s="1"/>
  <c r="L7" i="16"/>
  <c r="L9" i="16"/>
  <c r="L13" i="16"/>
  <c r="L20" i="16"/>
  <c r="M20" i="16" s="1"/>
  <c r="L11" i="16"/>
  <c r="M11" i="16" s="1"/>
  <c r="L18" i="16"/>
  <c r="G95" i="35" s="1"/>
  <c r="L16" i="16"/>
  <c r="L17" i="16"/>
  <c r="M17" i="16" s="1"/>
  <c r="O17" i="16" s="1"/>
  <c r="H2" i="16"/>
  <c r="I34" i="33" s="1"/>
  <c r="L14" i="16"/>
  <c r="L10" i="16"/>
  <c r="L6" i="16"/>
  <c r="E4" i="16"/>
  <c r="H4" i="16"/>
  <c r="K8" i="11"/>
  <c r="G49" i="36" s="1"/>
  <c r="J8" i="11"/>
  <c r="F49" i="36" s="1"/>
  <c r="E49" i="36"/>
  <c r="L25" i="11"/>
  <c r="M25" i="11" s="1"/>
  <c r="L10" i="11"/>
  <c r="H51" i="36" s="1"/>
  <c r="L20" i="11"/>
  <c r="M20" i="11" s="1"/>
  <c r="L11" i="11"/>
  <c r="M11" i="11" s="1"/>
  <c r="L9" i="11"/>
  <c r="L7" i="11"/>
  <c r="L24" i="11"/>
  <c r="L13" i="11"/>
  <c r="M13" i="11" s="1"/>
  <c r="L6" i="11"/>
  <c r="L8" i="11"/>
  <c r="L14" i="11"/>
  <c r="L23" i="11"/>
  <c r="L18" i="10"/>
  <c r="E2" i="10"/>
  <c r="L19" i="10"/>
  <c r="M19" i="10" s="1"/>
  <c r="E24" i="36"/>
  <c r="J9" i="1"/>
  <c r="K9" i="1"/>
  <c r="J8" i="1"/>
  <c r="E25" i="36"/>
  <c r="K8" i="1"/>
  <c r="K13" i="6"/>
  <c r="J13" i="6"/>
  <c r="K16" i="6"/>
  <c r="F22" i="35" s="1"/>
  <c r="J16" i="6"/>
  <c r="E22" i="35" s="1"/>
  <c r="K18" i="6"/>
  <c r="F25" i="35" s="1"/>
  <c r="J18" i="6"/>
  <c r="E25" i="35" s="1"/>
  <c r="H2" i="6"/>
  <c r="I9" i="33" s="1"/>
  <c r="I4" i="55" s="1"/>
  <c r="E2" i="6"/>
  <c r="E9" i="33"/>
  <c r="E4" i="55" s="1"/>
  <c r="J9" i="32"/>
  <c r="K9" i="32"/>
  <c r="G4" i="11"/>
  <c r="F4" i="11"/>
  <c r="F23" i="33"/>
  <c r="F2" i="11"/>
  <c r="G23" i="33" s="1"/>
  <c r="G2" i="11"/>
  <c r="M23" i="24"/>
  <c r="E71" i="34"/>
  <c r="E58" i="55"/>
  <c r="E68" i="55"/>
  <c r="E47" i="55"/>
  <c r="E74" i="55"/>
  <c r="E75" i="55"/>
  <c r="E64" i="55"/>
  <c r="E69" i="55"/>
  <c r="E77" i="55"/>
  <c r="E49" i="55"/>
  <c r="E56" i="55"/>
  <c r="E67" i="55"/>
  <c r="E63" i="55"/>
  <c r="E65" i="55"/>
  <c r="E53" i="55"/>
  <c r="E70" i="55"/>
  <c r="E50" i="55"/>
  <c r="E43" i="55"/>
  <c r="E59" i="55"/>
  <c r="A5" i="36"/>
  <c r="K6" i="47"/>
  <c r="J9" i="31"/>
  <c r="F160" i="36" s="1"/>
  <c r="K9" i="31"/>
  <c r="G160" i="36" s="1"/>
  <c r="J8" i="31"/>
  <c r="K8" i="31"/>
  <c r="J7" i="31"/>
  <c r="K7" i="31"/>
  <c r="J6" i="31"/>
  <c r="F157" i="36" s="1"/>
  <c r="K6" i="31"/>
  <c r="G157" i="36" s="1"/>
  <c r="AH18" i="55"/>
  <c r="K2" i="30"/>
  <c r="L71" i="33" s="1"/>
  <c r="J2" i="30"/>
  <c r="J71" i="33"/>
  <c r="E153" i="36"/>
  <c r="T54" i="55" s="1"/>
  <c r="J7" i="30"/>
  <c r="F153" i="36" s="1"/>
  <c r="U54" i="55" s="1"/>
  <c r="K7" i="30"/>
  <c r="G153" i="36" s="1"/>
  <c r="E155" i="36"/>
  <c r="K9" i="30"/>
  <c r="G155" i="36" s="1"/>
  <c r="J9" i="30"/>
  <c r="F155" i="36" s="1"/>
  <c r="J10" i="30"/>
  <c r="F156" i="36" s="1"/>
  <c r="E156" i="36"/>
  <c r="K10" i="30"/>
  <c r="G156" i="36" s="1"/>
  <c r="J20" i="30"/>
  <c r="K20" i="30"/>
  <c r="J3" i="30"/>
  <c r="K72" i="33" s="1"/>
  <c r="J72" i="33"/>
  <c r="K3" i="30"/>
  <c r="D38" i="30"/>
  <c r="D39" i="30" s="1"/>
  <c r="K4" i="30"/>
  <c r="L73" i="33" s="1"/>
  <c r="J4" i="30"/>
  <c r="K73" i="33" s="1"/>
  <c r="J73" i="33"/>
  <c r="J6" i="30"/>
  <c r="F152" i="36" s="1"/>
  <c r="U25" i="55" s="1"/>
  <c r="E152" i="36"/>
  <c r="T25" i="55" s="1"/>
  <c r="K6" i="30"/>
  <c r="G152" i="36" s="1"/>
  <c r="V25" i="55" s="1"/>
  <c r="E154" i="36"/>
  <c r="J8" i="30"/>
  <c r="F154" i="36" s="1"/>
  <c r="K8" i="30"/>
  <c r="G154" i="36" s="1"/>
  <c r="K11" i="30"/>
  <c r="J11" i="30"/>
  <c r="J13" i="30"/>
  <c r="E190" i="35" s="1"/>
  <c r="K13" i="30"/>
  <c r="F190" i="35" s="1"/>
  <c r="K15" i="30"/>
  <c r="J15" i="30"/>
  <c r="J16" i="30"/>
  <c r="K16" i="30"/>
  <c r="F193" i="35" s="1"/>
  <c r="AI77" i="55" s="1"/>
  <c r="J14" i="30"/>
  <c r="K14" i="30"/>
  <c r="K17" i="30"/>
  <c r="F194" i="35" s="1"/>
  <c r="J17" i="30"/>
  <c r="E194" i="35" s="1"/>
  <c r="AH121" i="55" s="1"/>
  <c r="K18" i="30"/>
  <c r="F195" i="35" s="1"/>
  <c r="J18" i="30"/>
  <c r="E195" i="35" s="1"/>
  <c r="K19" i="30"/>
  <c r="F196" i="35" s="1"/>
  <c r="J19" i="30"/>
  <c r="E196" i="35" s="1"/>
  <c r="H3" i="30"/>
  <c r="I72" i="33" s="1"/>
  <c r="E3" i="30"/>
  <c r="E72" i="33"/>
  <c r="H4" i="30"/>
  <c r="I73" i="33" s="1"/>
  <c r="E4" i="30"/>
  <c r="E73" i="33"/>
  <c r="E2" i="30"/>
  <c r="L25" i="30"/>
  <c r="M25" i="30" s="1"/>
  <c r="L18" i="30"/>
  <c r="L22" i="30"/>
  <c r="H2" i="30"/>
  <c r="I71" i="33" s="1"/>
  <c r="L10" i="30"/>
  <c r="L14" i="30"/>
  <c r="L17" i="30"/>
  <c r="L23" i="30"/>
  <c r="L19" i="30"/>
  <c r="L7" i="30"/>
  <c r="L16" i="30"/>
  <c r="L13" i="30"/>
  <c r="L15" i="30"/>
  <c r="L8" i="30"/>
  <c r="L11" i="30"/>
  <c r="M11" i="30" s="1"/>
  <c r="L6" i="30"/>
  <c r="L20" i="30"/>
  <c r="M20" i="30" s="1"/>
  <c r="E71" i="33"/>
  <c r="L9" i="30"/>
  <c r="L24" i="30"/>
  <c r="E3" i="28"/>
  <c r="E65" i="33"/>
  <c r="H3" i="28"/>
  <c r="I65" i="33" s="1"/>
  <c r="E4" i="28"/>
  <c r="H4" i="28"/>
  <c r="L18" i="28"/>
  <c r="M18" i="28" s="1"/>
  <c r="L14" i="28"/>
  <c r="L16" i="28"/>
  <c r="L9" i="28"/>
  <c r="L22" i="28"/>
  <c r="L24" i="28"/>
  <c r="E64" i="33"/>
  <c r="E2" i="28"/>
  <c r="L11" i="28"/>
  <c r="M11" i="28" s="1"/>
  <c r="L17" i="28"/>
  <c r="L20" i="28"/>
  <c r="M20" i="28" s="1"/>
  <c r="H2" i="28"/>
  <c r="I64" i="33" s="1"/>
  <c r="L25" i="28"/>
  <c r="M25" i="28" s="1"/>
  <c r="L6" i="28"/>
  <c r="L7" i="28"/>
  <c r="L19" i="28"/>
  <c r="M19" i="28" s="1"/>
  <c r="L8" i="28"/>
  <c r="L13" i="28"/>
  <c r="L23" i="28"/>
  <c r="L15" i="28"/>
  <c r="L10" i="28"/>
  <c r="J18" i="2"/>
  <c r="E183" i="35" s="1"/>
  <c r="K18" i="2"/>
  <c r="F183" i="35" s="1"/>
  <c r="L25" i="2"/>
  <c r="M25" i="2" s="1"/>
  <c r="L16" i="2"/>
  <c r="L18" i="2"/>
  <c r="L17" i="2"/>
  <c r="L6" i="2"/>
  <c r="L20" i="2"/>
  <c r="M20" i="2" s="1"/>
  <c r="L22" i="2"/>
  <c r="L7" i="2"/>
  <c r="L23" i="2"/>
  <c r="L24" i="2"/>
  <c r="J15" i="2"/>
  <c r="E180" i="35" s="1"/>
  <c r="K15" i="2"/>
  <c r="F180" i="35" s="1"/>
  <c r="E144" i="36"/>
  <c r="K8" i="2"/>
  <c r="G144" i="36" s="1"/>
  <c r="J8" i="2"/>
  <c r="F144" i="36" s="1"/>
  <c r="E146" i="36"/>
  <c r="J10" i="2"/>
  <c r="F146" i="36" s="1"/>
  <c r="K10" i="2"/>
  <c r="G146" i="36" s="1"/>
  <c r="E145" i="36"/>
  <c r="T79" i="55" s="1"/>
  <c r="K9" i="2"/>
  <c r="G145" i="36" s="1"/>
  <c r="J9" i="2"/>
  <c r="F145" i="36" s="1"/>
  <c r="U79" i="55" s="1"/>
  <c r="J19" i="2"/>
  <c r="K19" i="2"/>
  <c r="J11" i="2"/>
  <c r="K11" i="2"/>
  <c r="E68" i="33"/>
  <c r="H4" i="2"/>
  <c r="I68" i="33" s="1"/>
  <c r="E4" i="2"/>
  <c r="H2" i="2"/>
  <c r="I66" i="33" s="1"/>
  <c r="I14" i="55" s="1"/>
  <c r="L15" i="2"/>
  <c r="L19" i="2"/>
  <c r="M19" i="2" s="1"/>
  <c r="E66" i="33"/>
  <c r="E14" i="55" s="1"/>
  <c r="E2" i="2"/>
  <c r="L10" i="2"/>
  <c r="L8" i="2"/>
  <c r="L11" i="2"/>
  <c r="M11" i="2" s="1"/>
  <c r="L9" i="2"/>
  <c r="L13" i="2"/>
  <c r="L14" i="2"/>
  <c r="K17" i="2"/>
  <c r="F181" i="35" s="1"/>
  <c r="J17" i="2"/>
  <c r="E181" i="35" s="1"/>
  <c r="H3" i="2"/>
  <c r="I67" i="33" s="1"/>
  <c r="E3" i="2"/>
  <c r="E67" i="33"/>
  <c r="K7" i="2"/>
  <c r="G143" i="36" s="1"/>
  <c r="J7" i="2"/>
  <c r="F143" i="36" s="1"/>
  <c r="U74" i="57" s="1"/>
  <c r="E143" i="36"/>
  <c r="E2" i="26"/>
  <c r="E59" i="33"/>
  <c r="E5" i="55" s="1"/>
  <c r="L14" i="26"/>
  <c r="L7" i="26"/>
  <c r="L19" i="26"/>
  <c r="L15" i="26"/>
  <c r="M15" i="26" s="1"/>
  <c r="L9" i="26"/>
  <c r="L20" i="26"/>
  <c r="M20" i="26" s="1"/>
  <c r="H2" i="26"/>
  <c r="I59" i="33" s="1"/>
  <c r="I5" i="55" s="1"/>
  <c r="L10" i="26"/>
  <c r="L22" i="26"/>
  <c r="L11" i="26"/>
  <c r="M11" i="26" s="1"/>
  <c r="L24" i="26"/>
  <c r="L8" i="26"/>
  <c r="L23" i="26"/>
  <c r="L17" i="26"/>
  <c r="L25" i="26"/>
  <c r="M25" i="26" s="1"/>
  <c r="L13" i="26"/>
  <c r="L16" i="26"/>
  <c r="L6" i="26"/>
  <c r="L18" i="26"/>
  <c r="H3" i="26"/>
  <c r="I60" i="33" s="1"/>
  <c r="E3" i="26"/>
  <c r="E60" i="33"/>
  <c r="E4" i="26"/>
  <c r="H4" i="26"/>
  <c r="J3" i="26"/>
  <c r="K3" i="26"/>
  <c r="J4" i="26"/>
  <c r="K4" i="26"/>
  <c r="J15" i="26"/>
  <c r="E163" i="35" s="1"/>
  <c r="K15" i="26"/>
  <c r="F163" i="35" s="1"/>
  <c r="J16" i="26"/>
  <c r="E164" i="35" s="1"/>
  <c r="K16" i="26"/>
  <c r="F164" i="35" s="1"/>
  <c r="K19" i="26"/>
  <c r="J19" i="26"/>
  <c r="K18" i="26"/>
  <c r="F165" i="35" s="1"/>
  <c r="J18" i="26"/>
  <c r="E165" i="35" s="1"/>
  <c r="D38" i="26"/>
  <c r="D39" i="26" s="1"/>
  <c r="J60" i="33"/>
  <c r="D38" i="24"/>
  <c r="D39" i="24" s="1"/>
  <c r="K19" i="24"/>
  <c r="F160" i="35" s="1"/>
  <c r="J19" i="24"/>
  <c r="E160" i="35" s="1"/>
  <c r="K16" i="24"/>
  <c r="J16" i="24"/>
  <c r="K17" i="24"/>
  <c r="J17" i="24"/>
  <c r="J19" i="23"/>
  <c r="E153" i="35" s="1"/>
  <c r="K19" i="23"/>
  <c r="F153" i="35" s="1"/>
  <c r="J16" i="23"/>
  <c r="K16" i="23"/>
  <c r="K17" i="23"/>
  <c r="F151" i="35" s="1"/>
  <c r="J17" i="23"/>
  <c r="E151" i="35" s="1"/>
  <c r="J14" i="23"/>
  <c r="E148" i="35" s="1"/>
  <c r="K14" i="23"/>
  <c r="F148" i="35" s="1"/>
  <c r="K15" i="23"/>
  <c r="F149" i="35" s="1"/>
  <c r="J15" i="23"/>
  <c r="E149" i="35" s="1"/>
  <c r="J18" i="23"/>
  <c r="E150" i="35" s="1"/>
  <c r="K18" i="23"/>
  <c r="F150" i="35" s="1"/>
  <c r="E54" i="33"/>
  <c r="E40" i="55" s="1"/>
  <c r="E3" i="23"/>
  <c r="H3" i="23"/>
  <c r="I54" i="33" s="1"/>
  <c r="I40" i="55" s="1"/>
  <c r="H4" i="23"/>
  <c r="I55" i="33" s="1"/>
  <c r="E4" i="23"/>
  <c r="E55" i="33"/>
  <c r="E53" i="33"/>
  <c r="L22" i="23"/>
  <c r="L25" i="23"/>
  <c r="M25" i="23" s="1"/>
  <c r="L10" i="23"/>
  <c r="E2" i="23"/>
  <c r="L11" i="23"/>
  <c r="M11" i="23" s="1"/>
  <c r="H2" i="23"/>
  <c r="I53" i="33" s="1"/>
  <c r="L6" i="23"/>
  <c r="L17" i="23"/>
  <c r="L15" i="23"/>
  <c r="L7" i="23"/>
  <c r="L24" i="23"/>
  <c r="L16" i="23"/>
  <c r="L9" i="23"/>
  <c r="L23" i="23"/>
  <c r="L8" i="23"/>
  <c r="L20" i="23"/>
  <c r="M20" i="23" s="1"/>
  <c r="L19" i="23"/>
  <c r="L14" i="23"/>
  <c r="L13" i="23"/>
  <c r="L18" i="23"/>
  <c r="H4" i="22"/>
  <c r="I52" i="33" s="1"/>
  <c r="E52" i="33"/>
  <c r="E4" i="22"/>
  <c r="F4" i="22" s="1"/>
  <c r="G52" i="33" s="1"/>
  <c r="J19" i="21"/>
  <c r="K19" i="21"/>
  <c r="J18" i="21"/>
  <c r="E140" i="35" s="1"/>
  <c r="K18" i="21"/>
  <c r="F140" i="35" s="1"/>
  <c r="AI84" i="55" s="1"/>
  <c r="E4" i="21"/>
  <c r="H4" i="21"/>
  <c r="K15" i="21"/>
  <c r="J15" i="21"/>
  <c r="E38" i="21" s="1"/>
  <c r="E39" i="21" s="1"/>
  <c r="D38" i="21"/>
  <c r="D39" i="21" s="1"/>
  <c r="E3" i="21"/>
  <c r="H3" i="21"/>
  <c r="I49" i="33" s="1"/>
  <c r="E49" i="33"/>
  <c r="H2" i="21"/>
  <c r="I48" i="33" s="1"/>
  <c r="E2" i="21"/>
  <c r="E48" i="33"/>
  <c r="L19" i="21"/>
  <c r="M19" i="21" s="1"/>
  <c r="L18" i="21"/>
  <c r="L13" i="21"/>
  <c r="L8" i="21"/>
  <c r="L9" i="21"/>
  <c r="L10" i="21"/>
  <c r="L11" i="21"/>
  <c r="M11" i="21" s="1"/>
  <c r="L23" i="21"/>
  <c r="L25" i="21"/>
  <c r="M25" i="21" s="1"/>
  <c r="L16" i="21"/>
  <c r="M16" i="21" s="1"/>
  <c r="L14" i="21"/>
  <c r="L15" i="21"/>
  <c r="L6" i="21"/>
  <c r="L17" i="21"/>
  <c r="G139" i="35" s="1"/>
  <c r="L20" i="21"/>
  <c r="M20" i="21" s="1"/>
  <c r="L22" i="21"/>
  <c r="L7" i="21"/>
  <c r="L24" i="21"/>
  <c r="J18" i="20"/>
  <c r="E134" i="35" s="1"/>
  <c r="K18" i="20"/>
  <c r="F134" i="35" s="1"/>
  <c r="J16" i="20"/>
  <c r="E132" i="35" s="1"/>
  <c r="K16" i="20"/>
  <c r="F132" i="35" s="1"/>
  <c r="K17" i="20"/>
  <c r="F133" i="35" s="1"/>
  <c r="J17" i="20"/>
  <c r="E133" i="35" s="1"/>
  <c r="J19" i="20"/>
  <c r="K19" i="20"/>
  <c r="J15" i="20"/>
  <c r="E131" i="35" s="1"/>
  <c r="AH41" i="55" s="1"/>
  <c r="K15" i="20"/>
  <c r="F131" i="35" s="1"/>
  <c r="H3" i="20"/>
  <c r="I47" i="33" s="1"/>
  <c r="I21" i="55" s="1"/>
  <c r="E3" i="20"/>
  <c r="E47" i="33"/>
  <c r="E21" i="55" s="1"/>
  <c r="K3" i="20"/>
  <c r="L47" i="33" s="1"/>
  <c r="J3" i="20"/>
  <c r="J47" i="33"/>
  <c r="J21" i="55" s="1"/>
  <c r="E4" i="20"/>
  <c r="H4" i="20"/>
  <c r="J4" i="20"/>
  <c r="K4" i="20"/>
  <c r="L16" i="20"/>
  <c r="L18" i="20"/>
  <c r="L17" i="20"/>
  <c r="L19" i="20"/>
  <c r="M19" i="20" s="1"/>
  <c r="E2" i="20"/>
  <c r="E46" i="33"/>
  <c r="E12" i="55" s="1"/>
  <c r="H2" i="20"/>
  <c r="I46" i="33" s="1"/>
  <c r="I12" i="55" s="1"/>
  <c r="L25" i="20"/>
  <c r="M25" i="20" s="1"/>
  <c r="L9" i="20"/>
  <c r="L10" i="20"/>
  <c r="L15" i="20"/>
  <c r="L13" i="20"/>
  <c r="L14" i="20"/>
  <c r="L11" i="20"/>
  <c r="M11" i="20" s="1"/>
  <c r="L6" i="20"/>
  <c r="L20" i="20"/>
  <c r="M20" i="20" s="1"/>
  <c r="L22" i="20"/>
  <c r="L7" i="20"/>
  <c r="L24" i="20"/>
  <c r="L8" i="20"/>
  <c r="L23" i="20"/>
  <c r="J16" i="19"/>
  <c r="K16" i="19"/>
  <c r="J8" i="19"/>
  <c r="F99" i="36" s="1"/>
  <c r="E99" i="36"/>
  <c r="T69" i="55" s="1"/>
  <c r="E3" i="19"/>
  <c r="E45" i="33"/>
  <c r="K13" i="18"/>
  <c r="F111" i="35" s="1"/>
  <c r="J13" i="18"/>
  <c r="E111" i="35" s="1"/>
  <c r="E91" i="36"/>
  <c r="K10" i="18"/>
  <c r="G91" i="36" s="1"/>
  <c r="J10" i="18"/>
  <c r="F91" i="36" s="1"/>
  <c r="E90" i="36"/>
  <c r="J9" i="18"/>
  <c r="F90" i="36" s="1"/>
  <c r="K9" i="18"/>
  <c r="G90" i="36" s="1"/>
  <c r="E89" i="36"/>
  <c r="K8" i="18"/>
  <c r="G89" i="36" s="1"/>
  <c r="J8" i="18"/>
  <c r="F89" i="36" s="1"/>
  <c r="U71" i="55" s="1"/>
  <c r="E88" i="36"/>
  <c r="K7" i="18"/>
  <c r="G88" i="36" s="1"/>
  <c r="J7" i="18"/>
  <c r="F88" i="36" s="1"/>
  <c r="J6" i="18"/>
  <c r="F87" i="36" s="1"/>
  <c r="K6" i="18"/>
  <c r="G87" i="36" s="1"/>
  <c r="E87" i="36"/>
  <c r="J4" i="18"/>
  <c r="K4" i="18"/>
  <c r="J3" i="18"/>
  <c r="K41" i="33" s="1"/>
  <c r="J41" i="33"/>
  <c r="K3" i="18"/>
  <c r="L41" i="33" s="1"/>
  <c r="J14" i="18"/>
  <c r="E110" i="35" s="1"/>
  <c r="K14" i="18"/>
  <c r="F110" i="35" s="1"/>
  <c r="K2" i="18"/>
  <c r="J2" i="18"/>
  <c r="D38" i="18"/>
  <c r="D39" i="18" s="1"/>
  <c r="J40" i="33"/>
  <c r="K11" i="18"/>
  <c r="J11" i="18"/>
  <c r="K18" i="18"/>
  <c r="F115" i="35" s="1"/>
  <c r="J18" i="18"/>
  <c r="E115" i="35" s="1"/>
  <c r="K19" i="18"/>
  <c r="J19" i="18"/>
  <c r="K17" i="18"/>
  <c r="F114" i="35" s="1"/>
  <c r="J17" i="18"/>
  <c r="E114" i="35" s="1"/>
  <c r="J15" i="18"/>
  <c r="E113" i="35" s="1"/>
  <c r="K15" i="18"/>
  <c r="F113" i="35" s="1"/>
  <c r="H3" i="18"/>
  <c r="I41" i="33" s="1"/>
  <c r="E41" i="33"/>
  <c r="E3" i="18"/>
  <c r="E4" i="18"/>
  <c r="H4" i="18"/>
  <c r="H2" i="18"/>
  <c r="I40" i="33" s="1"/>
  <c r="L14" i="18"/>
  <c r="L17" i="18"/>
  <c r="L19" i="18"/>
  <c r="M19" i="18" s="1"/>
  <c r="L6" i="18"/>
  <c r="L16" i="18"/>
  <c r="L13" i="18"/>
  <c r="E2" i="18"/>
  <c r="L18" i="18"/>
  <c r="L11" i="18"/>
  <c r="M11" i="18" s="1"/>
  <c r="L10" i="18"/>
  <c r="L22" i="18"/>
  <c r="L9" i="18"/>
  <c r="L23" i="18"/>
  <c r="E40" i="33"/>
  <c r="L25" i="18"/>
  <c r="L7" i="18"/>
  <c r="L8" i="18"/>
  <c r="L20" i="18"/>
  <c r="M20" i="18" s="1"/>
  <c r="L24" i="18"/>
  <c r="M24" i="18" s="1"/>
  <c r="L15" i="18"/>
  <c r="K20" i="18"/>
  <c r="J20" i="18"/>
  <c r="K16" i="18"/>
  <c r="J16" i="18"/>
  <c r="J20" i="3"/>
  <c r="K20" i="3"/>
  <c r="K19" i="3"/>
  <c r="F109" i="35" s="1"/>
  <c r="J19" i="3"/>
  <c r="E109" i="35" s="1"/>
  <c r="J2" i="3"/>
  <c r="J38" i="33"/>
  <c r="K2" i="3"/>
  <c r="D38" i="3"/>
  <c r="D39" i="3" s="1"/>
  <c r="J3" i="3"/>
  <c r="K39" i="33" s="1"/>
  <c r="J39" i="33"/>
  <c r="K3" i="3"/>
  <c r="L39" i="33" s="1"/>
  <c r="J4" i="3"/>
  <c r="K4" i="3"/>
  <c r="J7" i="3"/>
  <c r="E83" i="36"/>
  <c r="K7" i="3"/>
  <c r="J8" i="3"/>
  <c r="K8" i="3"/>
  <c r="E84" i="36"/>
  <c r="K11" i="3"/>
  <c r="J11" i="3"/>
  <c r="J15" i="3"/>
  <c r="E105" i="35" s="1"/>
  <c r="AH98" i="58" s="1"/>
  <c r="K15" i="3"/>
  <c r="F105" i="35" s="1"/>
  <c r="AI98" i="58" s="1"/>
  <c r="J13" i="3"/>
  <c r="E103" i="35" s="1"/>
  <c r="AH21" i="58" s="1"/>
  <c r="K13" i="3"/>
  <c r="F103" i="35" s="1"/>
  <c r="J10" i="3"/>
  <c r="F86" i="36" s="1"/>
  <c r="K10" i="3"/>
  <c r="G86" i="36" s="1"/>
  <c r="E86" i="36"/>
  <c r="E85" i="36"/>
  <c r="J9" i="3"/>
  <c r="F85" i="36" s="1"/>
  <c r="K9" i="3"/>
  <c r="G85" i="36" s="1"/>
  <c r="J16" i="3"/>
  <c r="K16" i="3"/>
  <c r="J14" i="3"/>
  <c r="E104" i="35" s="1"/>
  <c r="AH46" i="57" s="1"/>
  <c r="K14" i="3"/>
  <c r="F104" i="35" s="1"/>
  <c r="AI46" i="57" s="1"/>
  <c r="J17" i="3"/>
  <c r="E106" i="35" s="1"/>
  <c r="AH112" i="58" s="1"/>
  <c r="K17" i="3"/>
  <c r="F106" i="35" s="1"/>
  <c r="AI112" i="58" s="1"/>
  <c r="L6" i="3"/>
  <c r="H2" i="3"/>
  <c r="I38" i="33" s="1"/>
  <c r="L19" i="3"/>
  <c r="L23" i="3"/>
  <c r="L24" i="3"/>
  <c r="L10" i="3"/>
  <c r="L25" i="3"/>
  <c r="M25" i="3" s="1"/>
  <c r="E38" i="33"/>
  <c r="E2" i="3"/>
  <c r="L11" i="3"/>
  <c r="M11" i="3" s="1"/>
  <c r="L15" i="3"/>
  <c r="L13" i="3"/>
  <c r="L18" i="3"/>
  <c r="M18" i="3" s="1"/>
  <c r="O18" i="3" s="1"/>
  <c r="L17" i="3"/>
  <c r="L20" i="3"/>
  <c r="M20" i="3" s="1"/>
  <c r="L16" i="3"/>
  <c r="L7" i="3"/>
  <c r="L14" i="3"/>
  <c r="L9" i="3"/>
  <c r="L8" i="3"/>
  <c r="H83" i="36" s="1"/>
  <c r="L22" i="3"/>
  <c r="E39" i="33"/>
  <c r="E3" i="3"/>
  <c r="H3" i="3"/>
  <c r="I39" i="33" s="1"/>
  <c r="K17" i="25"/>
  <c r="F120" i="35" s="1"/>
  <c r="J17" i="25"/>
  <c r="E120" i="35" s="1"/>
  <c r="K18" i="25"/>
  <c r="F121" i="35" s="1"/>
  <c r="J18" i="25"/>
  <c r="E121" i="35" s="1"/>
  <c r="K14" i="25"/>
  <c r="F118" i="35" s="1"/>
  <c r="J14" i="25"/>
  <c r="E118" i="35" s="1"/>
  <c r="J19" i="25"/>
  <c r="K19" i="25"/>
  <c r="K16" i="25"/>
  <c r="F119" i="35" s="1"/>
  <c r="J16" i="25"/>
  <c r="E119" i="35" s="1"/>
  <c r="H3" i="25"/>
  <c r="I43" i="33" s="1"/>
  <c r="E3" i="25"/>
  <c r="E43" i="33"/>
  <c r="H4" i="25"/>
  <c r="E4" i="25"/>
  <c r="H2" i="25"/>
  <c r="I42" i="33" s="1"/>
  <c r="L19" i="25"/>
  <c r="M19" i="25" s="1"/>
  <c r="L17" i="25"/>
  <c r="L14" i="25"/>
  <c r="L16" i="25"/>
  <c r="L18" i="25"/>
  <c r="L20" i="25"/>
  <c r="M20" i="25" s="1"/>
  <c r="L22" i="25"/>
  <c r="L15" i="25"/>
  <c r="L11" i="25"/>
  <c r="M11" i="25" s="1"/>
  <c r="E42" i="33"/>
  <c r="L25" i="25"/>
  <c r="M25" i="25" s="1"/>
  <c r="E2" i="25"/>
  <c r="L6" i="25"/>
  <c r="L13" i="25"/>
  <c r="L24" i="25"/>
  <c r="L23" i="25"/>
  <c r="L7" i="25"/>
  <c r="L8" i="25"/>
  <c r="L9" i="25"/>
  <c r="L10" i="25"/>
  <c r="E36" i="33"/>
  <c r="L16" i="17"/>
  <c r="E2" i="17"/>
  <c r="H2" i="17"/>
  <c r="I36" i="33" s="1"/>
  <c r="L19" i="17"/>
  <c r="M19" i="17" s="1"/>
  <c r="L20" i="17"/>
  <c r="M20" i="17" s="1"/>
  <c r="L15" i="17"/>
  <c r="L22" i="17"/>
  <c r="L6" i="17"/>
  <c r="L14" i="17"/>
  <c r="L23" i="17"/>
  <c r="L24" i="17"/>
  <c r="L25" i="17"/>
  <c r="M25" i="17" s="1"/>
  <c r="L9" i="17"/>
  <c r="L18" i="17"/>
  <c r="L17" i="17"/>
  <c r="L7" i="17"/>
  <c r="L13" i="17"/>
  <c r="L10" i="17"/>
  <c r="L11" i="17"/>
  <c r="M11" i="17" s="1"/>
  <c r="E37" i="33"/>
  <c r="H3" i="17"/>
  <c r="I37" i="33" s="1"/>
  <c r="E3" i="17"/>
  <c r="J15" i="14"/>
  <c r="K15" i="14"/>
  <c r="K9" i="14"/>
  <c r="G65" i="36" s="1"/>
  <c r="J9" i="14"/>
  <c r="F65" i="36" s="1"/>
  <c r="E65" i="36"/>
  <c r="K7" i="14"/>
  <c r="E63" i="36"/>
  <c r="T52" i="58" s="1"/>
  <c r="J7" i="14"/>
  <c r="F63" i="36" s="1"/>
  <c r="K4" i="14"/>
  <c r="L31" i="33" s="1"/>
  <c r="J31" i="33"/>
  <c r="J4" i="14"/>
  <c r="K31" i="33" s="1"/>
  <c r="K2" i="14"/>
  <c r="L30" i="33" s="1"/>
  <c r="J30" i="33"/>
  <c r="J2" i="14"/>
  <c r="K30" i="33" s="1"/>
  <c r="D38" i="14"/>
  <c r="D39" i="14" s="1"/>
  <c r="J3" i="14"/>
  <c r="K29" i="33" s="1"/>
  <c r="J29" i="33"/>
  <c r="K3" i="14"/>
  <c r="L29" i="33" s="1"/>
  <c r="J8" i="14"/>
  <c r="F64" i="36" s="1"/>
  <c r="E64" i="36"/>
  <c r="K8" i="14"/>
  <c r="G64" i="36" s="1"/>
  <c r="J6" i="14"/>
  <c r="F62" i="36" s="1"/>
  <c r="U19" i="57" s="1"/>
  <c r="K6" i="14"/>
  <c r="E62" i="36"/>
  <c r="J10" i="14"/>
  <c r="F66" i="36" s="1"/>
  <c r="K10" i="14"/>
  <c r="G66" i="36" s="1"/>
  <c r="E66" i="36"/>
  <c r="J11" i="14"/>
  <c r="K11" i="14"/>
  <c r="K13" i="14"/>
  <c r="F77" i="35" s="1"/>
  <c r="AI11" i="55" s="1"/>
  <c r="J13" i="14"/>
  <c r="E77" i="35" s="1"/>
  <c r="J14" i="14"/>
  <c r="E78" i="35" s="1"/>
  <c r="K14" i="14"/>
  <c r="F78" i="35" s="1"/>
  <c r="K16" i="14"/>
  <c r="F79" i="35" s="1"/>
  <c r="J16" i="14"/>
  <c r="E79" i="35" s="1"/>
  <c r="K20" i="14"/>
  <c r="J20" i="14"/>
  <c r="E29" i="33"/>
  <c r="H3" i="14"/>
  <c r="I29" i="33" s="1"/>
  <c r="E3" i="14"/>
  <c r="E2" i="14"/>
  <c r="L7" i="14"/>
  <c r="L11" i="14"/>
  <c r="M11" i="14" s="1"/>
  <c r="L22" i="14"/>
  <c r="L24" i="14"/>
  <c r="L13" i="14"/>
  <c r="L20" i="14"/>
  <c r="M20" i="14" s="1"/>
  <c r="L16" i="14"/>
  <c r="L10" i="14"/>
  <c r="L23" i="14"/>
  <c r="E30" i="33"/>
  <c r="H2" i="14"/>
  <c r="I30" i="33" s="1"/>
  <c r="L14" i="14"/>
  <c r="L8" i="14"/>
  <c r="L9" i="14"/>
  <c r="L19" i="14"/>
  <c r="L17" i="14"/>
  <c r="L18" i="14"/>
  <c r="L25" i="14"/>
  <c r="M25" i="14" s="1"/>
  <c r="L15" i="14"/>
  <c r="L6" i="14"/>
  <c r="K19" i="14"/>
  <c r="F83" i="35" s="1"/>
  <c r="J19" i="14"/>
  <c r="E83" i="35" s="1"/>
  <c r="J18" i="14"/>
  <c r="E82" i="35" s="1"/>
  <c r="K18" i="14"/>
  <c r="F82" i="35" s="1"/>
  <c r="J17" i="14"/>
  <c r="K17" i="14"/>
  <c r="J41" i="55"/>
  <c r="E3" i="12"/>
  <c r="E26" i="33"/>
  <c r="H3" i="12"/>
  <c r="I26" i="33" s="1"/>
  <c r="E25" i="33"/>
  <c r="E16" i="55" s="1"/>
  <c r="E2" i="12"/>
  <c r="H2" i="12"/>
  <c r="I25" i="33" s="1"/>
  <c r="L8" i="12"/>
  <c r="L16" i="12"/>
  <c r="L9" i="12"/>
  <c r="L18" i="12"/>
  <c r="L10" i="12"/>
  <c r="L19" i="12"/>
  <c r="M19" i="12" s="1"/>
  <c r="L11" i="12"/>
  <c r="M11" i="12" s="1"/>
  <c r="L20" i="12"/>
  <c r="M20" i="12" s="1"/>
  <c r="L22" i="12"/>
  <c r="L13" i="12"/>
  <c r="L23" i="12"/>
  <c r="L14" i="12"/>
  <c r="L24" i="12"/>
  <c r="L25" i="12"/>
  <c r="M25" i="12" s="1"/>
  <c r="L6" i="12"/>
  <c r="L15" i="12"/>
  <c r="L7" i="12"/>
  <c r="L17" i="12"/>
  <c r="J19" i="11"/>
  <c r="K19" i="11"/>
  <c r="J18" i="11"/>
  <c r="E63" i="35" s="1"/>
  <c r="K18" i="11"/>
  <c r="F63" i="35" s="1"/>
  <c r="J16" i="11"/>
  <c r="K16" i="11"/>
  <c r="J17" i="11"/>
  <c r="E60" i="35" s="1"/>
  <c r="K17" i="11"/>
  <c r="J15" i="11"/>
  <c r="E61" i="35" s="1"/>
  <c r="K15" i="11"/>
  <c r="E3" i="10"/>
  <c r="E22" i="33"/>
  <c r="L17" i="10"/>
  <c r="H2" i="10"/>
  <c r="I21" i="33" s="1"/>
  <c r="L7" i="10"/>
  <c r="L15" i="10"/>
  <c r="L6" i="10"/>
  <c r="L9" i="10"/>
  <c r="J17" i="10"/>
  <c r="E56" i="35" s="1"/>
  <c r="K17" i="10"/>
  <c r="F56" i="35" s="1"/>
  <c r="J19" i="10"/>
  <c r="K19" i="10"/>
  <c r="K18" i="10"/>
  <c r="F57" i="35" s="1"/>
  <c r="J18" i="10"/>
  <c r="E57" i="35" s="1"/>
  <c r="L10" i="10"/>
  <c r="L14" i="10"/>
  <c r="L20" i="10"/>
  <c r="M20" i="10" s="1"/>
  <c r="L8" i="10"/>
  <c r="E21" i="33"/>
  <c r="L11" i="10"/>
  <c r="M11" i="10" s="1"/>
  <c r="L22" i="10"/>
  <c r="L13" i="10"/>
  <c r="L23" i="10"/>
  <c r="L24" i="10"/>
  <c r="L16" i="10"/>
  <c r="L25" i="10"/>
  <c r="M25" i="10" s="1"/>
  <c r="J18" i="9"/>
  <c r="E51" i="35" s="1"/>
  <c r="K18" i="9"/>
  <c r="F51" i="35" s="1"/>
  <c r="J13" i="9"/>
  <c r="K13" i="9"/>
  <c r="J16" i="9"/>
  <c r="K16" i="9"/>
  <c r="J14" i="9"/>
  <c r="E49" i="35" s="1"/>
  <c r="K14" i="9"/>
  <c r="F49" i="35" s="1"/>
  <c r="E39" i="36"/>
  <c r="K8" i="9"/>
  <c r="G39" i="36" s="1"/>
  <c r="J8" i="9"/>
  <c r="F39" i="36" s="1"/>
  <c r="E38" i="36"/>
  <c r="K7" i="9"/>
  <c r="J7" i="9"/>
  <c r="E40" i="36"/>
  <c r="J9" i="9"/>
  <c r="F40" i="36" s="1"/>
  <c r="K9" i="9"/>
  <c r="G40" i="36" s="1"/>
  <c r="E2" i="9"/>
  <c r="L16" i="9"/>
  <c r="L18" i="9"/>
  <c r="L14" i="9"/>
  <c r="L13" i="9"/>
  <c r="E31" i="55"/>
  <c r="L14" i="8"/>
  <c r="L16" i="8"/>
  <c r="L22" i="8"/>
  <c r="L7" i="8"/>
  <c r="H33" i="36" s="1"/>
  <c r="L6" i="8"/>
  <c r="L24" i="8"/>
  <c r="E79" i="55"/>
  <c r="E57" i="55"/>
  <c r="E76" i="55"/>
  <c r="E52" i="55"/>
  <c r="E71" i="55"/>
  <c r="E46" i="55"/>
  <c r="E61" i="55"/>
  <c r="E42" i="55"/>
  <c r="J19" i="1"/>
  <c r="E33" i="35" s="1"/>
  <c r="K19" i="1"/>
  <c r="F33" i="35" s="1"/>
  <c r="J17" i="1"/>
  <c r="K17" i="1"/>
  <c r="J18" i="1"/>
  <c r="K18" i="1"/>
  <c r="J15" i="1"/>
  <c r="E30" i="35" s="1"/>
  <c r="K15" i="1"/>
  <c r="F30" i="35" s="1"/>
  <c r="J14" i="1"/>
  <c r="E28" i="35" s="1"/>
  <c r="AH58" i="58" s="1"/>
  <c r="K14" i="1"/>
  <c r="F28" i="35" s="1"/>
  <c r="AI58" i="58" s="1"/>
  <c r="J11" i="5"/>
  <c r="K11" i="5"/>
  <c r="J3" i="5"/>
  <c r="K8" i="33" s="1"/>
  <c r="K3" i="5"/>
  <c r="L8" i="33" s="1"/>
  <c r="J8" i="33"/>
  <c r="K4" i="5"/>
  <c r="J4" i="5"/>
  <c r="J6" i="5"/>
  <c r="F12" i="36" s="1"/>
  <c r="U6" i="55" s="1"/>
  <c r="E12" i="36"/>
  <c r="T6" i="55" s="1"/>
  <c r="K6" i="5"/>
  <c r="G12" i="36" s="1"/>
  <c r="V6" i="55" s="1"/>
  <c r="K7" i="5"/>
  <c r="G13" i="36" s="1"/>
  <c r="J7" i="5"/>
  <c r="F13" i="36" s="1"/>
  <c r="E13" i="36"/>
  <c r="E14" i="36"/>
  <c r="J8" i="5"/>
  <c r="F14" i="36" s="1"/>
  <c r="K8" i="5"/>
  <c r="G14" i="36" s="1"/>
  <c r="K9" i="5"/>
  <c r="G15" i="36" s="1"/>
  <c r="J9" i="5"/>
  <c r="F15" i="36" s="1"/>
  <c r="E15" i="36"/>
  <c r="K10" i="5"/>
  <c r="G16" i="36" s="1"/>
  <c r="J10" i="5"/>
  <c r="F16" i="36" s="1"/>
  <c r="E16" i="36"/>
  <c r="K13" i="5"/>
  <c r="F14" i="35" s="1"/>
  <c r="J13" i="5"/>
  <c r="E14" i="35" s="1"/>
  <c r="K14" i="5"/>
  <c r="F15" i="35" s="1"/>
  <c r="J14" i="5"/>
  <c r="E15" i="35" s="1"/>
  <c r="AH69" i="55" s="1"/>
  <c r="K17" i="5"/>
  <c r="J17" i="5"/>
  <c r="K16" i="5"/>
  <c r="F19" i="35" s="1"/>
  <c r="J16" i="5"/>
  <c r="E19" i="35" s="1"/>
  <c r="K15" i="5"/>
  <c r="F17" i="35" s="1"/>
  <c r="J15" i="5"/>
  <c r="E17" i="35" s="1"/>
  <c r="J18" i="5"/>
  <c r="E18" i="35" s="1"/>
  <c r="K18" i="5"/>
  <c r="F18" i="35" s="1"/>
  <c r="K19" i="5"/>
  <c r="J19" i="5"/>
  <c r="J20" i="5"/>
  <c r="K20" i="5"/>
  <c r="L23" i="5"/>
  <c r="L14" i="5"/>
  <c r="L6" i="5"/>
  <c r="L17" i="5"/>
  <c r="L7" i="5"/>
  <c r="L16" i="5"/>
  <c r="L8" i="5"/>
  <c r="L15" i="5"/>
  <c r="L18" i="5"/>
  <c r="L10" i="5"/>
  <c r="L19" i="5"/>
  <c r="M19" i="5" s="1"/>
  <c r="G4" i="8"/>
  <c r="F4" i="8"/>
  <c r="H57" i="33"/>
  <c r="F8" i="33"/>
  <c r="F3" i="5"/>
  <c r="G8" i="33" s="1"/>
  <c r="G3" i="5"/>
  <c r="H8" i="33" s="1"/>
  <c r="F28" i="33"/>
  <c r="F3" i="13"/>
  <c r="F2" i="5"/>
  <c r="G2" i="5"/>
  <c r="G32" i="5" s="1"/>
  <c r="G2" i="8"/>
  <c r="F2" i="8"/>
  <c r="O16" i="24"/>
  <c r="N16" i="24"/>
  <c r="AH17" i="55"/>
  <c r="M58" i="33"/>
  <c r="J11" i="55"/>
  <c r="T90" i="55"/>
  <c r="T39" i="55"/>
  <c r="F35" i="35"/>
  <c r="AI183" i="55"/>
  <c r="M9" i="8"/>
  <c r="H35" i="36"/>
  <c r="E8" i="34"/>
  <c r="M22" i="5"/>
  <c r="N20" i="5"/>
  <c r="O20" i="5"/>
  <c r="E10" i="34"/>
  <c r="M24" i="5"/>
  <c r="N11" i="5"/>
  <c r="O11" i="5"/>
  <c r="M9" i="5"/>
  <c r="H15" i="36"/>
  <c r="F10" i="33"/>
  <c r="F3" i="6"/>
  <c r="G10" i="33" s="1"/>
  <c r="G3" i="6"/>
  <c r="H10" i="33" s="1"/>
  <c r="G4" i="7"/>
  <c r="F4" i="7"/>
  <c r="F17" i="33"/>
  <c r="F3" i="8"/>
  <c r="G17" i="33" s="1"/>
  <c r="G3" i="8"/>
  <c r="H17" i="33" s="1"/>
  <c r="E32" i="5"/>
  <c r="F7" i="33"/>
  <c r="F2" i="55" s="1"/>
  <c r="M13" i="5"/>
  <c r="G14" i="35"/>
  <c r="G2" i="7"/>
  <c r="E32" i="7"/>
  <c r="F2" i="7"/>
  <c r="G14" i="33" s="1"/>
  <c r="F14" i="33"/>
  <c r="E32" i="8"/>
  <c r="F16" i="33"/>
  <c r="M17" i="24"/>
  <c r="H159" i="35" s="1"/>
  <c r="G159" i="35"/>
  <c r="M19" i="24"/>
  <c r="H160" i="35" s="1"/>
  <c r="G160" i="35"/>
  <c r="M6" i="24"/>
  <c r="H122" i="36"/>
  <c r="G156" i="35"/>
  <c r="M14" i="24"/>
  <c r="D38" i="25"/>
  <c r="D39" i="25" s="1"/>
  <c r="K8" i="25"/>
  <c r="G94" i="36" s="1"/>
  <c r="L13" i="31"/>
  <c r="L22" i="31"/>
  <c r="L24" i="31"/>
  <c r="L19" i="31"/>
  <c r="L10" i="31"/>
  <c r="L14" i="31"/>
  <c r="L15" i="31"/>
  <c r="L16" i="31"/>
  <c r="L18" i="31"/>
  <c r="E3" i="31"/>
  <c r="H3" i="31"/>
  <c r="I75" i="33" s="1"/>
  <c r="E75" i="33"/>
  <c r="L20" i="31"/>
  <c r="M20" i="31" s="1"/>
  <c r="L11" i="31"/>
  <c r="M11" i="31" s="1"/>
  <c r="L25" i="31"/>
  <c r="M25" i="31" s="1"/>
  <c r="L17" i="31"/>
  <c r="L23" i="31"/>
  <c r="AH65" i="55"/>
  <c r="F128" i="36"/>
  <c r="U56" i="57" s="1"/>
  <c r="U90" i="55"/>
  <c r="U4" i="55"/>
  <c r="O11" i="24"/>
  <c r="N11" i="24"/>
  <c r="N11" i="7"/>
  <c r="O11" i="7"/>
  <c r="V3" i="55"/>
  <c r="V4" i="55"/>
  <c r="F38" i="8"/>
  <c r="F39" i="8" s="1"/>
  <c r="L17" i="33"/>
  <c r="E38" i="8"/>
  <c r="E39" i="8" s="1"/>
  <c r="K16" i="33"/>
  <c r="J58" i="55"/>
  <c r="K2" i="2"/>
  <c r="D38" i="2"/>
  <c r="D39" i="2" s="1"/>
  <c r="J66" i="33"/>
  <c r="J14" i="55" s="1"/>
  <c r="J63" i="55"/>
  <c r="J59" i="55"/>
  <c r="J76" i="55"/>
  <c r="E32" i="6"/>
  <c r="G56" i="33"/>
  <c r="F32" i="24"/>
  <c r="E32" i="11"/>
  <c r="F3" i="11"/>
  <c r="I22" i="55"/>
  <c r="K41" i="55"/>
  <c r="G3" i="29"/>
  <c r="H70" i="33" s="1"/>
  <c r="F3" i="29"/>
  <c r="G70" i="33" s="1"/>
  <c r="F70" i="33"/>
  <c r="F24" i="33"/>
  <c r="G3" i="11"/>
  <c r="F2" i="10"/>
  <c r="F21" i="33"/>
  <c r="G2" i="10"/>
  <c r="A5" i="33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C5" i="47"/>
  <c r="C12" i="47"/>
  <c r="A9" i="34"/>
  <c r="Y9" i="47"/>
  <c r="Z9" i="47"/>
  <c r="AN9" i="47"/>
  <c r="AL9" i="47"/>
  <c r="X9" i="47"/>
  <c r="AL10" i="47"/>
  <c r="AO9" i="47"/>
  <c r="Y10" i="47"/>
  <c r="F188" i="35"/>
  <c r="E188" i="35"/>
  <c r="F186" i="35"/>
  <c r="E186" i="35"/>
  <c r="F117" i="36"/>
  <c r="G118" i="36"/>
  <c r="T16" i="55"/>
  <c r="U16" i="55"/>
  <c r="G35" i="35"/>
  <c r="E17" i="34"/>
  <c r="C15" i="47"/>
  <c r="D8" i="47"/>
  <c r="D15" i="47"/>
  <c r="E16" i="47"/>
  <c r="E17" i="47"/>
  <c r="E13" i="47"/>
  <c r="E7" i="47"/>
  <c r="E19" i="47"/>
  <c r="K5" i="47"/>
  <c r="J5" i="47"/>
  <c r="E11" i="47"/>
  <c r="E5" i="47"/>
  <c r="C20" i="47"/>
  <c r="D7" i="47"/>
  <c r="D6" i="47"/>
  <c r="C16" i="47"/>
  <c r="D5" i="47"/>
  <c r="C14" i="47"/>
  <c r="D16" i="47"/>
  <c r="C19" i="47"/>
  <c r="E18" i="47"/>
  <c r="C10" i="47"/>
  <c r="D19" i="47"/>
  <c r="D18" i="47"/>
  <c r="C8" i="47"/>
  <c r="D12" i="47"/>
  <c r="C6" i="47"/>
  <c r="D11" i="47"/>
  <c r="E10" i="47"/>
  <c r="D17" i="47"/>
  <c r="C13" i="47"/>
  <c r="D14" i="47"/>
  <c r="D9" i="47"/>
  <c r="E8" i="47"/>
  <c r="E14" i="47"/>
  <c r="D10" i="47"/>
  <c r="E6" i="47"/>
  <c r="C7" i="47"/>
  <c r="E15" i="47"/>
  <c r="C18" i="47"/>
  <c r="C17" i="47"/>
  <c r="E12" i="47"/>
  <c r="D13" i="47"/>
  <c r="E9" i="47"/>
  <c r="C9" i="47"/>
  <c r="C11" i="47"/>
  <c r="I7" i="36"/>
  <c r="O6" i="4"/>
  <c r="K7" i="36" s="1"/>
  <c r="H7" i="36"/>
  <c r="M18" i="4"/>
  <c r="O19" i="4"/>
  <c r="M7" i="4"/>
  <c r="G27" i="35"/>
  <c r="AH84" i="55"/>
  <c r="O13" i="24"/>
  <c r="J154" i="35" s="1"/>
  <c r="M7" i="24"/>
  <c r="O9" i="1"/>
  <c r="H24" i="36"/>
  <c r="N25" i="1"/>
  <c r="N9" i="1"/>
  <c r="N11" i="1"/>
  <c r="G30" i="35"/>
  <c r="M8" i="1"/>
  <c r="E22" i="55"/>
  <c r="V38" i="55"/>
  <c r="D38" i="20"/>
  <c r="D39" i="20" s="1"/>
  <c r="E38" i="12"/>
  <c r="E39" i="12" s="1"/>
  <c r="F38" i="12"/>
  <c r="F39" i="12" s="1"/>
  <c r="V71" i="55"/>
  <c r="AI100" i="55"/>
  <c r="M9" i="24"/>
  <c r="N18" i="24"/>
  <c r="O20" i="24"/>
  <c r="E72" i="34"/>
  <c r="M10" i="24"/>
  <c r="M15" i="24"/>
  <c r="G154" i="35"/>
  <c r="N13" i="24"/>
  <c r="I154" i="35" s="1"/>
  <c r="N25" i="24"/>
  <c r="E73" i="34"/>
  <c r="M8" i="7"/>
  <c r="I29" i="36" s="1"/>
  <c r="L8" i="47"/>
  <c r="J13" i="47"/>
  <c r="E145" i="35"/>
  <c r="E146" i="35"/>
  <c r="F145" i="35"/>
  <c r="G60" i="36"/>
  <c r="F60" i="36"/>
  <c r="G4" i="10"/>
  <c r="J40" i="55"/>
  <c r="M9" i="4"/>
  <c r="E94" i="36"/>
  <c r="J8" i="25"/>
  <c r="F94" i="36" s="1"/>
  <c r="T47" i="55"/>
  <c r="AI9" i="55"/>
  <c r="J19" i="55"/>
  <c r="O22" i="11"/>
  <c r="H29" i="34" s="1"/>
  <c r="N22" i="11"/>
  <c r="G29" i="34" s="1"/>
  <c r="AI31" i="55"/>
  <c r="AH31" i="55"/>
  <c r="M6" i="7"/>
  <c r="N6" i="7" s="1"/>
  <c r="M24" i="7"/>
  <c r="O24" i="7" s="1"/>
  <c r="H19" i="34" s="1"/>
  <c r="O25" i="7"/>
  <c r="E18" i="34"/>
  <c r="N20" i="7"/>
  <c r="H28" i="36"/>
  <c r="G37" i="35"/>
  <c r="H40" i="35"/>
  <c r="M18" i="7"/>
  <c r="N10" i="7"/>
  <c r="J31" i="36" s="1"/>
  <c r="L31" i="36" s="1"/>
  <c r="I31" i="36"/>
  <c r="G34" i="35"/>
  <c r="H31" i="36"/>
  <c r="M15" i="7"/>
  <c r="M7" i="6"/>
  <c r="T58" i="55"/>
  <c r="AH14" i="55"/>
  <c r="K13" i="31"/>
  <c r="F197" i="35" s="1"/>
  <c r="J2" i="2"/>
  <c r="K66" i="33" s="1"/>
  <c r="K14" i="55" s="1"/>
  <c r="E187" i="35"/>
  <c r="F185" i="35"/>
  <c r="E185" i="35"/>
  <c r="F4" i="29"/>
  <c r="G4" i="29"/>
  <c r="F187" i="35"/>
  <c r="E29" i="34"/>
  <c r="G61" i="35"/>
  <c r="G63" i="35"/>
  <c r="G62" i="35"/>
  <c r="O18" i="11"/>
  <c r="N18" i="11"/>
  <c r="O17" i="11"/>
  <c r="N17" i="11"/>
  <c r="O19" i="11"/>
  <c r="N19" i="11"/>
  <c r="AI24" i="55"/>
  <c r="O16" i="11"/>
  <c r="N16" i="11"/>
  <c r="O15" i="11"/>
  <c r="N15" i="11"/>
  <c r="F2" i="6"/>
  <c r="G9" i="33" s="1"/>
  <c r="G4" i="55" s="1"/>
  <c r="F9" i="33"/>
  <c r="G2" i="6"/>
  <c r="M6" i="6"/>
  <c r="I17" i="36" s="1"/>
  <c r="X6" i="58" s="1"/>
  <c r="G21" i="35"/>
  <c r="G20" i="35"/>
  <c r="G25" i="35"/>
  <c r="T72" i="55"/>
  <c r="G99" i="36"/>
  <c r="F146" i="35"/>
  <c r="E144" i="35"/>
  <c r="T61" i="55"/>
  <c r="AI65" i="55"/>
  <c r="AH106" i="55"/>
  <c r="E32" i="29"/>
  <c r="F69" i="33"/>
  <c r="F7" i="55" s="1"/>
  <c r="G2" i="29"/>
  <c r="G32" i="29" s="1"/>
  <c r="F2" i="29"/>
  <c r="V12" i="55"/>
  <c r="T12" i="55"/>
  <c r="U12" i="55"/>
  <c r="E184" i="35"/>
  <c r="AH27" i="55" s="1"/>
  <c r="F184" i="35"/>
  <c r="E175" i="35"/>
  <c r="AH82" i="58" s="1"/>
  <c r="F176" i="35"/>
  <c r="G128" i="36"/>
  <c r="V56" i="57" s="1"/>
  <c r="G158" i="35"/>
  <c r="G38" i="24"/>
  <c r="G39" i="24" s="1"/>
  <c r="G157" i="35"/>
  <c r="M8" i="24"/>
  <c r="G40" i="35"/>
  <c r="O19" i="7"/>
  <c r="J40" i="35" s="1"/>
  <c r="K40" i="35" s="1"/>
  <c r="M9" i="7"/>
  <c r="O9" i="7" s="1"/>
  <c r="K30" i="36" s="1"/>
  <c r="M16" i="7"/>
  <c r="O16" i="7" s="1"/>
  <c r="G38" i="7"/>
  <c r="G39" i="7" s="1"/>
  <c r="G28" i="36"/>
  <c r="T59" i="55"/>
  <c r="E34" i="35"/>
  <c r="F34" i="35"/>
  <c r="G3" i="7"/>
  <c r="F3" i="7"/>
  <c r="F15" i="33"/>
  <c r="F4" i="1"/>
  <c r="G13" i="33" s="1"/>
  <c r="G4" i="1"/>
  <c r="H13" i="33" s="1"/>
  <c r="K11" i="33"/>
  <c r="K27" i="55" s="1"/>
  <c r="I12" i="33"/>
  <c r="F12" i="33"/>
  <c r="F3" i="1"/>
  <c r="G3" i="1"/>
  <c r="L12" i="33"/>
  <c r="K12" i="33"/>
  <c r="K50" i="55"/>
  <c r="G23" i="35"/>
  <c r="AJ114" i="57" s="1"/>
  <c r="N11" i="6"/>
  <c r="M17" i="6"/>
  <c r="N17" i="6" s="1"/>
  <c r="O20" i="6"/>
  <c r="G4" i="6"/>
  <c r="F4" i="6"/>
  <c r="G22" i="35"/>
  <c r="E13" i="34"/>
  <c r="M8" i="6"/>
  <c r="O8" i="6" s="1"/>
  <c r="M15" i="6"/>
  <c r="H21" i="35" s="1"/>
  <c r="M23" i="6"/>
  <c r="F12" i="34" s="1"/>
  <c r="AV33" i="58" s="1"/>
  <c r="M10" i="6"/>
  <c r="N10" i="6" s="1"/>
  <c r="J21" i="36" s="1"/>
  <c r="E11" i="34"/>
  <c r="N25" i="6"/>
  <c r="G38" i="6"/>
  <c r="G39" i="6" s="1"/>
  <c r="M19" i="6"/>
  <c r="N19" i="6" s="1"/>
  <c r="I26" i="35" s="1"/>
  <c r="H20" i="36"/>
  <c r="F5" i="33"/>
  <c r="F2" i="4"/>
  <c r="G2" i="4"/>
  <c r="H11" i="36"/>
  <c r="J16" i="31"/>
  <c r="F129" i="36"/>
  <c r="G129" i="36"/>
  <c r="G117" i="36"/>
  <c r="F118" i="36"/>
  <c r="AI14" i="55"/>
  <c r="T88" i="55"/>
  <c r="T40" i="55"/>
  <c r="F58" i="36"/>
  <c r="G59" i="36"/>
  <c r="V70" i="58" s="1"/>
  <c r="G58" i="36"/>
  <c r="T91" i="55"/>
  <c r="F28" i="36"/>
  <c r="T64" i="55"/>
  <c r="G29" i="36"/>
  <c r="J11" i="47"/>
  <c r="K10" i="47"/>
  <c r="L12" i="47"/>
  <c r="J12" i="47"/>
  <c r="K11" i="47"/>
  <c r="K13" i="47"/>
  <c r="K12" i="47"/>
  <c r="L10" i="47"/>
  <c r="E159" i="36"/>
  <c r="T57" i="55" s="1"/>
  <c r="J19" i="31"/>
  <c r="E203" i="35" s="1"/>
  <c r="AH107" i="55"/>
  <c r="J76" i="33"/>
  <c r="K3" i="31"/>
  <c r="L75" i="33" s="1"/>
  <c r="J3" i="31"/>
  <c r="K75" i="33" s="1"/>
  <c r="K18" i="31"/>
  <c r="K15" i="31"/>
  <c r="K2" i="31"/>
  <c r="L74" i="33" s="1"/>
  <c r="L3" i="55" s="1"/>
  <c r="J20" i="31"/>
  <c r="E160" i="36"/>
  <c r="K10" i="31"/>
  <c r="G161" i="36" s="1"/>
  <c r="F4" i="31"/>
  <c r="G76" i="33" s="1"/>
  <c r="G4" i="31"/>
  <c r="H76" i="33" s="1"/>
  <c r="J4" i="31"/>
  <c r="K76" i="33" s="1"/>
  <c r="J2" i="31"/>
  <c r="K74" i="33" s="1"/>
  <c r="K3" i="55" s="1"/>
  <c r="K14" i="31"/>
  <c r="F200" i="35" s="1"/>
  <c r="J11" i="31"/>
  <c r="K17" i="31"/>
  <c r="F198" i="35" s="1"/>
  <c r="J10" i="31"/>
  <c r="F161" i="36" s="1"/>
  <c r="E158" i="36"/>
  <c r="D38" i="31"/>
  <c r="D39" i="31" s="1"/>
  <c r="V81" i="55"/>
  <c r="T74" i="55"/>
  <c r="T68" i="55"/>
  <c r="K10" i="20"/>
  <c r="G106" i="36" s="1"/>
  <c r="E106" i="36"/>
  <c r="T41" i="55"/>
  <c r="T28" i="55"/>
  <c r="L11" i="55"/>
  <c r="AI23" i="55"/>
  <c r="AH23" i="55"/>
  <c r="V23" i="55"/>
  <c r="G4" i="14"/>
  <c r="H31" i="33" s="1"/>
  <c r="F31" i="33"/>
  <c r="F4" i="14"/>
  <c r="G31" i="33" s="1"/>
  <c r="AH24" i="55"/>
  <c r="V46" i="55"/>
  <c r="V39" i="55"/>
  <c r="U29" i="55"/>
  <c r="V29" i="55"/>
  <c r="T29" i="55"/>
  <c r="O7" i="7"/>
  <c r="G4" i="19"/>
  <c r="F4" i="19"/>
  <c r="G2" i="19"/>
  <c r="E32" i="19"/>
  <c r="F2" i="19"/>
  <c r="F44" i="33"/>
  <c r="K44" i="33"/>
  <c r="L44" i="33"/>
  <c r="F38" i="19"/>
  <c r="F39" i="19" s="1"/>
  <c r="G60" i="35"/>
  <c r="H63" i="35"/>
  <c r="AI78" i="55"/>
  <c r="O24" i="24"/>
  <c r="H73" i="34" s="1"/>
  <c r="AH21" i="55"/>
  <c r="J53" i="55"/>
  <c r="T17" i="55"/>
  <c r="F3" i="32"/>
  <c r="F3" i="33"/>
  <c r="G3" i="32"/>
  <c r="U17" i="55"/>
  <c r="V17" i="55"/>
  <c r="J61" i="55"/>
  <c r="AJ170" i="55"/>
  <c r="AJ142" i="55"/>
  <c r="AJ137" i="55"/>
  <c r="AJ150" i="55"/>
  <c r="AJ158" i="55"/>
  <c r="T83" i="55"/>
  <c r="G109" i="36"/>
  <c r="V87" i="55" s="1"/>
  <c r="L27" i="55"/>
  <c r="AH40" i="55"/>
  <c r="AH68" i="55"/>
  <c r="AH70" i="55"/>
  <c r="J6" i="15"/>
  <c r="F67" i="36" s="1"/>
  <c r="E67" i="36"/>
  <c r="D38" i="15"/>
  <c r="D39" i="15" s="1"/>
  <c r="K6" i="15"/>
  <c r="G67" i="36" s="1"/>
  <c r="G3" i="15"/>
  <c r="F3" i="15"/>
  <c r="G33" i="33" s="1"/>
  <c r="F33" i="33"/>
  <c r="F38" i="29"/>
  <c r="F39" i="29" s="1"/>
  <c r="L69" i="33"/>
  <c r="K69" i="33"/>
  <c r="E38" i="29"/>
  <c r="E39" i="29" s="1"/>
  <c r="J7" i="55"/>
  <c r="F38" i="28"/>
  <c r="F39" i="28" s="1"/>
  <c r="E38" i="28"/>
  <c r="E39" i="28" s="1"/>
  <c r="T3" i="55"/>
  <c r="K59" i="33"/>
  <c r="L59" i="33"/>
  <c r="J5" i="55"/>
  <c r="T89" i="55"/>
  <c r="U89" i="55"/>
  <c r="U3" i="55"/>
  <c r="N24" i="24"/>
  <c r="G73" i="34" s="1"/>
  <c r="H157" i="35"/>
  <c r="F71" i="34"/>
  <c r="O22" i="24"/>
  <c r="N22" i="24"/>
  <c r="N58" i="33"/>
  <c r="T87" i="55"/>
  <c r="U87" i="55"/>
  <c r="AH9" i="55"/>
  <c r="K40" i="55"/>
  <c r="J2" i="23"/>
  <c r="K2" i="23"/>
  <c r="D38" i="23"/>
  <c r="D39" i="23" s="1"/>
  <c r="J53" i="33"/>
  <c r="G3" i="22"/>
  <c r="H51" i="33" s="1"/>
  <c r="F3" i="22"/>
  <c r="G51" i="33" s="1"/>
  <c r="F51" i="33"/>
  <c r="AU15" i="55"/>
  <c r="K46" i="33"/>
  <c r="K12" i="55" s="1"/>
  <c r="L46" i="33"/>
  <c r="AJ94" i="55"/>
  <c r="T55" i="55"/>
  <c r="L37" i="33"/>
  <c r="J4" i="17"/>
  <c r="K4" i="17"/>
  <c r="D38" i="17"/>
  <c r="D39" i="17" s="1"/>
  <c r="U38" i="55"/>
  <c r="T38" i="55"/>
  <c r="AH80" i="55"/>
  <c r="E38" i="13"/>
  <c r="E39" i="13" s="1"/>
  <c r="K27" i="33"/>
  <c r="F38" i="13"/>
  <c r="F39" i="13" s="1"/>
  <c r="L27" i="33"/>
  <c r="T8" i="55"/>
  <c r="H60" i="35"/>
  <c r="H61" i="35"/>
  <c r="H62" i="35"/>
  <c r="K6" i="11"/>
  <c r="J6" i="11"/>
  <c r="E48" i="36"/>
  <c r="D38" i="11"/>
  <c r="D39" i="11" s="1"/>
  <c r="T23" i="55"/>
  <c r="U23" i="55"/>
  <c r="AH3" i="55"/>
  <c r="J2" i="10"/>
  <c r="D38" i="10"/>
  <c r="D39" i="10" s="1"/>
  <c r="K2" i="10"/>
  <c r="J21" i="33"/>
  <c r="T81" i="55"/>
  <c r="U81" i="55"/>
  <c r="N7" i="7"/>
  <c r="H37" i="35"/>
  <c r="N17" i="7"/>
  <c r="O14" i="7"/>
  <c r="H35" i="35"/>
  <c r="N14" i="7"/>
  <c r="H34" i="35"/>
  <c r="N13" i="7"/>
  <c r="O13" i="7"/>
  <c r="I28" i="36"/>
  <c r="O22" i="7"/>
  <c r="H17" i="34" s="1"/>
  <c r="F17" i="34"/>
  <c r="N22" i="7"/>
  <c r="G17" i="34" s="1"/>
  <c r="N23" i="7"/>
  <c r="G18" i="34" s="1"/>
  <c r="O23" i="7"/>
  <c r="H18" i="34" s="1"/>
  <c r="F18" i="34"/>
  <c r="U22" i="55"/>
  <c r="K14" i="33"/>
  <c r="N16" i="1"/>
  <c r="O16" i="1"/>
  <c r="O13" i="1"/>
  <c r="J27" i="35" s="1"/>
  <c r="N13" i="1"/>
  <c r="I27" i="35" s="1"/>
  <c r="H27" i="35"/>
  <c r="O18" i="6"/>
  <c r="J25" i="35" s="1"/>
  <c r="H25" i="35"/>
  <c r="F13" i="34"/>
  <c r="O24" i="6"/>
  <c r="H13" i="34" s="1"/>
  <c r="N22" i="6"/>
  <c r="G11" i="34" s="1"/>
  <c r="F11" i="34"/>
  <c r="O22" i="6"/>
  <c r="H11" i="34" s="1"/>
  <c r="O13" i="6"/>
  <c r="N13" i="6"/>
  <c r="H23" i="35"/>
  <c r="AK114" i="57" s="1"/>
  <c r="O9" i="6"/>
  <c r="K20" i="36" s="1"/>
  <c r="I20" i="36"/>
  <c r="N9" i="6"/>
  <c r="J20" i="36" s="1"/>
  <c r="N16" i="6"/>
  <c r="O16" i="6"/>
  <c r="N14" i="6"/>
  <c r="H20" i="35"/>
  <c r="O14" i="6"/>
  <c r="O25" i="5"/>
  <c r="N25" i="5"/>
  <c r="AH66" i="55"/>
  <c r="T73" i="55"/>
  <c r="D38" i="5"/>
  <c r="D39" i="5" s="1"/>
  <c r="J2" i="5"/>
  <c r="J7" i="33"/>
  <c r="K2" i="5"/>
  <c r="I11" i="36"/>
  <c r="N10" i="4"/>
  <c r="J11" i="36" s="1"/>
  <c r="L11" i="36" s="1"/>
  <c r="O17" i="4"/>
  <c r="N17" i="4"/>
  <c r="J7" i="36"/>
  <c r="M14" i="4"/>
  <c r="AH174" i="55"/>
  <c r="AI185" i="55"/>
  <c r="AI151" i="55"/>
  <c r="AI140" i="55"/>
  <c r="AI174" i="55"/>
  <c r="AI159" i="55"/>
  <c r="AI147" i="55"/>
  <c r="AI175" i="55"/>
  <c r="AI173" i="55"/>
  <c r="AI126" i="55"/>
  <c r="AI144" i="55"/>
  <c r="AI184" i="55"/>
  <c r="AI167" i="55"/>
  <c r="AI177" i="55"/>
  <c r="AI161" i="55"/>
  <c r="AI170" i="55"/>
  <c r="AI150" i="55"/>
  <c r="AI169" i="55"/>
  <c r="AI165" i="55"/>
  <c r="AI132" i="55"/>
  <c r="AI146" i="55"/>
  <c r="AI145" i="55"/>
  <c r="AI153" i="55"/>
  <c r="AI121" i="55"/>
  <c r="AI156" i="55"/>
  <c r="AI166" i="55"/>
  <c r="AI137" i="55"/>
  <c r="AI133" i="55"/>
  <c r="AI142" i="55"/>
  <c r="AI158" i="55"/>
  <c r="AI171" i="55"/>
  <c r="AI114" i="55"/>
  <c r="AI180" i="55"/>
  <c r="AI138" i="55"/>
  <c r="AI154" i="55"/>
  <c r="AI178" i="55"/>
  <c r="AI157" i="55"/>
  <c r="AI172" i="55"/>
  <c r="AI186" i="55"/>
  <c r="AI125" i="55"/>
  <c r="AI143" i="55"/>
  <c r="AI149" i="55"/>
  <c r="AI115" i="55"/>
  <c r="AI127" i="55"/>
  <c r="AI168" i="55"/>
  <c r="AI155" i="55"/>
  <c r="AI164" i="55"/>
  <c r="AI123" i="55"/>
  <c r="AI181" i="55"/>
  <c r="AI182" i="55"/>
  <c r="AI148" i="55"/>
  <c r="AI152" i="55"/>
  <c r="AI129" i="55"/>
  <c r="AI162" i="55"/>
  <c r="AI179" i="55"/>
  <c r="AI163" i="55"/>
  <c r="AI176" i="55"/>
  <c r="AI160" i="55"/>
  <c r="AI124" i="55"/>
  <c r="AH156" i="55"/>
  <c r="AH142" i="55"/>
  <c r="AH157" i="55"/>
  <c r="AH151" i="55"/>
  <c r="AH124" i="55"/>
  <c r="AH164" i="55"/>
  <c r="AH183" i="55"/>
  <c r="AH132" i="55"/>
  <c r="AH155" i="55"/>
  <c r="AH137" i="55"/>
  <c r="AH185" i="55"/>
  <c r="AH133" i="55"/>
  <c r="AH148" i="55"/>
  <c r="AH114" i="55"/>
  <c r="AH149" i="55"/>
  <c r="AH154" i="55"/>
  <c r="AH125" i="55"/>
  <c r="AH115" i="55"/>
  <c r="AH144" i="55"/>
  <c r="AH129" i="55"/>
  <c r="AH160" i="55"/>
  <c r="AH173" i="55"/>
  <c r="AH172" i="55"/>
  <c r="AH163" i="55"/>
  <c r="AH161" i="55"/>
  <c r="AH126" i="55"/>
  <c r="AH152" i="55"/>
  <c r="AH182" i="55"/>
  <c r="AH166" i="55"/>
  <c r="AH140" i="55"/>
  <c r="AH169" i="55"/>
  <c r="AH180" i="55"/>
  <c r="AH153" i="55"/>
  <c r="AH145" i="55"/>
  <c r="AH138" i="55"/>
  <c r="AH165" i="55"/>
  <c r="AH143" i="55"/>
  <c r="AH112" i="55"/>
  <c r="AH146" i="55"/>
  <c r="AH167" i="55"/>
  <c r="AH176" i="55"/>
  <c r="AH168" i="55"/>
  <c r="AH177" i="55"/>
  <c r="AH170" i="55"/>
  <c r="AH150" i="55"/>
  <c r="AH171" i="55"/>
  <c r="AH184" i="55"/>
  <c r="AH179" i="55"/>
  <c r="AH159" i="55"/>
  <c r="AH158" i="55"/>
  <c r="AH181" i="55"/>
  <c r="AH178" i="55"/>
  <c r="AH175" i="55"/>
  <c r="AH186" i="55"/>
  <c r="AH162" i="55"/>
  <c r="AH147" i="55"/>
  <c r="AH127" i="55"/>
  <c r="J12" i="55"/>
  <c r="J70" i="55"/>
  <c r="J75" i="55"/>
  <c r="J52" i="55"/>
  <c r="J45" i="55"/>
  <c r="J51" i="55"/>
  <c r="J80" i="55"/>
  <c r="J42" i="55"/>
  <c r="J60" i="55"/>
  <c r="J46" i="55"/>
  <c r="J48" i="55"/>
  <c r="J78" i="55"/>
  <c r="J65" i="55"/>
  <c r="J50" i="55"/>
  <c r="J72" i="55"/>
  <c r="J77" i="55"/>
  <c r="J69" i="55"/>
  <c r="J43" i="55"/>
  <c r="J79" i="55"/>
  <c r="J74" i="55"/>
  <c r="J55" i="55"/>
  <c r="J56" i="55"/>
  <c r="J73" i="55"/>
  <c r="J68" i="55"/>
  <c r="J44" i="55"/>
  <c r="J47" i="55"/>
  <c r="J64" i="55"/>
  <c r="J62" i="55"/>
  <c r="J54" i="55"/>
  <c r="J49" i="55"/>
  <c r="J71" i="55"/>
  <c r="J66" i="55"/>
  <c r="J67" i="55"/>
  <c r="J57" i="55"/>
  <c r="AD27" i="44" l="1"/>
  <c r="AF11" i="44"/>
  <c r="AF2" i="44"/>
  <c r="F25" i="36"/>
  <c r="H26" i="36"/>
  <c r="M10" i="1"/>
  <c r="E31" i="35"/>
  <c r="F31" i="35"/>
  <c r="U59" i="57"/>
  <c r="U60" i="58"/>
  <c r="V59" i="57"/>
  <c r="V60" i="58"/>
  <c r="U50" i="55"/>
  <c r="U52" i="58"/>
  <c r="U51" i="57"/>
  <c r="T20" i="55"/>
  <c r="T19" i="57"/>
  <c r="AI85" i="57"/>
  <c r="AI86" i="58"/>
  <c r="AH85" i="57"/>
  <c r="AH86" i="58"/>
  <c r="G96" i="35"/>
  <c r="M19" i="16"/>
  <c r="E46" i="34"/>
  <c r="M23" i="16"/>
  <c r="H74" i="36"/>
  <c r="W85" i="58" s="1"/>
  <c r="M8" i="16"/>
  <c r="E92" i="35"/>
  <c r="AH52" i="55" s="1"/>
  <c r="F92" i="35"/>
  <c r="AI52" i="55" s="1"/>
  <c r="T85" i="58"/>
  <c r="T75" i="57"/>
  <c r="V75" i="57"/>
  <c r="V85" i="58"/>
  <c r="U75" i="57"/>
  <c r="U85" i="58"/>
  <c r="V74" i="57"/>
  <c r="V75" i="55"/>
  <c r="T74" i="57"/>
  <c r="T75" i="55"/>
  <c r="AH108" i="57"/>
  <c r="AH108" i="58"/>
  <c r="AI108" i="57"/>
  <c r="AI108" i="58"/>
  <c r="T82" i="55"/>
  <c r="T69" i="57"/>
  <c r="T67" i="58"/>
  <c r="V82" i="55"/>
  <c r="V67" i="58"/>
  <c r="V69" i="57"/>
  <c r="U82" i="55"/>
  <c r="U69" i="57"/>
  <c r="U67" i="58"/>
  <c r="AI59" i="55"/>
  <c r="AI111" i="57"/>
  <c r="AI113" i="58"/>
  <c r="AH59" i="55"/>
  <c r="AH111" i="57"/>
  <c r="AH113" i="58"/>
  <c r="V13" i="55"/>
  <c r="T13" i="55"/>
  <c r="T13" i="57"/>
  <c r="T50" i="58"/>
  <c r="T53" i="57"/>
  <c r="T66" i="55"/>
  <c r="T63" i="57"/>
  <c r="T63" i="58"/>
  <c r="I29" i="58"/>
  <c r="I29" i="57"/>
  <c r="E29" i="57"/>
  <c r="E29" i="58"/>
  <c r="W50" i="58"/>
  <c r="W53" i="57"/>
  <c r="G22" i="57"/>
  <c r="G22" i="58"/>
  <c r="U69" i="55"/>
  <c r="U74" i="55"/>
  <c r="U69" i="58"/>
  <c r="U68" i="57"/>
  <c r="V74" i="55"/>
  <c r="V68" i="57"/>
  <c r="V69" i="58"/>
  <c r="K19" i="55"/>
  <c r="K22" i="58"/>
  <c r="K22" i="57"/>
  <c r="L22" i="57"/>
  <c r="L22" i="58"/>
  <c r="AH102" i="57"/>
  <c r="AH102" i="55"/>
  <c r="AH134" i="58"/>
  <c r="AH135" i="55"/>
  <c r="AI134" i="58"/>
  <c r="AI135" i="55"/>
  <c r="L7" i="55"/>
  <c r="AI33" i="55"/>
  <c r="AI16" i="55"/>
  <c r="AI16" i="57"/>
  <c r="AI16" i="58"/>
  <c r="AH16" i="57"/>
  <c r="AH16" i="58"/>
  <c r="AH16" i="55"/>
  <c r="AI83" i="55"/>
  <c r="AI102" i="57"/>
  <c r="U83" i="55"/>
  <c r="U83" i="57"/>
  <c r="V83" i="55"/>
  <c r="V83" i="57"/>
  <c r="K7" i="57"/>
  <c r="K7" i="58"/>
  <c r="L5" i="55"/>
  <c r="L7" i="58"/>
  <c r="L7" i="57"/>
  <c r="AJ65" i="57"/>
  <c r="AJ65" i="58"/>
  <c r="AJ106" i="58"/>
  <c r="AJ106" i="57"/>
  <c r="H149" i="36"/>
  <c r="M8" i="29"/>
  <c r="U85" i="57"/>
  <c r="U78" i="58"/>
  <c r="V78" i="58"/>
  <c r="V85" i="57"/>
  <c r="E26" i="57"/>
  <c r="E26" i="58"/>
  <c r="I26" i="57"/>
  <c r="I26" i="58"/>
  <c r="AH43" i="55"/>
  <c r="AH86" i="57"/>
  <c r="AH85" i="58"/>
  <c r="AI102" i="55"/>
  <c r="AI123" i="57"/>
  <c r="AI124" i="58"/>
  <c r="H31" i="57"/>
  <c r="H31" i="58"/>
  <c r="G31" i="58"/>
  <c r="G31" i="57"/>
  <c r="AH89" i="55"/>
  <c r="AH83" i="57"/>
  <c r="AH83" i="58"/>
  <c r="AH52" i="57"/>
  <c r="AH52" i="58"/>
  <c r="AI52" i="57"/>
  <c r="AI52" i="58"/>
  <c r="AI83" i="57"/>
  <c r="AI83" i="58"/>
  <c r="E9" i="58"/>
  <c r="E9" i="57"/>
  <c r="I36" i="55"/>
  <c r="I9" i="58"/>
  <c r="I9" i="57"/>
  <c r="AH97" i="55"/>
  <c r="AI80" i="55"/>
  <c r="AH49" i="55"/>
  <c r="AH80" i="57"/>
  <c r="AH79" i="58"/>
  <c r="AI80" i="57"/>
  <c r="AI79" i="58"/>
  <c r="AI72" i="55"/>
  <c r="AI88" i="57"/>
  <c r="AI87" i="58"/>
  <c r="AH72" i="55"/>
  <c r="AH88" i="57"/>
  <c r="AH87" i="58"/>
  <c r="AH93" i="58"/>
  <c r="AI93" i="58"/>
  <c r="U41" i="55"/>
  <c r="U23" i="58"/>
  <c r="U23" i="57"/>
  <c r="V28" i="55"/>
  <c r="V47" i="58"/>
  <c r="V47" i="57"/>
  <c r="V41" i="55"/>
  <c r="V23" i="57"/>
  <c r="V23" i="58"/>
  <c r="U28" i="55"/>
  <c r="U47" i="57"/>
  <c r="U47" i="58"/>
  <c r="J9" i="57"/>
  <c r="J9" i="58"/>
  <c r="E3" i="55"/>
  <c r="I3" i="55"/>
  <c r="I15" i="55"/>
  <c r="I3" i="58"/>
  <c r="I3" i="57"/>
  <c r="E15" i="55"/>
  <c r="E3" i="58"/>
  <c r="E3" i="57"/>
  <c r="AJ101" i="57"/>
  <c r="V16" i="55"/>
  <c r="T36" i="55"/>
  <c r="F112" i="35"/>
  <c r="E112" i="35"/>
  <c r="I16" i="55"/>
  <c r="AI2" i="55"/>
  <c r="AI2" i="57"/>
  <c r="AI2" i="58"/>
  <c r="AH2" i="57"/>
  <c r="AH2" i="58"/>
  <c r="T67" i="55"/>
  <c r="T36" i="57"/>
  <c r="T35" i="58"/>
  <c r="V35" i="58"/>
  <c r="V36" i="57"/>
  <c r="U35" i="58"/>
  <c r="U36" i="57"/>
  <c r="U15" i="58"/>
  <c r="U15" i="57"/>
  <c r="V7" i="55"/>
  <c r="V15" i="58"/>
  <c r="V15" i="57"/>
  <c r="T7" i="55"/>
  <c r="T15" i="58"/>
  <c r="T15" i="57"/>
  <c r="AH13" i="55"/>
  <c r="AH27" i="58"/>
  <c r="AH25" i="57"/>
  <c r="AI13" i="55"/>
  <c r="AI27" i="58"/>
  <c r="AI25" i="57"/>
  <c r="L40" i="33"/>
  <c r="F38" i="18"/>
  <c r="F39" i="18" s="1"/>
  <c r="E38" i="18"/>
  <c r="E39" i="18" s="1"/>
  <c r="K40" i="33"/>
  <c r="J28" i="55"/>
  <c r="J16" i="57"/>
  <c r="J16" i="58"/>
  <c r="J16" i="55"/>
  <c r="AH96" i="55"/>
  <c r="AH131" i="55"/>
  <c r="AH132" i="58"/>
  <c r="AH131" i="57"/>
  <c r="AI96" i="55"/>
  <c r="AI131" i="55"/>
  <c r="AI132" i="58"/>
  <c r="AI131" i="57"/>
  <c r="I28" i="55"/>
  <c r="I16" i="58"/>
  <c r="I16" i="57"/>
  <c r="E28" i="55"/>
  <c r="E16" i="58"/>
  <c r="E16" i="57"/>
  <c r="I13" i="55"/>
  <c r="E13" i="55"/>
  <c r="AH91" i="55"/>
  <c r="AH116" i="55"/>
  <c r="AI19" i="55"/>
  <c r="U15" i="55"/>
  <c r="U12" i="57"/>
  <c r="U14" i="58"/>
  <c r="V15" i="55"/>
  <c r="V12" i="57"/>
  <c r="V14" i="58"/>
  <c r="T15" i="55"/>
  <c r="T14" i="58"/>
  <c r="T12" i="57"/>
  <c r="J20" i="55"/>
  <c r="J13" i="57"/>
  <c r="J13" i="58"/>
  <c r="T62" i="57"/>
  <c r="T65" i="58"/>
  <c r="T60" i="57"/>
  <c r="T59" i="58"/>
  <c r="AH95" i="57"/>
  <c r="AH96" i="58"/>
  <c r="AI96" i="58"/>
  <c r="AI95" i="57"/>
  <c r="AH15" i="55"/>
  <c r="AH20" i="58"/>
  <c r="AH19" i="57"/>
  <c r="AI15" i="55"/>
  <c r="AI20" i="58"/>
  <c r="AI19" i="57"/>
  <c r="AH79" i="55"/>
  <c r="AH47" i="57"/>
  <c r="AH44" i="58"/>
  <c r="AI47" i="57"/>
  <c r="AI44" i="58"/>
  <c r="AH116" i="57"/>
  <c r="AH116" i="58"/>
  <c r="AI116" i="58"/>
  <c r="AI116" i="57"/>
  <c r="J35" i="55"/>
  <c r="E116" i="35"/>
  <c r="F116" i="35"/>
  <c r="E117" i="35"/>
  <c r="F117" i="35"/>
  <c r="L35" i="58"/>
  <c r="L35" i="57"/>
  <c r="K35" i="58"/>
  <c r="K35" i="57"/>
  <c r="J35" i="58"/>
  <c r="J35" i="57"/>
  <c r="J39" i="55"/>
  <c r="J33" i="58"/>
  <c r="J33" i="57"/>
  <c r="U9" i="55"/>
  <c r="U8" i="58"/>
  <c r="T9" i="55"/>
  <c r="T8" i="58"/>
  <c r="T8" i="57"/>
  <c r="V9" i="55"/>
  <c r="V8" i="55"/>
  <c r="V8" i="57"/>
  <c r="V8" i="58"/>
  <c r="U55" i="58"/>
  <c r="U57" i="57"/>
  <c r="V55" i="58"/>
  <c r="V57" i="57"/>
  <c r="T57" i="57"/>
  <c r="T55" i="58"/>
  <c r="AI74" i="57"/>
  <c r="AI73" i="58"/>
  <c r="AH74" i="57"/>
  <c r="AH73" i="58"/>
  <c r="AI86" i="55"/>
  <c r="AI89" i="57"/>
  <c r="AI89" i="58"/>
  <c r="AH89" i="57"/>
  <c r="AH89" i="58"/>
  <c r="I35" i="57"/>
  <c r="I35" i="58"/>
  <c r="G3" i="25"/>
  <c r="H43" i="33" s="1"/>
  <c r="F43" i="33"/>
  <c r="F3" i="25"/>
  <c r="G43" i="33" s="1"/>
  <c r="E35" i="58"/>
  <c r="E35" i="57"/>
  <c r="G4" i="25"/>
  <c r="F4" i="25"/>
  <c r="I33" i="57"/>
  <c r="I33" i="58"/>
  <c r="I33" i="55"/>
  <c r="E39" i="55"/>
  <c r="E33" i="57"/>
  <c r="E33" i="58"/>
  <c r="E33" i="55"/>
  <c r="E38" i="55"/>
  <c r="I38" i="55"/>
  <c r="E14" i="57"/>
  <c r="E14" i="58"/>
  <c r="I14" i="57"/>
  <c r="I14" i="58"/>
  <c r="E8" i="55"/>
  <c r="E38" i="57"/>
  <c r="E38" i="58"/>
  <c r="I8" i="55"/>
  <c r="I38" i="57"/>
  <c r="I38" i="58"/>
  <c r="N19" i="17"/>
  <c r="O19" i="17"/>
  <c r="AI12" i="55"/>
  <c r="U61" i="58"/>
  <c r="U61" i="57"/>
  <c r="V76" i="57"/>
  <c r="V75" i="58"/>
  <c r="V61" i="57"/>
  <c r="V61" i="58"/>
  <c r="AI12" i="58"/>
  <c r="AI12" i="57"/>
  <c r="AH99" i="55"/>
  <c r="AH66" i="57"/>
  <c r="AH62" i="58"/>
  <c r="AI99" i="55"/>
  <c r="AI66" i="57"/>
  <c r="AI62" i="58"/>
  <c r="L38" i="57"/>
  <c r="L38" i="58"/>
  <c r="L38" i="55"/>
  <c r="E10" i="55"/>
  <c r="I10" i="55"/>
  <c r="N25" i="16"/>
  <c r="O25" i="16"/>
  <c r="AH102" i="58"/>
  <c r="AH103" i="57"/>
  <c r="AI101" i="55"/>
  <c r="AI102" i="58"/>
  <c r="AI103" i="57"/>
  <c r="AH42" i="55"/>
  <c r="AH42" i="58"/>
  <c r="AI106" i="55"/>
  <c r="AI42" i="55"/>
  <c r="AI42" i="58"/>
  <c r="T42" i="57"/>
  <c r="T42" i="58"/>
  <c r="T86" i="55"/>
  <c r="T78" i="57"/>
  <c r="T79" i="58"/>
  <c r="V78" i="57"/>
  <c r="V79" i="58"/>
  <c r="U78" i="57"/>
  <c r="U79" i="58"/>
  <c r="J18" i="55"/>
  <c r="J10" i="57"/>
  <c r="J10" i="58"/>
  <c r="J10" i="55"/>
  <c r="T62" i="55"/>
  <c r="T26" i="55"/>
  <c r="T24" i="58"/>
  <c r="T26" i="57"/>
  <c r="U26" i="55"/>
  <c r="U24" i="58"/>
  <c r="U26" i="57"/>
  <c r="E18" i="55"/>
  <c r="E10" i="58"/>
  <c r="E10" i="57"/>
  <c r="F18" i="55"/>
  <c r="F10" i="58"/>
  <c r="F10" i="57"/>
  <c r="I18" i="55"/>
  <c r="I10" i="58"/>
  <c r="I10" i="57"/>
  <c r="F88" i="35"/>
  <c r="E88" i="35"/>
  <c r="F87" i="35"/>
  <c r="E87" i="35"/>
  <c r="AH134" i="55" s="1"/>
  <c r="F4" i="15"/>
  <c r="G4" i="15"/>
  <c r="E37" i="58"/>
  <c r="E37" i="57"/>
  <c r="I37" i="58"/>
  <c r="I37" i="57"/>
  <c r="I25" i="58"/>
  <c r="I25" i="57"/>
  <c r="E25" i="57"/>
  <c r="E25" i="58"/>
  <c r="L25" i="55"/>
  <c r="N20" i="15"/>
  <c r="O20" i="15"/>
  <c r="G89" i="35"/>
  <c r="M16" i="15"/>
  <c r="M6" i="15"/>
  <c r="H67" i="36"/>
  <c r="N11" i="15"/>
  <c r="O11" i="15"/>
  <c r="G86" i="35"/>
  <c r="M15" i="15"/>
  <c r="M22" i="15"/>
  <c r="E41" i="34"/>
  <c r="M24" i="15"/>
  <c r="E43" i="34"/>
  <c r="AJ25" i="58"/>
  <c r="AJ28" i="57"/>
  <c r="AI93" i="55"/>
  <c r="AI109" i="57"/>
  <c r="AI109" i="58"/>
  <c r="AH93" i="55"/>
  <c r="AH109" i="57"/>
  <c r="AH109" i="58"/>
  <c r="T80" i="55"/>
  <c r="T88" i="58"/>
  <c r="T79" i="57"/>
  <c r="AH135" i="58"/>
  <c r="AH134" i="57"/>
  <c r="AI134" i="55"/>
  <c r="AI135" i="58"/>
  <c r="AI134" i="57"/>
  <c r="L37" i="58"/>
  <c r="L37" i="57"/>
  <c r="K37" i="58"/>
  <c r="K37" i="55"/>
  <c r="K37" i="57"/>
  <c r="J37" i="55"/>
  <c r="J37" i="57"/>
  <c r="J37" i="58"/>
  <c r="AI46" i="55"/>
  <c r="AI48" i="57"/>
  <c r="AI51" i="58"/>
  <c r="AH46" i="55"/>
  <c r="AH48" i="57"/>
  <c r="AH51" i="58"/>
  <c r="J25" i="55"/>
  <c r="J25" i="58"/>
  <c r="J25" i="57"/>
  <c r="K25" i="58"/>
  <c r="K25" i="57"/>
  <c r="L25" i="58"/>
  <c r="L25" i="57"/>
  <c r="S74" i="58"/>
  <c r="U10" i="55"/>
  <c r="U4" i="58"/>
  <c r="U5" i="57"/>
  <c r="U5" i="55"/>
  <c r="T10" i="55"/>
  <c r="T5" i="57"/>
  <c r="T5" i="55"/>
  <c r="T4" i="58"/>
  <c r="V10" i="55"/>
  <c r="V5" i="57"/>
  <c r="V4" i="58"/>
  <c r="V5" i="55"/>
  <c r="G37" i="57"/>
  <c r="G37" i="58"/>
  <c r="F37" i="58"/>
  <c r="F37" i="57"/>
  <c r="I23" i="55"/>
  <c r="E80" i="35"/>
  <c r="E23" i="55"/>
  <c r="F80" i="35"/>
  <c r="AI92" i="55" s="1"/>
  <c r="N20" i="14"/>
  <c r="O20" i="14"/>
  <c r="E17" i="55"/>
  <c r="E23" i="57"/>
  <c r="E23" i="58"/>
  <c r="I17" i="55"/>
  <c r="I23" i="58"/>
  <c r="I23" i="57"/>
  <c r="J23" i="55"/>
  <c r="L23" i="55"/>
  <c r="AH98" i="55"/>
  <c r="AH88" i="58"/>
  <c r="AH87" i="57"/>
  <c r="AI98" i="55"/>
  <c r="AI87" i="57"/>
  <c r="AI88" i="58"/>
  <c r="T50" i="55"/>
  <c r="T52" i="57"/>
  <c r="T54" i="58"/>
  <c r="U61" i="55"/>
  <c r="U52" i="57"/>
  <c r="U54" i="58"/>
  <c r="L23" i="58"/>
  <c r="L23" i="57"/>
  <c r="J17" i="55"/>
  <c r="J23" i="58"/>
  <c r="J23" i="57"/>
  <c r="K17" i="55"/>
  <c r="K23" i="58"/>
  <c r="K23" i="57"/>
  <c r="U20" i="55"/>
  <c r="U19" i="58"/>
  <c r="U20" i="57"/>
  <c r="T20" i="57"/>
  <c r="T19" i="58"/>
  <c r="AI6" i="55"/>
  <c r="AI11" i="58"/>
  <c r="AI11" i="57"/>
  <c r="AH6" i="55"/>
  <c r="AH11" i="58"/>
  <c r="AH11" i="57"/>
  <c r="AH55" i="55"/>
  <c r="AH50" i="57"/>
  <c r="AH49" i="58"/>
  <c r="AI50" i="57"/>
  <c r="AI49" i="58"/>
  <c r="AI91" i="57"/>
  <c r="AI91" i="58"/>
  <c r="AH91" i="57"/>
  <c r="AH91" i="58"/>
  <c r="V90" i="55"/>
  <c r="T27" i="55"/>
  <c r="T85" i="55"/>
  <c r="T91" i="58"/>
  <c r="T90" i="57"/>
  <c r="V91" i="58"/>
  <c r="V90" i="57"/>
  <c r="U91" i="58"/>
  <c r="U90" i="57"/>
  <c r="T38" i="58"/>
  <c r="T40" i="57"/>
  <c r="J9" i="55"/>
  <c r="J15" i="55"/>
  <c r="J15" i="57"/>
  <c r="J15" i="58"/>
  <c r="L15" i="57"/>
  <c r="L15" i="55"/>
  <c r="L15" i="58"/>
  <c r="K15" i="58"/>
  <c r="K15" i="55"/>
  <c r="K15" i="57"/>
  <c r="V58" i="58"/>
  <c r="V58" i="57"/>
  <c r="U58" i="58"/>
  <c r="U58" i="57"/>
  <c r="T58" i="57"/>
  <c r="T58" i="58"/>
  <c r="F9" i="55"/>
  <c r="F15" i="58"/>
  <c r="F15" i="57"/>
  <c r="G15" i="57"/>
  <c r="G15" i="58"/>
  <c r="AH110" i="58"/>
  <c r="AH110" i="57"/>
  <c r="T24" i="55"/>
  <c r="T27" i="58"/>
  <c r="T27" i="57"/>
  <c r="N11" i="11"/>
  <c r="O11" i="11"/>
  <c r="H50" i="36"/>
  <c r="M9" i="11"/>
  <c r="H48" i="36"/>
  <c r="M7" i="11"/>
  <c r="E31" i="34"/>
  <c r="AU49" i="55" s="1"/>
  <c r="M24" i="11"/>
  <c r="M6" i="11"/>
  <c r="I47" i="36" s="1"/>
  <c r="H47" i="36"/>
  <c r="H49" i="36"/>
  <c r="M8" i="11"/>
  <c r="W90" i="57"/>
  <c r="W91" i="58"/>
  <c r="W58" i="58"/>
  <c r="W58" i="57"/>
  <c r="AX33" i="57"/>
  <c r="AW33" i="57"/>
  <c r="AU33" i="58"/>
  <c r="AU33" i="57"/>
  <c r="AJ128" i="57"/>
  <c r="AJ129" i="58"/>
  <c r="AJ92" i="57"/>
  <c r="AJ92" i="58"/>
  <c r="W38" i="58"/>
  <c r="W40" i="57"/>
  <c r="AJ110" i="57"/>
  <c r="AJ110" i="58"/>
  <c r="AK110" i="57"/>
  <c r="AK110" i="58"/>
  <c r="AK129" i="58"/>
  <c r="AK128" i="57"/>
  <c r="AH95" i="55"/>
  <c r="AH100" i="57"/>
  <c r="AH10" i="57"/>
  <c r="AH8" i="58"/>
  <c r="AI8" i="58"/>
  <c r="AI10" i="57"/>
  <c r="AI8" i="57"/>
  <c r="AI10" i="58"/>
  <c r="AI3" i="55"/>
  <c r="AH10" i="58"/>
  <c r="AH8" i="57"/>
  <c r="AH8" i="55"/>
  <c r="AI8" i="55"/>
  <c r="AH76" i="55"/>
  <c r="AH79" i="57"/>
  <c r="AH80" i="58"/>
  <c r="AI79" i="57"/>
  <c r="AI80" i="58"/>
  <c r="T44" i="55"/>
  <c r="T68" i="58"/>
  <c r="T65" i="57"/>
  <c r="V44" i="55"/>
  <c r="V65" i="57"/>
  <c r="V68" i="58"/>
  <c r="U46" i="55"/>
  <c r="U65" i="57"/>
  <c r="U68" i="58"/>
  <c r="T77" i="57"/>
  <c r="T77" i="58"/>
  <c r="U75" i="55"/>
  <c r="U77" i="58"/>
  <c r="U77" i="57"/>
  <c r="V77" i="57"/>
  <c r="V77" i="58"/>
  <c r="V17" i="58"/>
  <c r="V18" i="57"/>
  <c r="V18" i="55"/>
  <c r="T30" i="55"/>
  <c r="T17" i="58"/>
  <c r="T18" i="57"/>
  <c r="T18" i="55"/>
  <c r="U17" i="58"/>
  <c r="U18" i="57"/>
  <c r="AI100" i="57"/>
  <c r="J8" i="55"/>
  <c r="J8" i="58"/>
  <c r="J8" i="57"/>
  <c r="I34" i="57"/>
  <c r="I34" i="58"/>
  <c r="E34" i="57"/>
  <c r="E34" i="58"/>
  <c r="I32" i="57"/>
  <c r="I32" i="58"/>
  <c r="I32" i="55"/>
  <c r="K34" i="55"/>
  <c r="L32" i="55"/>
  <c r="K32" i="55"/>
  <c r="J32" i="55"/>
  <c r="E34" i="55"/>
  <c r="F48" i="35"/>
  <c r="G46" i="35"/>
  <c r="F19" i="33"/>
  <c r="G3" i="9"/>
  <c r="H19" i="33" s="1"/>
  <c r="F3" i="9"/>
  <c r="G19" i="33" s="1"/>
  <c r="M8" i="9"/>
  <c r="H39" i="36"/>
  <c r="M22" i="9"/>
  <c r="E23" i="34"/>
  <c r="M7" i="9"/>
  <c r="H38" i="36"/>
  <c r="M24" i="9"/>
  <c r="E25" i="34"/>
  <c r="H37" i="36"/>
  <c r="M6" i="9"/>
  <c r="O6" i="9" s="1"/>
  <c r="K37" i="36" s="1"/>
  <c r="O20" i="9"/>
  <c r="N20" i="9"/>
  <c r="O25" i="9"/>
  <c r="N25" i="9"/>
  <c r="E37" i="55"/>
  <c r="E32" i="55"/>
  <c r="E32" i="57"/>
  <c r="E32" i="58"/>
  <c r="U22" i="57"/>
  <c r="U21" i="58"/>
  <c r="U21" i="55"/>
  <c r="V21" i="58"/>
  <c r="V22" i="57"/>
  <c r="V21" i="55"/>
  <c r="T42" i="55"/>
  <c r="T22" i="57"/>
  <c r="T21" i="58"/>
  <c r="T21" i="55"/>
  <c r="L34" i="57"/>
  <c r="L34" i="58"/>
  <c r="K34" i="58"/>
  <c r="K34" i="57"/>
  <c r="L32" i="57"/>
  <c r="L32" i="58"/>
  <c r="J33" i="55"/>
  <c r="J32" i="57"/>
  <c r="J32" i="58"/>
  <c r="K33" i="55"/>
  <c r="K32" i="57"/>
  <c r="K32" i="58"/>
  <c r="AH125" i="57"/>
  <c r="AI112" i="55"/>
  <c r="AI125" i="57"/>
  <c r="T48" i="57"/>
  <c r="T57" i="58"/>
  <c r="H36" i="36"/>
  <c r="M10" i="8"/>
  <c r="N11" i="8"/>
  <c r="O11" i="8"/>
  <c r="M13" i="8"/>
  <c r="G41" i="35"/>
  <c r="M17" i="8"/>
  <c r="G45" i="35"/>
  <c r="M15" i="8"/>
  <c r="G43" i="35"/>
  <c r="N18" i="8"/>
  <c r="O18" i="8"/>
  <c r="O19" i="8"/>
  <c r="N19" i="8"/>
  <c r="O20" i="8"/>
  <c r="N20" i="8"/>
  <c r="E21" i="34"/>
  <c r="M23" i="8"/>
  <c r="O25" i="8"/>
  <c r="N25" i="8"/>
  <c r="W66" i="58"/>
  <c r="W66" i="57"/>
  <c r="F6" i="57"/>
  <c r="F6" i="58"/>
  <c r="U58" i="55"/>
  <c r="U91" i="57"/>
  <c r="U83" i="58"/>
  <c r="V91" i="55"/>
  <c r="V91" i="57"/>
  <c r="V83" i="58"/>
  <c r="U78" i="55"/>
  <c r="U66" i="57"/>
  <c r="U66" i="58"/>
  <c r="V66" i="57"/>
  <c r="V66" i="58"/>
  <c r="K6" i="55"/>
  <c r="K6" i="57"/>
  <c r="K6" i="58"/>
  <c r="E37" i="35"/>
  <c r="F37" i="35"/>
  <c r="E38" i="35"/>
  <c r="E38" i="7"/>
  <c r="E39" i="7" s="1"/>
  <c r="F38" i="35"/>
  <c r="F38" i="7"/>
  <c r="F39" i="7" s="1"/>
  <c r="AI68" i="55"/>
  <c r="AI34" i="55"/>
  <c r="AI33" i="58"/>
  <c r="AI34" i="57"/>
  <c r="G11" i="57"/>
  <c r="G11" i="58"/>
  <c r="F11" i="58"/>
  <c r="F11" i="57"/>
  <c r="AJ119" i="58"/>
  <c r="J38" i="35"/>
  <c r="J37" i="35"/>
  <c r="V37" i="58"/>
  <c r="V35" i="57"/>
  <c r="AH22" i="58"/>
  <c r="AH23" i="57"/>
  <c r="AI22" i="58"/>
  <c r="AI23" i="57"/>
  <c r="U52" i="55"/>
  <c r="U37" i="58"/>
  <c r="U35" i="57"/>
  <c r="K11" i="58"/>
  <c r="K11" i="57"/>
  <c r="AJ22" i="58"/>
  <c r="AJ23" i="57"/>
  <c r="AU4" i="57"/>
  <c r="AU4" i="58"/>
  <c r="AU41" i="58"/>
  <c r="AU41" i="57"/>
  <c r="W37" i="58"/>
  <c r="W35" i="57"/>
  <c r="AJ33" i="58"/>
  <c r="AJ34" i="57"/>
  <c r="AM119" i="58"/>
  <c r="AK22" i="58"/>
  <c r="AK23" i="57"/>
  <c r="AK33" i="58"/>
  <c r="AK34" i="57"/>
  <c r="X37" i="58"/>
  <c r="X35" i="57"/>
  <c r="AX4" i="58"/>
  <c r="AX4" i="57"/>
  <c r="AV4" i="57"/>
  <c r="AV4" i="58"/>
  <c r="AW4" i="58"/>
  <c r="AW4" i="57"/>
  <c r="I27" i="58"/>
  <c r="I27" i="57"/>
  <c r="E27" i="58"/>
  <c r="E27" i="57"/>
  <c r="E32" i="1"/>
  <c r="AH57" i="55"/>
  <c r="E27" i="55"/>
  <c r="I27" i="55"/>
  <c r="E32" i="35"/>
  <c r="F32" i="35"/>
  <c r="M19" i="1"/>
  <c r="H33" i="35" s="1"/>
  <c r="G33" i="35"/>
  <c r="M18" i="1"/>
  <c r="H32" i="35" s="1"/>
  <c r="G32" i="35"/>
  <c r="M15" i="1"/>
  <c r="G29" i="35"/>
  <c r="AJ122" i="55" s="1"/>
  <c r="M14" i="1"/>
  <c r="H28" i="35" s="1"/>
  <c r="G28" i="35"/>
  <c r="M17" i="1"/>
  <c r="G31" i="35"/>
  <c r="G2" i="1"/>
  <c r="F11" i="33"/>
  <c r="F2" i="1"/>
  <c r="AK125" i="58"/>
  <c r="I67" i="58"/>
  <c r="I58" i="58"/>
  <c r="I59" i="58"/>
  <c r="I60" i="58"/>
  <c r="I62" i="58"/>
  <c r="I63" i="58"/>
  <c r="I68" i="58"/>
  <c r="I61" i="58"/>
  <c r="I63" i="57"/>
  <c r="I64" i="58"/>
  <c r="I48" i="57"/>
  <c r="I53" i="57"/>
  <c r="I56" i="57"/>
  <c r="I57" i="57"/>
  <c r="I58" i="57"/>
  <c r="I74" i="57"/>
  <c r="I77" i="57"/>
  <c r="I78" i="57"/>
  <c r="I79" i="57"/>
  <c r="I80" i="57"/>
  <c r="I47" i="57"/>
  <c r="I49" i="57"/>
  <c r="I52" i="57"/>
  <c r="I54" i="57"/>
  <c r="I60" i="57"/>
  <c r="I61" i="57"/>
  <c r="I62" i="57"/>
  <c r="I71" i="57"/>
  <c r="I76" i="58"/>
  <c r="I75" i="58"/>
  <c r="I44" i="58"/>
  <c r="I78" i="58"/>
  <c r="I79" i="58"/>
  <c r="I80" i="58"/>
  <c r="I66" i="58"/>
  <c r="I44" i="57"/>
  <c r="I45" i="57"/>
  <c r="I46" i="57"/>
  <c r="I66" i="57"/>
  <c r="I67" i="57"/>
  <c r="I68" i="57"/>
  <c r="I69" i="57"/>
  <c r="I42" i="57"/>
  <c r="I43" i="57"/>
  <c r="I42" i="58"/>
  <c r="I43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0" i="57"/>
  <c r="I51" i="57"/>
  <c r="I55" i="57"/>
  <c r="I72" i="57"/>
  <c r="I70" i="58"/>
  <c r="I71" i="58"/>
  <c r="I72" i="58"/>
  <c r="I77" i="58"/>
  <c r="I59" i="57"/>
  <c r="I64" i="57"/>
  <c r="I65" i="57"/>
  <c r="I70" i="57"/>
  <c r="I73" i="57"/>
  <c r="I75" i="57"/>
  <c r="I76" i="57"/>
  <c r="I65" i="58"/>
  <c r="I73" i="58"/>
  <c r="I74" i="58"/>
  <c r="I69" i="58"/>
  <c r="F44" i="58"/>
  <c r="F58" i="58"/>
  <c r="F59" i="58"/>
  <c r="F60" i="58"/>
  <c r="F61" i="58"/>
  <c r="F63" i="58"/>
  <c r="F56" i="57"/>
  <c r="F57" i="57"/>
  <c r="F62" i="57"/>
  <c r="F63" i="57"/>
  <c r="F69" i="58"/>
  <c r="F68" i="58"/>
  <c r="F62" i="58"/>
  <c r="F74" i="58"/>
  <c r="F66" i="58"/>
  <c r="F70" i="58"/>
  <c r="F50" i="57"/>
  <c r="F77" i="58"/>
  <c r="F47" i="57"/>
  <c r="F48" i="57"/>
  <c r="F49" i="57"/>
  <c r="F51" i="57"/>
  <c r="F53" i="57"/>
  <c r="F54" i="57"/>
  <c r="F55" i="57"/>
  <c r="F59" i="57"/>
  <c r="F60" i="57"/>
  <c r="F61" i="57"/>
  <c r="F72" i="57"/>
  <c r="F72" i="58"/>
  <c r="F76" i="58"/>
  <c r="F80" i="58"/>
  <c r="F65" i="58"/>
  <c r="F79" i="58"/>
  <c r="F78" i="58"/>
  <c r="F67" i="58"/>
  <c r="F44" i="57"/>
  <c r="F45" i="57"/>
  <c r="F46" i="57"/>
  <c r="F66" i="57"/>
  <c r="F67" i="57"/>
  <c r="F68" i="57"/>
  <c r="F69" i="57"/>
  <c r="F42" i="57"/>
  <c r="F43" i="57"/>
  <c r="F42" i="58"/>
  <c r="F43" i="58"/>
  <c r="F73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2" i="57"/>
  <c r="F65" i="57"/>
  <c r="F70" i="57"/>
  <c r="F74" i="57"/>
  <c r="F75" i="57"/>
  <c r="F77" i="57"/>
  <c r="F78" i="57"/>
  <c r="F79" i="57"/>
  <c r="F80" i="57"/>
  <c r="F75" i="58"/>
  <c r="F58" i="57"/>
  <c r="F64" i="57"/>
  <c r="F71" i="57"/>
  <c r="F73" i="57"/>
  <c r="F76" i="57"/>
  <c r="F71" i="58"/>
  <c r="F64" i="58"/>
  <c r="AH61" i="55"/>
  <c r="AH125" i="58"/>
  <c r="AH122" i="57"/>
  <c r="AI61" i="55"/>
  <c r="AI125" i="58"/>
  <c r="AH55" i="57"/>
  <c r="AH57" i="58"/>
  <c r="AI70" i="55"/>
  <c r="AI57" i="58"/>
  <c r="AI55" i="57"/>
  <c r="AJ14" i="57"/>
  <c r="AJ14" i="58"/>
  <c r="AJ125" i="58"/>
  <c r="AJ122" i="57"/>
  <c r="G44" i="58"/>
  <c r="G58" i="58"/>
  <c r="G59" i="58"/>
  <c r="G62" i="58"/>
  <c r="G63" i="58"/>
  <c r="G70" i="58"/>
  <c r="G66" i="58"/>
  <c r="G60" i="58"/>
  <c r="G61" i="58"/>
  <c r="G76" i="58"/>
  <c r="G47" i="57"/>
  <c r="G51" i="57"/>
  <c r="G52" i="57"/>
  <c r="G64" i="57"/>
  <c r="G70" i="57"/>
  <c r="G71" i="57"/>
  <c r="G72" i="57"/>
  <c r="G74" i="57"/>
  <c r="G77" i="57"/>
  <c r="G78" i="57"/>
  <c r="G79" i="57"/>
  <c r="G80" i="57"/>
  <c r="G65" i="58"/>
  <c r="G57" i="57"/>
  <c r="G65" i="57"/>
  <c r="G73" i="58"/>
  <c r="G77" i="58"/>
  <c r="G74" i="58"/>
  <c r="G64" i="58"/>
  <c r="G71" i="58"/>
  <c r="G75" i="58"/>
  <c r="G44" i="57"/>
  <c r="G45" i="57"/>
  <c r="G46" i="57"/>
  <c r="G66" i="57"/>
  <c r="G67" i="57"/>
  <c r="G68" i="57"/>
  <c r="G69" i="57"/>
  <c r="G43" i="57"/>
  <c r="G42" i="58"/>
  <c r="G43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48" i="57"/>
  <c r="G49" i="57"/>
  <c r="G56" i="57"/>
  <c r="G58" i="57"/>
  <c r="G59" i="57"/>
  <c r="G60" i="57"/>
  <c r="G61" i="57"/>
  <c r="G73" i="57"/>
  <c r="G76" i="57"/>
  <c r="G42" i="57"/>
  <c r="G67" i="58"/>
  <c r="G68" i="58"/>
  <c r="G69" i="58"/>
  <c r="G79" i="58"/>
  <c r="G50" i="57"/>
  <c r="G53" i="57"/>
  <c r="G54" i="57"/>
  <c r="G55" i="57"/>
  <c r="G62" i="57"/>
  <c r="G63" i="57"/>
  <c r="G75" i="57"/>
  <c r="G72" i="58"/>
  <c r="G78" i="58"/>
  <c r="G80" i="58"/>
  <c r="H67" i="58"/>
  <c r="H58" i="58"/>
  <c r="H60" i="58"/>
  <c r="H61" i="58"/>
  <c r="H59" i="58"/>
  <c r="H62" i="58"/>
  <c r="H63" i="58"/>
  <c r="H70" i="58"/>
  <c r="H72" i="58"/>
  <c r="H54" i="57"/>
  <c r="H55" i="57"/>
  <c r="H59" i="57"/>
  <c r="H62" i="57"/>
  <c r="H63" i="57"/>
  <c r="H65" i="57"/>
  <c r="H76" i="57"/>
  <c r="H75" i="58"/>
  <c r="H71" i="58"/>
  <c r="H47" i="57"/>
  <c r="H50" i="57"/>
  <c r="H56" i="57"/>
  <c r="H58" i="57"/>
  <c r="H70" i="57"/>
  <c r="H69" i="58"/>
  <c r="H80" i="58"/>
  <c r="H78" i="58"/>
  <c r="H79" i="58"/>
  <c r="H73" i="58"/>
  <c r="H77" i="58"/>
  <c r="H74" i="58"/>
  <c r="H68" i="58"/>
  <c r="H44" i="57"/>
  <c r="H45" i="57"/>
  <c r="H46" i="57"/>
  <c r="H66" i="57"/>
  <c r="H67" i="57"/>
  <c r="H68" i="57"/>
  <c r="H69" i="57"/>
  <c r="H42" i="57"/>
  <c r="H43" i="57"/>
  <c r="H42" i="58"/>
  <c r="H43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3" i="57"/>
  <c r="H57" i="57"/>
  <c r="H64" i="57"/>
  <c r="H71" i="57"/>
  <c r="H75" i="57"/>
  <c r="H78" i="57"/>
  <c r="H79" i="57"/>
  <c r="H80" i="57"/>
  <c r="H65" i="58"/>
  <c r="H66" i="58"/>
  <c r="H76" i="58"/>
  <c r="H48" i="57"/>
  <c r="H49" i="57"/>
  <c r="H51" i="57"/>
  <c r="H52" i="57"/>
  <c r="H60" i="57"/>
  <c r="H61" i="57"/>
  <c r="H72" i="57"/>
  <c r="H73" i="57"/>
  <c r="H74" i="57"/>
  <c r="H77" i="57"/>
  <c r="H64" i="58"/>
  <c r="H44" i="58"/>
  <c r="K27" i="57"/>
  <c r="K27" i="58"/>
  <c r="AM14" i="57"/>
  <c r="AM14" i="58"/>
  <c r="AL14" i="57"/>
  <c r="AL14" i="58"/>
  <c r="AK14" i="57"/>
  <c r="AK14" i="58"/>
  <c r="W55" i="55"/>
  <c r="X6" i="57"/>
  <c r="X7" i="58"/>
  <c r="AJ53" i="57"/>
  <c r="AJ23" i="58"/>
  <c r="AJ21" i="57"/>
  <c r="AJ117" i="57"/>
  <c r="AJ117" i="58"/>
  <c r="AJ90" i="58"/>
  <c r="AJ90" i="57"/>
  <c r="AU99" i="55"/>
  <c r="AU69" i="58"/>
  <c r="AU76" i="58"/>
  <c r="AU68" i="58"/>
  <c r="AU56" i="58"/>
  <c r="AU73" i="58"/>
  <c r="AU65" i="57"/>
  <c r="AU71" i="58"/>
  <c r="AU89" i="58"/>
  <c r="AU88" i="58"/>
  <c r="AU87" i="58"/>
  <c r="AU99" i="58"/>
  <c r="AU66" i="58"/>
  <c r="AU93" i="58"/>
  <c r="AU79" i="58"/>
  <c r="AU64" i="57"/>
  <c r="AU74" i="58"/>
  <c r="AU95" i="58"/>
  <c r="AU84" i="58"/>
  <c r="AU70" i="58"/>
  <c r="AU53" i="57"/>
  <c r="AU83" i="58"/>
  <c r="AU81" i="58"/>
  <c r="AU80" i="58"/>
  <c r="AU67" i="58"/>
  <c r="AU78" i="58"/>
  <c r="AU65" i="58"/>
  <c r="AU97" i="58"/>
  <c r="AU101" i="58"/>
  <c r="AU63" i="57"/>
  <c r="AU63" i="58"/>
  <c r="AU64" i="58"/>
  <c r="AU98" i="58"/>
  <c r="AU62" i="58"/>
  <c r="AU77" i="58"/>
  <c r="AU62" i="57"/>
  <c r="AU75" i="58"/>
  <c r="AU100" i="58"/>
  <c r="AU57" i="58"/>
  <c r="AU96" i="58"/>
  <c r="AU101" i="57"/>
  <c r="AU100" i="57"/>
  <c r="AU99" i="57"/>
  <c r="AU61" i="57"/>
  <c r="AU97" i="57"/>
  <c r="AU69" i="57"/>
  <c r="AU95" i="57"/>
  <c r="AU70" i="57"/>
  <c r="AU59" i="58"/>
  <c r="AU60" i="57"/>
  <c r="AU92" i="57"/>
  <c r="AU71" i="57"/>
  <c r="AU52" i="57"/>
  <c r="AU59" i="57"/>
  <c r="AU72" i="57"/>
  <c r="AU73" i="57"/>
  <c r="AU74" i="57"/>
  <c r="AU58" i="57"/>
  <c r="AU94" i="58"/>
  <c r="AU52" i="58"/>
  <c r="AU82" i="58"/>
  <c r="AU75" i="57"/>
  <c r="AU58" i="58"/>
  <c r="AU84" i="57"/>
  <c r="AU76" i="57"/>
  <c r="AU57" i="57"/>
  <c r="AU89" i="57"/>
  <c r="AU83" i="57"/>
  <c r="AU53" i="58"/>
  <c r="AU82" i="57"/>
  <c r="AU90" i="57"/>
  <c r="AU60" i="58"/>
  <c r="AU81" i="57"/>
  <c r="AU91" i="57"/>
  <c r="AU56" i="57"/>
  <c r="AU80" i="57"/>
  <c r="AU93" i="57"/>
  <c r="AU54" i="58"/>
  <c r="AU79" i="57"/>
  <c r="AU94" i="57"/>
  <c r="AU61" i="58"/>
  <c r="AU78" i="57"/>
  <c r="AU96" i="57"/>
  <c r="AU55" i="57"/>
  <c r="AU77" i="57"/>
  <c r="AU98" i="57"/>
  <c r="AU55" i="58"/>
  <c r="AU68" i="57"/>
  <c r="AU86" i="58"/>
  <c r="AU85" i="58"/>
  <c r="AU67" i="57"/>
  <c r="AU72" i="58"/>
  <c r="AU54" i="57"/>
  <c r="AU66" i="57"/>
  <c r="AU92" i="58"/>
  <c r="AU91" i="58"/>
  <c r="AU90" i="58"/>
  <c r="AU88" i="57"/>
  <c r="AU87" i="57"/>
  <c r="AU86" i="57"/>
  <c r="AU85" i="57"/>
  <c r="AK53" i="57"/>
  <c r="AV34" i="58"/>
  <c r="AV35" i="57"/>
  <c r="AU13" i="58"/>
  <c r="AU14" i="57"/>
  <c r="AV83" i="58"/>
  <c r="AV63" i="58"/>
  <c r="AV62" i="58"/>
  <c r="AV79" i="58"/>
  <c r="AV76" i="58"/>
  <c r="AV66" i="58"/>
  <c r="AV82" i="58"/>
  <c r="AV98" i="57"/>
  <c r="AV96" i="57"/>
  <c r="AV94" i="57"/>
  <c r="AV93" i="57"/>
  <c r="AV91" i="57"/>
  <c r="AV90" i="57"/>
  <c r="AV89" i="57"/>
  <c r="AV65" i="58"/>
  <c r="AV64" i="58"/>
  <c r="AV95" i="58"/>
  <c r="AV87" i="58"/>
  <c r="AV84" i="57"/>
  <c r="AV83" i="57"/>
  <c r="AV82" i="57"/>
  <c r="AV81" i="57"/>
  <c r="AV80" i="57"/>
  <c r="AV79" i="57"/>
  <c r="AV78" i="57"/>
  <c r="AV77" i="57"/>
  <c r="AV68" i="57"/>
  <c r="AV67" i="57"/>
  <c r="AV66" i="57"/>
  <c r="AV65" i="57"/>
  <c r="AV64" i="57"/>
  <c r="AV63" i="57"/>
  <c r="AV62" i="57"/>
  <c r="AV101" i="57"/>
  <c r="AV61" i="57"/>
  <c r="AV60" i="57"/>
  <c r="AV59" i="57"/>
  <c r="AV58" i="57"/>
  <c r="AV57" i="57"/>
  <c r="AV56" i="57"/>
  <c r="AV55" i="57"/>
  <c r="AV54" i="57"/>
  <c r="AV53" i="57"/>
  <c r="AV52" i="57"/>
  <c r="AV61" i="58"/>
  <c r="AV60" i="58"/>
  <c r="AV70" i="57"/>
  <c r="AV59" i="58"/>
  <c r="AV58" i="58"/>
  <c r="AV57" i="58"/>
  <c r="AV56" i="58"/>
  <c r="AV55" i="58"/>
  <c r="AV54" i="58"/>
  <c r="AV53" i="58"/>
  <c r="AV52" i="58"/>
  <c r="AV96" i="58"/>
  <c r="AV94" i="58"/>
  <c r="AV73" i="58"/>
  <c r="AV100" i="57"/>
  <c r="AV99" i="57"/>
  <c r="AV97" i="57"/>
  <c r="AV95" i="57"/>
  <c r="AV92" i="57"/>
  <c r="AV76" i="57"/>
  <c r="AV75" i="57"/>
  <c r="AV74" i="57"/>
  <c r="AV73" i="57"/>
  <c r="AV72" i="57"/>
  <c r="AV71" i="57"/>
  <c r="AV69" i="57"/>
  <c r="AV75" i="58"/>
  <c r="AV101" i="58"/>
  <c r="AV97" i="58"/>
  <c r="AV100" i="58"/>
  <c r="AV89" i="58"/>
  <c r="AV77" i="58"/>
  <c r="AV68" i="58"/>
  <c r="AV99" i="58"/>
  <c r="AV69" i="58"/>
  <c r="AV78" i="58"/>
  <c r="AV74" i="58"/>
  <c r="AV91" i="58"/>
  <c r="AV81" i="58"/>
  <c r="AV71" i="58"/>
  <c r="AV80" i="58"/>
  <c r="AV93" i="58"/>
  <c r="AV92" i="58"/>
  <c r="AV70" i="58"/>
  <c r="AV85" i="58"/>
  <c r="AV90" i="58"/>
  <c r="AV72" i="58"/>
  <c r="AV88" i="57"/>
  <c r="AV98" i="58"/>
  <c r="AV87" i="57"/>
  <c r="AV86" i="58"/>
  <c r="AV86" i="57"/>
  <c r="AV67" i="58"/>
  <c r="AV85" i="57"/>
  <c r="AV84" i="58"/>
  <c r="AV88" i="58"/>
  <c r="AX92" i="57"/>
  <c r="AX57" i="58"/>
  <c r="AX80" i="57"/>
  <c r="AX90" i="57"/>
  <c r="AX81" i="57"/>
  <c r="AX82" i="57"/>
  <c r="AX89" i="57"/>
  <c r="AX98" i="58"/>
  <c r="AX76" i="57"/>
  <c r="AX55" i="57"/>
  <c r="AX83" i="57"/>
  <c r="AX75" i="57"/>
  <c r="AX53" i="58"/>
  <c r="AX84" i="57"/>
  <c r="AX74" i="57"/>
  <c r="AX58" i="58"/>
  <c r="AX86" i="57"/>
  <c r="AX73" i="57"/>
  <c r="AX56" i="57"/>
  <c r="AX72" i="58"/>
  <c r="AX72" i="57"/>
  <c r="AX52" i="58"/>
  <c r="AX88" i="58"/>
  <c r="AX71" i="57"/>
  <c r="AX52" i="57"/>
  <c r="AX91" i="57"/>
  <c r="AX70" i="57"/>
  <c r="AX93" i="57"/>
  <c r="AX94" i="57"/>
  <c r="AX69" i="57"/>
  <c r="AX57" i="57"/>
  <c r="AX96" i="57"/>
  <c r="AX77" i="57"/>
  <c r="AX95" i="57"/>
  <c r="AX85" i="57"/>
  <c r="AX98" i="57"/>
  <c r="AX54" i="58"/>
  <c r="AX77" i="58"/>
  <c r="AX58" i="57"/>
  <c r="AX78" i="57"/>
  <c r="AX76" i="58"/>
  <c r="AX65" i="58"/>
  <c r="AX61" i="57"/>
  <c r="AX79" i="57"/>
  <c r="AX86" i="58"/>
  <c r="AX100" i="58"/>
  <c r="AX70" i="58"/>
  <c r="AX62" i="58"/>
  <c r="AX99" i="58"/>
  <c r="AX59" i="57"/>
  <c r="AX82" i="58"/>
  <c r="AX63" i="58"/>
  <c r="AX60" i="57"/>
  <c r="AX67" i="58"/>
  <c r="AX96" i="58"/>
  <c r="AX99" i="57"/>
  <c r="AX79" i="58"/>
  <c r="AX69" i="58"/>
  <c r="AX62" i="57"/>
  <c r="AX56" i="58"/>
  <c r="AX71" i="58"/>
  <c r="AX95" i="58"/>
  <c r="AX74" i="58"/>
  <c r="AX66" i="58"/>
  <c r="AX87" i="58"/>
  <c r="AX83" i="58"/>
  <c r="AX63" i="57"/>
  <c r="AX101" i="58"/>
  <c r="AX60" i="58"/>
  <c r="AX84" i="58"/>
  <c r="AX64" i="58"/>
  <c r="AX64" i="57"/>
  <c r="AX73" i="58"/>
  <c r="AX80" i="58"/>
  <c r="AX81" i="58"/>
  <c r="AX65" i="57"/>
  <c r="AX85" i="58"/>
  <c r="AX89" i="58"/>
  <c r="AX68" i="58"/>
  <c r="AX94" i="58"/>
  <c r="AX75" i="58"/>
  <c r="AX53" i="57"/>
  <c r="AX97" i="58"/>
  <c r="AX78" i="58"/>
  <c r="AX66" i="57"/>
  <c r="AX93" i="58"/>
  <c r="AX67" i="57"/>
  <c r="AX92" i="58"/>
  <c r="AX101" i="57"/>
  <c r="AX59" i="58"/>
  <c r="AX91" i="58"/>
  <c r="AX100" i="57"/>
  <c r="AX90" i="58"/>
  <c r="AX55" i="58"/>
  <c r="AX88" i="57"/>
  <c r="AX61" i="58"/>
  <c r="AX68" i="57"/>
  <c r="AX87" i="57"/>
  <c r="AX97" i="57"/>
  <c r="AX54" i="57"/>
  <c r="AW14" i="57"/>
  <c r="AW13" i="58"/>
  <c r="AV14" i="57"/>
  <c r="AV13" i="58"/>
  <c r="AX14" i="57"/>
  <c r="AX13" i="58"/>
  <c r="AK117" i="57"/>
  <c r="AK21" i="57"/>
  <c r="AK23" i="58"/>
  <c r="J36" i="55"/>
  <c r="E36" i="55"/>
  <c r="M15" i="4"/>
  <c r="H10" i="35" s="1"/>
  <c r="G10" i="35"/>
  <c r="AJ119" i="57"/>
  <c r="AJ118" i="58"/>
  <c r="E32" i="4"/>
  <c r="F3" i="4"/>
  <c r="G6" i="33" s="1"/>
  <c r="G3" i="4"/>
  <c r="F6" i="33"/>
  <c r="E26" i="55"/>
  <c r="E36" i="58"/>
  <c r="E36" i="57"/>
  <c r="E25" i="55"/>
  <c r="E30" i="55"/>
  <c r="E30" i="57"/>
  <c r="E30" i="58"/>
  <c r="I25" i="55"/>
  <c r="I30" i="57"/>
  <c r="I30" i="55"/>
  <c r="I30" i="58"/>
  <c r="AI97" i="57"/>
  <c r="AI99" i="58"/>
  <c r="J26" i="55"/>
  <c r="J36" i="58"/>
  <c r="J36" i="57"/>
  <c r="AH111" i="55"/>
  <c r="AH118" i="58"/>
  <c r="AH119" i="57"/>
  <c r="AI118" i="58"/>
  <c r="AI119" i="57"/>
  <c r="AI91" i="55"/>
  <c r="AI84" i="58"/>
  <c r="AI81" i="57"/>
  <c r="AH99" i="58"/>
  <c r="AH97" i="57"/>
  <c r="X2" i="55"/>
  <c r="X2" i="58"/>
  <c r="X2" i="57"/>
  <c r="Z2" i="55"/>
  <c r="Z2" i="58"/>
  <c r="Z2" i="57"/>
  <c r="W2" i="55"/>
  <c r="W2" i="58"/>
  <c r="W2" i="57"/>
  <c r="F30" i="58"/>
  <c r="F30" i="57"/>
  <c r="Y2" i="57"/>
  <c r="Y2" i="58"/>
  <c r="AJ21" i="55"/>
  <c r="AU24" i="58"/>
  <c r="AU24" i="57"/>
  <c r="AK139" i="57"/>
  <c r="AJ139" i="57"/>
  <c r="W18" i="58"/>
  <c r="W16" i="57"/>
  <c r="AJ83" i="57"/>
  <c r="AM22" i="57"/>
  <c r="AU36" i="58"/>
  <c r="AU34" i="57"/>
  <c r="AJ22" i="57"/>
  <c r="E32" i="3"/>
  <c r="I20" i="55"/>
  <c r="I13" i="58"/>
  <c r="I13" i="57"/>
  <c r="E20" i="55"/>
  <c r="E13" i="58"/>
  <c r="E13" i="57"/>
  <c r="W62" i="57"/>
  <c r="AS14" i="58"/>
  <c r="AT14" i="58"/>
  <c r="W57" i="58"/>
  <c r="AU5" i="57"/>
  <c r="D6" i="58"/>
  <c r="D6" i="57"/>
  <c r="D36" i="58"/>
  <c r="D36" i="57"/>
  <c r="D34" i="57"/>
  <c r="D34" i="58"/>
  <c r="D32" i="57"/>
  <c r="D32" i="58"/>
  <c r="D2" i="57"/>
  <c r="D2" i="58"/>
  <c r="D4" i="58"/>
  <c r="D4" i="57"/>
  <c r="D11" i="58"/>
  <c r="D11" i="57"/>
  <c r="D30" i="58"/>
  <c r="D30" i="57"/>
  <c r="D27" i="57"/>
  <c r="D27" i="58"/>
  <c r="D40" i="57"/>
  <c r="D40" i="58"/>
  <c r="F4" i="9"/>
  <c r="G20" i="33" s="1"/>
  <c r="M20" i="33" s="1"/>
  <c r="F20" i="33"/>
  <c r="N20" i="33" s="1"/>
  <c r="G4" i="9"/>
  <c r="H20" i="33" s="1"/>
  <c r="O24" i="9"/>
  <c r="F25" i="34"/>
  <c r="H23" i="33"/>
  <c r="G32" i="11"/>
  <c r="H14" i="33"/>
  <c r="G32" i="7"/>
  <c r="G38" i="29"/>
  <c r="G39" i="29" s="1"/>
  <c r="F192" i="35"/>
  <c r="AI22" i="55" s="1"/>
  <c r="F38" i="21"/>
  <c r="F39" i="21" s="1"/>
  <c r="M6" i="31"/>
  <c r="H157" i="36"/>
  <c r="M8" i="31"/>
  <c r="H159" i="36"/>
  <c r="F202" i="35"/>
  <c r="G2" i="31"/>
  <c r="F2" i="31"/>
  <c r="G74" i="33" s="1"/>
  <c r="F74" i="33"/>
  <c r="AH120" i="55"/>
  <c r="AI120" i="55"/>
  <c r="AH11" i="55"/>
  <c r="N23" i="24"/>
  <c r="F72" i="34"/>
  <c r="O23" i="24"/>
  <c r="G72" i="34"/>
  <c r="H71" i="34"/>
  <c r="M14" i="21"/>
  <c r="G136" i="35"/>
  <c r="AJ46" i="58" s="1"/>
  <c r="F97" i="36"/>
  <c r="E38" i="19"/>
  <c r="E39" i="19" s="1"/>
  <c r="G38" i="18"/>
  <c r="G39" i="18" s="1"/>
  <c r="F4" i="18"/>
  <c r="G4" i="18"/>
  <c r="H88" i="36"/>
  <c r="M7" i="18"/>
  <c r="H85" i="36"/>
  <c r="M9" i="3"/>
  <c r="O9" i="3" s="1"/>
  <c r="K85" i="36" s="1"/>
  <c r="E107" i="35"/>
  <c r="AH100" i="55" s="1"/>
  <c r="F107" i="35"/>
  <c r="E74" i="34"/>
  <c r="M22" i="25"/>
  <c r="N19" i="25"/>
  <c r="O19" i="25"/>
  <c r="M17" i="25"/>
  <c r="G120" i="35"/>
  <c r="M14" i="25"/>
  <c r="G118" i="35"/>
  <c r="M16" i="25"/>
  <c r="G119" i="35"/>
  <c r="M18" i="25"/>
  <c r="H121" i="35" s="1"/>
  <c r="G121" i="35"/>
  <c r="O20" i="25"/>
  <c r="N20" i="25"/>
  <c r="N11" i="25"/>
  <c r="O11" i="25"/>
  <c r="E32" i="25"/>
  <c r="F2" i="25"/>
  <c r="F42" i="33"/>
  <c r="G2" i="25"/>
  <c r="M6" i="25"/>
  <c r="H92" i="36"/>
  <c r="G38" i="25"/>
  <c r="G39" i="25" s="1"/>
  <c r="M7" i="25"/>
  <c r="H93" i="36"/>
  <c r="M9" i="25"/>
  <c r="H95" i="36"/>
  <c r="F101" i="35"/>
  <c r="F100" i="35"/>
  <c r="E101" i="35"/>
  <c r="E100" i="35"/>
  <c r="G38" i="16"/>
  <c r="G39" i="16" s="1"/>
  <c r="M22" i="16"/>
  <c r="E44" i="34"/>
  <c r="G2" i="16"/>
  <c r="F2" i="16"/>
  <c r="E32" i="16"/>
  <c r="F90" i="35"/>
  <c r="E90" i="35"/>
  <c r="M17" i="15"/>
  <c r="G87" i="35"/>
  <c r="AJ89" i="55" s="1"/>
  <c r="H71" i="36"/>
  <c r="M10" i="15"/>
  <c r="O10" i="15" s="1"/>
  <c r="K71" i="36" s="1"/>
  <c r="G88" i="35"/>
  <c r="M18" i="15"/>
  <c r="H88" i="35" s="1"/>
  <c r="M7" i="15"/>
  <c r="H69" i="36"/>
  <c r="M8" i="15"/>
  <c r="G38" i="15"/>
  <c r="G39" i="15" s="1"/>
  <c r="H68" i="36"/>
  <c r="E42" i="34"/>
  <c r="M23" i="15"/>
  <c r="F42" i="34" s="1"/>
  <c r="N7" i="15"/>
  <c r="O7" i="15"/>
  <c r="I69" i="36"/>
  <c r="O19" i="15"/>
  <c r="N19" i="15"/>
  <c r="H70" i="36"/>
  <c r="M9" i="15"/>
  <c r="F32" i="33"/>
  <c r="F25" i="55" s="1"/>
  <c r="F2" i="15"/>
  <c r="G2" i="15"/>
  <c r="G85" i="35"/>
  <c r="M13" i="15"/>
  <c r="N25" i="15"/>
  <c r="O25" i="15"/>
  <c r="H27" i="33"/>
  <c r="G32" i="13"/>
  <c r="N16" i="13"/>
  <c r="O16" i="13"/>
  <c r="M18" i="13"/>
  <c r="G75" i="35"/>
  <c r="M9" i="13"/>
  <c r="H60" i="36"/>
  <c r="H61" i="36"/>
  <c r="M10" i="13"/>
  <c r="O11" i="13"/>
  <c r="N11" i="13"/>
  <c r="N20" i="13"/>
  <c r="O20" i="13"/>
  <c r="E35" i="34"/>
  <c r="AU5" i="58" s="1"/>
  <c r="M22" i="13"/>
  <c r="G71" i="35"/>
  <c r="M14" i="13"/>
  <c r="E36" i="34"/>
  <c r="M23" i="13"/>
  <c r="E37" i="34"/>
  <c r="M24" i="13"/>
  <c r="O25" i="13"/>
  <c r="N25" i="13"/>
  <c r="M7" i="13"/>
  <c r="N7" i="13" s="1"/>
  <c r="H58" i="36"/>
  <c r="W68" i="57" s="1"/>
  <c r="G73" i="35"/>
  <c r="G74" i="35"/>
  <c r="M17" i="13"/>
  <c r="O17" i="13" s="1"/>
  <c r="G72" i="35"/>
  <c r="M15" i="13"/>
  <c r="H21" i="33"/>
  <c r="G32" i="10"/>
  <c r="G32" i="8"/>
  <c r="H11" i="33"/>
  <c r="G32" i="1"/>
  <c r="H9" i="33"/>
  <c r="M9" i="33" s="1"/>
  <c r="G32" i="6"/>
  <c r="W33" i="55"/>
  <c r="F61" i="35"/>
  <c r="F60" i="35"/>
  <c r="F58" i="35"/>
  <c r="F59" i="35"/>
  <c r="E58" i="35"/>
  <c r="E59" i="35"/>
  <c r="AH20" i="55"/>
  <c r="O11" i="9"/>
  <c r="N11" i="9"/>
  <c r="M9" i="9"/>
  <c r="H40" i="36"/>
  <c r="N17" i="9"/>
  <c r="O17" i="9"/>
  <c r="E48" i="35"/>
  <c r="F47" i="35"/>
  <c r="E47" i="35"/>
  <c r="E46" i="35"/>
  <c r="F46" i="35"/>
  <c r="AH35" i="55"/>
  <c r="M6" i="1"/>
  <c r="G38" i="1"/>
  <c r="G39" i="1" s="1"/>
  <c r="H22" i="36"/>
  <c r="W32" i="55" s="1"/>
  <c r="I22" i="36"/>
  <c r="G25" i="36"/>
  <c r="K25" i="35"/>
  <c r="G8" i="35"/>
  <c r="AJ8" i="57" s="1"/>
  <c r="M13" i="4"/>
  <c r="O20" i="4"/>
  <c r="N20" i="4"/>
  <c r="E5" i="34"/>
  <c r="M22" i="4"/>
  <c r="F5" i="34" s="1"/>
  <c r="H9" i="36"/>
  <c r="M8" i="4"/>
  <c r="G38" i="4"/>
  <c r="G39" i="4" s="1"/>
  <c r="N11" i="4"/>
  <c r="O11" i="4"/>
  <c r="E7" i="34"/>
  <c r="M24" i="4"/>
  <c r="G9" i="35"/>
  <c r="M16" i="4"/>
  <c r="N25" i="4"/>
  <c r="O25" i="4"/>
  <c r="M23" i="4"/>
  <c r="E6" i="34"/>
  <c r="AU47" i="55" s="1"/>
  <c r="F4" i="4"/>
  <c r="G4" i="4"/>
  <c r="K6" i="33"/>
  <c r="E38" i="4"/>
  <c r="E39" i="4" s="1"/>
  <c r="L6" i="33"/>
  <c r="F38" i="4"/>
  <c r="F39" i="4" s="1"/>
  <c r="AI111" i="55"/>
  <c r="T53" i="55"/>
  <c r="T19" i="55"/>
  <c r="E7" i="35"/>
  <c r="AH123" i="55" s="1"/>
  <c r="E5" i="35"/>
  <c r="U99" i="55"/>
  <c r="U156" i="55"/>
  <c r="F4" i="36"/>
  <c r="U142" i="55"/>
  <c r="U161" i="55"/>
  <c r="U150" i="55"/>
  <c r="U143" i="55"/>
  <c r="U167" i="55"/>
  <c r="U146" i="55"/>
  <c r="U135" i="55"/>
  <c r="U124" i="55"/>
  <c r="U127" i="55"/>
  <c r="U140" i="55"/>
  <c r="U136" i="55"/>
  <c r="U106" i="55"/>
  <c r="U162" i="55"/>
  <c r="U113" i="55"/>
  <c r="U111" i="55"/>
  <c r="U93" i="55"/>
  <c r="U95" i="55"/>
  <c r="U96" i="55"/>
  <c r="U154" i="55"/>
  <c r="U109" i="55"/>
  <c r="U169" i="55"/>
  <c r="U97" i="55"/>
  <c r="U92" i="55"/>
  <c r="U94" i="55"/>
  <c r="U102" i="55"/>
  <c r="U123" i="55"/>
  <c r="U112" i="55"/>
  <c r="U168" i="55"/>
  <c r="U103" i="55"/>
  <c r="U159" i="55"/>
  <c r="U107" i="55"/>
  <c r="U148" i="55"/>
  <c r="U98" i="55"/>
  <c r="U100" i="55"/>
  <c r="U166" i="55"/>
  <c r="U141" i="55"/>
  <c r="U171" i="55"/>
  <c r="U101" i="55"/>
  <c r="U153" i="55"/>
  <c r="U158" i="55"/>
  <c r="U138" i="55"/>
  <c r="U104" i="55"/>
  <c r="U152" i="55"/>
  <c r="U108" i="55"/>
  <c r="U130" i="55"/>
  <c r="U163" i="55"/>
  <c r="U149" i="55"/>
  <c r="U160" i="55"/>
  <c r="U128" i="55"/>
  <c r="U164" i="55"/>
  <c r="U165" i="55"/>
  <c r="U131" i="55"/>
  <c r="U129" i="55"/>
  <c r="U147" i="55"/>
  <c r="V94" i="55"/>
  <c r="V167" i="55"/>
  <c r="V110" i="55"/>
  <c r="V157" i="55"/>
  <c r="V158" i="55"/>
  <c r="V101" i="55"/>
  <c r="V144" i="55"/>
  <c r="V128" i="55"/>
  <c r="V96" i="55"/>
  <c r="V92" i="55"/>
  <c r="V153" i="55"/>
  <c r="V104" i="55"/>
  <c r="V149" i="55"/>
  <c r="V161" i="55"/>
  <c r="V111" i="55"/>
  <c r="V121" i="55"/>
  <c r="V97" i="55"/>
  <c r="V151" i="55"/>
  <c r="V98" i="55"/>
  <c r="V147" i="55"/>
  <c r="V126" i="55"/>
  <c r="V102" i="55"/>
  <c r="V125" i="55"/>
  <c r="V170" i="55"/>
  <c r="V131" i="55"/>
  <c r="V132" i="55"/>
  <c r="V130" i="55"/>
  <c r="V145" i="55"/>
  <c r="V171" i="55"/>
  <c r="V140" i="55"/>
  <c r="V115" i="55"/>
  <c r="V159" i="55"/>
  <c r="V155" i="55"/>
  <c r="V127" i="55"/>
  <c r="V112" i="55"/>
  <c r="V156" i="55"/>
  <c r="V108" i="55"/>
  <c r="V133" i="55"/>
  <c r="V138" i="55"/>
  <c r="V143" i="55"/>
  <c r="V137" i="55"/>
  <c r="V165" i="55"/>
  <c r="V109" i="55"/>
  <c r="V163" i="55"/>
  <c r="V166" i="55"/>
  <c r="V129" i="55"/>
  <c r="V136" i="55"/>
  <c r="V169" i="55"/>
  <c r="V116" i="55"/>
  <c r="V139" i="55"/>
  <c r="V164" i="55"/>
  <c r="V135" i="55"/>
  <c r="V134" i="55"/>
  <c r="V99" i="55"/>
  <c r="V106" i="55"/>
  <c r="V120" i="55"/>
  <c r="V105" i="55"/>
  <c r="V168" i="55"/>
  <c r="V118" i="55"/>
  <c r="V160" i="55"/>
  <c r="V103" i="55"/>
  <c r="V150" i="55"/>
  <c r="V152" i="55"/>
  <c r="V141" i="55"/>
  <c r="V100" i="55"/>
  <c r="V119" i="55"/>
  <c r="V107" i="55"/>
  <c r="V162" i="55"/>
  <c r="V146" i="55"/>
  <c r="V113" i="55"/>
  <c r="V154" i="55"/>
  <c r="V142" i="55"/>
  <c r="V114" i="55"/>
  <c r="V124" i="55"/>
  <c r="V148" i="55"/>
  <c r="V95" i="55"/>
  <c r="V123" i="55"/>
  <c r="V122" i="55"/>
  <c r="V117" i="55"/>
  <c r="T140" i="55"/>
  <c r="T104" i="55"/>
  <c r="T163" i="55"/>
  <c r="T98" i="55"/>
  <c r="T120" i="55"/>
  <c r="T103" i="55"/>
  <c r="T169" i="55"/>
  <c r="T97" i="55"/>
  <c r="T131" i="55"/>
  <c r="T127" i="55"/>
  <c r="T132" i="55"/>
  <c r="T148" i="55"/>
  <c r="T101" i="55"/>
  <c r="T155" i="55"/>
  <c r="T170" i="55"/>
  <c r="T129" i="55"/>
  <c r="T126" i="55"/>
  <c r="T154" i="55"/>
  <c r="T167" i="55"/>
  <c r="T99" i="55"/>
  <c r="T128" i="55"/>
  <c r="T161" i="55"/>
  <c r="T146" i="55"/>
  <c r="T134" i="55"/>
  <c r="T143" i="55"/>
  <c r="T142" i="55"/>
  <c r="T141" i="55"/>
  <c r="T147" i="55"/>
  <c r="T166" i="55"/>
  <c r="T94" i="55"/>
  <c r="T95" i="55"/>
  <c r="T93" i="55"/>
  <c r="T152" i="55"/>
  <c r="T111" i="55"/>
  <c r="T115" i="55"/>
  <c r="T113" i="55"/>
  <c r="T114" i="55"/>
  <c r="T112" i="55"/>
  <c r="T171" i="55"/>
  <c r="T102" i="55"/>
  <c r="T107" i="55"/>
  <c r="T138" i="55"/>
  <c r="T139" i="55"/>
  <c r="T121" i="55"/>
  <c r="T145" i="55"/>
  <c r="T106" i="55"/>
  <c r="T151" i="55"/>
  <c r="T168" i="55"/>
  <c r="T119" i="55"/>
  <c r="T137" i="55"/>
  <c r="T144" i="55"/>
  <c r="T108" i="55"/>
  <c r="T156" i="55"/>
  <c r="T158" i="55"/>
  <c r="T164" i="55"/>
  <c r="T160" i="55"/>
  <c r="T149" i="55"/>
  <c r="T159" i="55"/>
  <c r="T96" i="55"/>
  <c r="T133" i="55"/>
  <c r="T130" i="55"/>
  <c r="T157" i="55"/>
  <c r="K3" i="33"/>
  <c r="E38" i="32"/>
  <c r="E39" i="32" s="1"/>
  <c r="F38" i="32"/>
  <c r="F39" i="32" s="1"/>
  <c r="L3" i="33"/>
  <c r="G71" i="34"/>
  <c r="F41" i="33"/>
  <c r="G3" i="18"/>
  <c r="H41" i="33" s="1"/>
  <c r="F3" i="18"/>
  <c r="F2" i="18"/>
  <c r="G40" i="33" s="1"/>
  <c r="F40" i="33"/>
  <c r="G2" i="18"/>
  <c r="E32" i="18"/>
  <c r="E24" i="34"/>
  <c r="M23" i="9"/>
  <c r="F24" i="34" s="1"/>
  <c r="AV41" i="55" s="1"/>
  <c r="H41" i="36"/>
  <c r="M10" i="9"/>
  <c r="O19" i="9"/>
  <c r="N19" i="9"/>
  <c r="M15" i="9"/>
  <c r="G47" i="35"/>
  <c r="F5" i="35"/>
  <c r="G4" i="36"/>
  <c r="H12" i="35"/>
  <c r="F16" i="35"/>
  <c r="E16" i="35"/>
  <c r="AH71" i="55" s="1"/>
  <c r="I30" i="35"/>
  <c r="J30" i="35"/>
  <c r="M24" i="1"/>
  <c r="E16" i="34"/>
  <c r="M23" i="1"/>
  <c r="E15" i="34"/>
  <c r="N20" i="1"/>
  <c r="O20" i="1"/>
  <c r="H23" i="36"/>
  <c r="M7" i="1"/>
  <c r="E14" i="34"/>
  <c r="M22" i="1"/>
  <c r="E50" i="35"/>
  <c r="F50" i="35"/>
  <c r="G59" i="35"/>
  <c r="E62" i="35"/>
  <c r="F62" i="35"/>
  <c r="J62" i="35"/>
  <c r="I62" i="35"/>
  <c r="G48" i="36"/>
  <c r="F48" i="36"/>
  <c r="O25" i="11"/>
  <c r="N25" i="11"/>
  <c r="N20" i="11"/>
  <c r="O20" i="11"/>
  <c r="M23" i="11"/>
  <c r="E30" i="34"/>
  <c r="E84" i="35"/>
  <c r="F84" i="35"/>
  <c r="AI10" i="55"/>
  <c r="AH10" i="55"/>
  <c r="F91" i="35"/>
  <c r="AI42" i="57" s="1"/>
  <c r="E91" i="35"/>
  <c r="AH38" i="55" s="1"/>
  <c r="F98" i="35"/>
  <c r="E98" i="35"/>
  <c r="G38" i="17"/>
  <c r="G39" i="17" s="1"/>
  <c r="F84" i="36"/>
  <c r="G84" i="36"/>
  <c r="V64" i="55" s="1"/>
  <c r="E108" i="35"/>
  <c r="F108" i="35"/>
  <c r="AI85" i="55" s="1"/>
  <c r="G107" i="35"/>
  <c r="E51" i="34"/>
  <c r="AU26" i="58" s="1"/>
  <c r="M24" i="3"/>
  <c r="N24" i="3" s="1"/>
  <c r="H86" i="36"/>
  <c r="M10" i="3"/>
  <c r="N10" i="3" s="1"/>
  <c r="J86" i="36" s="1"/>
  <c r="O25" i="3"/>
  <c r="N25" i="3"/>
  <c r="N11" i="3"/>
  <c r="O11" i="3"/>
  <c r="M15" i="3"/>
  <c r="G105" i="35"/>
  <c r="G103" i="35"/>
  <c r="AJ21" i="58" s="1"/>
  <c r="M13" i="3"/>
  <c r="N13" i="3" s="1"/>
  <c r="I103" i="35" s="1"/>
  <c r="AL21" i="58" s="1"/>
  <c r="O20" i="3"/>
  <c r="N20" i="3"/>
  <c r="M14" i="3"/>
  <c r="G104" i="35"/>
  <c r="E50" i="34"/>
  <c r="M22" i="3"/>
  <c r="F50" i="34" s="1"/>
  <c r="E122" i="35"/>
  <c r="E126" i="35"/>
  <c r="AH108" i="55" s="1"/>
  <c r="F122" i="35"/>
  <c r="F126" i="35"/>
  <c r="AI108" i="55" s="1"/>
  <c r="F138" i="35"/>
  <c r="F137" i="35"/>
  <c r="E138" i="35"/>
  <c r="AH58" i="55" s="1"/>
  <c r="E137" i="35"/>
  <c r="F115" i="36"/>
  <c r="U77" i="55" s="1"/>
  <c r="F114" i="36"/>
  <c r="G115" i="36"/>
  <c r="G114" i="36"/>
  <c r="V85" i="55" s="1"/>
  <c r="T60" i="55"/>
  <c r="T77" i="55"/>
  <c r="E152" i="35"/>
  <c r="F152" i="35"/>
  <c r="F159" i="35"/>
  <c r="F157" i="35"/>
  <c r="E159" i="35"/>
  <c r="E157" i="35"/>
  <c r="E166" i="35"/>
  <c r="F182" i="35"/>
  <c r="E182" i="35"/>
  <c r="M15" i="29"/>
  <c r="G186" i="35"/>
  <c r="AJ61" i="55" s="1"/>
  <c r="G185" i="35"/>
  <c r="M14" i="29"/>
  <c r="F191" i="35"/>
  <c r="E191" i="35"/>
  <c r="F201" i="35"/>
  <c r="AH82" i="55"/>
  <c r="F199" i="35"/>
  <c r="AI82" i="55" s="1"/>
  <c r="E200" i="35"/>
  <c r="E201" i="35"/>
  <c r="AH94" i="55" s="1"/>
  <c r="F83" i="36"/>
  <c r="G83" i="36"/>
  <c r="H78" i="36"/>
  <c r="M16" i="17"/>
  <c r="G101" i="35"/>
  <c r="E32" i="17"/>
  <c r="F36" i="33"/>
  <c r="G2" i="17"/>
  <c r="F2" i="17"/>
  <c r="G36" i="33" s="1"/>
  <c r="O20" i="17"/>
  <c r="N20" i="17"/>
  <c r="E47" i="34"/>
  <c r="M22" i="17"/>
  <c r="M23" i="17"/>
  <c r="E48" i="34"/>
  <c r="N11" i="17"/>
  <c r="O11" i="17"/>
  <c r="G3" i="17"/>
  <c r="H37" i="33" s="1"/>
  <c r="F3" i="17"/>
  <c r="G37" i="33" s="1"/>
  <c r="F37" i="33"/>
  <c r="M18" i="17"/>
  <c r="G102" i="35"/>
  <c r="F73" i="36"/>
  <c r="U43" i="58" s="1"/>
  <c r="T65" i="55"/>
  <c r="G68" i="36"/>
  <c r="U88" i="55"/>
  <c r="M8" i="13"/>
  <c r="I59" i="36" s="1"/>
  <c r="H59" i="36"/>
  <c r="M19" i="13"/>
  <c r="G76" i="35"/>
  <c r="G70" i="35"/>
  <c r="M13" i="13"/>
  <c r="M6" i="13"/>
  <c r="H57" i="36"/>
  <c r="G38" i="13"/>
  <c r="G39" i="13" s="1"/>
  <c r="F4" i="13"/>
  <c r="F32" i="13" s="1"/>
  <c r="E32" i="13"/>
  <c r="G4" i="13"/>
  <c r="F47" i="36"/>
  <c r="G47" i="36"/>
  <c r="M10" i="11"/>
  <c r="G38" i="11"/>
  <c r="G39" i="11" s="1"/>
  <c r="T84" i="55"/>
  <c r="F24" i="36"/>
  <c r="G24" i="36"/>
  <c r="I25" i="36"/>
  <c r="I24" i="36"/>
  <c r="F5" i="36"/>
  <c r="G5" i="36"/>
  <c r="A6" i="36"/>
  <c r="J10" i="47"/>
  <c r="L13" i="47"/>
  <c r="K8" i="47"/>
  <c r="J6" i="47"/>
  <c r="L7" i="47"/>
  <c r="L9" i="47"/>
  <c r="L11" i="47"/>
  <c r="J9" i="47"/>
  <c r="J8" i="47"/>
  <c r="L6" i="47"/>
  <c r="K9" i="47"/>
  <c r="G38" i="19"/>
  <c r="G39" i="19" s="1"/>
  <c r="G38" i="21"/>
  <c r="G39" i="21" s="1"/>
  <c r="G38" i="10"/>
  <c r="G39" i="10" s="1"/>
  <c r="G124" i="35"/>
  <c r="M15" i="19"/>
  <c r="M13" i="19"/>
  <c r="H122" i="35" s="1"/>
  <c r="G128" i="35"/>
  <c r="AJ140" i="58" s="1"/>
  <c r="F20" i="35"/>
  <c r="F38" i="6"/>
  <c r="F39" i="6" s="1"/>
  <c r="E20" i="35"/>
  <c r="E38" i="6"/>
  <c r="E39" i="6" s="1"/>
  <c r="H77" i="36"/>
  <c r="M6" i="17"/>
  <c r="M14" i="17"/>
  <c r="N14" i="17" s="1"/>
  <c r="G97" i="35"/>
  <c r="N25" i="17"/>
  <c r="O25" i="17"/>
  <c r="M17" i="17"/>
  <c r="H101" i="35" s="1"/>
  <c r="G100" i="35"/>
  <c r="AJ129" i="57" s="1"/>
  <c r="V67" i="55"/>
  <c r="U67" i="55"/>
  <c r="M9" i="31"/>
  <c r="I160" i="36" s="1"/>
  <c r="H160" i="36"/>
  <c r="M10" i="29"/>
  <c r="H151" i="36"/>
  <c r="M16" i="29"/>
  <c r="H187" i="35" s="1"/>
  <c r="G188" i="35"/>
  <c r="M6" i="29"/>
  <c r="H147" i="36"/>
  <c r="O11" i="29"/>
  <c r="N11" i="29"/>
  <c r="M17" i="27"/>
  <c r="G170" i="35"/>
  <c r="O19" i="27"/>
  <c r="N19" i="27"/>
  <c r="E80" i="34"/>
  <c r="M22" i="27"/>
  <c r="O20" i="27"/>
  <c r="N20" i="27"/>
  <c r="O11" i="27"/>
  <c r="N11" i="27"/>
  <c r="M7" i="27"/>
  <c r="H133" i="36"/>
  <c r="H132" i="36"/>
  <c r="G38" i="27"/>
  <c r="G39" i="27" s="1"/>
  <c r="M6" i="27"/>
  <c r="G58" i="35"/>
  <c r="M14" i="11"/>
  <c r="N25" i="2"/>
  <c r="O25" i="2"/>
  <c r="M16" i="2"/>
  <c r="G180" i="35"/>
  <c r="M22" i="2"/>
  <c r="E86" i="34"/>
  <c r="M24" i="2"/>
  <c r="E88" i="34"/>
  <c r="M23" i="3"/>
  <c r="E52" i="34"/>
  <c r="M17" i="3"/>
  <c r="H107" i="35" s="1"/>
  <c r="G106" i="35"/>
  <c r="AJ116" i="55" s="1"/>
  <c r="E90" i="34"/>
  <c r="M23" i="29"/>
  <c r="N20" i="19"/>
  <c r="O20" i="19"/>
  <c r="M19" i="19"/>
  <c r="G127" i="35"/>
  <c r="M7" i="19"/>
  <c r="H98" i="36"/>
  <c r="W65" i="58" s="1"/>
  <c r="H101" i="36"/>
  <c r="M10" i="19"/>
  <c r="M13" i="26"/>
  <c r="G162" i="35"/>
  <c r="O25" i="25"/>
  <c r="N25" i="25"/>
  <c r="G117" i="35"/>
  <c r="M13" i="25"/>
  <c r="E76" i="34"/>
  <c r="M24" i="25"/>
  <c r="M23" i="25"/>
  <c r="E75" i="34"/>
  <c r="AU44" i="55" s="1"/>
  <c r="H94" i="36"/>
  <c r="M8" i="25"/>
  <c r="O6" i="24"/>
  <c r="K122" i="36" s="1"/>
  <c r="N6" i="24"/>
  <c r="J122" i="36" s="1"/>
  <c r="I122" i="36"/>
  <c r="O14" i="24"/>
  <c r="N14" i="24"/>
  <c r="H156" i="35"/>
  <c r="G38" i="9"/>
  <c r="G39" i="9" s="1"/>
  <c r="M7" i="31"/>
  <c r="H158" i="36"/>
  <c r="M24" i="29"/>
  <c r="E91" i="34"/>
  <c r="M7" i="29"/>
  <c r="H148" i="36"/>
  <c r="N19" i="29"/>
  <c r="O19" i="29"/>
  <c r="M9" i="29"/>
  <c r="H150" i="36"/>
  <c r="M18" i="29"/>
  <c r="G189" i="35"/>
  <c r="N20" i="29"/>
  <c r="O20" i="29"/>
  <c r="M22" i="29"/>
  <c r="E89" i="34"/>
  <c r="M13" i="29"/>
  <c r="G184" i="35"/>
  <c r="O25" i="29"/>
  <c r="N25" i="29"/>
  <c r="M13" i="27"/>
  <c r="G168" i="35"/>
  <c r="H136" i="36"/>
  <c r="M10" i="27"/>
  <c r="M18" i="27"/>
  <c r="G172" i="35"/>
  <c r="N25" i="27"/>
  <c r="O25" i="27"/>
  <c r="M8" i="27"/>
  <c r="H134" i="36"/>
  <c r="M23" i="27"/>
  <c r="E81" i="34"/>
  <c r="G171" i="35"/>
  <c r="M16" i="27"/>
  <c r="H170" i="35" s="1"/>
  <c r="H135" i="36"/>
  <c r="M9" i="27"/>
  <c r="E82" i="34"/>
  <c r="M24" i="27"/>
  <c r="G167" i="35"/>
  <c r="M14" i="27"/>
  <c r="N16" i="19"/>
  <c r="O16" i="19"/>
  <c r="O25" i="19"/>
  <c r="N25" i="19"/>
  <c r="H97" i="36"/>
  <c r="W9" i="58" s="1"/>
  <c r="M6" i="19"/>
  <c r="G125" i="35"/>
  <c r="M14" i="19"/>
  <c r="M8" i="19"/>
  <c r="H99" i="36"/>
  <c r="H100" i="36"/>
  <c r="M9" i="19"/>
  <c r="M18" i="19"/>
  <c r="G126" i="35"/>
  <c r="AJ121" i="55" s="1"/>
  <c r="M24" i="19"/>
  <c r="E57" i="34"/>
  <c r="E56" i="34"/>
  <c r="M22" i="19"/>
  <c r="N23" i="19"/>
  <c r="O23" i="19"/>
  <c r="F58" i="34"/>
  <c r="M17" i="19"/>
  <c r="G123" i="35"/>
  <c r="AJ75" i="55" s="1"/>
  <c r="M15" i="16"/>
  <c r="G91" i="35"/>
  <c r="M7" i="16"/>
  <c r="H72" i="36"/>
  <c r="M9" i="16"/>
  <c r="I75" i="36" s="1"/>
  <c r="H75" i="36"/>
  <c r="M13" i="16"/>
  <c r="G92" i="35"/>
  <c r="O20" i="16"/>
  <c r="N20" i="16"/>
  <c r="O11" i="16"/>
  <c r="N11" i="16"/>
  <c r="M18" i="16"/>
  <c r="G94" i="35"/>
  <c r="G93" i="35"/>
  <c r="M16" i="16"/>
  <c r="M14" i="16"/>
  <c r="G90" i="35"/>
  <c r="AJ36" i="58" s="1"/>
  <c r="H73" i="36"/>
  <c r="W48" i="57" s="1"/>
  <c r="M6" i="16"/>
  <c r="M16" i="28"/>
  <c r="G176" i="35"/>
  <c r="O25" i="28"/>
  <c r="N25" i="28"/>
  <c r="M10" i="28"/>
  <c r="H141" i="36"/>
  <c r="G110" i="35"/>
  <c r="M14" i="18"/>
  <c r="N19" i="18"/>
  <c r="O19" i="18"/>
  <c r="H87" i="36"/>
  <c r="M6" i="18"/>
  <c r="I87" i="36" s="1"/>
  <c r="M16" i="18"/>
  <c r="G112" i="35"/>
  <c r="M13" i="18"/>
  <c r="G111" i="35"/>
  <c r="M18" i="18"/>
  <c r="G115" i="35"/>
  <c r="N11" i="18"/>
  <c r="O11" i="18"/>
  <c r="M22" i="18"/>
  <c r="F53" i="34" s="1"/>
  <c r="E53" i="34"/>
  <c r="H90" i="36"/>
  <c r="M9" i="18"/>
  <c r="E54" i="34"/>
  <c r="M25" i="18"/>
  <c r="H89" i="36"/>
  <c r="M8" i="18"/>
  <c r="M15" i="18"/>
  <c r="G113" i="35"/>
  <c r="H82" i="36"/>
  <c r="M6" i="3"/>
  <c r="G109" i="35"/>
  <c r="M19" i="3"/>
  <c r="N19" i="3" s="1"/>
  <c r="I109" i="35" s="1"/>
  <c r="G99" i="35"/>
  <c r="AJ61" i="58" s="1"/>
  <c r="M15" i="17"/>
  <c r="M24" i="17"/>
  <c r="E49" i="34"/>
  <c r="H79" i="36"/>
  <c r="M7" i="17"/>
  <c r="M13" i="17"/>
  <c r="G98" i="35"/>
  <c r="AJ52" i="58" s="1"/>
  <c r="H81" i="36"/>
  <c r="M10" i="17"/>
  <c r="H63" i="36"/>
  <c r="M7" i="14"/>
  <c r="M22" i="14"/>
  <c r="E38" i="34"/>
  <c r="M24" i="14"/>
  <c r="E39" i="34"/>
  <c r="M13" i="14"/>
  <c r="G77" i="35"/>
  <c r="M16" i="14"/>
  <c r="G79" i="35"/>
  <c r="H66" i="36"/>
  <c r="M10" i="14"/>
  <c r="N10" i="14" s="1"/>
  <c r="J66" i="36" s="1"/>
  <c r="M9" i="10"/>
  <c r="H45" i="36"/>
  <c r="M10" i="10"/>
  <c r="H46" i="36"/>
  <c r="M14" i="10"/>
  <c r="G53" i="35"/>
  <c r="O11" i="10"/>
  <c r="N11" i="10"/>
  <c r="E26" i="34"/>
  <c r="AU13" i="55" s="1"/>
  <c r="M22" i="10"/>
  <c r="O22" i="10" s="1"/>
  <c r="H26" i="34" s="1"/>
  <c r="AX13" i="55" s="1"/>
  <c r="M13" i="10"/>
  <c r="G52" i="35"/>
  <c r="V84" i="55"/>
  <c r="AI97" i="55"/>
  <c r="T71" i="55"/>
  <c r="T70" i="55"/>
  <c r="K38" i="33"/>
  <c r="E38" i="3"/>
  <c r="E39" i="3" s="1"/>
  <c r="F38" i="3"/>
  <c r="F39" i="3" s="1"/>
  <c r="L38" i="33"/>
  <c r="G63" i="36"/>
  <c r="G62" i="36"/>
  <c r="AI40" i="55"/>
  <c r="AI55" i="55"/>
  <c r="N35" i="33"/>
  <c r="M35" i="33"/>
  <c r="F68" i="36"/>
  <c r="E97" i="35"/>
  <c r="E102" i="35"/>
  <c r="AI57" i="55"/>
  <c r="E38" i="17"/>
  <c r="E39" i="17" s="1"/>
  <c r="F38" i="17"/>
  <c r="F39" i="17" s="1"/>
  <c r="F3" i="35"/>
  <c r="F4" i="35"/>
  <c r="G134" i="36"/>
  <c r="F38" i="27"/>
  <c r="F39" i="27" s="1"/>
  <c r="K42" i="33"/>
  <c r="E38" i="25"/>
  <c r="E39" i="25" s="1"/>
  <c r="E94" i="35"/>
  <c r="E95" i="35"/>
  <c r="F94" i="35"/>
  <c r="F95" i="35"/>
  <c r="E29" i="35"/>
  <c r="E38" i="1"/>
  <c r="E39" i="1" s="1"/>
  <c r="F29" i="35"/>
  <c r="F38" i="1"/>
  <c r="F39" i="1" s="1"/>
  <c r="F2" i="33"/>
  <c r="G2" i="32"/>
  <c r="F2" i="32"/>
  <c r="G2" i="33" s="1"/>
  <c r="G3" i="27"/>
  <c r="H62" i="33" s="1"/>
  <c r="F3" i="27"/>
  <c r="G62" i="33" s="1"/>
  <c r="M62" i="33" s="1"/>
  <c r="F62" i="33"/>
  <c r="N62" i="33" s="1"/>
  <c r="M15" i="27"/>
  <c r="G169" i="35"/>
  <c r="G4" i="16"/>
  <c r="F4" i="16"/>
  <c r="E32" i="26"/>
  <c r="R6" i="47"/>
  <c r="S6" i="47"/>
  <c r="A6" i="35"/>
  <c r="R7" i="47" s="1"/>
  <c r="AO106" i="47"/>
  <c r="AN106" i="47"/>
  <c r="AL106" i="47"/>
  <c r="Q6" i="47"/>
  <c r="F4" i="32"/>
  <c r="F4" i="33"/>
  <c r="M16" i="22"/>
  <c r="G145" i="35"/>
  <c r="N20" i="22"/>
  <c r="O20" i="22"/>
  <c r="O19" i="22"/>
  <c r="N19" i="22"/>
  <c r="N11" i="22"/>
  <c r="O11" i="22"/>
  <c r="H115" i="36"/>
  <c r="M8" i="22"/>
  <c r="M14" i="22"/>
  <c r="G142" i="35"/>
  <c r="M22" i="22"/>
  <c r="E65" i="34"/>
  <c r="O25" i="22"/>
  <c r="N25" i="22"/>
  <c r="M9" i="22"/>
  <c r="H114" i="36"/>
  <c r="G2" i="22"/>
  <c r="F2" i="22"/>
  <c r="F50" i="33"/>
  <c r="E32" i="22"/>
  <c r="M24" i="22"/>
  <c r="E67" i="34"/>
  <c r="G143" i="35"/>
  <c r="M15" i="22"/>
  <c r="H113" i="36"/>
  <c r="M7" i="22"/>
  <c r="M23" i="22"/>
  <c r="E66" i="34"/>
  <c r="G144" i="35"/>
  <c r="M17" i="22"/>
  <c r="M10" i="22"/>
  <c r="H116" i="36"/>
  <c r="M18" i="22"/>
  <c r="G146" i="35"/>
  <c r="G141" i="35"/>
  <c r="M13" i="22"/>
  <c r="H112" i="36"/>
  <c r="G38" i="22"/>
  <c r="G39" i="22" s="1"/>
  <c r="M6" i="22"/>
  <c r="M16" i="32"/>
  <c r="G7" i="35"/>
  <c r="AJ126" i="55" s="1"/>
  <c r="H2" i="36"/>
  <c r="W14" i="55" s="1"/>
  <c r="M6" i="32"/>
  <c r="I2" i="36" s="1"/>
  <c r="G38" i="32"/>
  <c r="G39" i="32" s="1"/>
  <c r="O11" i="32"/>
  <c r="N11" i="32"/>
  <c r="E2" i="34"/>
  <c r="M22" i="32"/>
  <c r="O25" i="32"/>
  <c r="N25" i="32"/>
  <c r="M8" i="32"/>
  <c r="H5" i="36"/>
  <c r="M10" i="32"/>
  <c r="H6" i="36"/>
  <c r="G2" i="35"/>
  <c r="AJ30" i="55" s="1"/>
  <c r="M13" i="32"/>
  <c r="M24" i="32"/>
  <c r="E4" i="34"/>
  <c r="H3" i="36"/>
  <c r="M7" i="32"/>
  <c r="G3" i="35"/>
  <c r="M14" i="32"/>
  <c r="H3" i="35" s="1"/>
  <c r="G5" i="35"/>
  <c r="M17" i="32"/>
  <c r="M9" i="32"/>
  <c r="H4" i="36"/>
  <c r="W80" i="57" s="1"/>
  <c r="O19" i="32"/>
  <c r="N19" i="32"/>
  <c r="M15" i="32"/>
  <c r="H4" i="35" s="1"/>
  <c r="AK104" i="57" s="1"/>
  <c r="G4" i="35"/>
  <c r="M23" i="32"/>
  <c r="E3" i="34"/>
  <c r="M18" i="32"/>
  <c r="G6" i="35"/>
  <c r="N20" i="32"/>
  <c r="O20" i="32"/>
  <c r="J30" i="55"/>
  <c r="J29" i="55"/>
  <c r="K61" i="33"/>
  <c r="K29" i="55" s="1"/>
  <c r="E38" i="27"/>
  <c r="E39" i="27" s="1"/>
  <c r="L37" i="55"/>
  <c r="L34" i="55"/>
  <c r="K50" i="33"/>
  <c r="K35" i="55" s="1"/>
  <c r="E38" i="22"/>
  <c r="E39" i="22" s="1"/>
  <c r="L50" i="33"/>
  <c r="L35" i="55" s="1"/>
  <c r="F38" i="22"/>
  <c r="F39" i="22" s="1"/>
  <c r="L34" i="33"/>
  <c r="F38" i="16"/>
  <c r="F39" i="16" s="1"/>
  <c r="K34" i="33"/>
  <c r="K10" i="55" s="1"/>
  <c r="E38" i="16"/>
  <c r="E39" i="16" s="1"/>
  <c r="G73" i="36"/>
  <c r="V43" i="58" s="1"/>
  <c r="G72" i="36"/>
  <c r="V25" i="58" s="1"/>
  <c r="F4" i="27"/>
  <c r="G63" i="33" s="1"/>
  <c r="G4" i="27"/>
  <c r="H63" i="33" s="1"/>
  <c r="F63" i="33"/>
  <c r="E32" i="27"/>
  <c r="F2" i="27"/>
  <c r="G2" i="27"/>
  <c r="F61" i="33"/>
  <c r="F29" i="55" s="1"/>
  <c r="N11" i="19"/>
  <c r="O11" i="19"/>
  <c r="F38" i="25"/>
  <c r="F39" i="25" s="1"/>
  <c r="L42" i="33"/>
  <c r="F4" i="17"/>
  <c r="G4" i="17"/>
  <c r="M10" i="16"/>
  <c r="H76" i="36"/>
  <c r="M18" i="10"/>
  <c r="H57" i="35" s="1"/>
  <c r="G57" i="35"/>
  <c r="N19" i="10"/>
  <c r="O19" i="10"/>
  <c r="F52" i="33"/>
  <c r="G4" i="22"/>
  <c r="H52" i="33" s="1"/>
  <c r="M52" i="33" s="1"/>
  <c r="F38" i="33"/>
  <c r="G2" i="3"/>
  <c r="G32" i="3" s="1"/>
  <c r="F2" i="3"/>
  <c r="G38" i="33" s="1"/>
  <c r="I24" i="55"/>
  <c r="I39" i="55"/>
  <c r="M15" i="25"/>
  <c r="G116" i="35"/>
  <c r="F26" i="33"/>
  <c r="N26" i="33" s="1"/>
  <c r="G3" i="12"/>
  <c r="H26" i="33" s="1"/>
  <c r="F3" i="12"/>
  <c r="G26" i="33" s="1"/>
  <c r="M26" i="33" s="1"/>
  <c r="E32" i="12"/>
  <c r="G2" i="12"/>
  <c r="F25" i="33"/>
  <c r="F2" i="12"/>
  <c r="H54" i="36"/>
  <c r="W89" i="55" s="1"/>
  <c r="M8" i="12"/>
  <c r="M9" i="12"/>
  <c r="H55" i="36"/>
  <c r="M18" i="12"/>
  <c r="G68" i="35"/>
  <c r="M10" i="12"/>
  <c r="H56" i="36"/>
  <c r="N19" i="12"/>
  <c r="O19" i="12"/>
  <c r="N11" i="12"/>
  <c r="O11" i="12"/>
  <c r="N20" i="12"/>
  <c r="O20" i="12"/>
  <c r="E32" i="34"/>
  <c r="M22" i="12"/>
  <c r="G65" i="35"/>
  <c r="AJ5" i="55" s="1"/>
  <c r="M13" i="12"/>
  <c r="O13" i="12" s="1"/>
  <c r="J65" i="35" s="1"/>
  <c r="AM5" i="55" s="1"/>
  <c r="M14" i="12"/>
  <c r="G64" i="35"/>
  <c r="E32" i="10"/>
  <c r="F3" i="10"/>
  <c r="G22" i="33" s="1"/>
  <c r="G56" i="35"/>
  <c r="M17" i="10"/>
  <c r="H43" i="36"/>
  <c r="W44" i="55" s="1"/>
  <c r="M7" i="10"/>
  <c r="M15" i="10"/>
  <c r="H54" i="35" s="1"/>
  <c r="G54" i="35"/>
  <c r="M6" i="10"/>
  <c r="H42" i="36"/>
  <c r="O20" i="10"/>
  <c r="N20" i="10"/>
  <c r="M8" i="10"/>
  <c r="H44" i="36"/>
  <c r="G38" i="36"/>
  <c r="F38" i="9"/>
  <c r="F39" i="9" s="1"/>
  <c r="F38" i="36"/>
  <c r="E38" i="9"/>
  <c r="E39" i="9" s="1"/>
  <c r="M18" i="9"/>
  <c r="G51" i="35"/>
  <c r="M13" i="9"/>
  <c r="G50" i="35"/>
  <c r="F71" i="33"/>
  <c r="F2" i="30"/>
  <c r="G2" i="30"/>
  <c r="K71" i="33"/>
  <c r="K23" i="55" s="1"/>
  <c r="E38" i="30"/>
  <c r="E39" i="30" s="1"/>
  <c r="L72" i="33"/>
  <c r="F38" i="30"/>
  <c r="F39" i="30" s="1"/>
  <c r="AH63" i="55"/>
  <c r="E192" i="35"/>
  <c r="AH22" i="55" s="1"/>
  <c r="E193" i="35"/>
  <c r="AH77" i="55" s="1"/>
  <c r="AI95" i="55"/>
  <c r="E32" i="30"/>
  <c r="F72" i="33"/>
  <c r="G3" i="30"/>
  <c r="H72" i="33" s="1"/>
  <c r="F3" i="30"/>
  <c r="G72" i="33" s="1"/>
  <c r="F4" i="30"/>
  <c r="G73" i="33" s="1"/>
  <c r="G4" i="30"/>
  <c r="H73" i="33" s="1"/>
  <c r="F73" i="33"/>
  <c r="O25" i="30"/>
  <c r="N25" i="30"/>
  <c r="G195" i="35"/>
  <c r="M18" i="30"/>
  <c r="E92" i="34"/>
  <c r="M22" i="30"/>
  <c r="H156" i="36"/>
  <c r="M10" i="30"/>
  <c r="M14" i="30"/>
  <c r="G192" i="35"/>
  <c r="G194" i="35"/>
  <c r="M17" i="30"/>
  <c r="E93" i="34"/>
  <c r="M23" i="30"/>
  <c r="M19" i="30"/>
  <c r="H196" i="35" s="1"/>
  <c r="G196" i="35"/>
  <c r="M7" i="30"/>
  <c r="H153" i="36"/>
  <c r="W54" i="55" s="1"/>
  <c r="M16" i="30"/>
  <c r="H193" i="35" s="1"/>
  <c r="AK77" i="55" s="1"/>
  <c r="G193" i="35"/>
  <c r="AJ77" i="55" s="1"/>
  <c r="M13" i="30"/>
  <c r="G190" i="35"/>
  <c r="M15" i="30"/>
  <c r="G191" i="35"/>
  <c r="H154" i="36"/>
  <c r="M8" i="30"/>
  <c r="O11" i="30"/>
  <c r="N11" i="30"/>
  <c r="H152" i="36"/>
  <c r="M6" i="30"/>
  <c r="G38" i="30"/>
  <c r="G39" i="30" s="1"/>
  <c r="O20" i="30"/>
  <c r="N20" i="30"/>
  <c r="H155" i="36"/>
  <c r="M9" i="30"/>
  <c r="M24" i="30"/>
  <c r="E94" i="34"/>
  <c r="AI27" i="55"/>
  <c r="AI39" i="55"/>
  <c r="F65" i="33"/>
  <c r="F3" i="28"/>
  <c r="G65" i="33" s="1"/>
  <c r="G3" i="28"/>
  <c r="H65" i="33" s="1"/>
  <c r="H139" i="36"/>
  <c r="W79" i="58" s="1"/>
  <c r="M9" i="28"/>
  <c r="F2" i="28"/>
  <c r="G64" i="33" s="1"/>
  <c r="F64" i="33"/>
  <c r="G2" i="28"/>
  <c r="E32" i="28"/>
  <c r="O11" i="28"/>
  <c r="N11" i="28"/>
  <c r="M17" i="28"/>
  <c r="G177" i="35"/>
  <c r="O20" i="28"/>
  <c r="N20" i="28"/>
  <c r="G4" i="28"/>
  <c r="F4" i="28"/>
  <c r="F32" i="28" s="1"/>
  <c r="N18" i="28"/>
  <c r="O18" i="28"/>
  <c r="M14" i="28"/>
  <c r="G174" i="35"/>
  <c r="M22" i="28"/>
  <c r="E83" i="34"/>
  <c r="M24" i="28"/>
  <c r="E85" i="34"/>
  <c r="H137" i="36"/>
  <c r="G38" i="28"/>
  <c r="G39" i="28" s="1"/>
  <c r="M6" i="28"/>
  <c r="M7" i="28"/>
  <c r="H138" i="36"/>
  <c r="W46" i="58" s="1"/>
  <c r="N19" i="28"/>
  <c r="O19" i="28"/>
  <c r="H140" i="36"/>
  <c r="M8" i="28"/>
  <c r="G173" i="35"/>
  <c r="M13" i="28"/>
  <c r="M23" i="28"/>
  <c r="E84" i="34"/>
  <c r="AU43" i="55" s="1"/>
  <c r="M15" i="28"/>
  <c r="G175" i="35"/>
  <c r="AJ82" i="57" s="1"/>
  <c r="V79" i="55"/>
  <c r="G183" i="35"/>
  <c r="M18" i="2"/>
  <c r="M17" i="2"/>
  <c r="G181" i="35"/>
  <c r="H142" i="36"/>
  <c r="M6" i="2"/>
  <c r="N6" i="2" s="1"/>
  <c r="J142" i="36" s="1"/>
  <c r="G38" i="2"/>
  <c r="G39" i="2" s="1"/>
  <c r="N20" i="2"/>
  <c r="O20" i="2"/>
  <c r="M7" i="2"/>
  <c r="H143" i="36"/>
  <c r="M23" i="2"/>
  <c r="E87" i="34"/>
  <c r="M13" i="2"/>
  <c r="H178" i="35" s="1"/>
  <c r="G178" i="35"/>
  <c r="G179" i="35"/>
  <c r="M14" i="2"/>
  <c r="F4" i="2"/>
  <c r="G68" i="33" s="1"/>
  <c r="F68" i="33"/>
  <c r="G4" i="2"/>
  <c r="H68" i="33" s="1"/>
  <c r="M15" i="2"/>
  <c r="H180" i="35" s="1"/>
  <c r="G182" i="35"/>
  <c r="O19" i="2"/>
  <c r="N19" i="2"/>
  <c r="F2" i="2"/>
  <c r="E32" i="2"/>
  <c r="G2" i="2"/>
  <c r="G32" i="2" s="1"/>
  <c r="F66" i="33"/>
  <c r="M10" i="2"/>
  <c r="H146" i="36"/>
  <c r="M8" i="2"/>
  <c r="H144" i="36"/>
  <c r="N11" i="2"/>
  <c r="O11" i="2"/>
  <c r="M9" i="2"/>
  <c r="I145" i="36" s="1"/>
  <c r="H145" i="36"/>
  <c r="F67" i="33"/>
  <c r="N67" i="33" s="1"/>
  <c r="G3" i="2"/>
  <c r="H67" i="33" s="1"/>
  <c r="F3" i="2"/>
  <c r="G67" i="33" s="1"/>
  <c r="F59" i="33"/>
  <c r="G2" i="26"/>
  <c r="F2" i="26"/>
  <c r="G59" i="33" s="1"/>
  <c r="M14" i="26"/>
  <c r="H162" i="35" s="1"/>
  <c r="G163" i="35"/>
  <c r="H128" i="36"/>
  <c r="M7" i="26"/>
  <c r="I128" i="36" s="1"/>
  <c r="M19" i="26"/>
  <c r="G166" i="35"/>
  <c r="N15" i="26"/>
  <c r="O15" i="26"/>
  <c r="M9" i="26"/>
  <c r="H130" i="36"/>
  <c r="O20" i="26"/>
  <c r="N20" i="26"/>
  <c r="M10" i="26"/>
  <c r="H131" i="36"/>
  <c r="E77" i="34"/>
  <c r="M22" i="26"/>
  <c r="N22" i="26" s="1"/>
  <c r="G77" i="34" s="1"/>
  <c r="N11" i="26"/>
  <c r="O11" i="26"/>
  <c r="E78" i="34"/>
  <c r="M24" i="26"/>
  <c r="O24" i="26" s="1"/>
  <c r="M8" i="26"/>
  <c r="H129" i="36"/>
  <c r="M23" i="26"/>
  <c r="E79" i="34"/>
  <c r="M17" i="26"/>
  <c r="G161" i="35"/>
  <c r="O25" i="26"/>
  <c r="N25" i="26"/>
  <c r="M16" i="26"/>
  <c r="G164" i="35"/>
  <c r="M6" i="26"/>
  <c r="G38" i="26"/>
  <c r="G39" i="26" s="1"/>
  <c r="H127" i="36"/>
  <c r="M18" i="26"/>
  <c r="G165" i="35"/>
  <c r="F166" i="35"/>
  <c r="F60" i="33"/>
  <c r="G3" i="26"/>
  <c r="F3" i="26"/>
  <c r="F4" i="26"/>
  <c r="G4" i="26"/>
  <c r="K60" i="33"/>
  <c r="E38" i="26"/>
  <c r="E39" i="26" s="1"/>
  <c r="L60" i="33"/>
  <c r="F38" i="26"/>
  <c r="F39" i="26" s="1"/>
  <c r="F158" i="35"/>
  <c r="AI87" i="55" s="1"/>
  <c r="F38" i="24"/>
  <c r="F39" i="24" s="1"/>
  <c r="E158" i="35"/>
  <c r="AH87" i="55" s="1"/>
  <c r="E38" i="24"/>
  <c r="E39" i="24" s="1"/>
  <c r="M57" i="33"/>
  <c r="N57" i="33"/>
  <c r="AI71" i="55"/>
  <c r="AI49" i="55"/>
  <c r="F54" i="33"/>
  <c r="F40" i="55" s="1"/>
  <c r="F3" i="23"/>
  <c r="G54" i="33" s="1"/>
  <c r="G3" i="23"/>
  <c r="H54" i="33" s="1"/>
  <c r="H40" i="55" s="1"/>
  <c r="F55" i="33"/>
  <c r="N55" i="33" s="1"/>
  <c r="G4" i="23"/>
  <c r="H55" i="33" s="1"/>
  <c r="F4" i="23"/>
  <c r="G55" i="33" s="1"/>
  <c r="M55" i="33" s="1"/>
  <c r="M22" i="23"/>
  <c r="E68" i="34"/>
  <c r="O25" i="23"/>
  <c r="N25" i="23"/>
  <c r="H121" i="36"/>
  <c r="M10" i="23"/>
  <c r="F53" i="33"/>
  <c r="E32" i="23"/>
  <c r="G2" i="23"/>
  <c r="F2" i="23"/>
  <c r="O11" i="23"/>
  <c r="N11" i="23"/>
  <c r="M6" i="23"/>
  <c r="G38" i="23"/>
  <c r="G39" i="23" s="1"/>
  <c r="H117" i="36"/>
  <c r="G151" i="35"/>
  <c r="M17" i="23"/>
  <c r="G149" i="35"/>
  <c r="M15" i="23"/>
  <c r="N15" i="23" s="1"/>
  <c r="I149" i="35" s="1"/>
  <c r="M7" i="23"/>
  <c r="H118" i="36"/>
  <c r="E70" i="34"/>
  <c r="M24" i="23"/>
  <c r="G152" i="35"/>
  <c r="M16" i="23"/>
  <c r="H120" i="36"/>
  <c r="M9" i="23"/>
  <c r="O9" i="23" s="1"/>
  <c r="K120" i="36" s="1"/>
  <c r="E69" i="34"/>
  <c r="M23" i="23"/>
  <c r="M8" i="23"/>
  <c r="H119" i="36"/>
  <c r="N20" i="23"/>
  <c r="O20" i="23"/>
  <c r="M19" i="23"/>
  <c r="G153" i="35"/>
  <c r="M14" i="23"/>
  <c r="G148" i="35"/>
  <c r="M13" i="23"/>
  <c r="G147" i="35"/>
  <c r="M18" i="23"/>
  <c r="G150" i="35"/>
  <c r="F3" i="21"/>
  <c r="G49" i="33" s="1"/>
  <c r="F49" i="33"/>
  <c r="G3" i="21"/>
  <c r="H49" i="33" s="1"/>
  <c r="E32" i="21"/>
  <c r="G4" i="21"/>
  <c r="F4" i="21"/>
  <c r="G2" i="21"/>
  <c r="F2" i="21"/>
  <c r="F48" i="33"/>
  <c r="O19" i="21"/>
  <c r="N19" i="21"/>
  <c r="M18" i="21"/>
  <c r="G140" i="35"/>
  <c r="AJ118" i="57" s="1"/>
  <c r="M13" i="21"/>
  <c r="H135" i="35" s="1"/>
  <c r="G135" i="35"/>
  <c r="M8" i="21"/>
  <c r="H109" i="36"/>
  <c r="W87" i="55" s="1"/>
  <c r="M9" i="21"/>
  <c r="H110" i="36"/>
  <c r="M10" i="21"/>
  <c r="H111" i="36"/>
  <c r="O11" i="21"/>
  <c r="N11" i="21"/>
  <c r="M23" i="21"/>
  <c r="E64" i="34"/>
  <c r="N25" i="21"/>
  <c r="O25" i="21"/>
  <c r="G138" i="35"/>
  <c r="M15" i="21"/>
  <c r="N15" i="21" s="1"/>
  <c r="M6" i="21"/>
  <c r="H107" i="36"/>
  <c r="W25" i="57" s="1"/>
  <c r="M17" i="21"/>
  <c r="H139" i="35" s="1"/>
  <c r="G137" i="35"/>
  <c r="AJ72" i="58" s="1"/>
  <c r="N20" i="21"/>
  <c r="O20" i="21"/>
  <c r="E62" i="34"/>
  <c r="M22" i="21"/>
  <c r="N22" i="21" s="1"/>
  <c r="G62" i="34" s="1"/>
  <c r="H108" i="36"/>
  <c r="M7" i="21"/>
  <c r="I108" i="36" s="1"/>
  <c r="M24" i="21"/>
  <c r="E63" i="34"/>
  <c r="AU49" i="58" s="1"/>
  <c r="F3" i="20"/>
  <c r="G47" i="33" s="1"/>
  <c r="G21" i="55" s="1"/>
  <c r="G3" i="20"/>
  <c r="H47" i="33" s="1"/>
  <c r="H21" i="55" s="1"/>
  <c r="F47" i="33"/>
  <c r="F21" i="55" s="1"/>
  <c r="K47" i="33"/>
  <c r="E38" i="20"/>
  <c r="E39" i="20" s="1"/>
  <c r="F4" i="20"/>
  <c r="G4" i="20"/>
  <c r="M16" i="20"/>
  <c r="G132" i="35"/>
  <c r="M18" i="20"/>
  <c r="G134" i="35"/>
  <c r="M17" i="20"/>
  <c r="G133" i="35"/>
  <c r="O19" i="20"/>
  <c r="N19" i="20"/>
  <c r="F2" i="20"/>
  <c r="E32" i="20"/>
  <c r="F46" i="33"/>
  <c r="F12" i="55" s="1"/>
  <c r="G2" i="20"/>
  <c r="O25" i="20"/>
  <c r="N25" i="20"/>
  <c r="M9" i="20"/>
  <c r="H105" i="36"/>
  <c r="H106" i="36"/>
  <c r="M10" i="20"/>
  <c r="M15" i="20"/>
  <c r="G131" i="35"/>
  <c r="G129" i="35"/>
  <c r="M13" i="20"/>
  <c r="H129" i="35" s="1"/>
  <c r="G130" i="35"/>
  <c r="M14" i="20"/>
  <c r="N11" i="20"/>
  <c r="O11" i="20"/>
  <c r="M6" i="20"/>
  <c r="G38" i="20"/>
  <c r="G39" i="20" s="1"/>
  <c r="H102" i="36"/>
  <c r="N20" i="20"/>
  <c r="O20" i="20"/>
  <c r="M22" i="20"/>
  <c r="E59" i="34"/>
  <c r="H103" i="36"/>
  <c r="W37" i="55" s="1"/>
  <c r="M7" i="20"/>
  <c r="N7" i="20" s="1"/>
  <c r="J103" i="36" s="1"/>
  <c r="M24" i="20"/>
  <c r="E61" i="34"/>
  <c r="M8" i="20"/>
  <c r="H104" i="36"/>
  <c r="E60" i="34"/>
  <c r="M23" i="20"/>
  <c r="F45" i="33"/>
  <c r="F3" i="19"/>
  <c r="G45" i="33" s="1"/>
  <c r="G3" i="19"/>
  <c r="M17" i="18"/>
  <c r="G114" i="35"/>
  <c r="M10" i="18"/>
  <c r="H91" i="36"/>
  <c r="M23" i="18"/>
  <c r="E55" i="34"/>
  <c r="AU42" i="55" s="1"/>
  <c r="O20" i="18"/>
  <c r="N20" i="18"/>
  <c r="O24" i="18"/>
  <c r="N24" i="18"/>
  <c r="M16" i="3"/>
  <c r="G108" i="35"/>
  <c r="M7" i="3"/>
  <c r="G38" i="3"/>
  <c r="G39" i="3" s="1"/>
  <c r="M8" i="3"/>
  <c r="H84" i="36"/>
  <c r="G3" i="3"/>
  <c r="F39" i="33"/>
  <c r="F3" i="3"/>
  <c r="M10" i="25"/>
  <c r="H96" i="36"/>
  <c r="H80" i="36"/>
  <c r="M9" i="17"/>
  <c r="G3" i="14"/>
  <c r="H29" i="33" s="1"/>
  <c r="F3" i="14"/>
  <c r="G29" i="33" s="1"/>
  <c r="M29" i="33" s="1"/>
  <c r="F29" i="33"/>
  <c r="N29" i="33" s="1"/>
  <c r="E32" i="14"/>
  <c r="F30" i="33"/>
  <c r="F2" i="14"/>
  <c r="G30" i="33" s="1"/>
  <c r="G2" i="14"/>
  <c r="N11" i="14"/>
  <c r="O11" i="14"/>
  <c r="E40" i="34"/>
  <c r="M23" i="14"/>
  <c r="M14" i="14"/>
  <c r="G78" i="35"/>
  <c r="H64" i="36"/>
  <c r="M8" i="14"/>
  <c r="M9" i="14"/>
  <c r="H65" i="36"/>
  <c r="M19" i="14"/>
  <c r="G83" i="35"/>
  <c r="M17" i="14"/>
  <c r="H81" i="35" s="1"/>
  <c r="G81" i="35"/>
  <c r="M18" i="14"/>
  <c r="H82" i="35" s="1"/>
  <c r="G82" i="35"/>
  <c r="O25" i="14"/>
  <c r="N25" i="14"/>
  <c r="G80" i="35"/>
  <c r="M15" i="14"/>
  <c r="N15" i="14" s="1"/>
  <c r="M6" i="14"/>
  <c r="G38" i="14"/>
  <c r="G39" i="14" s="1"/>
  <c r="H62" i="36"/>
  <c r="AJ119" i="55"/>
  <c r="E81" i="35"/>
  <c r="AH138" i="57" s="1"/>
  <c r="E38" i="14"/>
  <c r="E39" i="14" s="1"/>
  <c r="F81" i="35"/>
  <c r="AI138" i="57" s="1"/>
  <c r="F38" i="14"/>
  <c r="F39" i="14" s="1"/>
  <c r="M16" i="12"/>
  <c r="G66" i="35"/>
  <c r="AJ100" i="55" s="1"/>
  <c r="E33" i="34"/>
  <c r="M23" i="12"/>
  <c r="E34" i="34"/>
  <c r="M24" i="12"/>
  <c r="N25" i="12"/>
  <c r="O25" i="12"/>
  <c r="M6" i="12"/>
  <c r="H52" i="36"/>
  <c r="G38" i="12"/>
  <c r="G39" i="12" s="1"/>
  <c r="G67" i="35"/>
  <c r="AJ66" i="55" s="1"/>
  <c r="M15" i="12"/>
  <c r="H53" i="36"/>
  <c r="M7" i="12"/>
  <c r="M17" i="12"/>
  <c r="G69" i="35"/>
  <c r="AH86" i="55"/>
  <c r="T34" i="55"/>
  <c r="T33" i="55"/>
  <c r="G3" i="10"/>
  <c r="H22" i="33" s="1"/>
  <c r="M22" i="33" s="1"/>
  <c r="F22" i="33"/>
  <c r="N22" i="33" s="1"/>
  <c r="M23" i="10"/>
  <c r="E27" i="34"/>
  <c r="M24" i="10"/>
  <c r="E28" i="34"/>
  <c r="M16" i="10"/>
  <c r="G55" i="35"/>
  <c r="O25" i="10"/>
  <c r="N25" i="10"/>
  <c r="G2" i="9"/>
  <c r="E32" i="9"/>
  <c r="F2" i="9"/>
  <c r="F18" i="33"/>
  <c r="M16" i="9"/>
  <c r="G48" i="35"/>
  <c r="M14" i="9"/>
  <c r="G49" i="35"/>
  <c r="M14" i="8"/>
  <c r="G42" i="35"/>
  <c r="G38" i="8"/>
  <c r="G39" i="8" s="1"/>
  <c r="M6" i="8"/>
  <c r="H32" i="36"/>
  <c r="G44" i="35"/>
  <c r="M16" i="8"/>
  <c r="M22" i="8"/>
  <c r="E20" i="34"/>
  <c r="H34" i="36"/>
  <c r="M7" i="8"/>
  <c r="I33" i="36" s="1"/>
  <c r="E22" i="34"/>
  <c r="M24" i="8"/>
  <c r="N10" i="33"/>
  <c r="M10" i="33"/>
  <c r="AI66" i="55"/>
  <c r="AI69" i="55"/>
  <c r="M23" i="5"/>
  <c r="E9" i="34"/>
  <c r="G15" i="35"/>
  <c r="AJ69" i="55" s="1"/>
  <c r="M14" i="5"/>
  <c r="H12" i="36"/>
  <c r="W6" i="55" s="1"/>
  <c r="M6" i="5"/>
  <c r="G38" i="5"/>
  <c r="G39" i="5" s="1"/>
  <c r="M17" i="5"/>
  <c r="G16" i="35"/>
  <c r="M7" i="5"/>
  <c r="H13" i="36"/>
  <c r="G17" i="35"/>
  <c r="M16" i="5"/>
  <c r="H14" i="36"/>
  <c r="M8" i="5"/>
  <c r="M15" i="5"/>
  <c r="G18" i="35"/>
  <c r="M18" i="5"/>
  <c r="G19" i="35"/>
  <c r="M10" i="5"/>
  <c r="H16" i="36"/>
  <c r="N19" i="5"/>
  <c r="O19" i="5"/>
  <c r="N8" i="33"/>
  <c r="M40" i="58" s="1"/>
  <c r="L66" i="33"/>
  <c r="F38" i="2"/>
  <c r="F39" i="2" s="1"/>
  <c r="F32" i="5"/>
  <c r="G7" i="33"/>
  <c r="G2" i="55" s="1"/>
  <c r="H7" i="33"/>
  <c r="H2" i="55" s="1"/>
  <c r="F32" i="12"/>
  <c r="G25" i="33"/>
  <c r="I35" i="36"/>
  <c r="O9" i="8"/>
  <c r="K35" i="36" s="1"/>
  <c r="N9" i="8"/>
  <c r="J35" i="36" s="1"/>
  <c r="L35" i="36" s="1"/>
  <c r="N9" i="5"/>
  <c r="J15" i="36" s="1"/>
  <c r="O9" i="5"/>
  <c r="K15" i="36" s="1"/>
  <c r="I15" i="36"/>
  <c r="O15" i="36" s="1"/>
  <c r="AA87" i="58" s="1"/>
  <c r="AB87" i="58" s="1"/>
  <c r="N13" i="5"/>
  <c r="I14" i="35" s="1"/>
  <c r="O13" i="5"/>
  <c r="J14" i="35" s="1"/>
  <c r="H14" i="35"/>
  <c r="O8" i="8"/>
  <c r="N8" i="8"/>
  <c r="N10" i="8"/>
  <c r="J36" i="36" s="1"/>
  <c r="O10" i="8"/>
  <c r="K36" i="36" s="1"/>
  <c r="I36" i="36"/>
  <c r="O17" i="8"/>
  <c r="J45" i="35" s="1"/>
  <c r="N17" i="8"/>
  <c r="I45" i="35" s="1"/>
  <c r="H45" i="35"/>
  <c r="N15" i="8"/>
  <c r="I43" i="35" s="1"/>
  <c r="H43" i="35"/>
  <c r="O15" i="8"/>
  <c r="J43" i="35" s="1"/>
  <c r="O17" i="24"/>
  <c r="N17" i="24"/>
  <c r="O19" i="24"/>
  <c r="J160" i="35" s="1"/>
  <c r="N19" i="24"/>
  <c r="I160" i="35" s="1"/>
  <c r="M8" i="33"/>
  <c r="F31" i="55"/>
  <c r="V59" i="55"/>
  <c r="F41" i="55"/>
  <c r="G31" i="55"/>
  <c r="G28" i="33"/>
  <c r="H16" i="33"/>
  <c r="G16" i="33"/>
  <c r="F32" i="8"/>
  <c r="F8" i="34"/>
  <c r="N22" i="5"/>
  <c r="G8" i="34" s="1"/>
  <c r="O22" i="5"/>
  <c r="H8" i="34" s="1"/>
  <c r="N24" i="5"/>
  <c r="G10" i="34" s="1"/>
  <c r="O24" i="5"/>
  <c r="H10" i="34" s="1"/>
  <c r="F10" i="34"/>
  <c r="L10" i="34" s="1"/>
  <c r="F6" i="55"/>
  <c r="N13" i="8"/>
  <c r="I41" i="35" s="1"/>
  <c r="H41" i="35"/>
  <c r="O13" i="8"/>
  <c r="J41" i="35" s="1"/>
  <c r="O23" i="8"/>
  <c r="H21" i="34" s="1"/>
  <c r="F21" i="34"/>
  <c r="N23" i="8"/>
  <c r="G21" i="34" s="1"/>
  <c r="G197" i="35"/>
  <c r="M13" i="31"/>
  <c r="O13" i="31" s="1"/>
  <c r="M22" i="31"/>
  <c r="E95" i="34"/>
  <c r="E97" i="34"/>
  <c r="M24" i="31"/>
  <c r="G203" i="35"/>
  <c r="M19" i="31"/>
  <c r="M10" i="31"/>
  <c r="G38" i="31"/>
  <c r="G39" i="31" s="1"/>
  <c r="H161" i="36"/>
  <c r="G199" i="35"/>
  <c r="M14" i="31"/>
  <c r="O14" i="31" s="1"/>
  <c r="G202" i="35"/>
  <c r="M15" i="31"/>
  <c r="G200" i="35"/>
  <c r="M16" i="31"/>
  <c r="N16" i="31" s="1"/>
  <c r="G201" i="35"/>
  <c r="M18" i="31"/>
  <c r="N18" i="31" s="1"/>
  <c r="F75" i="33"/>
  <c r="F3" i="31"/>
  <c r="E32" i="31"/>
  <c r="G3" i="31"/>
  <c r="O20" i="31"/>
  <c r="N20" i="31"/>
  <c r="N11" i="31"/>
  <c r="O11" i="31"/>
  <c r="O25" i="31"/>
  <c r="N25" i="31"/>
  <c r="G198" i="35"/>
  <c r="M17" i="31"/>
  <c r="E96" i="34"/>
  <c r="AU35" i="55" s="1"/>
  <c r="M23" i="31"/>
  <c r="W52" i="55"/>
  <c r="AH105" i="55"/>
  <c r="AI105" i="55"/>
  <c r="T45" i="55"/>
  <c r="T48" i="55"/>
  <c r="AU41" i="55"/>
  <c r="M17" i="33"/>
  <c r="N18" i="4"/>
  <c r="I13" i="35" s="1"/>
  <c r="O18" i="4"/>
  <c r="J13" i="35" s="1"/>
  <c r="H9" i="35"/>
  <c r="O15" i="24"/>
  <c r="H155" i="35"/>
  <c r="N15" i="24"/>
  <c r="N18" i="7"/>
  <c r="I39" i="35" s="1"/>
  <c r="O18" i="7"/>
  <c r="J39" i="35" s="1"/>
  <c r="H39" i="35"/>
  <c r="N15" i="7"/>
  <c r="I36" i="35" s="1"/>
  <c r="H36" i="35"/>
  <c r="AI51" i="55"/>
  <c r="AI64" i="55"/>
  <c r="AI79" i="55"/>
  <c r="AI47" i="55"/>
  <c r="AI45" i="55"/>
  <c r="AI62" i="55"/>
  <c r="AI76" i="55"/>
  <c r="AI60" i="55"/>
  <c r="AI21" i="55"/>
  <c r="AI30" i="55"/>
  <c r="AH101" i="55"/>
  <c r="AH110" i="55"/>
  <c r="AH90" i="55"/>
  <c r="K154" i="35"/>
  <c r="AI17" i="55"/>
  <c r="AI18" i="55"/>
  <c r="AH60" i="55"/>
  <c r="AH34" i="55"/>
  <c r="AH30" i="55"/>
  <c r="V89" i="55"/>
  <c r="V47" i="55"/>
  <c r="N31" i="36"/>
  <c r="I8" i="36"/>
  <c r="N7" i="4"/>
  <c r="J8" i="36" s="1"/>
  <c r="O7" i="24"/>
  <c r="K123" i="36" s="1"/>
  <c r="I123" i="36"/>
  <c r="N7" i="24"/>
  <c r="J123" i="36" s="1"/>
  <c r="N9" i="4"/>
  <c r="J10" i="36" s="1"/>
  <c r="I10" i="36"/>
  <c r="V93" i="55"/>
  <c r="V88" i="55"/>
  <c r="I125" i="36"/>
  <c r="N9" i="24"/>
  <c r="J125" i="36" s="1"/>
  <c r="O9" i="24"/>
  <c r="K125" i="36" s="1"/>
  <c r="I126" i="36"/>
  <c r="N10" i="24"/>
  <c r="J126" i="36" s="1"/>
  <c r="N7" i="6"/>
  <c r="O7" i="6"/>
  <c r="I19" i="36"/>
  <c r="V52" i="55"/>
  <c r="V36" i="55"/>
  <c r="U84" i="55"/>
  <c r="U59" i="55"/>
  <c r="U40" i="55"/>
  <c r="U49" i="55"/>
  <c r="N70" i="33"/>
  <c r="M56" i="33"/>
  <c r="N56" i="33"/>
  <c r="F32" i="6"/>
  <c r="F4" i="55"/>
  <c r="G24" i="33"/>
  <c r="F32" i="11"/>
  <c r="K55" i="55"/>
  <c r="K56" i="55"/>
  <c r="K62" i="55"/>
  <c r="K58" i="55"/>
  <c r="K76" i="55"/>
  <c r="K60" i="55"/>
  <c r="K79" i="55"/>
  <c r="K54" i="55"/>
  <c r="K52" i="55"/>
  <c r="K46" i="55"/>
  <c r="K64" i="55"/>
  <c r="K70" i="55"/>
  <c r="K42" i="55"/>
  <c r="K71" i="55"/>
  <c r="K45" i="55"/>
  <c r="K69" i="55"/>
  <c r="K51" i="55"/>
  <c r="K47" i="55"/>
  <c r="K66" i="55"/>
  <c r="K67" i="55"/>
  <c r="K78" i="55"/>
  <c r="K63" i="55"/>
  <c r="K53" i="55"/>
  <c r="K74" i="55"/>
  <c r="K59" i="55"/>
  <c r="K75" i="55"/>
  <c r="K73" i="55"/>
  <c r="K65" i="55"/>
  <c r="K61" i="55"/>
  <c r="I73" i="55"/>
  <c r="I78" i="55"/>
  <c r="K77" i="55"/>
  <c r="K49" i="55"/>
  <c r="K44" i="55"/>
  <c r="K57" i="55"/>
  <c r="K48" i="55"/>
  <c r="L64" i="55"/>
  <c r="L43" i="55"/>
  <c r="L77" i="55"/>
  <c r="L73" i="55"/>
  <c r="L42" i="55"/>
  <c r="L79" i="55"/>
  <c r="L49" i="55"/>
  <c r="L74" i="55"/>
  <c r="L58" i="55"/>
  <c r="L68" i="55"/>
  <c r="L48" i="55"/>
  <c r="L60" i="55"/>
  <c r="L45" i="55"/>
  <c r="L59" i="55"/>
  <c r="L55" i="55"/>
  <c r="L51" i="55"/>
  <c r="L46" i="55"/>
  <c r="L50" i="55"/>
  <c r="L63" i="55"/>
  <c r="L75" i="55"/>
  <c r="L61" i="55"/>
  <c r="L66" i="55"/>
  <c r="L65" i="55"/>
  <c r="L47" i="55"/>
  <c r="L76" i="55"/>
  <c r="L70" i="55"/>
  <c r="L80" i="55"/>
  <c r="L67" i="55"/>
  <c r="L56" i="55"/>
  <c r="L71" i="55"/>
  <c r="L72" i="55"/>
  <c r="L52" i="55"/>
  <c r="L57" i="55"/>
  <c r="L69" i="55"/>
  <c r="L44" i="55"/>
  <c r="L53" i="55"/>
  <c r="L78" i="55"/>
  <c r="L54" i="55"/>
  <c r="L62" i="55"/>
  <c r="L16" i="55"/>
  <c r="L17" i="55"/>
  <c r="L22" i="55"/>
  <c r="L30" i="55"/>
  <c r="L21" i="55"/>
  <c r="L12" i="55"/>
  <c r="K68" i="55"/>
  <c r="K72" i="55"/>
  <c r="K80" i="55"/>
  <c r="K43" i="55"/>
  <c r="I60" i="55"/>
  <c r="I62" i="55"/>
  <c r="I80" i="55"/>
  <c r="I48" i="55"/>
  <c r="I61" i="55"/>
  <c r="I65" i="55"/>
  <c r="I42" i="55"/>
  <c r="I66" i="55"/>
  <c r="I46" i="55"/>
  <c r="I53" i="55"/>
  <c r="I67" i="55"/>
  <c r="I55" i="55"/>
  <c r="I57" i="55"/>
  <c r="I70" i="55"/>
  <c r="I59" i="55"/>
  <c r="I52" i="55"/>
  <c r="I72" i="55"/>
  <c r="I58" i="55"/>
  <c r="I77" i="55"/>
  <c r="I75" i="55"/>
  <c r="I69" i="55"/>
  <c r="I50" i="55"/>
  <c r="I79" i="55"/>
  <c r="I43" i="55"/>
  <c r="I51" i="55"/>
  <c r="I49" i="55"/>
  <c r="I71" i="55"/>
  <c r="I68" i="55"/>
  <c r="I64" i="55"/>
  <c r="I76" i="55"/>
  <c r="I44" i="55"/>
  <c r="I56" i="55"/>
  <c r="I63" i="55"/>
  <c r="I47" i="55"/>
  <c r="I74" i="55"/>
  <c r="I45" i="55"/>
  <c r="I54" i="55"/>
  <c r="M70" i="33"/>
  <c r="N73" i="33"/>
  <c r="G15" i="33"/>
  <c r="F32" i="7"/>
  <c r="H24" i="33"/>
  <c r="H31" i="55"/>
  <c r="M73" i="33"/>
  <c r="G21" i="33"/>
  <c r="F32" i="10"/>
  <c r="F20" i="55"/>
  <c r="F24" i="55"/>
  <c r="F11" i="55"/>
  <c r="A21" i="33"/>
  <c r="D20" i="47"/>
  <c r="E20" i="47"/>
  <c r="AN10" i="47"/>
  <c r="A10" i="34"/>
  <c r="X10" i="47"/>
  <c r="Z10" i="47"/>
  <c r="AO10" i="47"/>
  <c r="AH39" i="55"/>
  <c r="V77" i="55"/>
  <c r="F34" i="55"/>
  <c r="AJ114" i="55"/>
  <c r="V69" i="55"/>
  <c r="N24" i="7"/>
  <c r="G19" i="34" s="1"/>
  <c r="I19" i="34" s="1"/>
  <c r="F19" i="34"/>
  <c r="L19" i="34" s="1"/>
  <c r="AJ68" i="55"/>
  <c r="O8" i="7"/>
  <c r="K29" i="36" s="1"/>
  <c r="AU24" i="55"/>
  <c r="N8" i="7"/>
  <c r="J29" i="36" s="1"/>
  <c r="AW24" i="55"/>
  <c r="L40" i="35"/>
  <c r="AW99" i="55"/>
  <c r="AW72" i="55"/>
  <c r="AW90" i="55"/>
  <c r="AW52" i="55"/>
  <c r="AW94" i="55"/>
  <c r="AW81" i="55"/>
  <c r="AW67" i="55"/>
  <c r="AW63" i="55"/>
  <c r="AW71" i="55"/>
  <c r="AW87" i="55"/>
  <c r="AW91" i="55"/>
  <c r="AW53" i="55"/>
  <c r="AW83" i="55"/>
  <c r="AW85" i="55"/>
  <c r="AW73" i="55"/>
  <c r="AW86" i="55"/>
  <c r="AW80" i="55"/>
  <c r="AW69" i="55"/>
  <c r="AW93" i="55"/>
  <c r="AW98" i="55"/>
  <c r="AW70" i="55"/>
  <c r="AW59" i="55"/>
  <c r="AW68" i="55"/>
  <c r="AW56" i="55"/>
  <c r="AW61" i="55"/>
  <c r="AW78" i="55"/>
  <c r="AW65" i="55"/>
  <c r="AW60" i="55"/>
  <c r="AW62" i="55"/>
  <c r="AW55" i="55"/>
  <c r="AW76" i="55"/>
  <c r="AW95" i="55"/>
  <c r="AW84" i="55"/>
  <c r="AW74" i="55"/>
  <c r="AW58" i="55"/>
  <c r="AW57" i="55"/>
  <c r="AW66" i="55"/>
  <c r="AW92" i="55"/>
  <c r="AW101" i="55"/>
  <c r="AW82" i="55"/>
  <c r="AW88" i="55"/>
  <c r="AW79" i="55"/>
  <c r="AW97" i="55"/>
  <c r="AW96" i="55"/>
  <c r="AW54" i="55"/>
  <c r="AW64" i="55"/>
  <c r="AW77" i="55"/>
  <c r="AW100" i="55"/>
  <c r="AW75" i="55"/>
  <c r="AN107" i="47"/>
  <c r="D6" i="55"/>
  <c r="D2" i="55"/>
  <c r="C11" i="55"/>
  <c r="C22" i="55"/>
  <c r="C4" i="55"/>
  <c r="C6" i="55"/>
  <c r="C2" i="55"/>
  <c r="D4" i="55"/>
  <c r="D11" i="55"/>
  <c r="AJ63" i="55"/>
  <c r="AK63" i="55"/>
  <c r="AJ65" i="55"/>
  <c r="O7" i="4"/>
  <c r="K8" i="36" s="1"/>
  <c r="H13" i="35"/>
  <c r="O9" i="4"/>
  <c r="K10" i="36" s="1"/>
  <c r="O8" i="1"/>
  <c r="W91" i="55"/>
  <c r="O10" i="24"/>
  <c r="K126" i="36" s="1"/>
  <c r="H38" i="24"/>
  <c r="H39" i="24" s="1"/>
  <c r="N154" i="35"/>
  <c r="E38" i="2"/>
  <c r="E39" i="2" s="1"/>
  <c r="N8" i="1"/>
  <c r="AV24" i="55"/>
  <c r="AU7" i="55"/>
  <c r="AX24" i="55"/>
  <c r="F38" i="20"/>
  <c r="F39" i="20" s="1"/>
  <c r="U44" i="55"/>
  <c r="U47" i="55"/>
  <c r="U65" i="55"/>
  <c r="F46" i="34"/>
  <c r="N24" i="16"/>
  <c r="O24" i="16"/>
  <c r="N8" i="24"/>
  <c r="J124" i="36" s="1"/>
  <c r="O8" i="24"/>
  <c r="K124" i="36" s="1"/>
  <c r="I124" i="36"/>
  <c r="C25" i="55"/>
  <c r="I27" i="36"/>
  <c r="O6" i="7"/>
  <c r="K27" i="36" s="1"/>
  <c r="U30" i="55"/>
  <c r="U32" i="55"/>
  <c r="T43" i="55"/>
  <c r="T56" i="55"/>
  <c r="V30" i="55"/>
  <c r="V32" i="55"/>
  <c r="AJ14" i="55"/>
  <c r="Z87" i="55"/>
  <c r="Y87" i="55"/>
  <c r="X87" i="55"/>
  <c r="L29" i="34"/>
  <c r="I29" i="34"/>
  <c r="AI58" i="55"/>
  <c r="AI53" i="55"/>
  <c r="AH53" i="55"/>
  <c r="N43" i="33"/>
  <c r="J188" i="35"/>
  <c r="AJ40" i="55"/>
  <c r="U55" i="55"/>
  <c r="V54" i="55"/>
  <c r="V72" i="55"/>
  <c r="V55" i="55"/>
  <c r="U36" i="55"/>
  <c r="AJ118" i="55"/>
  <c r="U91" i="55"/>
  <c r="V78" i="55"/>
  <c r="L19" i="55"/>
  <c r="O15" i="7"/>
  <c r="J36" i="35" s="1"/>
  <c r="N40" i="35"/>
  <c r="N16" i="7"/>
  <c r="H38" i="35"/>
  <c r="J28" i="36"/>
  <c r="O31" i="36"/>
  <c r="N9" i="7"/>
  <c r="J30" i="36" s="1"/>
  <c r="L30" i="36" s="1"/>
  <c r="H38" i="7"/>
  <c r="H39" i="7" s="1"/>
  <c r="I30" i="36"/>
  <c r="K28" i="36"/>
  <c r="I35" i="35"/>
  <c r="U70" i="55"/>
  <c r="V70" i="55"/>
  <c r="AH32" i="55"/>
  <c r="AI32" i="55"/>
  <c r="K22" i="55"/>
  <c r="N23" i="6"/>
  <c r="G12" i="34" s="1"/>
  <c r="AW33" i="58" s="1"/>
  <c r="N6" i="6"/>
  <c r="J17" i="36" s="1"/>
  <c r="Y6" i="58" s="1"/>
  <c r="AU72" i="55"/>
  <c r="O23" i="6"/>
  <c r="H12" i="34" s="1"/>
  <c r="AX33" i="58" s="1"/>
  <c r="AU91" i="55"/>
  <c r="O15" i="6"/>
  <c r="J22" i="35" s="1"/>
  <c r="AU84" i="55"/>
  <c r="AU94" i="55"/>
  <c r="AU82" i="55"/>
  <c r="N8" i="6"/>
  <c r="AU79" i="55"/>
  <c r="AU45" i="55"/>
  <c r="AU57" i="55"/>
  <c r="AU73" i="55"/>
  <c r="AU64" i="55"/>
  <c r="O6" i="6"/>
  <c r="K17" i="36" s="1"/>
  <c r="Z6" i="58" s="1"/>
  <c r="AU81" i="55"/>
  <c r="AU92" i="55"/>
  <c r="AU59" i="55"/>
  <c r="AU52" i="55"/>
  <c r="AU96" i="55"/>
  <c r="AU60" i="55"/>
  <c r="AU100" i="55"/>
  <c r="AU97" i="55"/>
  <c r="AU55" i="55"/>
  <c r="J20" i="35"/>
  <c r="AU98" i="55"/>
  <c r="AU65" i="55"/>
  <c r="AU75" i="55"/>
  <c r="AU63" i="55"/>
  <c r="AU77" i="55"/>
  <c r="AU66" i="55"/>
  <c r="U86" i="55"/>
  <c r="V86" i="55"/>
  <c r="V58" i="55"/>
  <c r="W51" i="55"/>
  <c r="W34" i="55"/>
  <c r="AI107" i="55"/>
  <c r="AI43" i="55"/>
  <c r="AI41" i="55"/>
  <c r="U34" i="55"/>
  <c r="N17" i="29"/>
  <c r="AH51" i="55"/>
  <c r="H73" i="35"/>
  <c r="I61" i="35"/>
  <c r="J61" i="35"/>
  <c r="N13" i="11"/>
  <c r="O13" i="11"/>
  <c r="AJ78" i="55"/>
  <c r="AH78" i="55"/>
  <c r="I37" i="36"/>
  <c r="N6" i="9"/>
  <c r="J37" i="36" s="1"/>
  <c r="I20" i="35"/>
  <c r="AU88" i="55"/>
  <c r="AU54" i="55"/>
  <c r="AU76" i="55"/>
  <c r="AU87" i="55"/>
  <c r="AU101" i="55"/>
  <c r="AU56" i="55"/>
  <c r="AU83" i="55"/>
  <c r="AU69" i="55"/>
  <c r="AU71" i="55"/>
  <c r="AU68" i="55"/>
  <c r="AU67" i="55"/>
  <c r="AU58" i="55"/>
  <c r="AU93" i="55"/>
  <c r="I21" i="36"/>
  <c r="O17" i="6"/>
  <c r="J24" i="35" s="1"/>
  <c r="H22" i="35"/>
  <c r="AU95" i="55"/>
  <c r="AU85" i="55"/>
  <c r="AU80" i="55"/>
  <c r="AU53" i="55"/>
  <c r="H38" i="6"/>
  <c r="H39" i="6" s="1"/>
  <c r="I24" i="35"/>
  <c r="H24" i="35"/>
  <c r="U85" i="55"/>
  <c r="W68" i="55"/>
  <c r="J63" i="35"/>
  <c r="I63" i="35"/>
  <c r="F32" i="29"/>
  <c r="G69" i="33"/>
  <c r="G7" i="55" s="1"/>
  <c r="H69" i="33"/>
  <c r="I158" i="35"/>
  <c r="J158" i="35"/>
  <c r="M43" i="33"/>
  <c r="J34" i="35"/>
  <c r="I34" i="35"/>
  <c r="AK21" i="55"/>
  <c r="H15" i="33"/>
  <c r="J35" i="35"/>
  <c r="H12" i="33"/>
  <c r="G12" i="33"/>
  <c r="M12" i="33" s="1"/>
  <c r="N12" i="33"/>
  <c r="AU74" i="55"/>
  <c r="AU78" i="55"/>
  <c r="J21" i="35"/>
  <c r="AU62" i="55"/>
  <c r="AU90" i="55"/>
  <c r="AU70" i="55"/>
  <c r="N15" i="6"/>
  <c r="I21" i="35" s="1"/>
  <c r="AU61" i="55"/>
  <c r="AU89" i="55"/>
  <c r="AU86" i="55"/>
  <c r="O19" i="6"/>
  <c r="J26" i="35" s="1"/>
  <c r="K26" i="35" s="1"/>
  <c r="O10" i="6"/>
  <c r="K21" i="36" s="1"/>
  <c r="L21" i="36" s="1"/>
  <c r="H26" i="35"/>
  <c r="I18" i="36"/>
  <c r="X62" i="58" s="1"/>
  <c r="J23" i="35"/>
  <c r="AM114" i="57" s="1"/>
  <c r="I23" i="35"/>
  <c r="AL114" i="57" s="1"/>
  <c r="H5" i="33"/>
  <c r="G5" i="33"/>
  <c r="F32" i="4"/>
  <c r="F158" i="36"/>
  <c r="U48" i="55" s="1"/>
  <c r="G159" i="36"/>
  <c r="V57" i="55" s="1"/>
  <c r="U68" i="55"/>
  <c r="V68" i="55"/>
  <c r="H85" i="35"/>
  <c r="N31" i="33"/>
  <c r="F32" i="14"/>
  <c r="U76" i="55"/>
  <c r="V76" i="55"/>
  <c r="AJ179" i="55"/>
  <c r="AJ167" i="55"/>
  <c r="AJ159" i="55"/>
  <c r="AJ157" i="55"/>
  <c r="AJ153" i="55"/>
  <c r="AJ163" i="55"/>
  <c r="AJ176" i="55"/>
  <c r="AI88" i="55"/>
  <c r="AJ184" i="55"/>
  <c r="AJ152" i="55"/>
  <c r="AJ160" i="55"/>
  <c r="AJ181" i="55"/>
  <c r="AJ161" i="55"/>
  <c r="AJ183" i="55"/>
  <c r="AJ162" i="55"/>
  <c r="AJ173" i="55"/>
  <c r="AJ185" i="55"/>
  <c r="AH88" i="55"/>
  <c r="AJ136" i="55"/>
  <c r="AJ154" i="55"/>
  <c r="AJ124" i="55"/>
  <c r="AH83" i="55"/>
  <c r="AJ166" i="55"/>
  <c r="AJ139" i="55"/>
  <c r="AJ168" i="55"/>
  <c r="AJ180" i="55"/>
  <c r="AJ156" i="55"/>
  <c r="AJ172" i="55"/>
  <c r="AJ149" i="55"/>
  <c r="AJ155" i="55"/>
  <c r="AJ145" i="55"/>
  <c r="AJ178" i="55"/>
  <c r="T51" i="55"/>
  <c r="G158" i="36"/>
  <c r="F159" i="36"/>
  <c r="T63" i="55"/>
  <c r="N76" i="33"/>
  <c r="M76" i="33"/>
  <c r="N24" i="9"/>
  <c r="F38" i="31"/>
  <c r="F39" i="31" s="1"/>
  <c r="E38" i="31"/>
  <c r="E39" i="31" s="1"/>
  <c r="K30" i="55"/>
  <c r="I73" i="34"/>
  <c r="K73" i="34" s="1"/>
  <c r="N18" i="3"/>
  <c r="W43" i="55"/>
  <c r="AH45" i="55"/>
  <c r="V11" i="55"/>
  <c r="E38" i="15"/>
  <c r="E39" i="15" s="1"/>
  <c r="U11" i="55"/>
  <c r="T11" i="55"/>
  <c r="M31" i="33"/>
  <c r="V35" i="55"/>
  <c r="T35" i="55"/>
  <c r="U35" i="55"/>
  <c r="M11" i="36"/>
  <c r="N16" i="21"/>
  <c r="O16" i="21"/>
  <c r="AJ23" i="55"/>
  <c r="AM14" i="55"/>
  <c r="AK14" i="55"/>
  <c r="F32" i="19"/>
  <c r="G44" i="33"/>
  <c r="H44" i="33"/>
  <c r="K25" i="55"/>
  <c r="J60" i="35"/>
  <c r="I60" i="35"/>
  <c r="AH67" i="55"/>
  <c r="AK78" i="55"/>
  <c r="V34" i="55"/>
  <c r="AM21" i="55"/>
  <c r="O8" i="17"/>
  <c r="AK68" i="55"/>
  <c r="AH85" i="55"/>
  <c r="A7" i="35"/>
  <c r="Q7" i="47"/>
  <c r="S7" i="47"/>
  <c r="F45" i="55"/>
  <c r="F49" i="55"/>
  <c r="F58" i="55"/>
  <c r="F52" i="55"/>
  <c r="F76" i="55"/>
  <c r="F79" i="55"/>
  <c r="F57" i="55"/>
  <c r="F60" i="55"/>
  <c r="F71" i="55"/>
  <c r="F56" i="55"/>
  <c r="F75" i="55"/>
  <c r="F70" i="55"/>
  <c r="F43" i="55"/>
  <c r="F74" i="55"/>
  <c r="F77" i="55"/>
  <c r="F54" i="55"/>
  <c r="F46" i="55"/>
  <c r="F63" i="55"/>
  <c r="F73" i="55"/>
  <c r="F48" i="55"/>
  <c r="F65" i="55"/>
  <c r="F66" i="55"/>
  <c r="F44" i="55"/>
  <c r="F68" i="55"/>
  <c r="F64" i="55"/>
  <c r="F72" i="55"/>
  <c r="F78" i="55"/>
  <c r="F67" i="55"/>
  <c r="F62" i="55"/>
  <c r="F61" i="55"/>
  <c r="F59" i="55"/>
  <c r="F53" i="55"/>
  <c r="F69" i="55"/>
  <c r="F47" i="55"/>
  <c r="F55" i="55"/>
  <c r="F42" i="55"/>
  <c r="F50" i="55"/>
  <c r="F51" i="55"/>
  <c r="F80" i="55"/>
  <c r="AJ132" i="55"/>
  <c r="AJ151" i="55"/>
  <c r="AJ182" i="55"/>
  <c r="AJ186" i="55"/>
  <c r="AJ135" i="55"/>
  <c r="AJ165" i="55"/>
  <c r="AJ144" i="55"/>
  <c r="AJ174" i="55"/>
  <c r="AJ171" i="55"/>
  <c r="AJ164" i="55"/>
  <c r="AJ148" i="55"/>
  <c r="AJ169" i="55"/>
  <c r="AJ127" i="55"/>
  <c r="AJ175" i="55"/>
  <c r="AJ146" i="55"/>
  <c r="AJ143" i="55"/>
  <c r="AJ129" i="55"/>
  <c r="AJ147" i="55"/>
  <c r="AJ177" i="55"/>
  <c r="AJ128" i="55"/>
  <c r="H3" i="33"/>
  <c r="G3" i="33"/>
  <c r="N17" i="16"/>
  <c r="X33" i="55"/>
  <c r="AV15" i="55"/>
  <c r="AX41" i="55"/>
  <c r="AK94" i="55"/>
  <c r="F38" i="15"/>
  <c r="F39" i="15" s="1"/>
  <c r="W86" i="55"/>
  <c r="H33" i="33"/>
  <c r="O14" i="15"/>
  <c r="N14" i="15"/>
  <c r="G22" i="55"/>
  <c r="K7" i="55"/>
  <c r="AJ57" i="55"/>
  <c r="K5" i="55"/>
  <c r="L73" i="34"/>
  <c r="J31" i="55"/>
  <c r="L53" i="33"/>
  <c r="F38" i="23"/>
  <c r="F39" i="23" s="1"/>
  <c r="K53" i="33"/>
  <c r="E38" i="23"/>
  <c r="E39" i="23" s="1"/>
  <c r="N51" i="33"/>
  <c r="M51" i="33"/>
  <c r="F32" i="55"/>
  <c r="F38" i="11"/>
  <c r="F39" i="11" s="1"/>
  <c r="T37" i="55"/>
  <c r="E38" i="11"/>
  <c r="E39" i="11" s="1"/>
  <c r="K21" i="33"/>
  <c r="E38" i="10"/>
  <c r="E39" i="10" s="1"/>
  <c r="J13" i="55"/>
  <c r="L21" i="33"/>
  <c r="F38" i="10"/>
  <c r="F39" i="10" s="1"/>
  <c r="N17" i="33"/>
  <c r="M31" i="36"/>
  <c r="M40" i="35"/>
  <c r="I17" i="34"/>
  <c r="I18" i="34"/>
  <c r="L18" i="34"/>
  <c r="J27" i="36"/>
  <c r="L17" i="34"/>
  <c r="K11" i="55"/>
  <c r="K27" i="35"/>
  <c r="N27" i="35"/>
  <c r="L13" i="34"/>
  <c r="N25" i="35"/>
  <c r="O20" i="36"/>
  <c r="AX58" i="55"/>
  <c r="AX87" i="55"/>
  <c r="AX84" i="55"/>
  <c r="AX85" i="55"/>
  <c r="AX66" i="55"/>
  <c r="AX52" i="55"/>
  <c r="AX80" i="55"/>
  <c r="AX76" i="55"/>
  <c r="AX97" i="55"/>
  <c r="AX62" i="55"/>
  <c r="AX92" i="55"/>
  <c r="AX59" i="55"/>
  <c r="AX68" i="55"/>
  <c r="AX95" i="55"/>
  <c r="AX101" i="55"/>
  <c r="AX96" i="55"/>
  <c r="AX83" i="55"/>
  <c r="AX88" i="55"/>
  <c r="AX90" i="55"/>
  <c r="AX65" i="55"/>
  <c r="AX98" i="55"/>
  <c r="AX72" i="55"/>
  <c r="AX89" i="55"/>
  <c r="AX99" i="55"/>
  <c r="AX86" i="55"/>
  <c r="AX69" i="55"/>
  <c r="AX82" i="55"/>
  <c r="AX91" i="55"/>
  <c r="AX57" i="55"/>
  <c r="AX60" i="55"/>
  <c r="AX94" i="55"/>
  <c r="AX100" i="55"/>
  <c r="AX78" i="55"/>
  <c r="AX55" i="55"/>
  <c r="AX54" i="55"/>
  <c r="AX56" i="55"/>
  <c r="AX93" i="55"/>
  <c r="AX64" i="55"/>
  <c r="AX67" i="55"/>
  <c r="AX75" i="55"/>
  <c r="AX77" i="55"/>
  <c r="AX61" i="55"/>
  <c r="AX81" i="55"/>
  <c r="AX74" i="55"/>
  <c r="AX53" i="55"/>
  <c r="AX63" i="55"/>
  <c r="AX73" i="55"/>
  <c r="AX71" i="55"/>
  <c r="AX79" i="55"/>
  <c r="AX70" i="55"/>
  <c r="I13" i="34"/>
  <c r="K13" i="34" s="1"/>
  <c r="AV79" i="55"/>
  <c r="AV67" i="55"/>
  <c r="AV53" i="55"/>
  <c r="AV86" i="55"/>
  <c r="AV72" i="55"/>
  <c r="AV63" i="55"/>
  <c r="AV82" i="55"/>
  <c r="AV100" i="55"/>
  <c r="AV64" i="55"/>
  <c r="AV62" i="55"/>
  <c r="AV75" i="55"/>
  <c r="AV52" i="55"/>
  <c r="AV87" i="55"/>
  <c r="AV74" i="55"/>
  <c r="AV76" i="55"/>
  <c r="AV101" i="55"/>
  <c r="AV58" i="55"/>
  <c r="AV96" i="55"/>
  <c r="AV90" i="55"/>
  <c r="AV71" i="55"/>
  <c r="AV77" i="55"/>
  <c r="AV70" i="55"/>
  <c r="AV80" i="55"/>
  <c r="AV57" i="55"/>
  <c r="AV99" i="55"/>
  <c r="AV56" i="55"/>
  <c r="AV91" i="55"/>
  <c r="AV73" i="55"/>
  <c r="AV66" i="55"/>
  <c r="AV88" i="55"/>
  <c r="AV83" i="55"/>
  <c r="AV84" i="55"/>
  <c r="AV59" i="55"/>
  <c r="AV68" i="55"/>
  <c r="AV61" i="55"/>
  <c r="AV55" i="55"/>
  <c r="AV94" i="55"/>
  <c r="AV78" i="55"/>
  <c r="AV54" i="55"/>
  <c r="AV93" i="55"/>
  <c r="AV89" i="55"/>
  <c r="AV95" i="55"/>
  <c r="AV60" i="55"/>
  <c r="AV97" i="55"/>
  <c r="AV65" i="55"/>
  <c r="AV85" i="55"/>
  <c r="AV98" i="55"/>
  <c r="AV81" i="55"/>
  <c r="AV92" i="55"/>
  <c r="AV69" i="55"/>
  <c r="L11" i="34"/>
  <c r="I11" i="34"/>
  <c r="L20" i="36"/>
  <c r="F38" i="5"/>
  <c r="F39" i="5" s="1"/>
  <c r="L7" i="33"/>
  <c r="L2" i="55" s="1"/>
  <c r="J2" i="55"/>
  <c r="K7" i="33"/>
  <c r="E38" i="5"/>
  <c r="E39" i="5" s="1"/>
  <c r="N11" i="36"/>
  <c r="O11" i="36"/>
  <c r="L7" i="36"/>
  <c r="Y2" i="55"/>
  <c r="O7" i="36"/>
  <c r="O14" i="4"/>
  <c r="N14" i="4"/>
  <c r="W25" i="55" l="1"/>
  <c r="W27" i="58"/>
  <c r="W27" i="57"/>
  <c r="W52" i="58"/>
  <c r="W51" i="57"/>
  <c r="AJ86" i="58"/>
  <c r="AJ85" i="57"/>
  <c r="N15" i="4"/>
  <c r="I10" i="35" s="1"/>
  <c r="O15" i="4"/>
  <c r="J10" i="35" s="1"/>
  <c r="O10" i="1"/>
  <c r="K26" i="36" s="1"/>
  <c r="O26" i="36" s="1"/>
  <c r="I26" i="36"/>
  <c r="N10" i="1"/>
  <c r="J26" i="36" s="1"/>
  <c r="AH122" i="58"/>
  <c r="AH122" i="55"/>
  <c r="AI122" i="58"/>
  <c r="AI122" i="57"/>
  <c r="AI122" i="55"/>
  <c r="AJ45" i="55"/>
  <c r="AJ46" i="57"/>
  <c r="W63" i="57"/>
  <c r="W63" i="58"/>
  <c r="W40" i="55"/>
  <c r="W21" i="55"/>
  <c r="W89" i="57"/>
  <c r="W89" i="58"/>
  <c r="AJ31" i="57"/>
  <c r="AJ32" i="58"/>
  <c r="AJ138" i="55"/>
  <c r="AJ137" i="57"/>
  <c r="W21" i="58"/>
  <c r="W22" i="57"/>
  <c r="AJ52" i="55"/>
  <c r="AJ52" i="57"/>
  <c r="AH97" i="58"/>
  <c r="AH93" i="57"/>
  <c r="AI97" i="58"/>
  <c r="AI93" i="57"/>
  <c r="AI94" i="55"/>
  <c r="W85" i="55"/>
  <c r="AJ123" i="55"/>
  <c r="AJ123" i="58"/>
  <c r="V53" i="55"/>
  <c r="V19" i="55"/>
  <c r="AH92" i="57"/>
  <c r="AH92" i="58"/>
  <c r="AH92" i="55"/>
  <c r="V52" i="58"/>
  <c r="V51" i="57"/>
  <c r="V19" i="57"/>
  <c r="V18" i="58"/>
  <c r="AH39" i="58"/>
  <c r="AH42" i="57"/>
  <c r="H96" i="35"/>
  <c r="O19" i="16"/>
  <c r="J96" i="35" s="1"/>
  <c r="N19" i="16"/>
  <c r="I96" i="35" s="1"/>
  <c r="K96" i="35" s="1"/>
  <c r="N23" i="16"/>
  <c r="G45" i="34" s="1"/>
  <c r="O23" i="16"/>
  <c r="H45" i="34" s="1"/>
  <c r="F45" i="34"/>
  <c r="I74" i="36"/>
  <c r="X85" i="58" s="1"/>
  <c r="N8" i="16"/>
  <c r="J74" i="36" s="1"/>
  <c r="Y85" i="58" s="1"/>
  <c r="O8" i="16"/>
  <c r="K74" i="36" s="1"/>
  <c r="Z85" i="58" s="1"/>
  <c r="AI39" i="58"/>
  <c r="AI38" i="55"/>
  <c r="AI33" i="57"/>
  <c r="AI36" i="58"/>
  <c r="AH33" i="55"/>
  <c r="AH36" i="58"/>
  <c r="AH33" i="57"/>
  <c r="AJ64" i="55"/>
  <c r="I78" i="36"/>
  <c r="L14" i="55"/>
  <c r="L14" i="58"/>
  <c r="L14" i="57"/>
  <c r="U64" i="55"/>
  <c r="U63" i="57"/>
  <c r="U63" i="58"/>
  <c r="V63" i="57"/>
  <c r="V63" i="58"/>
  <c r="U50" i="58"/>
  <c r="U53" i="57"/>
  <c r="V50" i="58"/>
  <c r="V53" i="57"/>
  <c r="F29" i="57"/>
  <c r="F29" i="58"/>
  <c r="G29" i="58"/>
  <c r="G29" i="57"/>
  <c r="W48" i="55"/>
  <c r="W49" i="58"/>
  <c r="AJ106" i="55"/>
  <c r="AJ104" i="57"/>
  <c r="AJ81" i="55"/>
  <c r="AJ83" i="58"/>
  <c r="AJ82" i="55"/>
  <c r="W72" i="55"/>
  <c r="W72" i="57"/>
  <c r="W72" i="58"/>
  <c r="AU20" i="58"/>
  <c r="AU20" i="57"/>
  <c r="AU20" i="55"/>
  <c r="AJ69" i="57"/>
  <c r="AJ73" i="57"/>
  <c r="AJ76" i="58"/>
  <c r="AJ91" i="55"/>
  <c r="AJ98" i="58"/>
  <c r="AU6" i="55"/>
  <c r="X68" i="58"/>
  <c r="W68" i="58"/>
  <c r="W65" i="57"/>
  <c r="AJ92" i="55"/>
  <c r="AJ100" i="58"/>
  <c r="H8" i="35"/>
  <c r="O13" i="4"/>
  <c r="J8" i="35" s="1"/>
  <c r="AM8" i="57" s="1"/>
  <c r="N13" i="4"/>
  <c r="I8" i="35" s="1"/>
  <c r="O22" i="4"/>
  <c r="H5" i="34" s="1"/>
  <c r="N22" i="4"/>
  <c r="G5" i="34" s="1"/>
  <c r="O8" i="4"/>
  <c r="K9" i="36" s="1"/>
  <c r="I9" i="36"/>
  <c r="N8" i="4"/>
  <c r="J9" i="36" s="1"/>
  <c r="L9" i="36" s="1"/>
  <c r="AJ78" i="57"/>
  <c r="AJ80" i="58"/>
  <c r="AK78" i="57"/>
  <c r="AK80" i="58"/>
  <c r="AI139" i="58"/>
  <c r="AI137" i="57"/>
  <c r="AH137" i="57"/>
  <c r="AH139" i="58"/>
  <c r="G19" i="58"/>
  <c r="G19" i="57"/>
  <c r="G19" i="55"/>
  <c r="AU50" i="58"/>
  <c r="AU49" i="57"/>
  <c r="AU50" i="55"/>
  <c r="W64" i="57"/>
  <c r="W64" i="58"/>
  <c r="AJ102" i="55"/>
  <c r="AJ82" i="58"/>
  <c r="AK65" i="57"/>
  <c r="AK65" i="58"/>
  <c r="AJ140" i="57"/>
  <c r="AJ140" i="55"/>
  <c r="AJ127" i="58"/>
  <c r="AJ127" i="57"/>
  <c r="AJ108" i="55"/>
  <c r="AJ121" i="57"/>
  <c r="AJ121" i="58"/>
  <c r="U8" i="57"/>
  <c r="U9" i="58"/>
  <c r="U8" i="55"/>
  <c r="AJ120" i="55"/>
  <c r="I157" i="36"/>
  <c r="N6" i="31"/>
  <c r="J157" i="36" s="1"/>
  <c r="O6" i="31"/>
  <c r="K157" i="36" s="1"/>
  <c r="W39" i="55"/>
  <c r="X41" i="57"/>
  <c r="X41" i="58"/>
  <c r="W41" i="58"/>
  <c r="W41" i="57"/>
  <c r="W59" i="57"/>
  <c r="W60" i="58"/>
  <c r="W39" i="58"/>
  <c r="W38" i="57"/>
  <c r="AJ18" i="57"/>
  <c r="AJ16" i="58"/>
  <c r="AU29" i="55"/>
  <c r="AU21" i="57"/>
  <c r="AU21" i="58"/>
  <c r="AU21" i="55"/>
  <c r="AJ112" i="58"/>
  <c r="AJ112" i="57"/>
  <c r="AJ120" i="58"/>
  <c r="AJ120" i="57"/>
  <c r="AJ133" i="58"/>
  <c r="AJ133" i="57"/>
  <c r="AJ133" i="55"/>
  <c r="AJ60" i="55"/>
  <c r="AJ58" i="58"/>
  <c r="AJ60" i="57"/>
  <c r="N8" i="29"/>
  <c r="J149" i="36" s="1"/>
  <c r="O8" i="29"/>
  <c r="K149" i="36" s="1"/>
  <c r="I149" i="36"/>
  <c r="O149" i="36" s="1"/>
  <c r="W73" i="58"/>
  <c r="W73" i="57"/>
  <c r="W83" i="55"/>
  <c r="AJ60" i="58"/>
  <c r="AJ61" i="57"/>
  <c r="AJ45" i="57"/>
  <c r="AJ47" i="58"/>
  <c r="AK106" i="57"/>
  <c r="AK106" i="58"/>
  <c r="W10" i="55"/>
  <c r="W29" i="57"/>
  <c r="W29" i="58"/>
  <c r="W64" i="55"/>
  <c r="W28" i="57"/>
  <c r="W26" i="58"/>
  <c r="AU31" i="57"/>
  <c r="AU31" i="58"/>
  <c r="AJ20" i="57"/>
  <c r="AJ19" i="58"/>
  <c r="X83" i="55"/>
  <c r="AU30" i="55"/>
  <c r="AJ3" i="55"/>
  <c r="AJ124" i="58"/>
  <c r="AJ123" i="57"/>
  <c r="W78" i="55"/>
  <c r="W85" i="57"/>
  <c r="W78" i="58"/>
  <c r="G26" i="57"/>
  <c r="G26" i="58"/>
  <c r="F27" i="55"/>
  <c r="F26" i="58"/>
  <c r="F26" i="57"/>
  <c r="AJ59" i="58"/>
  <c r="AJ59" i="57"/>
  <c r="AU30" i="58"/>
  <c r="AU30" i="57"/>
  <c r="W24" i="55"/>
  <c r="W21" i="57"/>
  <c r="W22" i="58"/>
  <c r="W45" i="58"/>
  <c r="W45" i="57"/>
  <c r="AJ3" i="57"/>
  <c r="AJ3" i="58"/>
  <c r="AU38" i="55"/>
  <c r="AU43" i="58"/>
  <c r="AU43" i="57"/>
  <c r="AJ86" i="57"/>
  <c r="AJ85" i="58"/>
  <c r="W70" i="55"/>
  <c r="AJ39" i="55"/>
  <c r="AU36" i="55"/>
  <c r="AJ107" i="55"/>
  <c r="AJ108" i="57"/>
  <c r="AJ108" i="58"/>
  <c r="AU10" i="55"/>
  <c r="AU9" i="57"/>
  <c r="AU9" i="58"/>
  <c r="AJ111" i="55"/>
  <c r="AJ111" i="57"/>
  <c r="AJ107" i="58"/>
  <c r="W4" i="57"/>
  <c r="W5" i="58"/>
  <c r="Y5" i="58"/>
  <c r="Y4" i="57"/>
  <c r="W75" i="57"/>
  <c r="W76" i="58"/>
  <c r="W75" i="55"/>
  <c r="AU36" i="57"/>
  <c r="AU35" i="58"/>
  <c r="AK24" i="57"/>
  <c r="AK24" i="58"/>
  <c r="AJ24" i="58"/>
  <c r="AJ24" i="57"/>
  <c r="AJ39" i="57"/>
  <c r="AJ39" i="58"/>
  <c r="AK107" i="55"/>
  <c r="AK108" i="57"/>
  <c r="AK108" i="58"/>
  <c r="W69" i="58"/>
  <c r="W70" i="57"/>
  <c r="AU37" i="55"/>
  <c r="AJ32" i="57"/>
  <c r="AJ31" i="58"/>
  <c r="AK32" i="57"/>
  <c r="AK31" i="58"/>
  <c r="AJ83" i="55"/>
  <c r="AJ102" i="57"/>
  <c r="AJ103" i="58"/>
  <c r="W51" i="58"/>
  <c r="W55" i="57"/>
  <c r="X51" i="58"/>
  <c r="X55" i="57"/>
  <c r="AU17" i="55"/>
  <c r="AU16" i="58"/>
  <c r="AU16" i="57"/>
  <c r="AW17" i="55"/>
  <c r="AW16" i="58"/>
  <c r="AW16" i="57"/>
  <c r="AU37" i="58"/>
  <c r="AU37" i="57"/>
  <c r="W59" i="55"/>
  <c r="W84" i="55"/>
  <c r="W82" i="58"/>
  <c r="W83" i="57"/>
  <c r="AJ16" i="57"/>
  <c r="AJ17" i="58"/>
  <c r="AJ134" i="58"/>
  <c r="AJ135" i="57"/>
  <c r="W11" i="58"/>
  <c r="W13" i="57"/>
  <c r="AI140" i="58"/>
  <c r="AI139" i="57"/>
  <c r="AI139" i="55"/>
  <c r="AH139" i="57"/>
  <c r="AH140" i="58"/>
  <c r="AH139" i="55"/>
  <c r="F9" i="57"/>
  <c r="F9" i="58"/>
  <c r="L9" i="55"/>
  <c r="L9" i="57"/>
  <c r="L9" i="58"/>
  <c r="K36" i="55"/>
  <c r="K9" i="55"/>
  <c r="K9" i="57"/>
  <c r="K9" i="58"/>
  <c r="W88" i="57"/>
  <c r="W84" i="58"/>
  <c r="AJ34" i="58"/>
  <c r="AJ33" i="57"/>
  <c r="AU28" i="58"/>
  <c r="AU25" i="57"/>
  <c r="W81" i="57"/>
  <c r="W86" i="58"/>
  <c r="AJ110" i="55"/>
  <c r="AJ113" i="55"/>
  <c r="AJ113" i="57"/>
  <c r="AJ114" i="58"/>
  <c r="W46" i="55"/>
  <c r="W46" i="57"/>
  <c r="W44" i="58"/>
  <c r="AJ138" i="58"/>
  <c r="AJ138" i="57"/>
  <c r="AJ34" i="55"/>
  <c r="AJ13" i="58"/>
  <c r="AJ13" i="57"/>
  <c r="W35" i="55"/>
  <c r="W20" i="58"/>
  <c r="W19" i="57"/>
  <c r="W30" i="55"/>
  <c r="AJ48" i="58"/>
  <c r="AJ49" i="57"/>
  <c r="F15" i="55"/>
  <c r="F3" i="57"/>
  <c r="F3" i="58"/>
  <c r="AJ115" i="55"/>
  <c r="AJ113" i="58"/>
  <c r="AJ115" i="57"/>
  <c r="AK9" i="57"/>
  <c r="AK9" i="58"/>
  <c r="AJ9" i="58"/>
  <c r="AJ9" i="57"/>
  <c r="AJ93" i="55"/>
  <c r="AJ101" i="58"/>
  <c r="AJ98" i="57"/>
  <c r="W18" i="55"/>
  <c r="W25" i="58"/>
  <c r="W24" i="57"/>
  <c r="W23" i="55"/>
  <c r="AK100" i="58"/>
  <c r="AK101" i="57"/>
  <c r="AJ71" i="58"/>
  <c r="AJ72" i="57"/>
  <c r="AJ70" i="55"/>
  <c r="AU19" i="55"/>
  <c r="AU18" i="58"/>
  <c r="AU19" i="57"/>
  <c r="AW19" i="57"/>
  <c r="AW18" i="58"/>
  <c r="W45" i="55"/>
  <c r="W31" i="58"/>
  <c r="W30" i="57"/>
  <c r="X45" i="55"/>
  <c r="X31" i="58"/>
  <c r="X30" i="57"/>
  <c r="AU48" i="55"/>
  <c r="AU48" i="58"/>
  <c r="AU48" i="57"/>
  <c r="AJ41" i="55"/>
  <c r="AJ75" i="58"/>
  <c r="AJ75" i="57"/>
  <c r="AJ4" i="55"/>
  <c r="AJ6" i="58"/>
  <c r="AJ6" i="57"/>
  <c r="AK6" i="57"/>
  <c r="AK6" i="58"/>
  <c r="AJ40" i="57"/>
  <c r="AJ41" i="58"/>
  <c r="W29" i="55"/>
  <c r="W39" i="57"/>
  <c r="W40" i="58"/>
  <c r="AU9" i="55"/>
  <c r="AU18" i="55"/>
  <c r="AU18" i="57"/>
  <c r="AU19" i="58"/>
  <c r="W38" i="55"/>
  <c r="W37" i="57"/>
  <c r="W33" i="58"/>
  <c r="Y37" i="57"/>
  <c r="Y33" i="58"/>
  <c r="W70" i="58"/>
  <c r="W71" i="57"/>
  <c r="W71" i="55"/>
  <c r="U13" i="55"/>
  <c r="U7" i="55"/>
  <c r="U7" i="57"/>
  <c r="U6" i="58"/>
  <c r="AI105" i="57"/>
  <c r="AI105" i="58"/>
  <c r="AI109" i="55"/>
  <c r="AH105" i="58"/>
  <c r="AH105" i="57"/>
  <c r="AH109" i="55"/>
  <c r="L16" i="58"/>
  <c r="L16" i="57"/>
  <c r="L28" i="55"/>
  <c r="K16" i="55"/>
  <c r="K16" i="58"/>
  <c r="K16" i="57"/>
  <c r="K28" i="55"/>
  <c r="AJ131" i="55"/>
  <c r="F16" i="55"/>
  <c r="G16" i="55"/>
  <c r="G16" i="57"/>
  <c r="G16" i="58"/>
  <c r="F28" i="55"/>
  <c r="F16" i="57"/>
  <c r="F16" i="58"/>
  <c r="W36" i="55"/>
  <c r="W16" i="55"/>
  <c r="W67" i="55"/>
  <c r="W36" i="57"/>
  <c r="W35" i="58"/>
  <c r="AJ13" i="55"/>
  <c r="AJ25" i="57"/>
  <c r="AJ27" i="58"/>
  <c r="W7" i="55"/>
  <c r="W15" i="57"/>
  <c r="W15" i="58"/>
  <c r="X15" i="57"/>
  <c r="X15" i="58"/>
  <c r="AJ132" i="58"/>
  <c r="AJ131" i="57"/>
  <c r="AJ8" i="55"/>
  <c r="AJ2" i="58"/>
  <c r="AJ2" i="57"/>
  <c r="AV28" i="57"/>
  <c r="AV22" i="58"/>
  <c r="AU28" i="57"/>
  <c r="AU22" i="58"/>
  <c r="AU40" i="55"/>
  <c r="AU39" i="55"/>
  <c r="AU39" i="57"/>
  <c r="AU40" i="58"/>
  <c r="AJ96" i="55"/>
  <c r="AJ105" i="58"/>
  <c r="AJ105" i="57"/>
  <c r="AU42" i="57"/>
  <c r="AU42" i="58"/>
  <c r="AJ19" i="55"/>
  <c r="AU26" i="55"/>
  <c r="U73" i="55"/>
  <c r="U60" i="55"/>
  <c r="U60" i="57"/>
  <c r="U59" i="58"/>
  <c r="V73" i="55"/>
  <c r="V60" i="55"/>
  <c r="V60" i="57"/>
  <c r="V59" i="58"/>
  <c r="U65" i="58"/>
  <c r="U62" i="57"/>
  <c r="U66" i="55"/>
  <c r="V66" i="55"/>
  <c r="V62" i="57"/>
  <c r="V65" i="58"/>
  <c r="K13" i="58"/>
  <c r="K13" i="57"/>
  <c r="L20" i="55"/>
  <c r="L13" i="57"/>
  <c r="L13" i="58"/>
  <c r="AH56" i="58"/>
  <c r="AH58" i="57"/>
  <c r="AI56" i="58"/>
  <c r="AI58" i="57"/>
  <c r="AH66" i="58"/>
  <c r="AH64" i="57"/>
  <c r="AI66" i="58"/>
  <c r="AI64" i="57"/>
  <c r="AI67" i="55"/>
  <c r="H35" i="58"/>
  <c r="H35" i="57"/>
  <c r="F35" i="58"/>
  <c r="F35" i="57"/>
  <c r="G35" i="58"/>
  <c r="G35" i="57"/>
  <c r="F35" i="55"/>
  <c r="F39" i="55"/>
  <c r="F33" i="57"/>
  <c r="F33" i="58"/>
  <c r="F33" i="55"/>
  <c r="K39" i="55"/>
  <c r="K33" i="57"/>
  <c r="K33" i="58"/>
  <c r="L39" i="55"/>
  <c r="L33" i="57"/>
  <c r="L33" i="58"/>
  <c r="L33" i="55"/>
  <c r="W57" i="55"/>
  <c r="AJ58" i="55"/>
  <c r="AU2" i="55"/>
  <c r="AU2" i="57"/>
  <c r="AU2" i="58"/>
  <c r="AJ67" i="55"/>
  <c r="AJ64" i="57"/>
  <c r="AJ66" i="58"/>
  <c r="AJ86" i="55"/>
  <c r="AJ89" i="57"/>
  <c r="AJ89" i="58"/>
  <c r="AJ98" i="55"/>
  <c r="W8" i="57"/>
  <c r="W8" i="58"/>
  <c r="W55" i="58"/>
  <c r="W57" i="57"/>
  <c r="AJ58" i="57"/>
  <c r="AJ56" i="58"/>
  <c r="AU44" i="57"/>
  <c r="AU44" i="58"/>
  <c r="AJ85" i="55"/>
  <c r="AJ74" i="57"/>
  <c r="AJ73" i="58"/>
  <c r="H38" i="55"/>
  <c r="F14" i="55"/>
  <c r="F10" i="55"/>
  <c r="F14" i="57"/>
  <c r="F14" i="58"/>
  <c r="G14" i="57"/>
  <c r="G14" i="58"/>
  <c r="H8" i="55"/>
  <c r="H38" i="58"/>
  <c r="H38" i="57"/>
  <c r="G38" i="57"/>
  <c r="G38" i="58"/>
  <c r="F38" i="57"/>
  <c r="F38" i="58"/>
  <c r="AI130" i="58"/>
  <c r="AI130" i="57"/>
  <c r="AI130" i="55"/>
  <c r="AH113" i="55"/>
  <c r="AH130" i="58"/>
  <c r="AH130" i="57"/>
  <c r="AH130" i="55"/>
  <c r="AI54" i="55"/>
  <c r="AI53" i="58"/>
  <c r="AI54" i="57"/>
  <c r="AH54" i="55"/>
  <c r="AH54" i="57"/>
  <c r="AH53" i="58"/>
  <c r="AH44" i="55"/>
  <c r="AH12" i="58"/>
  <c r="AH12" i="57"/>
  <c r="AH12" i="55"/>
  <c r="AJ48" i="55"/>
  <c r="AI37" i="55"/>
  <c r="AI36" i="57"/>
  <c r="AI35" i="58"/>
  <c r="AH36" i="57"/>
  <c r="AH35" i="58"/>
  <c r="AI117" i="55"/>
  <c r="AI40" i="58"/>
  <c r="AI43" i="57"/>
  <c r="AH40" i="58"/>
  <c r="AH43" i="57"/>
  <c r="AH48" i="55"/>
  <c r="U62" i="55"/>
  <c r="U42" i="55"/>
  <c r="U42" i="58"/>
  <c r="U42" i="57"/>
  <c r="K18" i="55"/>
  <c r="K10" i="58"/>
  <c r="K10" i="57"/>
  <c r="AJ101" i="55"/>
  <c r="W26" i="55"/>
  <c r="AJ42" i="55"/>
  <c r="X79" i="55"/>
  <c r="AU16" i="55"/>
  <c r="AU17" i="58"/>
  <c r="AU17" i="57"/>
  <c r="AJ35" i="58"/>
  <c r="AJ36" i="57"/>
  <c r="W24" i="58"/>
  <c r="W26" i="57"/>
  <c r="AJ40" i="58"/>
  <c r="AJ43" i="57"/>
  <c r="AJ38" i="55"/>
  <c r="AJ102" i="58"/>
  <c r="AJ103" i="57"/>
  <c r="AJ42" i="57"/>
  <c r="AJ42" i="58"/>
  <c r="W42" i="57"/>
  <c r="W42" i="58"/>
  <c r="W42" i="55"/>
  <c r="X86" i="55"/>
  <c r="X78" i="57"/>
  <c r="X79" i="58"/>
  <c r="L18" i="55"/>
  <c r="L10" i="58"/>
  <c r="L10" i="57"/>
  <c r="L10" i="55"/>
  <c r="V42" i="55"/>
  <c r="V42" i="57"/>
  <c r="V42" i="58"/>
  <c r="V26" i="57"/>
  <c r="V24" i="58"/>
  <c r="V26" i="55"/>
  <c r="AJ134" i="57"/>
  <c r="AJ135" i="58"/>
  <c r="AJ134" i="55"/>
  <c r="N6" i="15"/>
  <c r="J67" i="36" s="1"/>
  <c r="I67" i="36"/>
  <c r="O6" i="15"/>
  <c r="K67" i="36" s="1"/>
  <c r="W5" i="57"/>
  <c r="W4" i="58"/>
  <c r="AJ109" i="57"/>
  <c r="AJ109" i="58"/>
  <c r="AU6" i="57"/>
  <c r="AU6" i="58"/>
  <c r="O24" i="15"/>
  <c r="H43" i="34" s="1"/>
  <c r="N24" i="15"/>
  <c r="G43" i="34" s="1"/>
  <c r="F43" i="34"/>
  <c r="W5" i="55"/>
  <c r="N16" i="15"/>
  <c r="H89" i="35"/>
  <c r="O16" i="15"/>
  <c r="N15" i="15"/>
  <c r="I86" i="35" s="1"/>
  <c r="O15" i="15"/>
  <c r="J86" i="35" s="1"/>
  <c r="K86" i="35" s="1"/>
  <c r="H86" i="35"/>
  <c r="N86" i="35" s="1"/>
  <c r="N22" i="15"/>
  <c r="G41" i="34" s="1"/>
  <c r="O22" i="15"/>
  <c r="H41" i="34" s="1"/>
  <c r="F41" i="34"/>
  <c r="L41" i="34" s="1"/>
  <c r="W56" i="55"/>
  <c r="W80" i="55"/>
  <c r="W79" i="57"/>
  <c r="W88" i="58"/>
  <c r="F30" i="55"/>
  <c r="F25" i="57"/>
  <c r="F25" i="58"/>
  <c r="AJ47" i="55"/>
  <c r="AJ46" i="55"/>
  <c r="AJ48" i="57"/>
  <c r="AJ51" i="58"/>
  <c r="AH28" i="57"/>
  <c r="AH28" i="55"/>
  <c r="AH25" i="58"/>
  <c r="AI28" i="55"/>
  <c r="AI28" i="57"/>
  <c r="AI25" i="58"/>
  <c r="V61" i="55"/>
  <c r="V80" i="55"/>
  <c r="V79" i="57"/>
  <c r="V88" i="58"/>
  <c r="S84" i="57"/>
  <c r="R84" i="57"/>
  <c r="U80" i="55"/>
  <c r="U88" i="58"/>
  <c r="U79" i="57"/>
  <c r="AK52" i="55"/>
  <c r="AK48" i="57"/>
  <c r="AK51" i="58"/>
  <c r="H34" i="55"/>
  <c r="H37" i="58"/>
  <c r="H37" i="57"/>
  <c r="F17" i="55"/>
  <c r="F23" i="57"/>
  <c r="F23" i="58"/>
  <c r="G23" i="58"/>
  <c r="G23" i="57"/>
  <c r="H83" i="35"/>
  <c r="O19" i="14"/>
  <c r="J83" i="35" s="1"/>
  <c r="N19" i="14"/>
  <c r="I83" i="35" s="1"/>
  <c r="I63" i="36"/>
  <c r="O7" i="14"/>
  <c r="K63" i="36" s="1"/>
  <c r="N7" i="14"/>
  <c r="J63" i="36" s="1"/>
  <c r="W63" i="55"/>
  <c r="W52" i="57"/>
  <c r="W54" i="58"/>
  <c r="W50" i="55"/>
  <c r="AU28" i="55"/>
  <c r="AU23" i="58"/>
  <c r="AU22" i="57"/>
  <c r="AJ6" i="55"/>
  <c r="AJ11" i="58"/>
  <c r="AJ11" i="57"/>
  <c r="AJ91" i="57"/>
  <c r="AJ91" i="58"/>
  <c r="AJ50" i="57"/>
  <c r="AJ49" i="58"/>
  <c r="AK136" i="57"/>
  <c r="AK136" i="58"/>
  <c r="AJ136" i="58"/>
  <c r="AJ136" i="57"/>
  <c r="AJ105" i="55"/>
  <c r="AJ88" i="58"/>
  <c r="AJ87" i="57"/>
  <c r="AJ87" i="55"/>
  <c r="AL87" i="57"/>
  <c r="AL88" i="58"/>
  <c r="AL87" i="55"/>
  <c r="W19" i="58"/>
  <c r="W20" i="57"/>
  <c r="X52" i="57"/>
  <c r="X54" i="58"/>
  <c r="V52" i="57"/>
  <c r="V54" i="58"/>
  <c r="V50" i="55"/>
  <c r="V19" i="58"/>
  <c r="V20" i="57"/>
  <c r="V20" i="55"/>
  <c r="AH119" i="55"/>
  <c r="AH136" i="57"/>
  <c r="AH136" i="58"/>
  <c r="AH136" i="55"/>
  <c r="AI119" i="55"/>
  <c r="AI136" i="58"/>
  <c r="AI136" i="57"/>
  <c r="AI136" i="55"/>
  <c r="AI29" i="55"/>
  <c r="AH29" i="55"/>
  <c r="V27" i="55"/>
  <c r="O7" i="11"/>
  <c r="I48" i="36"/>
  <c r="N7" i="11"/>
  <c r="J48" i="36" s="1"/>
  <c r="O24" i="11"/>
  <c r="H31" i="34" s="1"/>
  <c r="AX49" i="55" s="1"/>
  <c r="F31" i="34"/>
  <c r="N24" i="11"/>
  <c r="G31" i="34" s="1"/>
  <c r="N23" i="33"/>
  <c r="M23" i="33"/>
  <c r="H15" i="58"/>
  <c r="H15" i="57"/>
  <c r="AI110" i="58"/>
  <c r="AI110" i="57"/>
  <c r="AI110" i="55"/>
  <c r="AI113" i="55"/>
  <c r="AI92" i="58"/>
  <c r="AI89" i="55"/>
  <c r="AI92" i="57"/>
  <c r="AI28" i="58"/>
  <c r="AI29" i="57"/>
  <c r="AI20" i="55"/>
  <c r="AI37" i="58"/>
  <c r="AI37" i="57"/>
  <c r="AI36" i="55"/>
  <c r="AH28" i="58"/>
  <c r="AH29" i="57"/>
  <c r="AH37" i="58"/>
  <c r="AH37" i="57"/>
  <c r="AH36" i="55"/>
  <c r="AH129" i="58"/>
  <c r="AH128" i="57"/>
  <c r="AH128" i="55"/>
  <c r="AI103" i="55"/>
  <c r="AI129" i="58"/>
  <c r="AI128" i="57"/>
  <c r="AI128" i="55"/>
  <c r="V27" i="58"/>
  <c r="V27" i="57"/>
  <c r="U24" i="55"/>
  <c r="U27" i="57"/>
  <c r="U27" i="58"/>
  <c r="U27" i="55"/>
  <c r="U33" i="55"/>
  <c r="U38" i="58"/>
  <c r="U40" i="57"/>
  <c r="V33" i="55"/>
  <c r="V38" i="58"/>
  <c r="V40" i="57"/>
  <c r="V40" i="55"/>
  <c r="W90" i="55"/>
  <c r="W27" i="55"/>
  <c r="O9" i="11"/>
  <c r="K50" i="36" s="1"/>
  <c r="N9" i="11"/>
  <c r="J50" i="36" s="1"/>
  <c r="I50" i="36"/>
  <c r="O50" i="36" s="1"/>
  <c r="N6" i="11"/>
  <c r="J47" i="36" s="1"/>
  <c r="O6" i="11"/>
  <c r="K47" i="36" s="1"/>
  <c r="I49" i="36"/>
  <c r="O8" i="11"/>
  <c r="K49" i="36" s="1"/>
  <c r="N8" i="11"/>
  <c r="J49" i="36" s="1"/>
  <c r="L49" i="36" s="1"/>
  <c r="AJ36" i="55"/>
  <c r="AJ37" i="58"/>
  <c r="AJ37" i="57"/>
  <c r="AJ29" i="55"/>
  <c r="AJ28" i="58"/>
  <c r="AJ29" i="57"/>
  <c r="H59" i="35"/>
  <c r="AK36" i="55" s="1"/>
  <c r="N14" i="11"/>
  <c r="I59" i="35" s="1"/>
  <c r="AL36" i="55" s="1"/>
  <c r="X27" i="57"/>
  <c r="X27" i="58"/>
  <c r="AL129" i="58"/>
  <c r="AL128" i="57"/>
  <c r="AM129" i="58"/>
  <c r="AM128" i="57"/>
  <c r="Z58" i="57"/>
  <c r="Z58" i="58"/>
  <c r="Y58" i="57"/>
  <c r="Y58" i="58"/>
  <c r="AV49" i="58"/>
  <c r="I31" i="34"/>
  <c r="AW49" i="55"/>
  <c r="AW49" i="58"/>
  <c r="X40" i="57"/>
  <c r="X38" i="58"/>
  <c r="AM78" i="55"/>
  <c r="AM110" i="58"/>
  <c r="AM110" i="57"/>
  <c r="AL78" i="55"/>
  <c r="AL110" i="58"/>
  <c r="AL110" i="57"/>
  <c r="L50" i="36"/>
  <c r="Y91" i="58"/>
  <c r="Y90" i="57"/>
  <c r="X91" i="58"/>
  <c r="X90" i="57"/>
  <c r="K8" i="58"/>
  <c r="K8" i="57"/>
  <c r="K8" i="55"/>
  <c r="L13" i="55"/>
  <c r="L8" i="58"/>
  <c r="L8" i="57"/>
  <c r="L8" i="55"/>
  <c r="AI63" i="58"/>
  <c r="AI62" i="57"/>
  <c r="F34" i="58"/>
  <c r="F34" i="57"/>
  <c r="H34" i="57"/>
  <c r="H34" i="58"/>
  <c r="H41" i="55"/>
  <c r="O8" i="9"/>
  <c r="K39" i="36" s="1"/>
  <c r="N8" i="9"/>
  <c r="J39" i="36" s="1"/>
  <c r="Y46" i="55" s="1"/>
  <c r="I39" i="36"/>
  <c r="F23" i="34"/>
  <c r="N22" i="9"/>
  <c r="G23" i="34" s="1"/>
  <c r="O22" i="9"/>
  <c r="H23" i="34" s="1"/>
  <c r="I38" i="36"/>
  <c r="O7" i="9"/>
  <c r="K38" i="36" s="1"/>
  <c r="N7" i="9"/>
  <c r="J38" i="36" s="1"/>
  <c r="G32" i="9"/>
  <c r="H46" i="35"/>
  <c r="G34" i="57"/>
  <c r="G34" i="58"/>
  <c r="G34" i="55"/>
  <c r="AH62" i="55"/>
  <c r="AH63" i="58"/>
  <c r="AH62" i="57"/>
  <c r="AI35" i="55"/>
  <c r="AI57" i="57"/>
  <c r="AI55" i="58"/>
  <c r="AI56" i="55"/>
  <c r="AH57" i="57"/>
  <c r="AH55" i="58"/>
  <c r="AH56" i="55"/>
  <c r="AH67" i="57"/>
  <c r="AH67" i="58"/>
  <c r="AH74" i="55"/>
  <c r="AI67" i="57"/>
  <c r="AI67" i="58"/>
  <c r="AI74" i="55"/>
  <c r="AJ57" i="57"/>
  <c r="AJ56" i="55"/>
  <c r="AJ55" i="58"/>
  <c r="AH141" i="58"/>
  <c r="AH141" i="57"/>
  <c r="AH141" i="55"/>
  <c r="AI141" i="58"/>
  <c r="AI141" i="57"/>
  <c r="AI141" i="55"/>
  <c r="V37" i="55"/>
  <c r="V48" i="57"/>
  <c r="V57" i="58"/>
  <c r="U37" i="55"/>
  <c r="U57" i="58"/>
  <c r="U48" i="57"/>
  <c r="F32" i="57"/>
  <c r="F32" i="58"/>
  <c r="AJ4" i="57"/>
  <c r="AJ4" i="58"/>
  <c r="AJ2" i="55"/>
  <c r="AJ68" i="58"/>
  <c r="AJ70" i="57"/>
  <c r="AJ16" i="55"/>
  <c r="AK4" i="55"/>
  <c r="AJ18" i="58"/>
  <c r="AJ17" i="57"/>
  <c r="W9" i="57"/>
  <c r="W10" i="58"/>
  <c r="AU32" i="57"/>
  <c r="AU32" i="58"/>
  <c r="W91" i="57"/>
  <c r="W83" i="58"/>
  <c r="X66" i="58"/>
  <c r="X66" i="57"/>
  <c r="AL68" i="58"/>
  <c r="AK65" i="55"/>
  <c r="AK68" i="58"/>
  <c r="AM68" i="58"/>
  <c r="H6" i="55"/>
  <c r="H6" i="58"/>
  <c r="H6" i="57"/>
  <c r="N16" i="33"/>
  <c r="F16" i="47" s="1"/>
  <c r="G6" i="58"/>
  <c r="G6" i="57"/>
  <c r="AL4" i="58"/>
  <c r="AL4" i="57"/>
  <c r="AK4" i="58"/>
  <c r="AK4" i="57"/>
  <c r="AM4" i="58"/>
  <c r="AM4" i="57"/>
  <c r="AH118" i="57"/>
  <c r="AH119" i="58"/>
  <c r="AI119" i="58"/>
  <c r="AI118" i="57"/>
  <c r="H11" i="58"/>
  <c r="H11" i="57"/>
  <c r="I38" i="35"/>
  <c r="I37" i="35"/>
  <c r="AL124" i="57"/>
  <c r="AK124" i="57"/>
  <c r="X30" i="58"/>
  <c r="Z30" i="58"/>
  <c r="AM124" i="57"/>
  <c r="K38" i="35"/>
  <c r="AL119" i="58"/>
  <c r="AK119" i="58"/>
  <c r="Y37" i="58"/>
  <c r="Y35" i="57"/>
  <c r="Z52" i="55"/>
  <c r="Z37" i="58"/>
  <c r="Z35" i="57"/>
  <c r="AL22" i="58"/>
  <c r="AL23" i="57"/>
  <c r="AM34" i="57"/>
  <c r="AM33" i="58"/>
  <c r="AL34" i="57"/>
  <c r="AL33" i="58"/>
  <c r="AM22" i="58"/>
  <c r="AM23" i="57"/>
  <c r="Y30" i="58"/>
  <c r="N19" i="1"/>
  <c r="I33" i="35" s="1"/>
  <c r="O19" i="1"/>
  <c r="J33" i="35" s="1"/>
  <c r="N18" i="1"/>
  <c r="O18" i="1"/>
  <c r="O15" i="1"/>
  <c r="J29" i="35" s="1"/>
  <c r="AM122" i="55" s="1"/>
  <c r="N15" i="1"/>
  <c r="I29" i="35" s="1"/>
  <c r="H29" i="35"/>
  <c r="AJ94" i="57"/>
  <c r="AJ94" i="58"/>
  <c r="O14" i="1"/>
  <c r="J28" i="35" s="1"/>
  <c r="N14" i="1"/>
  <c r="I28" i="35" s="1"/>
  <c r="AJ57" i="58"/>
  <c r="AJ55" i="57"/>
  <c r="H31" i="35"/>
  <c r="O17" i="1"/>
  <c r="N17" i="1"/>
  <c r="I32" i="35" s="1"/>
  <c r="F27" i="57"/>
  <c r="F27" i="58"/>
  <c r="F22" i="55"/>
  <c r="W31" i="55"/>
  <c r="AI90" i="55"/>
  <c r="G11" i="33"/>
  <c r="F32" i="1"/>
  <c r="H27" i="57"/>
  <c r="H27" i="58"/>
  <c r="O6" i="1"/>
  <c r="K22" i="36" s="1"/>
  <c r="N6" i="1"/>
  <c r="J22" i="36" s="1"/>
  <c r="O22" i="36" s="1"/>
  <c r="W32" i="58"/>
  <c r="W32" i="57"/>
  <c r="X32" i="58"/>
  <c r="X32" i="57"/>
  <c r="AL125" i="58"/>
  <c r="AL122" i="57"/>
  <c r="AM125" i="58"/>
  <c r="AM122" i="57"/>
  <c r="AU46" i="58"/>
  <c r="AU46" i="57"/>
  <c r="W43" i="57"/>
  <c r="W43" i="58"/>
  <c r="AU22" i="55"/>
  <c r="AU39" i="58"/>
  <c r="AU40" i="57"/>
  <c r="AH75" i="55"/>
  <c r="AH94" i="58"/>
  <c r="AH94" i="57"/>
  <c r="AI75" i="55"/>
  <c r="AI94" i="58"/>
  <c r="AI94" i="57"/>
  <c r="AW34" i="58"/>
  <c r="AW35" i="57"/>
  <c r="Y6" i="57"/>
  <c r="Y7" i="58"/>
  <c r="I12" i="34"/>
  <c r="AX35" i="57"/>
  <c r="AX34" i="58"/>
  <c r="AM90" i="57"/>
  <c r="AM90" i="58"/>
  <c r="Z7" i="58"/>
  <c r="Z6" i="57"/>
  <c r="AM21" i="57"/>
  <c r="AM23" i="58"/>
  <c r="AL21" i="57"/>
  <c r="AL23" i="58"/>
  <c r="AM131" i="58"/>
  <c r="AM132" i="57"/>
  <c r="AK90" i="57"/>
  <c r="AK90" i="58"/>
  <c r="AL131" i="58"/>
  <c r="AL132" i="57"/>
  <c r="AK131" i="58"/>
  <c r="AK132" i="57"/>
  <c r="AM53" i="57"/>
  <c r="AL53" i="57"/>
  <c r="X52" i="55"/>
  <c r="X56" i="57"/>
  <c r="X50" i="58"/>
  <c r="AM117" i="57"/>
  <c r="AL117" i="57"/>
  <c r="AJ99" i="58"/>
  <c r="AJ97" i="57"/>
  <c r="G36" i="57"/>
  <c r="G36" i="58"/>
  <c r="G32" i="4"/>
  <c r="H6" i="33"/>
  <c r="F36" i="57"/>
  <c r="F36" i="58"/>
  <c r="F26" i="55"/>
  <c r="F36" i="55"/>
  <c r="AJ7" i="55"/>
  <c r="AJ7" i="58"/>
  <c r="AJ7" i="57"/>
  <c r="AU14" i="55"/>
  <c r="AU11" i="58"/>
  <c r="AU10" i="57"/>
  <c r="AX14" i="55"/>
  <c r="AX10" i="57"/>
  <c r="AX11" i="58"/>
  <c r="AJ84" i="58"/>
  <c r="AJ81" i="57"/>
  <c r="AU45" i="58"/>
  <c r="AU47" i="57"/>
  <c r="K26" i="55"/>
  <c r="K36" i="58"/>
  <c r="K36" i="57"/>
  <c r="L26" i="55"/>
  <c r="L36" i="58"/>
  <c r="L36" i="57"/>
  <c r="AK97" i="57"/>
  <c r="AL178" i="58"/>
  <c r="AL169" i="58"/>
  <c r="AL168" i="58"/>
  <c r="AL171" i="58"/>
  <c r="AL186" i="57"/>
  <c r="AL183" i="57"/>
  <c r="AL159" i="58"/>
  <c r="AL164" i="57"/>
  <c r="AL185" i="58"/>
  <c r="AL182" i="58"/>
  <c r="AL146" i="57"/>
  <c r="AL161" i="58"/>
  <c r="AL170" i="58"/>
  <c r="AL154" i="57"/>
  <c r="AL152" i="57"/>
  <c r="AL145" i="57"/>
  <c r="AL180" i="57"/>
  <c r="AL142" i="57"/>
  <c r="AL150" i="58"/>
  <c r="AL151" i="57"/>
  <c r="AL144" i="57"/>
  <c r="AL149" i="58"/>
  <c r="AL171" i="57"/>
  <c r="AL155" i="57"/>
  <c r="AL148" i="58"/>
  <c r="AL150" i="57"/>
  <c r="AL156" i="57"/>
  <c r="AL147" i="58"/>
  <c r="AL164" i="58"/>
  <c r="AL157" i="57"/>
  <c r="AL146" i="58"/>
  <c r="AL162" i="58"/>
  <c r="AL143" i="57"/>
  <c r="AL145" i="58"/>
  <c r="AL159" i="57"/>
  <c r="AL156" i="58"/>
  <c r="AL155" i="58"/>
  <c r="AL152" i="58"/>
  <c r="AL158" i="57"/>
  <c r="AL173" i="58"/>
  <c r="AL153" i="57"/>
  <c r="AL149" i="57"/>
  <c r="AL184" i="57"/>
  <c r="AL147" i="57"/>
  <c r="AL167" i="58"/>
  <c r="AL173" i="57"/>
  <c r="AL172" i="57"/>
  <c r="AL163" i="58"/>
  <c r="AL148" i="57"/>
  <c r="AL176" i="58"/>
  <c r="AL153" i="58"/>
  <c r="AL151" i="58"/>
  <c r="AL181" i="58"/>
  <c r="AL143" i="58"/>
  <c r="AL172" i="58"/>
  <c r="AL142" i="58"/>
  <c r="AL183" i="58"/>
  <c r="AL182" i="57"/>
  <c r="AL170" i="57"/>
  <c r="AL165" i="57"/>
  <c r="AL161" i="57"/>
  <c r="AL160" i="57"/>
  <c r="AL154" i="58"/>
  <c r="AL181" i="57"/>
  <c r="AL167" i="57"/>
  <c r="AL179" i="57"/>
  <c r="AL177" i="57"/>
  <c r="AL176" i="57"/>
  <c r="AL144" i="58"/>
  <c r="AL162" i="57"/>
  <c r="AL174" i="58"/>
  <c r="AL177" i="58"/>
  <c r="AL175" i="57"/>
  <c r="AL169" i="57"/>
  <c r="AL168" i="57"/>
  <c r="AL163" i="57"/>
  <c r="AL166" i="58"/>
  <c r="AL160" i="58"/>
  <c r="AL158" i="58"/>
  <c r="AL175" i="58"/>
  <c r="AL185" i="57"/>
  <c r="AL166" i="57"/>
  <c r="AL165" i="58"/>
  <c r="AL178" i="57"/>
  <c r="AL157" i="58"/>
  <c r="AL174" i="57"/>
  <c r="AL186" i="58"/>
  <c r="AL184" i="58"/>
  <c r="AL180" i="58"/>
  <c r="AL179" i="58"/>
  <c r="AM176" i="57"/>
  <c r="AM165" i="58"/>
  <c r="AM164" i="58"/>
  <c r="AM171" i="58"/>
  <c r="AM177" i="57"/>
  <c r="AM176" i="58"/>
  <c r="AM162" i="57"/>
  <c r="AM181" i="57"/>
  <c r="AM178" i="57"/>
  <c r="AM184" i="57"/>
  <c r="AM182" i="57"/>
  <c r="AM150" i="58"/>
  <c r="AM184" i="58"/>
  <c r="AM149" i="58"/>
  <c r="AM167" i="57"/>
  <c r="AM148" i="58"/>
  <c r="AM185" i="58"/>
  <c r="AM147" i="58"/>
  <c r="AM183" i="58"/>
  <c r="AM146" i="58"/>
  <c r="AM166" i="57"/>
  <c r="AM145" i="58"/>
  <c r="AM174" i="58"/>
  <c r="AM144" i="58"/>
  <c r="AM170" i="58"/>
  <c r="AM150" i="57"/>
  <c r="AM185" i="57"/>
  <c r="AM153" i="57"/>
  <c r="AM158" i="57"/>
  <c r="AM160" i="58"/>
  <c r="AM175" i="58"/>
  <c r="AM152" i="58"/>
  <c r="AM167" i="58"/>
  <c r="AM153" i="58"/>
  <c r="AM154" i="58"/>
  <c r="AM155" i="58"/>
  <c r="AM171" i="57"/>
  <c r="AM143" i="58"/>
  <c r="AM173" i="58"/>
  <c r="AM148" i="57"/>
  <c r="AM172" i="58"/>
  <c r="AM172" i="57"/>
  <c r="AM180" i="58"/>
  <c r="AM151" i="57"/>
  <c r="AM178" i="58"/>
  <c r="AM177" i="58"/>
  <c r="AM160" i="57"/>
  <c r="AM142" i="58"/>
  <c r="AM179" i="57"/>
  <c r="AM151" i="58"/>
  <c r="AM165" i="57"/>
  <c r="AM168" i="57"/>
  <c r="AM175" i="57"/>
  <c r="AM156" i="58"/>
  <c r="AM174" i="57"/>
  <c r="AM145" i="57"/>
  <c r="AM181" i="58"/>
  <c r="AM156" i="57"/>
  <c r="AM159" i="57"/>
  <c r="AM152" i="57"/>
  <c r="AM186" i="57"/>
  <c r="AM142" i="57"/>
  <c r="AM147" i="57"/>
  <c r="AM180" i="57"/>
  <c r="AM173" i="57"/>
  <c r="AM143" i="57"/>
  <c r="AM149" i="57"/>
  <c r="AM164" i="57"/>
  <c r="AM186" i="58"/>
  <c r="AM144" i="57"/>
  <c r="AM169" i="58"/>
  <c r="AM168" i="58"/>
  <c r="AM166" i="58"/>
  <c r="AM161" i="58"/>
  <c r="AM158" i="58"/>
  <c r="AM146" i="57"/>
  <c r="AM182" i="58"/>
  <c r="AM162" i="58"/>
  <c r="AM183" i="57"/>
  <c r="AM163" i="58"/>
  <c r="AM170" i="57"/>
  <c r="AM169" i="57"/>
  <c r="AM155" i="57"/>
  <c r="AM157" i="57"/>
  <c r="AM159" i="58"/>
  <c r="AM157" i="58"/>
  <c r="AM154" i="57"/>
  <c r="AM161" i="57"/>
  <c r="AM179" i="58"/>
  <c r="AM163" i="57"/>
  <c r="AK84" i="58"/>
  <c r="AK7" i="57"/>
  <c r="AK7" i="58"/>
  <c r="AK147" i="58"/>
  <c r="AK146" i="58"/>
  <c r="AK145" i="58"/>
  <c r="AK144" i="58"/>
  <c r="AK182" i="58"/>
  <c r="AK163" i="57"/>
  <c r="AK165" i="58"/>
  <c r="AK166" i="58"/>
  <c r="AK183" i="58"/>
  <c r="AK181" i="58"/>
  <c r="AK164" i="57"/>
  <c r="AK180" i="57"/>
  <c r="AK185" i="57"/>
  <c r="AK184" i="57"/>
  <c r="AK183" i="57"/>
  <c r="AK171" i="57"/>
  <c r="AK168" i="57"/>
  <c r="AK165" i="57"/>
  <c r="AK181" i="57"/>
  <c r="AK176" i="58"/>
  <c r="AK166" i="57"/>
  <c r="AK184" i="58"/>
  <c r="AK145" i="57"/>
  <c r="AK163" i="58"/>
  <c r="AK160" i="57"/>
  <c r="AK182" i="57"/>
  <c r="AK186" i="57"/>
  <c r="AK170" i="57"/>
  <c r="AK185" i="58"/>
  <c r="AK162" i="58"/>
  <c r="AK170" i="58"/>
  <c r="AK179" i="58"/>
  <c r="AK157" i="58"/>
  <c r="AK158" i="57"/>
  <c r="AK156" i="57"/>
  <c r="AK155" i="57"/>
  <c r="AK169" i="57"/>
  <c r="AK143" i="57"/>
  <c r="AK142" i="57"/>
  <c r="AK159" i="57"/>
  <c r="AK178" i="57"/>
  <c r="AK150" i="57"/>
  <c r="AK179" i="57"/>
  <c r="AK175" i="57"/>
  <c r="AK154" i="57"/>
  <c r="AK149" i="57"/>
  <c r="AK161" i="58"/>
  <c r="AK153" i="57"/>
  <c r="AK151" i="57"/>
  <c r="AK173" i="57"/>
  <c r="AK167" i="57"/>
  <c r="AK152" i="57"/>
  <c r="AK147" i="57"/>
  <c r="AK174" i="57"/>
  <c r="AK176" i="57"/>
  <c r="AK186" i="58"/>
  <c r="AK161" i="57"/>
  <c r="AK177" i="57"/>
  <c r="AK151" i="58"/>
  <c r="AK143" i="58"/>
  <c r="AK175" i="58"/>
  <c r="AK142" i="58"/>
  <c r="AK177" i="58"/>
  <c r="AK157" i="57"/>
  <c r="AK169" i="58"/>
  <c r="AK180" i="58"/>
  <c r="AK167" i="58"/>
  <c r="AK164" i="58"/>
  <c r="AK160" i="58"/>
  <c r="AK172" i="58"/>
  <c r="AK172" i="57"/>
  <c r="AK173" i="58"/>
  <c r="AK148" i="57"/>
  <c r="AK174" i="58"/>
  <c r="AK159" i="58"/>
  <c r="AK168" i="58"/>
  <c r="AK178" i="58"/>
  <c r="AK156" i="58"/>
  <c r="AK158" i="58"/>
  <c r="AK155" i="58"/>
  <c r="AK144" i="57"/>
  <c r="AK154" i="58"/>
  <c r="AK171" i="58"/>
  <c r="AK153" i="58"/>
  <c r="AK152" i="58"/>
  <c r="AK150" i="58"/>
  <c r="AK162" i="57"/>
  <c r="AK149" i="58"/>
  <c r="AK148" i="58"/>
  <c r="AK146" i="57"/>
  <c r="AV11" i="58"/>
  <c r="H30" i="57"/>
  <c r="H30" i="58"/>
  <c r="G30" i="57"/>
  <c r="G30" i="58"/>
  <c r="AW11" i="58"/>
  <c r="AJ43" i="55"/>
  <c r="W13" i="58"/>
  <c r="W14" i="57"/>
  <c r="X14" i="57"/>
  <c r="X13" i="58"/>
  <c r="AU3" i="55"/>
  <c r="AU3" i="58"/>
  <c r="AU3" i="57"/>
  <c r="W84" i="57"/>
  <c r="W80" i="58"/>
  <c r="W157" i="58"/>
  <c r="W101" i="58"/>
  <c r="W156" i="58"/>
  <c r="W155" i="58"/>
  <c r="W170" i="58"/>
  <c r="W100" i="58"/>
  <c r="W97" i="58"/>
  <c r="W96" i="58"/>
  <c r="W171" i="57"/>
  <c r="W170" i="57"/>
  <c r="W169" i="57"/>
  <c r="W168" i="57"/>
  <c r="W167" i="57"/>
  <c r="W166" i="57"/>
  <c r="W165" i="57"/>
  <c r="W164" i="57"/>
  <c r="W163" i="57"/>
  <c r="W162" i="57"/>
  <c r="W161" i="57"/>
  <c r="W160" i="57"/>
  <c r="W159" i="57"/>
  <c r="W158" i="57"/>
  <c r="W157" i="57"/>
  <c r="W156" i="57"/>
  <c r="W155" i="57"/>
  <c r="W154" i="57"/>
  <c r="W153" i="57"/>
  <c r="W152" i="57"/>
  <c r="W151" i="57"/>
  <c r="W150" i="57"/>
  <c r="W149" i="57"/>
  <c r="W148" i="57"/>
  <c r="W147" i="57"/>
  <c r="W146" i="57"/>
  <c r="W145" i="57"/>
  <c r="W144" i="57"/>
  <c r="W143" i="57"/>
  <c r="W142" i="57"/>
  <c r="W141" i="57"/>
  <c r="W140" i="57"/>
  <c r="W139" i="57"/>
  <c r="W138" i="57"/>
  <c r="W137" i="57"/>
  <c r="W136" i="57"/>
  <c r="W135" i="57"/>
  <c r="W134" i="57"/>
  <c r="W133" i="57"/>
  <c r="W114" i="57"/>
  <c r="W111" i="57"/>
  <c r="W107" i="57"/>
  <c r="W104" i="57"/>
  <c r="W101" i="57"/>
  <c r="W100" i="57"/>
  <c r="W99" i="57"/>
  <c r="W98" i="57"/>
  <c r="W132" i="57"/>
  <c r="W131" i="57"/>
  <c r="W130" i="57"/>
  <c r="W129" i="57"/>
  <c r="W128" i="57"/>
  <c r="W127" i="57"/>
  <c r="W126" i="57"/>
  <c r="W125" i="57"/>
  <c r="W124" i="57"/>
  <c r="W123" i="57"/>
  <c r="W121" i="57"/>
  <c r="W120" i="57"/>
  <c r="W122" i="57"/>
  <c r="W119" i="57"/>
  <c r="W118" i="57"/>
  <c r="W117" i="57"/>
  <c r="W116" i="57"/>
  <c r="W115" i="57"/>
  <c r="W112" i="57"/>
  <c r="W110" i="57"/>
  <c r="W109" i="57"/>
  <c r="W108" i="57"/>
  <c r="W106" i="57"/>
  <c r="W105" i="57"/>
  <c r="W103" i="57"/>
  <c r="W102" i="57"/>
  <c r="W97" i="57"/>
  <c r="W96" i="57"/>
  <c r="W95" i="57"/>
  <c r="W94" i="57"/>
  <c r="W93" i="57"/>
  <c r="W92" i="57"/>
  <c r="W106" i="58"/>
  <c r="W98" i="58"/>
  <c r="W131" i="58"/>
  <c r="W129" i="58"/>
  <c r="W128" i="58"/>
  <c r="W125" i="58"/>
  <c r="W119" i="58"/>
  <c r="W110" i="58"/>
  <c r="W122" i="58"/>
  <c r="W121" i="58"/>
  <c r="W116" i="58"/>
  <c r="W115" i="58"/>
  <c r="W108" i="58"/>
  <c r="W99" i="58"/>
  <c r="W117" i="58"/>
  <c r="W111" i="58"/>
  <c r="W107" i="58"/>
  <c r="W103" i="58"/>
  <c r="W154" i="58"/>
  <c r="W152" i="58"/>
  <c r="W151" i="58"/>
  <c r="W147" i="58"/>
  <c r="W146" i="58"/>
  <c r="W145" i="58"/>
  <c r="W127" i="58"/>
  <c r="W114" i="58"/>
  <c r="W112" i="58"/>
  <c r="W105" i="58"/>
  <c r="W143" i="58"/>
  <c r="W142" i="58"/>
  <c r="W141" i="58"/>
  <c r="W140" i="58"/>
  <c r="W139" i="58"/>
  <c r="W138" i="58"/>
  <c r="W137" i="58"/>
  <c r="W136" i="58"/>
  <c r="W135" i="58"/>
  <c r="W134" i="58"/>
  <c r="W133" i="58"/>
  <c r="W132" i="58"/>
  <c r="W130" i="58"/>
  <c r="W124" i="58"/>
  <c r="W123" i="58"/>
  <c r="W109" i="58"/>
  <c r="W120" i="58"/>
  <c r="W118" i="58"/>
  <c r="W95" i="58"/>
  <c r="W168" i="58"/>
  <c r="W165" i="58"/>
  <c r="W94" i="58"/>
  <c r="W93" i="58"/>
  <c r="W92" i="58"/>
  <c r="W163" i="58"/>
  <c r="W162" i="58"/>
  <c r="W161" i="58"/>
  <c r="W160" i="58"/>
  <c r="W158" i="58"/>
  <c r="W164" i="58"/>
  <c r="W159" i="58"/>
  <c r="W153" i="58"/>
  <c r="W150" i="58"/>
  <c r="W149" i="58"/>
  <c r="W148" i="58"/>
  <c r="W144" i="58"/>
  <c r="W126" i="58"/>
  <c r="W113" i="58"/>
  <c r="W102" i="58"/>
  <c r="W113" i="57"/>
  <c r="W169" i="58"/>
  <c r="W167" i="58"/>
  <c r="W166" i="58"/>
  <c r="W171" i="58"/>
  <c r="W104" i="58"/>
  <c r="AJ25" i="55"/>
  <c r="AJ30" i="57"/>
  <c r="AJ30" i="58"/>
  <c r="W49" i="55"/>
  <c r="W56" i="58"/>
  <c r="W49" i="57"/>
  <c r="AJ90" i="55"/>
  <c r="AJ44" i="57"/>
  <c r="AJ45" i="58"/>
  <c r="AK90" i="55"/>
  <c r="AK44" i="57"/>
  <c r="W19" i="55"/>
  <c r="W74" i="58"/>
  <c r="W74" i="57"/>
  <c r="AK115" i="58"/>
  <c r="AK107" i="57"/>
  <c r="AJ107" i="57"/>
  <c r="AJ115" i="58"/>
  <c r="H72" i="34"/>
  <c r="L123" i="36"/>
  <c r="AV36" i="58"/>
  <c r="AV34" i="57"/>
  <c r="AW36" i="58"/>
  <c r="AW34" i="57"/>
  <c r="AX24" i="57"/>
  <c r="AX15" i="55"/>
  <c r="AX36" i="58"/>
  <c r="AX34" i="57"/>
  <c r="AW24" i="57"/>
  <c r="Z16" i="57"/>
  <c r="Y16" i="57"/>
  <c r="X16" i="57"/>
  <c r="AK83" i="57"/>
  <c r="AK52" i="58"/>
  <c r="AK52" i="57"/>
  <c r="Z48" i="58"/>
  <c r="Z50" i="57"/>
  <c r="X48" i="58"/>
  <c r="X50" i="57"/>
  <c r="Y48" i="58"/>
  <c r="Y50" i="57"/>
  <c r="X80" i="57"/>
  <c r="X89" i="58"/>
  <c r="AJ97" i="55"/>
  <c r="AJ109" i="55"/>
  <c r="W47" i="55"/>
  <c r="AU46" i="55"/>
  <c r="AU10" i="58"/>
  <c r="AU11" i="57"/>
  <c r="W41" i="55"/>
  <c r="W23" i="58"/>
  <c r="W23" i="57"/>
  <c r="W22" i="55"/>
  <c r="AJ72" i="55"/>
  <c r="AJ88" i="57"/>
  <c r="AJ87" i="58"/>
  <c r="AL88" i="57"/>
  <c r="AL87" i="58"/>
  <c r="W28" i="55"/>
  <c r="W47" i="57"/>
  <c r="W47" i="58"/>
  <c r="AU23" i="55"/>
  <c r="AU47" i="58"/>
  <c r="AU45" i="57"/>
  <c r="AJ49" i="55"/>
  <c r="AJ80" i="57"/>
  <c r="AJ79" i="58"/>
  <c r="AJ80" i="55"/>
  <c r="AJ9" i="55"/>
  <c r="AJ29" i="58"/>
  <c r="AJ26" i="57"/>
  <c r="AJ93" i="57"/>
  <c r="AJ93" i="58"/>
  <c r="G13" i="55"/>
  <c r="H38" i="33"/>
  <c r="AU25" i="58"/>
  <c r="AU26" i="57"/>
  <c r="AJ76" i="55"/>
  <c r="AJ96" i="58"/>
  <c r="AJ95" i="57"/>
  <c r="AJ15" i="55"/>
  <c r="AJ20" i="58"/>
  <c r="AJ19" i="57"/>
  <c r="AL19" i="57"/>
  <c r="AL20" i="58"/>
  <c r="AJ79" i="55"/>
  <c r="AJ44" i="58"/>
  <c r="AJ47" i="57"/>
  <c r="AU27" i="58"/>
  <c r="AU27" i="57"/>
  <c r="AV27" i="58"/>
  <c r="AV27" i="57"/>
  <c r="AJ116" i="57"/>
  <c r="AJ116" i="58"/>
  <c r="W15" i="55"/>
  <c r="W12" i="57"/>
  <c r="W14" i="58"/>
  <c r="W11" i="55"/>
  <c r="F13" i="58"/>
  <c r="F13" i="57"/>
  <c r="F13" i="55"/>
  <c r="G20" i="55"/>
  <c r="G13" i="57"/>
  <c r="G13" i="58"/>
  <c r="W73" i="55"/>
  <c r="W60" i="57"/>
  <c r="W59" i="58"/>
  <c r="W9" i="55"/>
  <c r="AU12" i="55"/>
  <c r="AJ54" i="55"/>
  <c r="AJ130" i="55"/>
  <c r="W75" i="58"/>
  <c r="W76" i="57"/>
  <c r="AU5" i="55"/>
  <c r="AU12" i="58"/>
  <c r="AU12" i="57"/>
  <c r="W11" i="57"/>
  <c r="W12" i="58"/>
  <c r="AJ12" i="57"/>
  <c r="AJ12" i="58"/>
  <c r="AJ130" i="58"/>
  <c r="AJ130" i="57"/>
  <c r="AJ99" i="55"/>
  <c r="AJ66" i="57"/>
  <c r="AJ62" i="58"/>
  <c r="AJ71" i="55"/>
  <c r="W61" i="57"/>
  <c r="W61" i="58"/>
  <c r="AJ53" i="58"/>
  <c r="AJ54" i="57"/>
  <c r="X75" i="55"/>
  <c r="W69" i="55"/>
  <c r="AU8" i="55"/>
  <c r="AJ55" i="55"/>
  <c r="AJ27" i="55"/>
  <c r="AJ103" i="55"/>
  <c r="AU51" i="55"/>
  <c r="AU11" i="55"/>
  <c r="AU7" i="58"/>
  <c r="AU8" i="57"/>
  <c r="AJ50" i="58"/>
  <c r="AJ51" i="57"/>
  <c r="AU51" i="58"/>
  <c r="AU51" i="57"/>
  <c r="W88" i="55"/>
  <c r="W71" i="58"/>
  <c r="W69" i="57"/>
  <c r="AJ95" i="58"/>
  <c r="AJ96" i="57"/>
  <c r="AJ28" i="55"/>
  <c r="AJ54" i="58"/>
  <c r="AJ56" i="57"/>
  <c r="X91" i="55"/>
  <c r="X67" i="58"/>
  <c r="X67" i="57"/>
  <c r="W67" i="58"/>
  <c r="W67" i="57"/>
  <c r="AJ26" i="58"/>
  <c r="AJ27" i="57"/>
  <c r="W8" i="55"/>
  <c r="W16" i="58"/>
  <c r="W17" i="57"/>
  <c r="AK80" i="55"/>
  <c r="AK95" i="58"/>
  <c r="AK96" i="57"/>
  <c r="AJ62" i="55"/>
  <c r="AJ125" i="55"/>
  <c r="AJ141" i="55"/>
  <c r="AJ35" i="55"/>
  <c r="AJ62" i="57"/>
  <c r="AJ63" i="58"/>
  <c r="AJ53" i="55"/>
  <c r="AJ141" i="57"/>
  <c r="AJ141" i="58"/>
  <c r="AJ67" i="57"/>
  <c r="AJ67" i="58"/>
  <c r="AJ74" i="55"/>
  <c r="AK55" i="58"/>
  <c r="AK57" i="57"/>
  <c r="AJ125" i="57"/>
  <c r="AJ122" i="58"/>
  <c r="X42" i="55"/>
  <c r="M31" i="57"/>
  <c r="M31" i="58"/>
  <c r="AN21" i="57"/>
  <c r="AO21" i="57" s="1"/>
  <c r="AY34" i="58"/>
  <c r="AZ34" i="58" s="1"/>
  <c r="M35" i="57"/>
  <c r="M35" i="58"/>
  <c r="AY4" i="57"/>
  <c r="AZ4" i="57" s="1"/>
  <c r="AY4" i="58"/>
  <c r="AZ4" i="58" s="1"/>
  <c r="AN14" i="57"/>
  <c r="AO14" i="57" s="1"/>
  <c r="AN14" i="58"/>
  <c r="AO14" i="58" s="1"/>
  <c r="AY92" i="58"/>
  <c r="AZ92" i="58" s="1"/>
  <c r="AY91" i="58"/>
  <c r="AZ91" i="58" s="1"/>
  <c r="AY64" i="58"/>
  <c r="AZ64" i="58" s="1"/>
  <c r="AY84" i="58"/>
  <c r="AZ84" i="58" s="1"/>
  <c r="AY83" i="58"/>
  <c r="AZ83" i="58" s="1"/>
  <c r="AY76" i="58"/>
  <c r="AZ76" i="58" s="1"/>
  <c r="AY63" i="58"/>
  <c r="AZ63" i="58" s="1"/>
  <c r="AY62" i="58"/>
  <c r="AZ62" i="58" s="1"/>
  <c r="AY60" i="58"/>
  <c r="AZ60" i="58" s="1"/>
  <c r="AY58" i="58"/>
  <c r="AZ58" i="58" s="1"/>
  <c r="AY56" i="58"/>
  <c r="AZ56" i="58" s="1"/>
  <c r="AY88" i="58"/>
  <c r="AZ88" i="58" s="1"/>
  <c r="AY90" i="58"/>
  <c r="AZ90" i="58" s="1"/>
  <c r="AY67" i="58"/>
  <c r="AZ67" i="58" s="1"/>
  <c r="AY101" i="58"/>
  <c r="AZ101" i="58" s="1"/>
  <c r="AY80" i="58"/>
  <c r="AZ80" i="58" s="1"/>
  <c r="AY74" i="58"/>
  <c r="AZ74" i="58" s="1"/>
  <c r="AY70" i="58"/>
  <c r="AZ70" i="58" s="1"/>
  <c r="AY69" i="58"/>
  <c r="AZ69" i="58" s="1"/>
  <c r="AY78" i="58"/>
  <c r="AZ78" i="58" s="1"/>
  <c r="AY94" i="58"/>
  <c r="AZ94" i="58" s="1"/>
  <c r="AY98" i="58"/>
  <c r="AZ98" i="58" s="1"/>
  <c r="AY97" i="58"/>
  <c r="AZ97" i="58" s="1"/>
  <c r="AY96" i="58"/>
  <c r="AZ96" i="58" s="1"/>
  <c r="AY87" i="58"/>
  <c r="AZ87" i="58" s="1"/>
  <c r="AY99" i="58"/>
  <c r="AZ99" i="58" s="1"/>
  <c r="AY72" i="58"/>
  <c r="AZ72" i="58" s="1"/>
  <c r="AY86" i="58"/>
  <c r="AZ86" i="58" s="1"/>
  <c r="AY68" i="58"/>
  <c r="AZ68" i="58" s="1"/>
  <c r="AY85" i="58"/>
  <c r="AZ85" i="58" s="1"/>
  <c r="AY65" i="58"/>
  <c r="AZ65" i="58" s="1"/>
  <c r="AY79" i="58"/>
  <c r="AZ79" i="58" s="1"/>
  <c r="AY82" i="58"/>
  <c r="AZ82" i="58" s="1"/>
  <c r="AY81" i="58"/>
  <c r="AZ81" i="58" s="1"/>
  <c r="AY54" i="58"/>
  <c r="AZ54" i="58" s="1"/>
  <c r="AY73" i="58"/>
  <c r="AZ73" i="58" s="1"/>
  <c r="AY95" i="58"/>
  <c r="AZ95" i="58" s="1"/>
  <c r="AY71" i="58"/>
  <c r="AZ71" i="58" s="1"/>
  <c r="AY75" i="58"/>
  <c r="AZ75" i="58" s="1"/>
  <c r="AY66" i="58"/>
  <c r="AZ66" i="58" s="1"/>
  <c r="AY52" i="58"/>
  <c r="AZ52" i="58" s="1"/>
  <c r="AY61" i="58"/>
  <c r="AZ61" i="58" s="1"/>
  <c r="AY59" i="58"/>
  <c r="AZ59" i="58" s="1"/>
  <c r="AY57" i="58"/>
  <c r="AZ57" i="58" s="1"/>
  <c r="AY55" i="58"/>
  <c r="AZ55" i="58" s="1"/>
  <c r="AY53" i="58"/>
  <c r="AZ53" i="58" s="1"/>
  <c r="AY77" i="58"/>
  <c r="AZ77" i="58" s="1"/>
  <c r="AY93" i="58"/>
  <c r="AZ93" i="58" s="1"/>
  <c r="AY100" i="58"/>
  <c r="AZ100" i="58" s="1"/>
  <c r="AY89" i="58"/>
  <c r="AZ89" i="58" s="1"/>
  <c r="AY14" i="57"/>
  <c r="AZ14" i="57" s="1"/>
  <c r="AY14" i="58"/>
  <c r="AZ14" i="58" s="1"/>
  <c r="AA2" i="57"/>
  <c r="AB2" i="57" s="1"/>
  <c r="AA2" i="58"/>
  <c r="AB2" i="58" s="1"/>
  <c r="F9" i="47"/>
  <c r="M40" i="57"/>
  <c r="M13" i="47"/>
  <c r="AA87" i="57"/>
  <c r="AB87" i="57" s="1"/>
  <c r="AY92" i="57"/>
  <c r="AZ92" i="57" s="1"/>
  <c r="AY91" i="57"/>
  <c r="AZ91" i="57" s="1"/>
  <c r="AY90" i="57"/>
  <c r="AZ90" i="57" s="1"/>
  <c r="AY89" i="57"/>
  <c r="AZ89" i="57" s="1"/>
  <c r="AY77" i="57"/>
  <c r="AZ77" i="57" s="1"/>
  <c r="AY76" i="57"/>
  <c r="AZ76" i="57" s="1"/>
  <c r="AY75" i="57"/>
  <c r="AZ75" i="57" s="1"/>
  <c r="AY74" i="57"/>
  <c r="AZ74" i="57" s="1"/>
  <c r="AY73" i="57"/>
  <c r="AZ73" i="57" s="1"/>
  <c r="AY72" i="57"/>
  <c r="AZ72" i="57" s="1"/>
  <c r="AY71" i="57"/>
  <c r="AZ71" i="57" s="1"/>
  <c r="AY70" i="57"/>
  <c r="AZ70" i="57" s="1"/>
  <c r="AY69" i="57"/>
  <c r="AZ69" i="57" s="1"/>
  <c r="AY68" i="57"/>
  <c r="AZ68" i="57" s="1"/>
  <c r="AY67" i="57"/>
  <c r="AZ67" i="57" s="1"/>
  <c r="AY66" i="57"/>
  <c r="AZ66" i="57" s="1"/>
  <c r="AY65" i="57"/>
  <c r="AZ65" i="57" s="1"/>
  <c r="AY64" i="57"/>
  <c r="AZ64" i="57" s="1"/>
  <c r="AY53" i="57"/>
  <c r="AZ53" i="57" s="1"/>
  <c r="AY52" i="57"/>
  <c r="AZ52" i="57" s="1"/>
  <c r="AY87" i="57"/>
  <c r="AZ87" i="57" s="1"/>
  <c r="AY85" i="57"/>
  <c r="AZ85" i="57" s="1"/>
  <c r="AY101" i="57"/>
  <c r="AZ101" i="57" s="1"/>
  <c r="AY98" i="57"/>
  <c r="AZ98" i="57" s="1"/>
  <c r="AY97" i="57"/>
  <c r="AZ97" i="57" s="1"/>
  <c r="AY95" i="57"/>
  <c r="AZ95" i="57" s="1"/>
  <c r="AY93" i="57"/>
  <c r="AZ93" i="57" s="1"/>
  <c r="AY84" i="57"/>
  <c r="AZ84" i="57" s="1"/>
  <c r="AY82" i="57"/>
  <c r="AZ82" i="57" s="1"/>
  <c r="AY79" i="57"/>
  <c r="AZ79" i="57" s="1"/>
  <c r="AY78" i="57"/>
  <c r="AZ78" i="57" s="1"/>
  <c r="AY100" i="57"/>
  <c r="AZ100" i="57" s="1"/>
  <c r="AY99" i="57"/>
  <c r="AZ99" i="57" s="1"/>
  <c r="AY63" i="57"/>
  <c r="AZ63" i="57" s="1"/>
  <c r="AY62" i="57"/>
  <c r="AZ62" i="57" s="1"/>
  <c r="AY61" i="57"/>
  <c r="AZ61" i="57" s="1"/>
  <c r="AY60" i="57"/>
  <c r="AZ60" i="57" s="1"/>
  <c r="AY59" i="57"/>
  <c r="AZ59" i="57" s="1"/>
  <c r="AY58" i="57"/>
  <c r="AZ58" i="57" s="1"/>
  <c r="AY57" i="57"/>
  <c r="AZ57" i="57" s="1"/>
  <c r="AY56" i="57"/>
  <c r="AZ56" i="57" s="1"/>
  <c r="AY55" i="57"/>
  <c r="AZ55" i="57" s="1"/>
  <c r="AY54" i="57"/>
  <c r="AZ54" i="57" s="1"/>
  <c r="AY86" i="57"/>
  <c r="AZ86" i="57" s="1"/>
  <c r="AY83" i="57"/>
  <c r="AZ83" i="57" s="1"/>
  <c r="AY81" i="57"/>
  <c r="AZ81" i="57" s="1"/>
  <c r="AY80" i="57"/>
  <c r="AZ80" i="57" s="1"/>
  <c r="AY88" i="57"/>
  <c r="AZ88" i="57" s="1"/>
  <c r="AY94" i="57"/>
  <c r="AZ94" i="57" s="1"/>
  <c r="AY96" i="57"/>
  <c r="AZ96" i="57" s="1"/>
  <c r="O10" i="28"/>
  <c r="K141" i="36" s="1"/>
  <c r="N10" i="28"/>
  <c r="J141" i="36" s="1"/>
  <c r="I141" i="36"/>
  <c r="M14" i="33"/>
  <c r="N14" i="33"/>
  <c r="H19" i="55"/>
  <c r="N27" i="33"/>
  <c r="M27" i="33"/>
  <c r="H22" i="55"/>
  <c r="M11" i="33"/>
  <c r="N11" i="33"/>
  <c r="G17" i="55"/>
  <c r="AL176" i="55"/>
  <c r="AL173" i="55"/>
  <c r="AL175" i="55"/>
  <c r="AL185" i="55"/>
  <c r="H11" i="35"/>
  <c r="AK117" i="58" s="1"/>
  <c r="H38" i="4"/>
  <c r="H39" i="4" s="1"/>
  <c r="M25" i="35"/>
  <c r="L25" i="35"/>
  <c r="H186" i="35"/>
  <c r="O15" i="29"/>
  <c r="J186" i="35" s="1"/>
  <c r="N15" i="29"/>
  <c r="I186" i="35" s="1"/>
  <c r="N49" i="33"/>
  <c r="AJ51" i="55"/>
  <c r="AI104" i="55"/>
  <c r="AI118" i="55"/>
  <c r="AH104" i="55"/>
  <c r="AH118" i="55"/>
  <c r="N39" i="35"/>
  <c r="G32" i="17"/>
  <c r="I159" i="36"/>
  <c r="O8" i="31"/>
  <c r="K159" i="36" s="1"/>
  <c r="N8" i="31"/>
  <c r="J159" i="36" s="1"/>
  <c r="G32" i="31"/>
  <c r="H74" i="33"/>
  <c r="H3" i="55" s="1"/>
  <c r="G3" i="55"/>
  <c r="M74" i="33"/>
  <c r="F3" i="55"/>
  <c r="N74" i="33"/>
  <c r="G71" i="33"/>
  <c r="G23" i="55" s="1"/>
  <c r="F32" i="30"/>
  <c r="H71" i="33"/>
  <c r="G32" i="30"/>
  <c r="AJ22" i="55"/>
  <c r="AH73" i="55"/>
  <c r="AI63" i="55"/>
  <c r="AI73" i="55"/>
  <c r="H185" i="35"/>
  <c r="O14" i="29"/>
  <c r="J185" i="35" s="1"/>
  <c r="N14" i="29"/>
  <c r="I185" i="35" s="1"/>
  <c r="G27" i="55"/>
  <c r="H38" i="28"/>
  <c r="H39" i="28" s="1"/>
  <c r="H64" i="33"/>
  <c r="G32" i="28"/>
  <c r="N22" i="2"/>
  <c r="G86" i="34" s="1"/>
  <c r="F86" i="34"/>
  <c r="O22" i="2"/>
  <c r="H86" i="34" s="1"/>
  <c r="N24" i="2"/>
  <c r="G88" i="34" s="1"/>
  <c r="O24" i="2"/>
  <c r="H88" i="34" s="1"/>
  <c r="F88" i="34"/>
  <c r="L88" i="34" s="1"/>
  <c r="H179" i="35"/>
  <c r="N14" i="2"/>
  <c r="I179" i="35" s="1"/>
  <c r="AL70" i="57" s="1"/>
  <c r="O14" i="2"/>
  <c r="J179" i="35" s="1"/>
  <c r="O16" i="2"/>
  <c r="N16" i="2"/>
  <c r="N63" i="33"/>
  <c r="G32" i="27"/>
  <c r="N17" i="27"/>
  <c r="O17" i="27"/>
  <c r="N13" i="26"/>
  <c r="O13" i="26"/>
  <c r="H59" i="33"/>
  <c r="G32" i="26"/>
  <c r="AW15" i="55"/>
  <c r="L71" i="34"/>
  <c r="I71" i="34"/>
  <c r="J155" i="35"/>
  <c r="I155" i="35"/>
  <c r="H53" i="33"/>
  <c r="G32" i="23"/>
  <c r="G53" i="33"/>
  <c r="F32" i="23"/>
  <c r="G32" i="22"/>
  <c r="N52" i="33"/>
  <c r="H48" i="33"/>
  <c r="G32" i="21"/>
  <c r="H136" i="35"/>
  <c r="AK46" i="58" s="1"/>
  <c r="N14" i="21"/>
  <c r="I136" i="35" s="1"/>
  <c r="AL46" i="58" s="1"/>
  <c r="O14" i="21"/>
  <c r="J136" i="35" s="1"/>
  <c r="AM46" i="58" s="1"/>
  <c r="H46" i="33"/>
  <c r="G32" i="20"/>
  <c r="G46" i="33"/>
  <c r="F32" i="20"/>
  <c r="H45" i="33"/>
  <c r="G32" i="19"/>
  <c r="G32" i="18"/>
  <c r="H40" i="33"/>
  <c r="G41" i="33"/>
  <c r="F32" i="18"/>
  <c r="N8" i="18"/>
  <c r="J89" i="36" s="1"/>
  <c r="O8" i="18"/>
  <c r="K89" i="36" s="1"/>
  <c r="Z70" i="55" s="1"/>
  <c r="I89" i="36"/>
  <c r="X70" i="55" s="1"/>
  <c r="I88" i="36"/>
  <c r="O7" i="18"/>
  <c r="K88" i="36" s="1"/>
  <c r="N7" i="18"/>
  <c r="J88" i="36" s="1"/>
  <c r="I85" i="36"/>
  <c r="N9" i="3"/>
  <c r="J85" i="36" s="1"/>
  <c r="L85" i="36" s="1"/>
  <c r="M85" i="36" s="1"/>
  <c r="H103" i="35"/>
  <c r="AK21" i="58" s="1"/>
  <c r="O13" i="3"/>
  <c r="J103" i="35" s="1"/>
  <c r="AM21" i="58" s="1"/>
  <c r="O24" i="3"/>
  <c r="F51" i="34"/>
  <c r="AV26" i="58" s="1"/>
  <c r="H105" i="35"/>
  <c r="N15" i="3"/>
  <c r="I105" i="35" s="1"/>
  <c r="AL98" i="58" s="1"/>
  <c r="O15" i="3"/>
  <c r="J105" i="35" s="1"/>
  <c r="AM98" i="58" s="1"/>
  <c r="N14" i="3"/>
  <c r="I104" i="35" s="1"/>
  <c r="AL46" i="57" s="1"/>
  <c r="O14" i="3"/>
  <c r="J104" i="35" s="1"/>
  <c r="AM46" i="57" s="1"/>
  <c r="H104" i="35"/>
  <c r="O22" i="3"/>
  <c r="H50" i="34" s="1"/>
  <c r="N22" i="3"/>
  <c r="G50" i="34" s="1"/>
  <c r="F32" i="25"/>
  <c r="G42" i="33"/>
  <c r="G32" i="25"/>
  <c r="H42" i="33"/>
  <c r="I92" i="36"/>
  <c r="O6" i="25"/>
  <c r="K92" i="36" s="1"/>
  <c r="N6" i="25"/>
  <c r="J92" i="36" s="1"/>
  <c r="O9" i="25"/>
  <c r="K95" i="36" s="1"/>
  <c r="N9" i="25"/>
  <c r="J95" i="36" s="1"/>
  <c r="L95" i="36" s="1"/>
  <c r="I95" i="36"/>
  <c r="O95" i="36" s="1"/>
  <c r="H38" i="25"/>
  <c r="H39" i="25" s="1"/>
  <c r="F74" i="34"/>
  <c r="O22" i="25"/>
  <c r="H74" i="34" s="1"/>
  <c r="N22" i="25"/>
  <c r="G74" i="34" s="1"/>
  <c r="I93" i="36"/>
  <c r="N7" i="25"/>
  <c r="J93" i="36" s="1"/>
  <c r="O7" i="25"/>
  <c r="K93" i="36" s="1"/>
  <c r="O17" i="25"/>
  <c r="J120" i="35" s="1"/>
  <c r="N17" i="25"/>
  <c r="I120" i="35" s="1"/>
  <c r="H120" i="35"/>
  <c r="H118" i="35"/>
  <c r="O14" i="25"/>
  <c r="N14" i="25"/>
  <c r="N16" i="25"/>
  <c r="I119" i="35" s="1"/>
  <c r="O16" i="25"/>
  <c r="J119" i="35" s="1"/>
  <c r="H119" i="35"/>
  <c r="O18" i="25"/>
  <c r="J121" i="35" s="1"/>
  <c r="N18" i="25"/>
  <c r="I121" i="35" s="1"/>
  <c r="N121" i="35" s="1"/>
  <c r="AJ44" i="55"/>
  <c r="N16" i="17"/>
  <c r="O16" i="17"/>
  <c r="J100" i="35" s="1"/>
  <c r="AM129" i="57" s="1"/>
  <c r="F47" i="34"/>
  <c r="O22" i="17"/>
  <c r="H47" i="34" s="1"/>
  <c r="AX12" i="55" s="1"/>
  <c r="N22" i="17"/>
  <c r="G47" i="34" s="1"/>
  <c r="G32" i="16"/>
  <c r="H34" i="33"/>
  <c r="G34" i="33"/>
  <c r="F32" i="16"/>
  <c r="H46" i="34"/>
  <c r="O22" i="16"/>
  <c r="H44" i="34" s="1"/>
  <c r="F44" i="34"/>
  <c r="N22" i="16"/>
  <c r="G44" i="34" s="1"/>
  <c r="V62" i="55"/>
  <c r="AJ10" i="55"/>
  <c r="W65" i="55"/>
  <c r="H94" i="35"/>
  <c r="H95" i="35"/>
  <c r="I71" i="36"/>
  <c r="N10" i="15"/>
  <c r="J71" i="36" s="1"/>
  <c r="O18" i="15"/>
  <c r="N18" i="15"/>
  <c r="O17" i="15"/>
  <c r="J87" i="35" s="1"/>
  <c r="H87" i="35"/>
  <c r="N17" i="15"/>
  <c r="I87" i="35" s="1"/>
  <c r="O23" i="15"/>
  <c r="H42" i="34" s="1"/>
  <c r="N23" i="15"/>
  <c r="G42" i="34" s="1"/>
  <c r="I68" i="36"/>
  <c r="O8" i="15"/>
  <c r="N8" i="15"/>
  <c r="O9" i="15"/>
  <c r="N9" i="15"/>
  <c r="I70" i="36"/>
  <c r="G32" i="15"/>
  <c r="H32" i="33"/>
  <c r="G32" i="33"/>
  <c r="F32" i="15"/>
  <c r="O13" i="15"/>
  <c r="J84" i="35" s="1"/>
  <c r="N13" i="15"/>
  <c r="H38" i="15"/>
  <c r="H39" i="15" s="1"/>
  <c r="H84" i="35"/>
  <c r="AH47" i="55"/>
  <c r="AH81" i="55"/>
  <c r="AI48" i="55"/>
  <c r="AI81" i="55"/>
  <c r="H30" i="33"/>
  <c r="G32" i="14"/>
  <c r="O10" i="13"/>
  <c r="K61" i="36" s="1"/>
  <c r="I61" i="36"/>
  <c r="N10" i="13"/>
  <c r="J61" i="36" s="1"/>
  <c r="L61" i="36" s="1"/>
  <c r="O22" i="13"/>
  <c r="H35" i="34" s="1"/>
  <c r="AX5" i="58" s="1"/>
  <c r="F35" i="34"/>
  <c r="N22" i="13"/>
  <c r="G35" i="34" s="1"/>
  <c r="H71" i="35"/>
  <c r="N14" i="13"/>
  <c r="I71" i="35" s="1"/>
  <c r="O14" i="13"/>
  <c r="J71" i="35" s="1"/>
  <c r="O23" i="13"/>
  <c r="H36" i="34" s="1"/>
  <c r="F36" i="34"/>
  <c r="N23" i="13"/>
  <c r="G36" i="34" s="1"/>
  <c r="O24" i="13"/>
  <c r="H37" i="34" s="1"/>
  <c r="F37" i="34"/>
  <c r="N24" i="13"/>
  <c r="G37" i="34" s="1"/>
  <c r="I37" i="34" s="1"/>
  <c r="H72" i="35"/>
  <c r="N15" i="13"/>
  <c r="I72" i="35" s="1"/>
  <c r="O15" i="13"/>
  <c r="J72" i="35" s="1"/>
  <c r="O9" i="13"/>
  <c r="K60" i="36" s="1"/>
  <c r="N9" i="13"/>
  <c r="J60" i="36" s="1"/>
  <c r="I60" i="36"/>
  <c r="O60" i="36" s="1"/>
  <c r="I58" i="36"/>
  <c r="X68" i="57" s="1"/>
  <c r="O7" i="13"/>
  <c r="K58" i="36" s="1"/>
  <c r="O18" i="13"/>
  <c r="J75" i="35" s="1"/>
  <c r="H75" i="35"/>
  <c r="N18" i="13"/>
  <c r="I75" i="35" s="1"/>
  <c r="H74" i="35"/>
  <c r="N17" i="13"/>
  <c r="G32" i="12"/>
  <c r="H25" i="33"/>
  <c r="I55" i="36"/>
  <c r="O9" i="12"/>
  <c r="K55" i="36" s="1"/>
  <c r="N9" i="12"/>
  <c r="J55" i="36" s="1"/>
  <c r="L55" i="36" s="1"/>
  <c r="O18" i="12"/>
  <c r="J68" i="35" s="1"/>
  <c r="N18" i="12"/>
  <c r="I68" i="35" s="1"/>
  <c r="K68" i="35" s="1"/>
  <c r="H68" i="35"/>
  <c r="N68" i="35" s="1"/>
  <c r="I56" i="36"/>
  <c r="O10" i="12"/>
  <c r="K56" i="36" s="1"/>
  <c r="N10" i="12"/>
  <c r="J56" i="36" s="1"/>
  <c r="L56" i="36" s="1"/>
  <c r="H4" i="55"/>
  <c r="N9" i="33"/>
  <c r="H2" i="33"/>
  <c r="G32" i="32"/>
  <c r="O23" i="11"/>
  <c r="H30" i="34" s="1"/>
  <c r="N23" i="11"/>
  <c r="G30" i="34" s="1"/>
  <c r="F30" i="34"/>
  <c r="I51" i="36"/>
  <c r="N10" i="11"/>
  <c r="O10" i="11"/>
  <c r="AH103" i="55"/>
  <c r="K62" i="35"/>
  <c r="N62" i="35"/>
  <c r="V24" i="55"/>
  <c r="N10" i="10"/>
  <c r="J46" i="36" s="1"/>
  <c r="O10" i="10"/>
  <c r="K46" i="36" s="1"/>
  <c r="I46" i="36"/>
  <c r="N14" i="10"/>
  <c r="I53" i="35" s="1"/>
  <c r="H53" i="35"/>
  <c r="O14" i="10"/>
  <c r="J53" i="35" s="1"/>
  <c r="O17" i="10"/>
  <c r="J56" i="35" s="1"/>
  <c r="H56" i="35"/>
  <c r="N17" i="10"/>
  <c r="I56" i="35" s="1"/>
  <c r="K56" i="35" s="1"/>
  <c r="L56" i="35" s="1"/>
  <c r="I40" i="36"/>
  <c r="N9" i="9"/>
  <c r="J40" i="36" s="1"/>
  <c r="O9" i="9"/>
  <c r="K40" i="36" s="1"/>
  <c r="H51" i="35"/>
  <c r="O18" i="9"/>
  <c r="J51" i="35" s="1"/>
  <c r="N18" i="9"/>
  <c r="I51" i="35" s="1"/>
  <c r="H50" i="35"/>
  <c r="O13" i="9"/>
  <c r="J50" i="35" s="1"/>
  <c r="N13" i="9"/>
  <c r="I50" i="35" s="1"/>
  <c r="K45" i="35"/>
  <c r="W81" i="55"/>
  <c r="W58" i="55"/>
  <c r="K39" i="35"/>
  <c r="K30" i="35"/>
  <c r="W20" i="55"/>
  <c r="N30" i="35"/>
  <c r="I23" i="36"/>
  <c r="H38" i="1"/>
  <c r="H39" i="1" s="1"/>
  <c r="O7" i="1"/>
  <c r="K23" i="36" s="1"/>
  <c r="N7" i="1"/>
  <c r="J23" i="36" s="1"/>
  <c r="N22" i="1"/>
  <c r="G14" i="34" s="1"/>
  <c r="O22" i="1"/>
  <c r="H14" i="34" s="1"/>
  <c r="F14" i="34"/>
  <c r="N24" i="1"/>
  <c r="G16" i="34" s="1"/>
  <c r="F16" i="34"/>
  <c r="O24" i="1"/>
  <c r="H16" i="34" s="1"/>
  <c r="J18" i="36"/>
  <c r="J19" i="36"/>
  <c r="K19" i="36"/>
  <c r="K18" i="36"/>
  <c r="N24" i="4"/>
  <c r="G7" i="34" s="1"/>
  <c r="F7" i="34"/>
  <c r="O24" i="4"/>
  <c r="H7" i="34" s="1"/>
  <c r="O16" i="4"/>
  <c r="N16" i="4"/>
  <c r="O23" i="4"/>
  <c r="H6" i="34" s="1"/>
  <c r="F6" i="34"/>
  <c r="N23" i="4"/>
  <c r="G6" i="34" s="1"/>
  <c r="N6" i="33"/>
  <c r="M6" i="33"/>
  <c r="W119" i="55"/>
  <c r="W137" i="55"/>
  <c r="W134" i="55"/>
  <c r="W159" i="55"/>
  <c r="W140" i="55"/>
  <c r="W160" i="55"/>
  <c r="W105" i="55"/>
  <c r="W144" i="55"/>
  <c r="W156" i="55"/>
  <c r="W111" i="55"/>
  <c r="W170" i="55"/>
  <c r="W94" i="55"/>
  <c r="W100" i="55"/>
  <c r="W143" i="55"/>
  <c r="W142" i="55"/>
  <c r="W149" i="55"/>
  <c r="W136" i="55"/>
  <c r="W152" i="55"/>
  <c r="W101" i="55"/>
  <c r="W112" i="55"/>
  <c r="W128" i="55"/>
  <c r="W122" i="55"/>
  <c r="W162" i="55"/>
  <c r="G4" i="33"/>
  <c r="F32" i="32"/>
  <c r="G46" i="34"/>
  <c r="N23" i="9"/>
  <c r="O23" i="9"/>
  <c r="N10" i="9"/>
  <c r="J41" i="36" s="1"/>
  <c r="I41" i="36"/>
  <c r="O10" i="9"/>
  <c r="H47" i="35"/>
  <c r="N15" i="9"/>
  <c r="I47" i="35" s="1"/>
  <c r="O15" i="9"/>
  <c r="J47" i="35" s="1"/>
  <c r="W163" i="55"/>
  <c r="W97" i="55"/>
  <c r="W132" i="55"/>
  <c r="W127" i="55"/>
  <c r="W167" i="55"/>
  <c r="W158" i="55"/>
  <c r="W139" i="55"/>
  <c r="W124" i="55"/>
  <c r="K13" i="35"/>
  <c r="AL168" i="55"/>
  <c r="AL182" i="55"/>
  <c r="AL180" i="55"/>
  <c r="AL186" i="55"/>
  <c r="AL169" i="55"/>
  <c r="AL149" i="55"/>
  <c r="AL152" i="55"/>
  <c r="AL174" i="55"/>
  <c r="AL145" i="55"/>
  <c r="AL157" i="55"/>
  <c r="AM185" i="55"/>
  <c r="AM167" i="55"/>
  <c r="AM129" i="55"/>
  <c r="AM168" i="55"/>
  <c r="AM143" i="55"/>
  <c r="AM158" i="55"/>
  <c r="AM163" i="55"/>
  <c r="AM173" i="55"/>
  <c r="AM160" i="55"/>
  <c r="AM175" i="55"/>
  <c r="AM152" i="55"/>
  <c r="AM182" i="55"/>
  <c r="AM164" i="55"/>
  <c r="AM155" i="55"/>
  <c r="AM132" i="55"/>
  <c r="AM179" i="55"/>
  <c r="AM162" i="55"/>
  <c r="AM180" i="55"/>
  <c r="AM183" i="55"/>
  <c r="AM150" i="55"/>
  <c r="AM174" i="55"/>
  <c r="AM186" i="55"/>
  <c r="AM166" i="55"/>
  <c r="J12" i="35"/>
  <c r="F15" i="34"/>
  <c r="N23" i="1"/>
  <c r="O23" i="1"/>
  <c r="AJ112" i="55"/>
  <c r="H18" i="33"/>
  <c r="I58" i="35"/>
  <c r="AJ20" i="55"/>
  <c r="AJ32" i="55"/>
  <c r="N8" i="13"/>
  <c r="J59" i="36" s="1"/>
  <c r="O8" i="13"/>
  <c r="K59" i="36" s="1"/>
  <c r="N19" i="13"/>
  <c r="I76" i="35" s="1"/>
  <c r="O19" i="13"/>
  <c r="J76" i="35" s="1"/>
  <c r="H76" i="35"/>
  <c r="N76" i="35" s="1"/>
  <c r="O13" i="13"/>
  <c r="J70" i="35" s="1"/>
  <c r="H70" i="35"/>
  <c r="N13" i="13"/>
  <c r="I70" i="35" s="1"/>
  <c r="H38" i="13"/>
  <c r="H39" i="13" s="1"/>
  <c r="O6" i="13"/>
  <c r="N6" i="13"/>
  <c r="I57" i="36"/>
  <c r="J73" i="35"/>
  <c r="J74" i="35"/>
  <c r="U56" i="55"/>
  <c r="J85" i="35"/>
  <c r="AH117" i="55"/>
  <c r="AH37" i="55"/>
  <c r="AI26" i="55"/>
  <c r="AI44" i="55"/>
  <c r="AJ26" i="55"/>
  <c r="AH26" i="55"/>
  <c r="F32" i="17"/>
  <c r="W61" i="55"/>
  <c r="H36" i="33"/>
  <c r="F48" i="34"/>
  <c r="AV37" i="55" s="1"/>
  <c r="O23" i="17"/>
  <c r="H48" i="34" s="1"/>
  <c r="N23" i="17"/>
  <c r="G48" i="34" s="1"/>
  <c r="F8" i="55"/>
  <c r="N37" i="33"/>
  <c r="O10" i="3"/>
  <c r="K86" i="36" s="1"/>
  <c r="L86" i="36" s="1"/>
  <c r="I86" i="36"/>
  <c r="H39" i="33"/>
  <c r="G39" i="33"/>
  <c r="F32" i="3"/>
  <c r="O15" i="19"/>
  <c r="J124" i="35" s="1"/>
  <c r="N15" i="19"/>
  <c r="I124" i="35" s="1"/>
  <c r="H124" i="35"/>
  <c r="AK83" i="58" s="1"/>
  <c r="AJ104" i="55"/>
  <c r="H144" i="35"/>
  <c r="AK137" i="57" s="1"/>
  <c r="J156" i="35"/>
  <c r="I156" i="35"/>
  <c r="J159" i="35"/>
  <c r="J157" i="35"/>
  <c r="I159" i="35"/>
  <c r="I157" i="35"/>
  <c r="H38" i="26"/>
  <c r="H39" i="26" s="1"/>
  <c r="AJ50" i="55"/>
  <c r="M63" i="33"/>
  <c r="M67" i="33"/>
  <c r="AJ73" i="55"/>
  <c r="H200" i="35"/>
  <c r="O16" i="31"/>
  <c r="J200" i="35" s="1"/>
  <c r="AM120" i="55" s="1"/>
  <c r="I115" i="36"/>
  <c r="X89" i="57" s="1"/>
  <c r="W60" i="55"/>
  <c r="H50" i="33"/>
  <c r="H35" i="55" s="1"/>
  <c r="F32" i="22"/>
  <c r="G50" i="33"/>
  <c r="G8" i="55"/>
  <c r="M37" i="33"/>
  <c r="H102" i="35"/>
  <c r="N18" i="17"/>
  <c r="I102" i="35" s="1"/>
  <c r="O18" i="17"/>
  <c r="J102" i="35" s="1"/>
  <c r="N10" i="17"/>
  <c r="J81" i="36" s="1"/>
  <c r="O10" i="17"/>
  <c r="K81" i="36" s="1"/>
  <c r="L81" i="36" s="1"/>
  <c r="I81" i="36"/>
  <c r="W17" i="55"/>
  <c r="H38" i="17"/>
  <c r="H39" i="17" s="1"/>
  <c r="O6" i="17"/>
  <c r="K77" i="36" s="1"/>
  <c r="N6" i="17"/>
  <c r="J77" i="36" s="1"/>
  <c r="I77" i="36"/>
  <c r="O14" i="17"/>
  <c r="H97" i="35"/>
  <c r="O17" i="17"/>
  <c r="J101" i="35" s="1"/>
  <c r="H100" i="35"/>
  <c r="AK129" i="57" s="1"/>
  <c r="N17" i="17"/>
  <c r="W62" i="55"/>
  <c r="V65" i="55"/>
  <c r="W66" i="55"/>
  <c r="W74" i="55"/>
  <c r="J58" i="36"/>
  <c r="K48" i="36"/>
  <c r="N14" i="8"/>
  <c r="I42" i="35" s="1"/>
  <c r="H42" i="35"/>
  <c r="O14" i="8"/>
  <c r="J42" i="35" s="1"/>
  <c r="K25" i="36"/>
  <c r="K24" i="36"/>
  <c r="J25" i="36"/>
  <c r="J24" i="36"/>
  <c r="U19" i="55"/>
  <c r="U53" i="55"/>
  <c r="K7" i="47"/>
  <c r="A7" i="36"/>
  <c r="W53" i="55"/>
  <c r="H38" i="19"/>
  <c r="H39" i="19" s="1"/>
  <c r="H38" i="18"/>
  <c r="H39" i="18" s="1"/>
  <c r="H38" i="21"/>
  <c r="H39" i="21" s="1"/>
  <c r="O13" i="19"/>
  <c r="H128" i="35"/>
  <c r="AK140" i="58" s="1"/>
  <c r="N13" i="19"/>
  <c r="O16" i="29"/>
  <c r="J187" i="35" s="1"/>
  <c r="N16" i="29"/>
  <c r="I187" i="35" s="1"/>
  <c r="H188" i="35"/>
  <c r="AK120" i="55" s="1"/>
  <c r="N6" i="29"/>
  <c r="J147" i="36" s="1"/>
  <c r="H38" i="29"/>
  <c r="H39" i="29" s="1"/>
  <c r="O6" i="29"/>
  <c r="K147" i="36" s="1"/>
  <c r="I147" i="36"/>
  <c r="H58" i="35"/>
  <c r="O14" i="11"/>
  <c r="H38" i="11"/>
  <c r="H39" i="11" s="1"/>
  <c r="AJ59" i="55"/>
  <c r="AU4" i="55"/>
  <c r="O23" i="29"/>
  <c r="H90" i="34" s="1"/>
  <c r="F90" i="34"/>
  <c r="N23" i="29"/>
  <c r="G90" i="34" s="1"/>
  <c r="F75" i="34"/>
  <c r="N23" i="25"/>
  <c r="G75" i="34" s="1"/>
  <c r="O23" i="25"/>
  <c r="H75" i="34" s="1"/>
  <c r="I72" i="36"/>
  <c r="H38" i="16"/>
  <c r="H39" i="16" s="1"/>
  <c r="F54" i="34"/>
  <c r="N25" i="18"/>
  <c r="O25" i="18"/>
  <c r="N15" i="17"/>
  <c r="I99" i="35" s="1"/>
  <c r="AL61" i="58" s="1"/>
  <c r="H99" i="35"/>
  <c r="AK61" i="58" s="1"/>
  <c r="O15" i="17"/>
  <c r="J99" i="35" s="1"/>
  <c r="AM61" i="58" s="1"/>
  <c r="O7" i="17"/>
  <c r="K79" i="36" s="1"/>
  <c r="N7" i="17"/>
  <c r="J79" i="36" s="1"/>
  <c r="I79" i="36"/>
  <c r="O10" i="14"/>
  <c r="K66" i="36" s="1"/>
  <c r="L66" i="36" s="1"/>
  <c r="I66" i="36"/>
  <c r="O66" i="36" s="1"/>
  <c r="K20" i="55"/>
  <c r="N6" i="32"/>
  <c r="J2" i="36" s="1"/>
  <c r="H38" i="32"/>
  <c r="H39" i="32" s="1"/>
  <c r="O6" i="32"/>
  <c r="K2" i="36" s="1"/>
  <c r="W115" i="55"/>
  <c r="W129" i="55"/>
  <c r="W153" i="55"/>
  <c r="W164" i="55"/>
  <c r="W131" i="55"/>
  <c r="W108" i="55"/>
  <c r="W121" i="55"/>
  <c r="W103" i="55"/>
  <c r="W99" i="55"/>
  <c r="W166" i="55"/>
  <c r="W116" i="55"/>
  <c r="W165" i="55"/>
  <c r="W135" i="55"/>
  <c r="W155" i="55"/>
  <c r="W141" i="55"/>
  <c r="W98" i="55"/>
  <c r="W147" i="55"/>
  <c r="W114" i="55"/>
  <c r="W106" i="55"/>
  <c r="W133" i="55"/>
  <c r="W102" i="55"/>
  <c r="W110" i="55"/>
  <c r="W148" i="55"/>
  <c r="W125" i="55"/>
  <c r="W168" i="55"/>
  <c r="W118" i="55"/>
  <c r="W154" i="55"/>
  <c r="W138" i="55"/>
  <c r="W145" i="55"/>
  <c r="W150" i="55"/>
  <c r="N7" i="32"/>
  <c r="J3" i="36" s="1"/>
  <c r="Y49" i="58" s="1"/>
  <c r="I3" i="36"/>
  <c r="X49" i="58" s="1"/>
  <c r="O7" i="32"/>
  <c r="O14" i="32"/>
  <c r="J3" i="35" s="1"/>
  <c r="N14" i="32"/>
  <c r="I3" i="35" s="1"/>
  <c r="N17" i="32"/>
  <c r="H5" i="35"/>
  <c r="O17" i="32"/>
  <c r="O18" i="32"/>
  <c r="H6" i="35"/>
  <c r="N18" i="32"/>
  <c r="I156" i="36"/>
  <c r="O10" i="30"/>
  <c r="K156" i="36" s="1"/>
  <c r="N10" i="30"/>
  <c r="J156" i="36" s="1"/>
  <c r="I154" i="36"/>
  <c r="O8" i="30"/>
  <c r="K154" i="36" s="1"/>
  <c r="N8" i="30"/>
  <c r="J154" i="36" s="1"/>
  <c r="N6" i="30"/>
  <c r="J152" i="36" s="1"/>
  <c r="I152" i="36"/>
  <c r="O6" i="30"/>
  <c r="K152" i="36" s="1"/>
  <c r="H38" i="30"/>
  <c r="H39" i="30" s="1"/>
  <c r="N9" i="30"/>
  <c r="J155" i="36" s="1"/>
  <c r="O9" i="30"/>
  <c r="K155" i="36" s="1"/>
  <c r="I155" i="36"/>
  <c r="H183" i="35"/>
  <c r="N18" i="2"/>
  <c r="I183" i="35" s="1"/>
  <c r="O18" i="2"/>
  <c r="J183" i="35" s="1"/>
  <c r="K21" i="55"/>
  <c r="N47" i="33"/>
  <c r="M47" i="33"/>
  <c r="O24" i="12"/>
  <c r="H34" i="34" s="1"/>
  <c r="F34" i="34"/>
  <c r="N24" i="12"/>
  <c r="G34" i="34" s="1"/>
  <c r="N6" i="12"/>
  <c r="I52" i="36"/>
  <c r="X3" i="55" s="1"/>
  <c r="O6" i="12"/>
  <c r="N160" i="35"/>
  <c r="K160" i="35"/>
  <c r="AL163" i="55"/>
  <c r="AL148" i="55"/>
  <c r="AL146" i="55"/>
  <c r="N9" i="31"/>
  <c r="J160" i="36" s="1"/>
  <c r="O9" i="31"/>
  <c r="K160" i="36" s="1"/>
  <c r="I151" i="36"/>
  <c r="O10" i="29"/>
  <c r="K151" i="36" s="1"/>
  <c r="N10" i="29"/>
  <c r="J151" i="36" s="1"/>
  <c r="N23" i="3"/>
  <c r="G52" i="34" s="1"/>
  <c r="O23" i="3"/>
  <c r="F52" i="34"/>
  <c r="O17" i="3"/>
  <c r="H106" i="35"/>
  <c r="N17" i="3"/>
  <c r="L34" i="34"/>
  <c r="L8" i="34"/>
  <c r="AY15" i="58" s="1"/>
  <c r="AZ15" i="58" s="1"/>
  <c r="N22" i="27"/>
  <c r="G80" i="34" s="1"/>
  <c r="F80" i="34"/>
  <c r="O22" i="27"/>
  <c r="H80" i="34" s="1"/>
  <c r="I133" i="36"/>
  <c r="O7" i="27"/>
  <c r="K133" i="36" s="1"/>
  <c r="N7" i="27"/>
  <c r="J133" i="36" s="1"/>
  <c r="N6" i="27"/>
  <c r="J132" i="36" s="1"/>
  <c r="O6" i="27"/>
  <c r="K132" i="36" s="1"/>
  <c r="I132" i="36"/>
  <c r="O7" i="19"/>
  <c r="N7" i="19"/>
  <c r="J98" i="36" s="1"/>
  <c r="I98" i="36"/>
  <c r="X65" i="57" s="1"/>
  <c r="O16" i="28"/>
  <c r="J176" i="35" s="1"/>
  <c r="AM123" i="58" s="1"/>
  <c r="H176" i="35"/>
  <c r="AK123" i="58" s="1"/>
  <c r="N16" i="28"/>
  <c r="I176" i="35" s="1"/>
  <c r="AL123" i="58" s="1"/>
  <c r="N6" i="3"/>
  <c r="O6" i="3"/>
  <c r="I82" i="36"/>
  <c r="H109" i="35"/>
  <c r="O19" i="3"/>
  <c r="J109" i="35" s="1"/>
  <c r="K109" i="35" s="1"/>
  <c r="M109" i="35" s="1"/>
  <c r="H145" i="35"/>
  <c r="N16" i="22"/>
  <c r="I144" i="35" s="1"/>
  <c r="AL137" i="57" s="1"/>
  <c r="O16" i="22"/>
  <c r="J144" i="35" s="1"/>
  <c r="AM137" i="57" s="1"/>
  <c r="I114" i="36"/>
  <c r="O9" i="22"/>
  <c r="N9" i="22"/>
  <c r="O24" i="22"/>
  <c r="H67" i="34" s="1"/>
  <c r="N24" i="22"/>
  <c r="G67" i="34" s="1"/>
  <c r="I67" i="34" s="1"/>
  <c r="F67" i="34"/>
  <c r="L67" i="34" s="1"/>
  <c r="N15" i="22"/>
  <c r="I143" i="35" s="1"/>
  <c r="H143" i="35"/>
  <c r="O15" i="22"/>
  <c r="J143" i="35" s="1"/>
  <c r="H146" i="35"/>
  <c r="O18" i="22"/>
  <c r="J146" i="35" s="1"/>
  <c r="N18" i="22"/>
  <c r="I146" i="35" s="1"/>
  <c r="H141" i="35"/>
  <c r="N13" i="22"/>
  <c r="I141" i="35" s="1"/>
  <c r="O13" i="22"/>
  <c r="J141" i="35" s="1"/>
  <c r="I112" i="36"/>
  <c r="N6" i="22"/>
  <c r="J112" i="36" s="1"/>
  <c r="O6" i="22"/>
  <c r="K112" i="36" s="1"/>
  <c r="H38" i="22"/>
  <c r="H39" i="22" s="1"/>
  <c r="N15" i="25"/>
  <c r="O15" i="25"/>
  <c r="J116" i="35" s="1"/>
  <c r="H116" i="35"/>
  <c r="N22" i="12"/>
  <c r="G32" i="34" s="1"/>
  <c r="F32" i="34"/>
  <c r="O22" i="12"/>
  <c r="H32" i="34" s="1"/>
  <c r="H65" i="35"/>
  <c r="N13" i="12"/>
  <c r="I65" i="35" s="1"/>
  <c r="H64" i="35"/>
  <c r="N14" i="12"/>
  <c r="I64" i="35" s="1"/>
  <c r="O14" i="12"/>
  <c r="J64" i="35" s="1"/>
  <c r="O22" i="30"/>
  <c r="H92" i="34" s="1"/>
  <c r="F92" i="34"/>
  <c r="N22" i="30"/>
  <c r="G92" i="34" s="1"/>
  <c r="H173" i="35"/>
  <c r="N13" i="28"/>
  <c r="I173" i="35" s="1"/>
  <c r="O13" i="28"/>
  <c r="J173" i="35" s="1"/>
  <c r="N19" i="19"/>
  <c r="I127" i="35" s="1"/>
  <c r="O19" i="19"/>
  <c r="J127" i="35" s="1"/>
  <c r="H127" i="35"/>
  <c r="N45" i="35"/>
  <c r="X23" i="55"/>
  <c r="O10" i="19"/>
  <c r="K101" i="36" s="1"/>
  <c r="I101" i="36"/>
  <c r="N10" i="19"/>
  <c r="J101" i="36" s="1"/>
  <c r="L101" i="36" s="1"/>
  <c r="H117" i="35"/>
  <c r="O13" i="25"/>
  <c r="J117" i="35" s="1"/>
  <c r="N13" i="25"/>
  <c r="I117" i="35" s="1"/>
  <c r="F76" i="34"/>
  <c r="O24" i="25"/>
  <c r="H76" i="34" s="1"/>
  <c r="N24" i="25"/>
  <c r="G76" i="34" s="1"/>
  <c r="AU34" i="55"/>
  <c r="I94" i="36"/>
  <c r="O8" i="25"/>
  <c r="K94" i="36" s="1"/>
  <c r="N8" i="25"/>
  <c r="J94" i="36" s="1"/>
  <c r="I158" i="36"/>
  <c r="O7" i="31"/>
  <c r="K158" i="36" s="1"/>
  <c r="N7" i="31"/>
  <c r="J158" i="36" s="1"/>
  <c r="O24" i="29"/>
  <c r="H91" i="34" s="1"/>
  <c r="N24" i="29"/>
  <c r="G91" i="34" s="1"/>
  <c r="F91" i="34"/>
  <c r="I148" i="36"/>
  <c r="N7" i="29"/>
  <c r="J148" i="36" s="1"/>
  <c r="O7" i="29"/>
  <c r="K148" i="36" s="1"/>
  <c r="N9" i="29"/>
  <c r="J150" i="36" s="1"/>
  <c r="O9" i="29"/>
  <c r="K150" i="36" s="1"/>
  <c r="L150" i="36" s="1"/>
  <c r="I150" i="36"/>
  <c r="O150" i="36" s="1"/>
  <c r="N18" i="29"/>
  <c r="I189" i="35" s="1"/>
  <c r="O18" i="29"/>
  <c r="J189" i="35" s="1"/>
  <c r="H189" i="35"/>
  <c r="N13" i="29"/>
  <c r="I184" i="35" s="1"/>
  <c r="H184" i="35"/>
  <c r="O13" i="29"/>
  <c r="J184" i="35" s="1"/>
  <c r="N8" i="19"/>
  <c r="J99" i="36" s="1"/>
  <c r="I99" i="36"/>
  <c r="O8" i="19"/>
  <c r="N24" i="19"/>
  <c r="O24" i="19"/>
  <c r="F57" i="34"/>
  <c r="O17" i="19"/>
  <c r="H123" i="35"/>
  <c r="N17" i="19"/>
  <c r="AJ95" i="55"/>
  <c r="N13" i="16"/>
  <c r="H92" i="35"/>
  <c r="O13" i="16"/>
  <c r="N18" i="16"/>
  <c r="O18" i="16"/>
  <c r="H90" i="35"/>
  <c r="AK36" i="58" s="1"/>
  <c r="O14" i="16"/>
  <c r="N14" i="16"/>
  <c r="N22" i="18"/>
  <c r="G53" i="34" s="1"/>
  <c r="O22" i="18"/>
  <c r="H53" i="34" s="1"/>
  <c r="O15" i="18"/>
  <c r="N15" i="18"/>
  <c r="H113" i="35"/>
  <c r="O13" i="17"/>
  <c r="H98" i="35"/>
  <c r="N13" i="17"/>
  <c r="O22" i="14"/>
  <c r="H38" i="34" s="1"/>
  <c r="AX24" i="58" s="1"/>
  <c r="F38" i="34"/>
  <c r="AV24" i="58" s="1"/>
  <c r="N22" i="14"/>
  <c r="G38" i="34" s="1"/>
  <c r="AW24" i="58" s="1"/>
  <c r="N24" i="14"/>
  <c r="F39" i="34"/>
  <c r="O24" i="14"/>
  <c r="O13" i="14"/>
  <c r="J77" i="35" s="1"/>
  <c r="H77" i="35"/>
  <c r="N13" i="14"/>
  <c r="I77" i="35" s="1"/>
  <c r="O8" i="22"/>
  <c r="N8" i="22"/>
  <c r="O7" i="22"/>
  <c r="K113" i="36" s="1"/>
  <c r="N7" i="22"/>
  <c r="J113" i="36" s="1"/>
  <c r="I113" i="36"/>
  <c r="N23" i="22"/>
  <c r="G66" i="34" s="1"/>
  <c r="F66" i="34"/>
  <c r="O23" i="22"/>
  <c r="H66" i="34" s="1"/>
  <c r="O17" i="22"/>
  <c r="N17" i="22"/>
  <c r="O10" i="22"/>
  <c r="N10" i="22"/>
  <c r="J116" i="36" s="1"/>
  <c r="I116" i="36"/>
  <c r="I43" i="36"/>
  <c r="X44" i="55" s="1"/>
  <c r="N7" i="10"/>
  <c r="J43" i="36" s="1"/>
  <c r="Y44" i="55" s="1"/>
  <c r="O7" i="10"/>
  <c r="K43" i="36" s="1"/>
  <c r="Z44" i="55" s="1"/>
  <c r="I137" i="36"/>
  <c r="O6" i="28"/>
  <c r="K137" i="36" s="1"/>
  <c r="N6" i="28"/>
  <c r="J137" i="36" s="1"/>
  <c r="I140" i="36"/>
  <c r="O8" i="28"/>
  <c r="N8" i="28"/>
  <c r="I106" i="36"/>
  <c r="N10" i="20"/>
  <c r="J106" i="36" s="1"/>
  <c r="O10" i="20"/>
  <c r="K106" i="36" s="1"/>
  <c r="I80" i="36"/>
  <c r="O9" i="17"/>
  <c r="N9" i="17"/>
  <c r="N23" i="14"/>
  <c r="O23" i="14"/>
  <c r="F40" i="34"/>
  <c r="O6" i="14"/>
  <c r="K62" i="36" s="1"/>
  <c r="N6" i="14"/>
  <c r="J62" i="36" s="1"/>
  <c r="H38" i="14"/>
  <c r="H39" i="14" s="1"/>
  <c r="I62" i="36"/>
  <c r="X18" i="58" s="1"/>
  <c r="W4" i="55"/>
  <c r="W3" i="55"/>
  <c r="N6" i="8"/>
  <c r="J32" i="36" s="1"/>
  <c r="I32" i="36"/>
  <c r="O6" i="8"/>
  <c r="K32" i="36" s="1"/>
  <c r="I12" i="36"/>
  <c r="X6" i="55" s="1"/>
  <c r="H38" i="5"/>
  <c r="H39" i="5" s="1"/>
  <c r="N6" i="5"/>
  <c r="O6" i="5"/>
  <c r="O8" i="5"/>
  <c r="K14" i="36" s="1"/>
  <c r="I14" i="36"/>
  <c r="N8" i="5"/>
  <c r="J14" i="36" s="1"/>
  <c r="L14" i="36" s="1"/>
  <c r="K41" i="35"/>
  <c r="N19" i="31"/>
  <c r="I203" i="35" s="1"/>
  <c r="O19" i="31"/>
  <c r="J203" i="35" s="1"/>
  <c r="H203" i="35"/>
  <c r="N203" i="35" s="1"/>
  <c r="N22" i="29"/>
  <c r="O22" i="29"/>
  <c r="F89" i="34"/>
  <c r="O18" i="27"/>
  <c r="J172" i="35" s="1"/>
  <c r="H172" i="35"/>
  <c r="N18" i="27"/>
  <c r="I172" i="35" s="1"/>
  <c r="N14" i="27"/>
  <c r="O14" i="27"/>
  <c r="H167" i="35"/>
  <c r="O15" i="16"/>
  <c r="N15" i="16"/>
  <c r="H91" i="35"/>
  <c r="O7" i="16"/>
  <c r="N7" i="16"/>
  <c r="O9" i="16"/>
  <c r="K75" i="36" s="1"/>
  <c r="N9" i="16"/>
  <c r="J75" i="36" s="1"/>
  <c r="N13" i="18"/>
  <c r="I111" i="35" s="1"/>
  <c r="H111" i="35"/>
  <c r="AK2" i="55" s="1"/>
  <c r="O13" i="18"/>
  <c r="J111" i="35" s="1"/>
  <c r="O18" i="18"/>
  <c r="J115" i="35" s="1"/>
  <c r="H115" i="35"/>
  <c r="N18" i="18"/>
  <c r="I115" i="35" s="1"/>
  <c r="O24" i="17"/>
  <c r="N24" i="17"/>
  <c r="F49" i="34"/>
  <c r="N16" i="14"/>
  <c r="H79" i="35"/>
  <c r="O16" i="14"/>
  <c r="O9" i="10"/>
  <c r="K45" i="36" s="1"/>
  <c r="I45" i="36"/>
  <c r="N9" i="10"/>
  <c r="J45" i="36" s="1"/>
  <c r="O13" i="10"/>
  <c r="J52" i="35" s="1"/>
  <c r="AM10" i="58" s="1"/>
  <c r="N13" i="10"/>
  <c r="H52" i="35"/>
  <c r="H38" i="23"/>
  <c r="H39" i="23" s="1"/>
  <c r="H38" i="12"/>
  <c r="H39" i="12" s="1"/>
  <c r="AU25" i="55"/>
  <c r="AU31" i="55"/>
  <c r="N13" i="27"/>
  <c r="H168" i="35"/>
  <c r="O13" i="27"/>
  <c r="N10" i="27"/>
  <c r="J136" i="36" s="1"/>
  <c r="O10" i="27"/>
  <c r="K136" i="36" s="1"/>
  <c r="L136" i="36" s="1"/>
  <c r="I136" i="36"/>
  <c r="O136" i="36" s="1"/>
  <c r="I134" i="36"/>
  <c r="N8" i="27"/>
  <c r="J134" i="36" s="1"/>
  <c r="H38" i="27"/>
  <c r="H39" i="27" s="1"/>
  <c r="O8" i="27"/>
  <c r="K134" i="36" s="1"/>
  <c r="Z31" i="55" s="1"/>
  <c r="O23" i="27"/>
  <c r="H81" i="34" s="1"/>
  <c r="N23" i="27"/>
  <c r="G81" i="34" s="1"/>
  <c r="F81" i="34"/>
  <c r="N16" i="27"/>
  <c r="H171" i="35"/>
  <c r="O16" i="27"/>
  <c r="I135" i="36"/>
  <c r="N9" i="27"/>
  <c r="J135" i="36" s="1"/>
  <c r="O9" i="27"/>
  <c r="K135" i="36" s="1"/>
  <c r="O24" i="27"/>
  <c r="H82" i="34" s="1"/>
  <c r="F82" i="34"/>
  <c r="N24" i="27"/>
  <c r="G82" i="34" s="1"/>
  <c r="I97" i="36"/>
  <c r="X9" i="58" s="1"/>
  <c r="O6" i="19"/>
  <c r="N6" i="19"/>
  <c r="H125" i="35"/>
  <c r="AK127" i="55" s="1"/>
  <c r="N14" i="19"/>
  <c r="O14" i="19"/>
  <c r="N9" i="19"/>
  <c r="J100" i="36" s="1"/>
  <c r="O9" i="19"/>
  <c r="K100" i="36" s="1"/>
  <c r="I100" i="36"/>
  <c r="H126" i="35"/>
  <c r="O18" i="19"/>
  <c r="J126" i="35" s="1"/>
  <c r="N18" i="19"/>
  <c r="I126" i="35" s="1"/>
  <c r="O22" i="19"/>
  <c r="H56" i="34" s="1"/>
  <c r="F56" i="34"/>
  <c r="N22" i="19"/>
  <c r="G56" i="34" s="1"/>
  <c r="AJ37" i="55"/>
  <c r="AJ117" i="55"/>
  <c r="N16" i="16"/>
  <c r="I93" i="35" s="1"/>
  <c r="O16" i="16"/>
  <c r="J93" i="35" s="1"/>
  <c r="AM103" i="55" s="1"/>
  <c r="H93" i="35"/>
  <c r="AK103" i="55" s="1"/>
  <c r="I73" i="36"/>
  <c r="N6" i="16"/>
  <c r="O6" i="16"/>
  <c r="N14" i="18"/>
  <c r="I110" i="35" s="1"/>
  <c r="H110" i="35"/>
  <c r="O14" i="18"/>
  <c r="J110" i="35" s="1"/>
  <c r="O6" i="18"/>
  <c r="K87" i="36" s="1"/>
  <c r="N6" i="18"/>
  <c r="J87" i="36" s="1"/>
  <c r="O16" i="18"/>
  <c r="J112" i="35" s="1"/>
  <c r="H112" i="35"/>
  <c r="AK131" i="55" s="1"/>
  <c r="N16" i="18"/>
  <c r="I112" i="35" s="1"/>
  <c r="I90" i="36"/>
  <c r="O9" i="18"/>
  <c r="K90" i="36" s="1"/>
  <c r="N9" i="18"/>
  <c r="J90" i="36" s="1"/>
  <c r="L90" i="36" s="1"/>
  <c r="AJ33" i="55"/>
  <c r="AJ31" i="55"/>
  <c r="N22" i="10"/>
  <c r="G26" i="34" s="1"/>
  <c r="F26" i="34"/>
  <c r="H38" i="10"/>
  <c r="H39" i="10" s="1"/>
  <c r="W76" i="55"/>
  <c r="W77" i="55"/>
  <c r="F2" i="34"/>
  <c r="N22" i="32"/>
  <c r="O22" i="32"/>
  <c r="H2" i="34" s="1"/>
  <c r="W113" i="55"/>
  <c r="W151" i="55"/>
  <c r="W120" i="55"/>
  <c r="W107" i="55"/>
  <c r="W117" i="55"/>
  <c r="W126" i="55"/>
  <c r="I76" i="36"/>
  <c r="O10" i="16"/>
  <c r="K76" i="36" s="1"/>
  <c r="N10" i="16"/>
  <c r="J76" i="36" s="1"/>
  <c r="I54" i="36"/>
  <c r="O8" i="12"/>
  <c r="K54" i="36" s="1"/>
  <c r="Z89" i="55" s="1"/>
  <c r="N8" i="12"/>
  <c r="J54" i="36" s="1"/>
  <c r="O22" i="28"/>
  <c r="H83" i="34" s="1"/>
  <c r="F83" i="34"/>
  <c r="N22" i="28"/>
  <c r="G83" i="34" s="1"/>
  <c r="O24" i="28"/>
  <c r="H85" i="34" s="1"/>
  <c r="N24" i="28"/>
  <c r="G85" i="34" s="1"/>
  <c r="F85" i="34"/>
  <c r="H151" i="35"/>
  <c r="O17" i="23"/>
  <c r="J151" i="35" s="1"/>
  <c r="N17" i="23"/>
  <c r="I151" i="35" s="1"/>
  <c r="N23" i="23"/>
  <c r="G69" i="34" s="1"/>
  <c r="O23" i="23"/>
  <c r="H69" i="34" s="1"/>
  <c r="F69" i="34"/>
  <c r="H138" i="35"/>
  <c r="AK99" i="58" s="1"/>
  <c r="O15" i="21"/>
  <c r="J138" i="35" s="1"/>
  <c r="O23" i="12"/>
  <c r="H33" i="34" s="1"/>
  <c r="N23" i="12"/>
  <c r="G33" i="34" s="1"/>
  <c r="I33" i="34" s="1"/>
  <c r="F33" i="34"/>
  <c r="H48" i="35"/>
  <c r="H38" i="9"/>
  <c r="H39" i="9" s="1"/>
  <c r="N15" i="5"/>
  <c r="O15" i="5"/>
  <c r="H18" i="35"/>
  <c r="V31" i="55"/>
  <c r="N72" i="33"/>
  <c r="M72" i="33"/>
  <c r="N15" i="27"/>
  <c r="H169" i="35"/>
  <c r="O15" i="27"/>
  <c r="H142" i="35"/>
  <c r="N14" i="22"/>
  <c r="O14" i="22"/>
  <c r="J142" i="35" s="1"/>
  <c r="N22" i="22"/>
  <c r="G65" i="34" s="1"/>
  <c r="F65" i="34"/>
  <c r="AV24" i="57" s="1"/>
  <c r="O22" i="22"/>
  <c r="H65" i="34" s="1"/>
  <c r="H7" i="35"/>
  <c r="N16" i="32"/>
  <c r="O16" i="32"/>
  <c r="J5" i="35" s="1"/>
  <c r="I5" i="36"/>
  <c r="N8" i="32"/>
  <c r="O8" i="32"/>
  <c r="N10" i="32"/>
  <c r="J6" i="36" s="1"/>
  <c r="O10" i="32"/>
  <c r="K6" i="36" s="1"/>
  <c r="I6" i="36"/>
  <c r="O24" i="32"/>
  <c r="H4" i="34" s="1"/>
  <c r="N24" i="32"/>
  <c r="G4" i="34" s="1"/>
  <c r="F4" i="34"/>
  <c r="O9" i="32"/>
  <c r="I4" i="36"/>
  <c r="X74" i="55" s="1"/>
  <c r="N9" i="32"/>
  <c r="O15" i="32"/>
  <c r="J4" i="35" s="1"/>
  <c r="AM104" i="57" s="1"/>
  <c r="N15" i="32"/>
  <c r="I4" i="35" s="1"/>
  <c r="AL104" i="57" s="1"/>
  <c r="F3" i="34"/>
  <c r="N23" i="32"/>
  <c r="G3" i="34" s="1"/>
  <c r="O23" i="32"/>
  <c r="H3" i="34" s="1"/>
  <c r="N18" i="10"/>
  <c r="I57" i="35" s="1"/>
  <c r="O18" i="10"/>
  <c r="J57" i="35" s="1"/>
  <c r="O15" i="10"/>
  <c r="J54" i="35" s="1"/>
  <c r="N15" i="10"/>
  <c r="I54" i="35" s="1"/>
  <c r="I42" i="36"/>
  <c r="X30" i="55" s="1"/>
  <c r="N6" i="10"/>
  <c r="J42" i="36" s="1"/>
  <c r="O6" i="10"/>
  <c r="K42" i="36" s="1"/>
  <c r="O42" i="36" s="1"/>
  <c r="I44" i="36"/>
  <c r="O8" i="10"/>
  <c r="N8" i="10"/>
  <c r="J44" i="36" s="1"/>
  <c r="M68" i="33"/>
  <c r="N68" i="33"/>
  <c r="AL107" i="47"/>
  <c r="AO107" i="47"/>
  <c r="W130" i="55"/>
  <c r="W161" i="55"/>
  <c r="W96" i="55"/>
  <c r="W95" i="55"/>
  <c r="W93" i="55"/>
  <c r="W92" i="55"/>
  <c r="W146" i="55"/>
  <c r="W109" i="55"/>
  <c r="W123" i="55"/>
  <c r="W157" i="55"/>
  <c r="W169" i="55"/>
  <c r="W104" i="55"/>
  <c r="W171" i="55"/>
  <c r="H2" i="35"/>
  <c r="N13" i="32"/>
  <c r="I2" i="35" s="1"/>
  <c r="O13" i="32"/>
  <c r="J2" i="35" s="1"/>
  <c r="G61" i="33"/>
  <c r="G29" i="55" s="1"/>
  <c r="F32" i="27"/>
  <c r="H61" i="33"/>
  <c r="H29" i="55" s="1"/>
  <c r="F23" i="55"/>
  <c r="G26" i="55"/>
  <c r="H192" i="35"/>
  <c r="O14" i="30"/>
  <c r="N14" i="30"/>
  <c r="H194" i="35"/>
  <c r="O17" i="30"/>
  <c r="J194" i="35" s="1"/>
  <c r="N17" i="30"/>
  <c r="I194" i="35" s="1"/>
  <c r="N7" i="30"/>
  <c r="O7" i="30"/>
  <c r="K153" i="36" s="1"/>
  <c r="Z54" i="55" s="1"/>
  <c r="I153" i="36"/>
  <c r="H175" i="35"/>
  <c r="AK82" i="57" s="1"/>
  <c r="N15" i="28"/>
  <c r="O15" i="28"/>
  <c r="J175" i="35" s="1"/>
  <c r="AM82" i="57" s="1"/>
  <c r="N7" i="2"/>
  <c r="J143" i="36" s="1"/>
  <c r="Y77" i="58" s="1"/>
  <c r="O7" i="2"/>
  <c r="K143" i="36" s="1"/>
  <c r="I143" i="36"/>
  <c r="N10" i="23"/>
  <c r="J121" i="36" s="1"/>
  <c r="O10" i="23"/>
  <c r="K121" i="36" s="1"/>
  <c r="I121" i="36"/>
  <c r="O121" i="36" s="1"/>
  <c r="O24" i="23"/>
  <c r="H70" i="34" s="1"/>
  <c r="N24" i="23"/>
  <c r="G70" i="34" s="1"/>
  <c r="F70" i="34"/>
  <c r="L70" i="34" s="1"/>
  <c r="O16" i="23"/>
  <c r="N16" i="23"/>
  <c r="H152" i="35"/>
  <c r="AJ88" i="55"/>
  <c r="AJ84" i="55"/>
  <c r="N7" i="21"/>
  <c r="J108" i="36" s="1"/>
  <c r="O7" i="21"/>
  <c r="K108" i="36" s="1"/>
  <c r="I91" i="36"/>
  <c r="O10" i="18"/>
  <c r="N10" i="18"/>
  <c r="J91" i="36" s="1"/>
  <c r="O23" i="18"/>
  <c r="N23" i="18"/>
  <c r="G55" i="34" s="1"/>
  <c r="F55" i="34"/>
  <c r="N16" i="3"/>
  <c r="I108" i="35" s="1"/>
  <c r="O16" i="3"/>
  <c r="J108" i="35" s="1"/>
  <c r="H108" i="35"/>
  <c r="N108" i="35" s="1"/>
  <c r="N7" i="3"/>
  <c r="I83" i="36"/>
  <c r="O7" i="3"/>
  <c r="H38" i="3"/>
  <c r="H39" i="3" s="1"/>
  <c r="I84" i="36"/>
  <c r="X63" i="58" s="1"/>
  <c r="O8" i="3"/>
  <c r="N8" i="3"/>
  <c r="O14" i="14"/>
  <c r="J78" i="35" s="1"/>
  <c r="H78" i="35"/>
  <c r="N14" i="14"/>
  <c r="I78" i="35" s="1"/>
  <c r="O9" i="14"/>
  <c r="K65" i="36" s="1"/>
  <c r="N9" i="14"/>
  <c r="J65" i="36" s="1"/>
  <c r="L65" i="36" s="1"/>
  <c r="I65" i="36"/>
  <c r="N16" i="12"/>
  <c r="I66" i="35" s="1"/>
  <c r="O16" i="12"/>
  <c r="J66" i="35" s="1"/>
  <c r="AM100" i="55" s="1"/>
  <c r="H66" i="35"/>
  <c r="O15" i="12"/>
  <c r="J67" i="35" s="1"/>
  <c r="N15" i="12"/>
  <c r="I67" i="35" s="1"/>
  <c r="H67" i="35"/>
  <c r="H69" i="35"/>
  <c r="O17" i="12"/>
  <c r="J69" i="35" s="1"/>
  <c r="N17" i="12"/>
  <c r="I69" i="35" s="1"/>
  <c r="N24" i="10"/>
  <c r="G28" i="34" s="1"/>
  <c r="O24" i="10"/>
  <c r="H28" i="34" s="1"/>
  <c r="F28" i="34"/>
  <c r="L28" i="34" s="1"/>
  <c r="O16" i="10"/>
  <c r="J55" i="35" s="1"/>
  <c r="N16" i="10"/>
  <c r="I55" i="35" s="1"/>
  <c r="H55" i="35"/>
  <c r="G18" i="33"/>
  <c r="F32" i="9"/>
  <c r="W13" i="55"/>
  <c r="W12" i="55"/>
  <c r="N7" i="5"/>
  <c r="J13" i="36" s="1"/>
  <c r="O7" i="5"/>
  <c r="K13" i="36" s="1"/>
  <c r="I13" i="36"/>
  <c r="O13" i="36" s="1"/>
  <c r="N16" i="5"/>
  <c r="I17" i="35" s="1"/>
  <c r="H17" i="35"/>
  <c r="O16" i="5"/>
  <c r="J17" i="35" s="1"/>
  <c r="F96" i="34"/>
  <c r="N23" i="31"/>
  <c r="G96" i="34" s="1"/>
  <c r="O23" i="31"/>
  <c r="H96" i="34" s="1"/>
  <c r="AX35" i="55" s="1"/>
  <c r="AM165" i="55"/>
  <c r="AM181" i="55"/>
  <c r="C21" i="47"/>
  <c r="D21" i="47"/>
  <c r="E21" i="47"/>
  <c r="AJ17" i="55"/>
  <c r="AJ18" i="55"/>
  <c r="H202" i="35"/>
  <c r="N15" i="31"/>
  <c r="I202" i="35" s="1"/>
  <c r="O15" i="31"/>
  <c r="G75" i="33"/>
  <c r="F32" i="31"/>
  <c r="H75" i="33"/>
  <c r="H198" i="35"/>
  <c r="O17" i="31"/>
  <c r="N17" i="31"/>
  <c r="I201" i="35" s="1"/>
  <c r="AL133" i="55" s="1"/>
  <c r="H38" i="31"/>
  <c r="H39" i="31" s="1"/>
  <c r="N19" i="30"/>
  <c r="I196" i="35" s="1"/>
  <c r="O19" i="30"/>
  <c r="J196" i="35" s="1"/>
  <c r="O16" i="30"/>
  <c r="J193" i="35" s="1"/>
  <c r="N16" i="30"/>
  <c r="I193" i="35" s="1"/>
  <c r="AL77" i="55" s="1"/>
  <c r="H190" i="35"/>
  <c r="O13" i="30"/>
  <c r="N13" i="30"/>
  <c r="I190" i="35" s="1"/>
  <c r="H191" i="35"/>
  <c r="N15" i="30"/>
  <c r="O15" i="30"/>
  <c r="F94" i="34"/>
  <c r="O24" i="30"/>
  <c r="H94" i="34" s="1"/>
  <c r="N24" i="30"/>
  <c r="G94" i="34" s="1"/>
  <c r="N18" i="30"/>
  <c r="I195" i="35" s="1"/>
  <c r="H195" i="35"/>
  <c r="O18" i="30"/>
  <c r="J195" i="35" s="1"/>
  <c r="K195" i="35" s="1"/>
  <c r="N23" i="30"/>
  <c r="G93" i="34" s="1"/>
  <c r="F93" i="34"/>
  <c r="O23" i="30"/>
  <c r="H93" i="34" s="1"/>
  <c r="L93" i="34" s="1"/>
  <c r="N65" i="33"/>
  <c r="F38" i="55"/>
  <c r="M65" i="33"/>
  <c r="G38" i="55"/>
  <c r="N9" i="28"/>
  <c r="O9" i="28"/>
  <c r="I139" i="36"/>
  <c r="X85" i="55" s="1"/>
  <c r="O17" i="28"/>
  <c r="J177" i="35" s="1"/>
  <c r="N17" i="28"/>
  <c r="I177" i="35" s="1"/>
  <c r="H177" i="35"/>
  <c r="N177" i="35" s="1"/>
  <c r="O14" i="28"/>
  <c r="J174" i="35" s="1"/>
  <c r="N14" i="28"/>
  <c r="I174" i="35" s="1"/>
  <c r="H174" i="35"/>
  <c r="AK57" i="58" s="1"/>
  <c r="N7" i="28"/>
  <c r="J138" i="36" s="1"/>
  <c r="Y46" i="58" s="1"/>
  <c r="O7" i="28"/>
  <c r="I138" i="36"/>
  <c r="X46" i="58" s="1"/>
  <c r="O23" i="28"/>
  <c r="H84" i="34" s="1"/>
  <c r="N23" i="28"/>
  <c r="G84" i="34" s="1"/>
  <c r="F84" i="34"/>
  <c r="H181" i="35"/>
  <c r="O17" i="2"/>
  <c r="N17" i="2"/>
  <c r="N23" i="2"/>
  <c r="G87" i="34" s="1"/>
  <c r="O23" i="2"/>
  <c r="H87" i="34" s="1"/>
  <c r="F87" i="34"/>
  <c r="N13" i="2"/>
  <c r="I178" i="35" s="1"/>
  <c r="AL22" i="57" s="1"/>
  <c r="O13" i="2"/>
  <c r="J178" i="35" s="1"/>
  <c r="H182" i="35"/>
  <c r="AJ24" i="55"/>
  <c r="I142" i="36"/>
  <c r="O6" i="2"/>
  <c r="H38" i="2"/>
  <c r="H39" i="2" s="1"/>
  <c r="F32" i="2"/>
  <c r="G66" i="33"/>
  <c r="H66" i="33"/>
  <c r="N15" i="2"/>
  <c r="O15" i="2"/>
  <c r="I146" i="36"/>
  <c r="N10" i="2"/>
  <c r="J146" i="36" s="1"/>
  <c r="O10" i="2"/>
  <c r="K146" i="36" s="1"/>
  <c r="I144" i="36"/>
  <c r="N8" i="2"/>
  <c r="O8" i="2"/>
  <c r="K144" i="36" s="1"/>
  <c r="O9" i="2"/>
  <c r="K145" i="36" s="1"/>
  <c r="N9" i="2"/>
  <c r="J145" i="36" s="1"/>
  <c r="W82" i="55"/>
  <c r="W79" i="55"/>
  <c r="N14" i="26"/>
  <c r="H163" i="35"/>
  <c r="O14" i="26"/>
  <c r="O19" i="26"/>
  <c r="N19" i="26"/>
  <c r="H166" i="35"/>
  <c r="N9" i="26"/>
  <c r="J130" i="36" s="1"/>
  <c r="I130" i="36"/>
  <c r="O9" i="26"/>
  <c r="K130" i="36" s="1"/>
  <c r="I131" i="36"/>
  <c r="N10" i="26"/>
  <c r="J131" i="36" s="1"/>
  <c r="O10" i="26"/>
  <c r="K131" i="36" s="1"/>
  <c r="N8" i="26"/>
  <c r="J129" i="36" s="1"/>
  <c r="O8" i="26"/>
  <c r="K129" i="36" s="1"/>
  <c r="I129" i="36"/>
  <c r="O23" i="26"/>
  <c r="F79" i="34"/>
  <c r="N23" i="26"/>
  <c r="O17" i="26"/>
  <c r="N17" i="26"/>
  <c r="H161" i="35"/>
  <c r="N16" i="26"/>
  <c r="I164" i="35" s="1"/>
  <c r="O16" i="26"/>
  <c r="J164" i="35" s="1"/>
  <c r="H164" i="35"/>
  <c r="I127" i="36"/>
  <c r="N6" i="26"/>
  <c r="O6" i="26"/>
  <c r="K127" i="36" s="1"/>
  <c r="N18" i="26"/>
  <c r="H165" i="35"/>
  <c r="O18" i="26"/>
  <c r="F5" i="55"/>
  <c r="G5" i="55"/>
  <c r="N7" i="26"/>
  <c r="J128" i="36" s="1"/>
  <c r="O7" i="26"/>
  <c r="O22" i="26"/>
  <c r="H77" i="34" s="1"/>
  <c r="F77" i="34"/>
  <c r="N24" i="26"/>
  <c r="F78" i="34"/>
  <c r="AJ11" i="55"/>
  <c r="AJ12" i="55"/>
  <c r="H60" i="33"/>
  <c r="F32" i="26"/>
  <c r="G60" i="33"/>
  <c r="I120" i="36"/>
  <c r="N9" i="23"/>
  <c r="J120" i="36" s="1"/>
  <c r="L120" i="36" s="1"/>
  <c r="F68" i="34"/>
  <c r="N22" i="23"/>
  <c r="G68" i="34" s="1"/>
  <c r="O22" i="23"/>
  <c r="H68" i="34" s="1"/>
  <c r="I117" i="36"/>
  <c r="N6" i="23"/>
  <c r="J117" i="36" s="1"/>
  <c r="O6" i="23"/>
  <c r="N7" i="23"/>
  <c r="I118" i="36"/>
  <c r="O7" i="23"/>
  <c r="K118" i="36" s="1"/>
  <c r="O8" i="23"/>
  <c r="K119" i="36" s="1"/>
  <c r="N8" i="23"/>
  <c r="J119" i="36" s="1"/>
  <c r="I119" i="36"/>
  <c r="N19" i="23"/>
  <c r="I153" i="35" s="1"/>
  <c r="H153" i="35"/>
  <c r="O19" i="23"/>
  <c r="J153" i="35" s="1"/>
  <c r="O14" i="23"/>
  <c r="J148" i="35" s="1"/>
  <c r="H148" i="35"/>
  <c r="N14" i="23"/>
  <c r="I148" i="35" s="1"/>
  <c r="H147" i="35"/>
  <c r="O13" i="23"/>
  <c r="J147" i="35" s="1"/>
  <c r="N13" i="23"/>
  <c r="I147" i="35" s="1"/>
  <c r="H150" i="35"/>
  <c r="O18" i="23"/>
  <c r="N18" i="23"/>
  <c r="AU27" i="55"/>
  <c r="H149" i="35"/>
  <c r="O15" i="23"/>
  <c r="J149" i="35" s="1"/>
  <c r="G48" i="33"/>
  <c r="F32" i="21"/>
  <c r="I109" i="36"/>
  <c r="N8" i="21"/>
  <c r="J109" i="36" s="1"/>
  <c r="O8" i="21"/>
  <c r="K109" i="36" s="1"/>
  <c r="I110" i="36"/>
  <c r="O9" i="21"/>
  <c r="K110" i="36" s="1"/>
  <c r="N9" i="21"/>
  <c r="J110" i="36" s="1"/>
  <c r="O10" i="21"/>
  <c r="K111" i="36" s="1"/>
  <c r="N10" i="21"/>
  <c r="J111" i="36" s="1"/>
  <c r="I111" i="36"/>
  <c r="N23" i="21"/>
  <c r="O23" i="21"/>
  <c r="F64" i="34"/>
  <c r="N6" i="21"/>
  <c r="O6" i="21"/>
  <c r="I107" i="36"/>
  <c r="X25" i="57" s="1"/>
  <c r="H137" i="35"/>
  <c r="AK72" i="58" s="1"/>
  <c r="N17" i="21"/>
  <c r="O17" i="21"/>
  <c r="J139" i="35" s="1"/>
  <c r="O22" i="21"/>
  <c r="H62" i="34" s="1"/>
  <c r="F62" i="34"/>
  <c r="N24" i="21"/>
  <c r="G63" i="34" s="1"/>
  <c r="O24" i="21"/>
  <c r="H63" i="34" s="1"/>
  <c r="AX49" i="58" s="1"/>
  <c r="F63" i="34"/>
  <c r="N18" i="21"/>
  <c r="I140" i="35" s="1"/>
  <c r="AL118" i="57" s="1"/>
  <c r="O18" i="21"/>
  <c r="J140" i="35" s="1"/>
  <c r="AM118" i="57" s="1"/>
  <c r="H140" i="35"/>
  <c r="AK118" i="57" s="1"/>
  <c r="N13" i="21"/>
  <c r="I135" i="35" s="1"/>
  <c r="O13" i="21"/>
  <c r="M49" i="33"/>
  <c r="H132" i="35"/>
  <c r="N16" i="20"/>
  <c r="I132" i="35" s="1"/>
  <c r="O16" i="20"/>
  <c r="J132" i="35" s="1"/>
  <c r="H134" i="35"/>
  <c r="N18" i="20"/>
  <c r="I134" i="35" s="1"/>
  <c r="O18" i="20"/>
  <c r="J134" i="35" s="1"/>
  <c r="H133" i="35"/>
  <c r="N17" i="20"/>
  <c r="I133" i="35" s="1"/>
  <c r="O17" i="20"/>
  <c r="J133" i="35" s="1"/>
  <c r="I105" i="36"/>
  <c r="N9" i="20"/>
  <c r="J105" i="36" s="1"/>
  <c r="O9" i="20"/>
  <c r="K105" i="36" s="1"/>
  <c r="H131" i="35"/>
  <c r="N15" i="20"/>
  <c r="I131" i="35" s="1"/>
  <c r="O15" i="20"/>
  <c r="J131" i="35" s="1"/>
  <c r="O6" i="20"/>
  <c r="K102" i="36" s="1"/>
  <c r="N6" i="20"/>
  <c r="I102" i="36"/>
  <c r="N22" i="20"/>
  <c r="G59" i="34" s="1"/>
  <c r="O22" i="20"/>
  <c r="H59" i="34" s="1"/>
  <c r="F59" i="34"/>
  <c r="N24" i="20"/>
  <c r="G61" i="34" s="1"/>
  <c r="F61" i="34"/>
  <c r="O24" i="20"/>
  <c r="H61" i="34" s="1"/>
  <c r="I104" i="36"/>
  <c r="O8" i="20"/>
  <c r="K104" i="36" s="1"/>
  <c r="N8" i="20"/>
  <c r="J104" i="36" s="1"/>
  <c r="N13" i="20"/>
  <c r="I129" i="35" s="1"/>
  <c r="O13" i="20"/>
  <c r="J129" i="35" s="1"/>
  <c r="O14" i="20"/>
  <c r="J130" i="35" s="1"/>
  <c r="H130" i="35"/>
  <c r="N14" i="20"/>
  <c r="I130" i="35" s="1"/>
  <c r="O7" i="20"/>
  <c r="I103" i="36"/>
  <c r="H38" i="20"/>
  <c r="H39" i="20" s="1"/>
  <c r="O23" i="20"/>
  <c r="H60" i="34" s="1"/>
  <c r="F60" i="34"/>
  <c r="N23" i="20"/>
  <c r="G60" i="34" s="1"/>
  <c r="N45" i="33"/>
  <c r="M45" i="33"/>
  <c r="H114" i="35"/>
  <c r="N17" i="18"/>
  <c r="O17" i="18"/>
  <c r="J114" i="35" s="1"/>
  <c r="N10" i="25"/>
  <c r="O10" i="25"/>
  <c r="I96" i="36"/>
  <c r="O8" i="14"/>
  <c r="N8" i="14"/>
  <c r="I64" i="36"/>
  <c r="N17" i="14"/>
  <c r="I81" i="35" s="1"/>
  <c r="O17" i="14"/>
  <c r="J81" i="35" s="1"/>
  <c r="AM136" i="55" s="1"/>
  <c r="N18" i="14"/>
  <c r="I82" i="35" s="1"/>
  <c r="O18" i="14"/>
  <c r="J82" i="35" s="1"/>
  <c r="O15" i="14"/>
  <c r="H80" i="35"/>
  <c r="K83" i="35"/>
  <c r="N83" i="35"/>
  <c r="M28" i="33"/>
  <c r="N28" i="33"/>
  <c r="O7" i="12"/>
  <c r="K53" i="36" s="1"/>
  <c r="I53" i="36"/>
  <c r="N7" i="12"/>
  <c r="J53" i="36" s="1"/>
  <c r="F27" i="34"/>
  <c r="O23" i="10"/>
  <c r="H27" i="34" s="1"/>
  <c r="N23" i="10"/>
  <c r="G27" i="34" s="1"/>
  <c r="F37" i="55"/>
  <c r="N16" i="9"/>
  <c r="O16" i="9"/>
  <c r="O14" i="9"/>
  <c r="N14" i="9"/>
  <c r="H49" i="35"/>
  <c r="AU32" i="55"/>
  <c r="AU33" i="55"/>
  <c r="L21" i="34"/>
  <c r="I21" i="34"/>
  <c r="N16" i="8"/>
  <c r="I44" i="35" s="1"/>
  <c r="O16" i="8"/>
  <c r="J44" i="35" s="1"/>
  <c r="H44" i="35"/>
  <c r="N22" i="8"/>
  <c r="G20" i="34" s="1"/>
  <c r="O22" i="8"/>
  <c r="H20" i="34" s="1"/>
  <c r="F20" i="34"/>
  <c r="O7" i="8"/>
  <c r="K33" i="36" s="1"/>
  <c r="I34" i="36"/>
  <c r="N7" i="8"/>
  <c r="J33" i="36" s="1"/>
  <c r="H38" i="8"/>
  <c r="H39" i="8" s="1"/>
  <c r="N24" i="8"/>
  <c r="G22" i="34" s="1"/>
  <c r="F22" i="34"/>
  <c r="O24" i="8"/>
  <c r="H22" i="34" s="1"/>
  <c r="L12" i="34"/>
  <c r="O23" i="5"/>
  <c r="H9" i="34" s="1"/>
  <c r="N23" i="5"/>
  <c r="G9" i="34" s="1"/>
  <c r="F9" i="34"/>
  <c r="H16" i="35"/>
  <c r="N17" i="5"/>
  <c r="O17" i="5"/>
  <c r="N18" i="5"/>
  <c r="I19" i="35" s="1"/>
  <c r="O18" i="5"/>
  <c r="J19" i="35" s="1"/>
  <c r="H19" i="35"/>
  <c r="O10" i="5"/>
  <c r="K16" i="36" s="1"/>
  <c r="N10" i="5"/>
  <c r="J16" i="36" s="1"/>
  <c r="I16" i="36"/>
  <c r="H15" i="35"/>
  <c r="O14" i="5"/>
  <c r="J15" i="35" s="1"/>
  <c r="AM69" i="55" s="1"/>
  <c r="N14" i="5"/>
  <c r="I15" i="35" s="1"/>
  <c r="AL69" i="55" s="1"/>
  <c r="I8" i="34"/>
  <c r="AW89" i="55"/>
  <c r="I10" i="34"/>
  <c r="AL183" i="55"/>
  <c r="AL132" i="55"/>
  <c r="AL160" i="55"/>
  <c r="AL179" i="55"/>
  <c r="K14" i="35"/>
  <c r="N14" i="35"/>
  <c r="O36" i="36"/>
  <c r="L36" i="36"/>
  <c r="G6" i="55"/>
  <c r="M16" i="33"/>
  <c r="F95" i="34"/>
  <c r="O22" i="31"/>
  <c r="H95" i="34" s="1"/>
  <c r="N22" i="31"/>
  <c r="G95" i="34" s="1"/>
  <c r="I161" i="36"/>
  <c r="O10" i="31"/>
  <c r="N10" i="31"/>
  <c r="O35" i="36"/>
  <c r="L15" i="36"/>
  <c r="K43" i="35"/>
  <c r="N43" i="35"/>
  <c r="M35" i="36"/>
  <c r="N35" i="36"/>
  <c r="N41" i="35"/>
  <c r="H197" i="35"/>
  <c r="N13" i="31"/>
  <c r="N24" i="31"/>
  <c r="G97" i="34" s="1"/>
  <c r="O24" i="31"/>
  <c r="H97" i="34" s="1"/>
  <c r="F97" i="34"/>
  <c r="N14" i="31"/>
  <c r="I200" i="35" s="1"/>
  <c r="H199" i="35"/>
  <c r="H201" i="35"/>
  <c r="O18" i="31"/>
  <c r="AL181" i="55"/>
  <c r="AL159" i="55"/>
  <c r="AL164" i="55"/>
  <c r="AL144" i="55"/>
  <c r="AL124" i="55"/>
  <c r="AL167" i="55"/>
  <c r="AL165" i="55"/>
  <c r="AL155" i="55"/>
  <c r="AL151" i="55"/>
  <c r="AL177" i="55"/>
  <c r="AL142" i="55"/>
  <c r="AL137" i="55"/>
  <c r="AL178" i="55"/>
  <c r="AL158" i="55"/>
  <c r="AL135" i="55"/>
  <c r="AL161" i="55"/>
  <c r="AL126" i="55"/>
  <c r="AL154" i="55"/>
  <c r="AL162" i="55"/>
  <c r="AL156" i="55"/>
  <c r="AL184" i="55"/>
  <c r="AK153" i="55"/>
  <c r="AK147" i="55"/>
  <c r="AK172" i="55"/>
  <c r="AK182" i="55"/>
  <c r="AK143" i="55"/>
  <c r="AK180" i="55"/>
  <c r="AK177" i="55"/>
  <c r="AK139" i="55"/>
  <c r="AK125" i="55"/>
  <c r="AK179" i="55"/>
  <c r="AK170" i="55"/>
  <c r="AK135" i="55"/>
  <c r="AK176" i="55"/>
  <c r="AK132" i="55"/>
  <c r="AK157" i="55"/>
  <c r="AK154" i="55"/>
  <c r="AK163" i="55"/>
  <c r="AK152" i="55"/>
  <c r="AK145" i="55"/>
  <c r="AK158" i="55"/>
  <c r="AK178" i="55"/>
  <c r="AK159" i="55"/>
  <c r="AK133" i="55"/>
  <c r="AK144" i="55"/>
  <c r="AK186" i="55"/>
  <c r="AK171" i="55"/>
  <c r="AK165" i="55"/>
  <c r="AK183" i="55"/>
  <c r="AK167" i="55"/>
  <c r="AK136" i="55"/>
  <c r="AK161" i="55"/>
  <c r="AK142" i="55"/>
  <c r="AK166" i="55"/>
  <c r="AK150" i="55"/>
  <c r="AK162" i="55"/>
  <c r="AK160" i="55"/>
  <c r="AK185" i="55"/>
  <c r="AK155" i="55"/>
  <c r="I138" i="35"/>
  <c r="AL166" i="55"/>
  <c r="AL170" i="55"/>
  <c r="AL128" i="55"/>
  <c r="AL153" i="55"/>
  <c r="AL150" i="55"/>
  <c r="AL172" i="55"/>
  <c r="AL147" i="55"/>
  <c r="AL129" i="55"/>
  <c r="AL171" i="55"/>
  <c r="AL143" i="55"/>
  <c r="AM156" i="55"/>
  <c r="AM178" i="55"/>
  <c r="AM154" i="55"/>
  <c r="AM147" i="55"/>
  <c r="AM126" i="55"/>
  <c r="AM128" i="55"/>
  <c r="AM124" i="55"/>
  <c r="AM149" i="55"/>
  <c r="AM151" i="55"/>
  <c r="AM171" i="55"/>
  <c r="AM172" i="55"/>
  <c r="AM153" i="55"/>
  <c r="AM148" i="55"/>
  <c r="AM169" i="55"/>
  <c r="AM142" i="55"/>
  <c r="AM176" i="55"/>
  <c r="K36" i="35"/>
  <c r="AM159" i="55"/>
  <c r="AM161" i="55"/>
  <c r="AM145" i="55"/>
  <c r="AM184" i="55"/>
  <c r="AM170" i="55"/>
  <c r="AM177" i="55"/>
  <c r="AM157" i="55"/>
  <c r="AM144" i="55"/>
  <c r="AM137" i="55"/>
  <c r="AM146" i="55"/>
  <c r="AK173" i="55"/>
  <c r="AK129" i="55"/>
  <c r="AK184" i="55"/>
  <c r="AK146" i="55"/>
  <c r="AK181" i="55"/>
  <c r="AK175" i="55"/>
  <c r="AK128" i="55"/>
  <c r="AK174" i="55"/>
  <c r="AK164" i="55"/>
  <c r="AK148" i="55"/>
  <c r="AK124" i="55"/>
  <c r="AK126" i="55"/>
  <c r="AK169" i="55"/>
  <c r="AK151" i="55"/>
  <c r="AK149" i="55"/>
  <c r="N13" i="35"/>
  <c r="K29" i="34"/>
  <c r="J29" i="34"/>
  <c r="AM93" i="55"/>
  <c r="AK93" i="55"/>
  <c r="AK57" i="55"/>
  <c r="AK156" i="55"/>
  <c r="AK137" i="55"/>
  <c r="AK168" i="55"/>
  <c r="AK7" i="55"/>
  <c r="M154" i="35"/>
  <c r="L154" i="35"/>
  <c r="AL14" i="55"/>
  <c r="AL15" i="55"/>
  <c r="O125" i="36"/>
  <c r="L125" i="36"/>
  <c r="L126" i="36"/>
  <c r="O126" i="36"/>
  <c r="O123" i="36"/>
  <c r="L10" i="36"/>
  <c r="O17" i="36"/>
  <c r="O10" i="36"/>
  <c r="O8" i="36"/>
  <c r="L8" i="36"/>
  <c r="L28" i="36"/>
  <c r="X55" i="55"/>
  <c r="V43" i="55"/>
  <c r="V48" i="55"/>
  <c r="L37" i="36"/>
  <c r="M15" i="33"/>
  <c r="N15" i="33"/>
  <c r="F15" i="47" s="1"/>
  <c r="F17" i="47"/>
  <c r="M24" i="33"/>
  <c r="N24" i="33"/>
  <c r="H74" i="55"/>
  <c r="H59" i="55"/>
  <c r="H55" i="55"/>
  <c r="H56" i="55"/>
  <c r="H77" i="55"/>
  <c r="H66" i="55"/>
  <c r="H70" i="55"/>
  <c r="H44" i="55"/>
  <c r="H78" i="55"/>
  <c r="H72" i="55"/>
  <c r="H63" i="55"/>
  <c r="H54" i="55"/>
  <c r="H49" i="55"/>
  <c r="H73" i="55"/>
  <c r="H67" i="55"/>
  <c r="H57" i="55"/>
  <c r="H52" i="55"/>
  <c r="H75" i="55"/>
  <c r="H46" i="55"/>
  <c r="H69" i="55"/>
  <c r="H43" i="55"/>
  <c r="H45" i="55"/>
  <c r="H79" i="55"/>
  <c r="H64" i="55"/>
  <c r="H61" i="55"/>
  <c r="H71" i="55"/>
  <c r="H42" i="55"/>
  <c r="H48" i="55"/>
  <c r="H53" i="55"/>
  <c r="H50" i="55"/>
  <c r="H80" i="55"/>
  <c r="H51" i="55"/>
  <c r="H62" i="55"/>
  <c r="H58" i="55"/>
  <c r="H76" i="55"/>
  <c r="H60" i="55"/>
  <c r="H65" i="55"/>
  <c r="H68" i="55"/>
  <c r="H47" i="55"/>
  <c r="G60" i="55"/>
  <c r="G66" i="55"/>
  <c r="G63" i="55"/>
  <c r="G61" i="55"/>
  <c r="G42" i="55"/>
  <c r="G43" i="55"/>
  <c r="G62" i="55"/>
  <c r="G53" i="55"/>
  <c r="G48" i="55"/>
  <c r="G46" i="55"/>
  <c r="G51" i="55"/>
  <c r="G44" i="55"/>
  <c r="G55" i="55"/>
  <c r="G68" i="55"/>
  <c r="G56" i="55"/>
  <c r="G79" i="55"/>
  <c r="G54" i="55"/>
  <c r="G58" i="55"/>
  <c r="G59" i="55"/>
  <c r="G65" i="55"/>
  <c r="G57" i="55"/>
  <c r="G64" i="55"/>
  <c r="G71" i="55"/>
  <c r="G73" i="55"/>
  <c r="G47" i="55"/>
  <c r="G80" i="55"/>
  <c r="G69" i="55"/>
  <c r="G77" i="55"/>
  <c r="G50" i="55"/>
  <c r="G67" i="55"/>
  <c r="G74" i="55"/>
  <c r="G75" i="55"/>
  <c r="G72" i="55"/>
  <c r="G52" i="55"/>
  <c r="G76" i="55"/>
  <c r="G49" i="55"/>
  <c r="G78" i="55"/>
  <c r="G45" i="55"/>
  <c r="G70" i="55"/>
  <c r="H20" i="55"/>
  <c r="H24" i="55"/>
  <c r="H11" i="55"/>
  <c r="A22" i="33"/>
  <c r="A11" i="34"/>
  <c r="X11" i="47"/>
  <c r="Y11" i="47"/>
  <c r="AO11" i="47"/>
  <c r="Y83" i="55"/>
  <c r="AL72" i="55"/>
  <c r="L31" i="55"/>
  <c r="L36" i="55"/>
  <c r="AL114" i="55"/>
  <c r="AK89" i="55"/>
  <c r="N38" i="35"/>
  <c r="AL68" i="55"/>
  <c r="J38" i="7"/>
  <c r="J39" i="7" s="1"/>
  <c r="AL63" i="55"/>
  <c r="AM68" i="55"/>
  <c r="AM63" i="55"/>
  <c r="AV14" i="55"/>
  <c r="J38" i="24"/>
  <c r="J39" i="24" s="1"/>
  <c r="O124" i="36"/>
  <c r="L124" i="36"/>
  <c r="I38" i="24"/>
  <c r="I39" i="24" s="1"/>
  <c r="X81" i="55"/>
  <c r="AM94" i="55"/>
  <c r="C37" i="55"/>
  <c r="C31" i="55"/>
  <c r="N35" i="35"/>
  <c r="N36" i="35"/>
  <c r="AL94" i="55"/>
  <c r="U45" i="55"/>
  <c r="U43" i="55"/>
  <c r="V56" i="55"/>
  <c r="X32" i="55"/>
  <c r="AA87" i="55"/>
  <c r="O37" i="36"/>
  <c r="AV33" i="55"/>
  <c r="AK106" i="55"/>
  <c r="AW14" i="55"/>
  <c r="Z83" i="55"/>
  <c r="AL21" i="55"/>
  <c r="G28" i="55"/>
  <c r="X7" i="55"/>
  <c r="N61" i="35"/>
  <c r="K61" i="35"/>
  <c r="M61" i="35" s="1"/>
  <c r="X24" i="55"/>
  <c r="O38" i="36"/>
  <c r="K35" i="35"/>
  <c r="M35" i="35" s="1"/>
  <c r="O30" i="36"/>
  <c r="I38" i="7"/>
  <c r="I39" i="7" s="1"/>
  <c r="O28" i="36"/>
  <c r="M30" i="36"/>
  <c r="N34" i="35"/>
  <c r="K34" i="35"/>
  <c r="M34" i="35" s="1"/>
  <c r="O29" i="36"/>
  <c r="L29" i="36"/>
  <c r="N29" i="36" s="1"/>
  <c r="L17" i="36"/>
  <c r="K20" i="35"/>
  <c r="M20" i="35" s="1"/>
  <c r="N20" i="35"/>
  <c r="X34" i="55"/>
  <c r="U63" i="55"/>
  <c r="U57" i="55"/>
  <c r="V51" i="55"/>
  <c r="V45" i="55"/>
  <c r="I188" i="35"/>
  <c r="AK46" i="55"/>
  <c r="N63" i="35"/>
  <c r="K63" i="35"/>
  <c r="L63" i="35" s="1"/>
  <c r="N60" i="35"/>
  <c r="O39" i="36"/>
  <c r="L39" i="36"/>
  <c r="M39" i="36" s="1"/>
  <c r="L38" i="36"/>
  <c r="N38" i="36" s="1"/>
  <c r="N21" i="35"/>
  <c r="M21" i="36"/>
  <c r="N26" i="35"/>
  <c r="I38" i="6"/>
  <c r="I39" i="6" s="1"/>
  <c r="K21" i="35"/>
  <c r="L21" i="35" s="1"/>
  <c r="N24" i="35"/>
  <c r="L26" i="35"/>
  <c r="N23" i="35"/>
  <c r="K60" i="35"/>
  <c r="M60" i="35" s="1"/>
  <c r="AM30" i="55"/>
  <c r="AL30" i="55"/>
  <c r="N69" i="33"/>
  <c r="M69" i="33"/>
  <c r="N158" i="35"/>
  <c r="K158" i="35"/>
  <c r="G24" i="55"/>
  <c r="F11" i="47"/>
  <c r="M13" i="33"/>
  <c r="N13" i="33"/>
  <c r="K24" i="35"/>
  <c r="L24" i="35" s="1"/>
  <c r="N21" i="36"/>
  <c r="M26" i="35"/>
  <c r="O21" i="36"/>
  <c r="J38" i="6"/>
  <c r="J39" i="6" s="1"/>
  <c r="I22" i="35"/>
  <c r="K23" i="35"/>
  <c r="N5" i="33"/>
  <c r="M30" i="58" s="1"/>
  <c r="M5" i="33"/>
  <c r="I12" i="35"/>
  <c r="V63" i="55"/>
  <c r="H32" i="55"/>
  <c r="X40" i="55"/>
  <c r="N3" i="33"/>
  <c r="F4" i="47" s="1"/>
  <c r="U51" i="55"/>
  <c r="N30" i="36"/>
  <c r="J73" i="34"/>
  <c r="X68" i="55"/>
  <c r="AN14" i="55"/>
  <c r="AM23" i="55"/>
  <c r="AK23" i="55"/>
  <c r="M19" i="33"/>
  <c r="G41" i="55"/>
  <c r="N19" i="33"/>
  <c r="AL23" i="55"/>
  <c r="M44" i="33"/>
  <c r="N44" i="33"/>
  <c r="G11" i="55"/>
  <c r="A8" i="35"/>
  <c r="Q8" i="47" s="1"/>
  <c r="M3" i="33"/>
  <c r="AY73" i="55"/>
  <c r="AY63" i="55"/>
  <c r="AY54" i="55"/>
  <c r="AY99" i="55"/>
  <c r="AY62" i="55"/>
  <c r="AY88" i="55"/>
  <c r="AY64" i="55"/>
  <c r="AY65" i="55"/>
  <c r="AY89" i="55"/>
  <c r="AY83" i="55"/>
  <c r="AY55" i="55"/>
  <c r="AY74" i="55"/>
  <c r="AY86" i="55"/>
  <c r="AY53" i="55"/>
  <c r="AY72" i="55"/>
  <c r="AY80" i="55"/>
  <c r="AY66" i="55"/>
  <c r="AY98" i="55"/>
  <c r="AY92" i="55"/>
  <c r="G40" i="55"/>
  <c r="N54" i="33"/>
  <c r="M54" i="33"/>
  <c r="Z71" i="55"/>
  <c r="AW18" i="55"/>
  <c r="AX18" i="55"/>
  <c r="M33" i="33"/>
  <c r="N33" i="33"/>
  <c r="L122" i="36"/>
  <c r="O122" i="36"/>
  <c r="K31" i="55"/>
  <c r="G32" i="55"/>
  <c r="Y71" i="55"/>
  <c r="N21" i="33"/>
  <c r="K13" i="55"/>
  <c r="M21" i="33"/>
  <c r="J17" i="34"/>
  <c r="K17" i="34"/>
  <c r="O27" i="36"/>
  <c r="L27" i="36"/>
  <c r="J18" i="34"/>
  <c r="K18" i="34"/>
  <c r="K19" i="34"/>
  <c r="J19" i="34"/>
  <c r="F13" i="47"/>
  <c r="L27" i="35"/>
  <c r="M27" i="35"/>
  <c r="AY97" i="55"/>
  <c r="AY58" i="55"/>
  <c r="AY94" i="55"/>
  <c r="AY52" i="55"/>
  <c r="AY60" i="55"/>
  <c r="AY77" i="55"/>
  <c r="AY96" i="55"/>
  <c r="AY68" i="55"/>
  <c r="AY101" i="55"/>
  <c r="AY85" i="55"/>
  <c r="AY95" i="55"/>
  <c r="AY57" i="55"/>
  <c r="AY61" i="55"/>
  <c r="AY84" i="55"/>
  <c r="AY70" i="55"/>
  <c r="AY100" i="55"/>
  <c r="AY56" i="55"/>
  <c r="AY91" i="55"/>
  <c r="AY81" i="55"/>
  <c r="J13" i="34"/>
  <c r="AY76" i="55"/>
  <c r="AY78" i="55"/>
  <c r="AY90" i="55"/>
  <c r="AY69" i="55"/>
  <c r="AY75" i="55"/>
  <c r="AY79" i="55"/>
  <c r="AY82" i="55"/>
  <c r="AY93" i="55"/>
  <c r="AY67" i="55"/>
  <c r="AY59" i="55"/>
  <c r="AY71" i="55"/>
  <c r="AY87" i="55"/>
  <c r="J11" i="34"/>
  <c r="K11" i="34"/>
  <c r="Y52" i="55"/>
  <c r="M20" i="36"/>
  <c r="N20" i="36"/>
  <c r="AA11" i="47"/>
  <c r="N7" i="33"/>
  <c r="M7" i="33"/>
  <c r="K2" i="55"/>
  <c r="M7" i="47"/>
  <c r="AA2" i="55"/>
  <c r="M7" i="36"/>
  <c r="N7" i="36"/>
  <c r="M15" i="58" l="1"/>
  <c r="M15" i="57"/>
  <c r="M6" i="58"/>
  <c r="M6" i="55"/>
  <c r="M6" i="57"/>
  <c r="AL7" i="55"/>
  <c r="AL7" i="57"/>
  <c r="AL7" i="58"/>
  <c r="AL98" i="55"/>
  <c r="AV49" i="57"/>
  <c r="AK98" i="55"/>
  <c r="J80" i="35"/>
  <c r="Z20" i="55"/>
  <c r="Z18" i="58"/>
  <c r="Y20" i="55"/>
  <c r="Y18" i="58"/>
  <c r="X50" i="55"/>
  <c r="X51" i="57"/>
  <c r="X52" i="58"/>
  <c r="Z51" i="57"/>
  <c r="Z52" i="58"/>
  <c r="Y50" i="55"/>
  <c r="Y51" i="57"/>
  <c r="Y52" i="58"/>
  <c r="AK85" i="57"/>
  <c r="AK86" i="58"/>
  <c r="AK92" i="57"/>
  <c r="AK92" i="58"/>
  <c r="AK70" i="57"/>
  <c r="AK74" i="58"/>
  <c r="AM38" i="57"/>
  <c r="AM70" i="57"/>
  <c r="AM74" i="58"/>
  <c r="AL38" i="57"/>
  <c r="AL74" i="58"/>
  <c r="J32" i="35"/>
  <c r="K28" i="35"/>
  <c r="N28" i="35"/>
  <c r="AW41" i="58"/>
  <c r="AW41" i="57"/>
  <c r="AX41" i="58"/>
  <c r="AX41" i="57"/>
  <c r="AV41" i="58"/>
  <c r="AV41" i="57"/>
  <c r="K29" i="35"/>
  <c r="AL122" i="55"/>
  <c r="AK122" i="55"/>
  <c r="N29" i="35"/>
  <c r="AK122" i="57"/>
  <c r="AK45" i="58"/>
  <c r="AK46" i="57"/>
  <c r="X21" i="55"/>
  <c r="Z21" i="55"/>
  <c r="X21" i="58"/>
  <c r="X22" i="57"/>
  <c r="Y21" i="58"/>
  <c r="Y22" i="57"/>
  <c r="Z21" i="58"/>
  <c r="Z22" i="57"/>
  <c r="AK31" i="57"/>
  <c r="AK32" i="58"/>
  <c r="AM31" i="57"/>
  <c r="AM32" i="58"/>
  <c r="AM56" i="55"/>
  <c r="AX30" i="55"/>
  <c r="M96" i="35"/>
  <c r="L96" i="35"/>
  <c r="N96" i="35"/>
  <c r="AV12" i="55"/>
  <c r="AV10" i="57"/>
  <c r="AW12" i="55"/>
  <c r="AW10" i="57"/>
  <c r="AK64" i="55"/>
  <c r="Y64" i="57"/>
  <c r="Y57" i="58"/>
  <c r="Y62" i="58"/>
  <c r="Z57" i="58"/>
  <c r="Z62" i="58"/>
  <c r="H29" i="58"/>
  <c r="H29" i="57"/>
  <c r="AW20" i="55"/>
  <c r="AW20" i="57"/>
  <c r="AW20" i="58"/>
  <c r="Y72" i="58"/>
  <c r="Y72" i="57"/>
  <c r="X72" i="58"/>
  <c r="X72" i="57"/>
  <c r="AK69" i="57"/>
  <c r="AK73" i="57"/>
  <c r="AK76" i="58"/>
  <c r="AV20" i="58"/>
  <c r="AV20" i="57"/>
  <c r="AV20" i="55"/>
  <c r="X63" i="57"/>
  <c r="X63" i="55"/>
  <c r="AK91" i="55"/>
  <c r="AK98" i="58"/>
  <c r="X51" i="55"/>
  <c r="X53" i="57"/>
  <c r="AK56" i="55"/>
  <c r="AK55" i="57"/>
  <c r="Y65" i="57"/>
  <c r="Y68" i="58"/>
  <c r="Z68" i="58"/>
  <c r="H12" i="57"/>
  <c r="H12" i="58"/>
  <c r="G12" i="57"/>
  <c r="G12" i="58"/>
  <c r="AW7" i="57"/>
  <c r="AW7" i="55"/>
  <c r="AV7" i="55"/>
  <c r="AV7" i="57"/>
  <c r="AX7" i="57"/>
  <c r="AX7" i="55"/>
  <c r="H17" i="57"/>
  <c r="H17" i="58"/>
  <c r="AM8" i="58"/>
  <c r="AM10" i="57"/>
  <c r="O9" i="36"/>
  <c r="M9" i="47" s="1"/>
  <c r="AK8" i="57"/>
  <c r="N8" i="35"/>
  <c r="AL8" i="57"/>
  <c r="K8" i="35"/>
  <c r="L5" i="34"/>
  <c r="I5" i="34"/>
  <c r="AX20" i="57"/>
  <c r="AX20" i="58"/>
  <c r="AX20" i="55"/>
  <c r="H7" i="57"/>
  <c r="H7" i="58"/>
  <c r="H7" i="55"/>
  <c r="I56" i="34"/>
  <c r="AM102" i="55"/>
  <c r="AM82" i="58"/>
  <c r="AK102" i="55"/>
  <c r="AK81" i="57"/>
  <c r="AK82" i="58"/>
  <c r="AK140" i="55"/>
  <c r="AK140" i="57"/>
  <c r="X64" i="58"/>
  <c r="X64" i="57"/>
  <c r="Y73" i="57"/>
  <c r="Y72" i="55"/>
  <c r="Y73" i="58"/>
  <c r="X69" i="55"/>
  <c r="X73" i="58"/>
  <c r="X73" i="57"/>
  <c r="AV50" i="58"/>
  <c r="AV50" i="55"/>
  <c r="AK127" i="58"/>
  <c r="AK127" i="57"/>
  <c r="AK121" i="57"/>
  <c r="AK121" i="58"/>
  <c r="AK121" i="55"/>
  <c r="AM121" i="57"/>
  <c r="AM121" i="58"/>
  <c r="K126" i="35"/>
  <c r="AL121" i="58"/>
  <c r="AL121" i="57"/>
  <c r="X59" i="57"/>
  <c r="O159" i="36"/>
  <c r="X60" i="58"/>
  <c r="Z59" i="57"/>
  <c r="Y59" i="57"/>
  <c r="L159" i="36"/>
  <c r="AK120" i="58"/>
  <c r="AK120" i="57"/>
  <c r="AM120" i="58"/>
  <c r="AM120" i="57"/>
  <c r="X38" i="57"/>
  <c r="X39" i="58"/>
  <c r="Z38" i="57"/>
  <c r="Z39" i="58"/>
  <c r="Y38" i="57"/>
  <c r="Y39" i="58"/>
  <c r="AK58" i="58"/>
  <c r="AK60" i="57"/>
  <c r="AK60" i="55"/>
  <c r="AL133" i="57"/>
  <c r="AL133" i="58"/>
  <c r="AV21" i="57"/>
  <c r="AV21" i="58"/>
  <c r="AV21" i="55"/>
  <c r="AX21" i="55"/>
  <c r="AX21" i="58"/>
  <c r="AX21" i="57"/>
  <c r="AW29" i="55"/>
  <c r="AW21" i="57"/>
  <c r="AW21" i="55"/>
  <c r="AW21" i="58"/>
  <c r="AK18" i="57"/>
  <c r="AK16" i="58"/>
  <c r="AL120" i="57"/>
  <c r="AL120" i="58"/>
  <c r="AK112" i="57"/>
  <c r="AK112" i="58"/>
  <c r="AK133" i="58"/>
  <c r="AK133" i="57"/>
  <c r="Z41" i="58"/>
  <c r="Z41" i="57"/>
  <c r="Y41" i="58"/>
  <c r="Y41" i="57"/>
  <c r="N189" i="35"/>
  <c r="L149" i="36"/>
  <c r="AK101" i="55"/>
  <c r="AK61" i="55"/>
  <c r="AK60" i="58"/>
  <c r="AK61" i="57"/>
  <c r="AM60" i="58"/>
  <c r="AM61" i="57"/>
  <c r="AL60" i="58"/>
  <c r="AL61" i="57"/>
  <c r="AL61" i="55"/>
  <c r="AK45" i="57"/>
  <c r="AK47" i="58"/>
  <c r="AM45" i="57"/>
  <c r="AM47" i="58"/>
  <c r="AL45" i="57"/>
  <c r="AL47" i="58"/>
  <c r="AM106" i="57"/>
  <c r="AM106" i="58"/>
  <c r="AL105" i="55"/>
  <c r="AL106" i="57"/>
  <c r="AL106" i="58"/>
  <c r="Y29" i="57"/>
  <c r="Y29" i="58"/>
  <c r="Z29" i="58"/>
  <c r="Z29" i="57"/>
  <c r="X29" i="57"/>
  <c r="X29" i="58"/>
  <c r="X26" i="58"/>
  <c r="X28" i="57"/>
  <c r="Y28" i="57"/>
  <c r="Z28" i="57"/>
  <c r="AL20" i="57"/>
  <c r="AL19" i="58"/>
  <c r="AK20" i="57"/>
  <c r="AK19" i="58"/>
  <c r="AM20" i="57"/>
  <c r="AM19" i="58"/>
  <c r="AV31" i="57"/>
  <c r="AV31" i="58"/>
  <c r="K140" i="36"/>
  <c r="Z39" i="55" s="1"/>
  <c r="J140" i="36"/>
  <c r="AM3" i="55"/>
  <c r="AK3" i="55"/>
  <c r="J139" i="36"/>
  <c r="Y79" i="58" s="1"/>
  <c r="K139" i="36"/>
  <c r="H27" i="55"/>
  <c r="H26" i="55"/>
  <c r="H26" i="58"/>
  <c r="H26" i="57"/>
  <c r="AM124" i="58"/>
  <c r="AM123" i="57"/>
  <c r="AM123" i="55"/>
  <c r="AK123" i="55"/>
  <c r="AK124" i="58"/>
  <c r="AK123" i="57"/>
  <c r="AL123" i="55"/>
  <c r="AL123" i="57"/>
  <c r="AL124" i="58"/>
  <c r="AK3" i="58"/>
  <c r="AK3" i="57"/>
  <c r="AL3" i="57"/>
  <c r="AL3" i="58"/>
  <c r="AM3" i="58"/>
  <c r="AM3" i="57"/>
  <c r="X22" i="58"/>
  <c r="X21" i="57"/>
  <c r="Z21" i="57"/>
  <c r="Z22" i="58"/>
  <c r="Y21" i="57"/>
  <c r="Y22" i="58"/>
  <c r="AX30" i="57"/>
  <c r="AX30" i="58"/>
  <c r="AV30" i="57"/>
  <c r="AV30" i="58"/>
  <c r="I83" i="34"/>
  <c r="AW30" i="58"/>
  <c r="AW30" i="57"/>
  <c r="AK86" i="57"/>
  <c r="AK85" i="58"/>
  <c r="AM85" i="58"/>
  <c r="AM86" i="57"/>
  <c r="X78" i="58"/>
  <c r="X85" i="57"/>
  <c r="AM59" i="58"/>
  <c r="AM59" i="57"/>
  <c r="AL59" i="58"/>
  <c r="AL59" i="57"/>
  <c r="AK48" i="55"/>
  <c r="AK59" i="58"/>
  <c r="AK59" i="57"/>
  <c r="Y45" i="58"/>
  <c r="Y45" i="57"/>
  <c r="X45" i="58"/>
  <c r="X45" i="57"/>
  <c r="AX38" i="55"/>
  <c r="AX43" i="57"/>
  <c r="AX43" i="58"/>
  <c r="AX43" i="55"/>
  <c r="AW43" i="58"/>
  <c r="AW43" i="57"/>
  <c r="AW43" i="55"/>
  <c r="AV43" i="57"/>
  <c r="AV43" i="58"/>
  <c r="AV43" i="55"/>
  <c r="AX36" i="55"/>
  <c r="AV36" i="55"/>
  <c r="AW4" i="55"/>
  <c r="AW10" i="55"/>
  <c r="AW9" i="57"/>
  <c r="AW9" i="58"/>
  <c r="AV10" i="55"/>
  <c r="AV9" i="58"/>
  <c r="AV9" i="57"/>
  <c r="AX4" i="55"/>
  <c r="AX9" i="57"/>
  <c r="AX9" i="58"/>
  <c r="AX10" i="55"/>
  <c r="AK39" i="57"/>
  <c r="AK39" i="58"/>
  <c r="AL24" i="55"/>
  <c r="AL39" i="57"/>
  <c r="AM24" i="55"/>
  <c r="AM39" i="57"/>
  <c r="Y76" i="58"/>
  <c r="Y75" i="57"/>
  <c r="Z76" i="58"/>
  <c r="Z75" i="57"/>
  <c r="O143" i="36"/>
  <c r="X76" i="58"/>
  <c r="X75" i="57"/>
  <c r="AK59" i="55"/>
  <c r="AK111" i="57"/>
  <c r="AK107" i="58"/>
  <c r="AW35" i="58"/>
  <c r="AW36" i="57"/>
  <c r="AX35" i="58"/>
  <c r="AX36" i="57"/>
  <c r="AV36" i="57"/>
  <c r="AV35" i="58"/>
  <c r="AL16" i="55"/>
  <c r="AL24" i="57"/>
  <c r="AL24" i="58"/>
  <c r="AM16" i="55"/>
  <c r="AM24" i="57"/>
  <c r="AM24" i="58"/>
  <c r="X5" i="58"/>
  <c r="X4" i="57"/>
  <c r="X70" i="57"/>
  <c r="X69" i="58"/>
  <c r="Z70" i="57"/>
  <c r="Z69" i="58"/>
  <c r="AK83" i="55"/>
  <c r="AK102" i="57"/>
  <c r="AK103" i="58"/>
  <c r="Y82" i="58"/>
  <c r="Y83" i="57"/>
  <c r="Z59" i="55"/>
  <c r="Z83" i="57"/>
  <c r="Z82" i="58"/>
  <c r="X84" i="55"/>
  <c r="X82" i="58"/>
  <c r="X83" i="57"/>
  <c r="AK16" i="57"/>
  <c r="AK17" i="58"/>
  <c r="AL135" i="57"/>
  <c r="AL134" i="58"/>
  <c r="AM135" i="55"/>
  <c r="AM134" i="58"/>
  <c r="AM135" i="57"/>
  <c r="AK135" i="57"/>
  <c r="AK134" i="58"/>
  <c r="X11" i="58"/>
  <c r="X13" i="57"/>
  <c r="Z11" i="58"/>
  <c r="Z13" i="57"/>
  <c r="Y51" i="58"/>
  <c r="Y55" i="57"/>
  <c r="AX16" i="57"/>
  <c r="AX16" i="58"/>
  <c r="AV16" i="57"/>
  <c r="AV16" i="58"/>
  <c r="AV37" i="58"/>
  <c r="AV37" i="57"/>
  <c r="L72" i="34"/>
  <c r="AY33" i="58" s="1"/>
  <c r="AZ33" i="58" s="1"/>
  <c r="I72" i="34"/>
  <c r="H36" i="55"/>
  <c r="H9" i="55"/>
  <c r="H9" i="58"/>
  <c r="H9" i="57"/>
  <c r="G9" i="58"/>
  <c r="G9" i="57"/>
  <c r="G9" i="55"/>
  <c r="AK33" i="55"/>
  <c r="AK138" i="55"/>
  <c r="AK138" i="58"/>
  <c r="AK138" i="57"/>
  <c r="X77" i="55"/>
  <c r="X88" i="57"/>
  <c r="X84" i="58"/>
  <c r="AL138" i="55"/>
  <c r="AL138" i="57"/>
  <c r="AL138" i="58"/>
  <c r="AM138" i="55"/>
  <c r="AM138" i="57"/>
  <c r="AM138" i="58"/>
  <c r="X81" i="57"/>
  <c r="X86" i="58"/>
  <c r="AL113" i="55"/>
  <c r="AL113" i="57"/>
  <c r="AL114" i="58"/>
  <c r="AK114" i="58"/>
  <c r="AK113" i="57"/>
  <c r="AM114" i="55"/>
  <c r="AM114" i="58"/>
  <c r="AM113" i="57"/>
  <c r="AK13" i="57"/>
  <c r="AK13" i="58"/>
  <c r="AL13" i="57"/>
  <c r="AL13" i="58"/>
  <c r="AM34" i="55"/>
  <c r="AM13" i="58"/>
  <c r="AM13" i="57"/>
  <c r="X35" i="55"/>
  <c r="X20" i="58"/>
  <c r="X19" i="57"/>
  <c r="Y19" i="57"/>
  <c r="Y20" i="58"/>
  <c r="Z19" i="57"/>
  <c r="Z20" i="58"/>
  <c r="Z44" i="58"/>
  <c r="Z46" i="55"/>
  <c r="L113" i="36"/>
  <c r="Y46" i="57"/>
  <c r="Y44" i="58"/>
  <c r="O113" i="36"/>
  <c r="X44" i="58"/>
  <c r="X46" i="57"/>
  <c r="X46" i="55"/>
  <c r="AK33" i="57"/>
  <c r="AK34" i="58"/>
  <c r="AM33" i="57"/>
  <c r="AM34" i="58"/>
  <c r="AW28" i="58"/>
  <c r="AW25" i="57"/>
  <c r="AV28" i="58"/>
  <c r="AV25" i="57"/>
  <c r="AX28" i="58"/>
  <c r="AX25" i="57"/>
  <c r="G64" i="34"/>
  <c r="H64" i="34"/>
  <c r="H15" i="55"/>
  <c r="H3" i="58"/>
  <c r="H3" i="57"/>
  <c r="AK48" i="58"/>
  <c r="AK49" i="57"/>
  <c r="AL48" i="58"/>
  <c r="AL49" i="57"/>
  <c r="AM49" i="57"/>
  <c r="AM48" i="58"/>
  <c r="AK101" i="58"/>
  <c r="AK98" i="57"/>
  <c r="AM101" i="58"/>
  <c r="AM98" i="57"/>
  <c r="Y31" i="58"/>
  <c r="Y30" i="57"/>
  <c r="Z31" i="58"/>
  <c r="Z30" i="57"/>
  <c r="G3" i="58"/>
  <c r="G3" i="57"/>
  <c r="X24" i="57"/>
  <c r="X25" i="58"/>
  <c r="AK71" i="58"/>
  <c r="AK72" i="57"/>
  <c r="AK70" i="55"/>
  <c r="AM100" i="58"/>
  <c r="AM101" i="57"/>
  <c r="AX19" i="57"/>
  <c r="AX18" i="58"/>
  <c r="AV18" i="58"/>
  <c r="AV19" i="57"/>
  <c r="AW48" i="57"/>
  <c r="AW48" i="58"/>
  <c r="AW48" i="55"/>
  <c r="AX48" i="57"/>
  <c r="AX48" i="58"/>
  <c r="AX48" i="55"/>
  <c r="AV48" i="58"/>
  <c r="AV48" i="57"/>
  <c r="AV48" i="55"/>
  <c r="AL115" i="57"/>
  <c r="AM115" i="57"/>
  <c r="AK115" i="57"/>
  <c r="AK113" i="58"/>
  <c r="AK115" i="55"/>
  <c r="AL9" i="58"/>
  <c r="AL9" i="57"/>
  <c r="AL98" i="57"/>
  <c r="AL93" i="55"/>
  <c r="K130" i="35"/>
  <c r="AK75" i="55"/>
  <c r="AK75" i="58"/>
  <c r="AK75" i="57"/>
  <c r="AL75" i="55"/>
  <c r="AM75" i="55"/>
  <c r="AM75" i="57"/>
  <c r="Z29" i="55"/>
  <c r="Z39" i="57"/>
  <c r="Z40" i="58"/>
  <c r="X29" i="55"/>
  <c r="X39" i="57"/>
  <c r="X40" i="58"/>
  <c r="AW18" i="57"/>
  <c r="AW19" i="58"/>
  <c r="AX9" i="55"/>
  <c r="AX18" i="57"/>
  <c r="AX19" i="58"/>
  <c r="AV9" i="55"/>
  <c r="AV18" i="57"/>
  <c r="AV19" i="58"/>
  <c r="X71" i="57"/>
  <c r="X70" i="58"/>
  <c r="Z70" i="58"/>
  <c r="Z71" i="57"/>
  <c r="Y71" i="57"/>
  <c r="Y70" i="58"/>
  <c r="AL6" i="58"/>
  <c r="AL6" i="57"/>
  <c r="AM4" i="55"/>
  <c r="AM6" i="58"/>
  <c r="AM6" i="57"/>
  <c r="AM40" i="57"/>
  <c r="AM41" i="58"/>
  <c r="AK40" i="55"/>
  <c r="AK40" i="57"/>
  <c r="AK41" i="58"/>
  <c r="AL40" i="57"/>
  <c r="AL41" i="58"/>
  <c r="X37" i="57"/>
  <c r="X33" i="58"/>
  <c r="X37" i="55"/>
  <c r="J113" i="35"/>
  <c r="AM131" i="55" s="1"/>
  <c r="I113" i="35"/>
  <c r="AL131" i="55" s="1"/>
  <c r="M40" i="33"/>
  <c r="H16" i="57"/>
  <c r="H16" i="58"/>
  <c r="N41" i="33"/>
  <c r="M41" i="33"/>
  <c r="X67" i="55"/>
  <c r="X36" i="57"/>
  <c r="X35" i="58"/>
  <c r="Z67" i="55"/>
  <c r="Z36" i="57"/>
  <c r="Z35" i="58"/>
  <c r="Y36" i="57"/>
  <c r="Y35" i="58"/>
  <c r="AV39" i="57"/>
  <c r="AV40" i="58"/>
  <c r="AW33" i="55"/>
  <c r="AW22" i="58"/>
  <c r="AW28" i="57"/>
  <c r="AX33" i="55"/>
  <c r="AX28" i="57"/>
  <c r="AX22" i="58"/>
  <c r="AM96" i="55"/>
  <c r="AM105" i="58"/>
  <c r="AM105" i="57"/>
  <c r="AL105" i="57"/>
  <c r="AL105" i="58"/>
  <c r="AK105" i="58"/>
  <c r="AK105" i="57"/>
  <c r="AL2" i="55"/>
  <c r="AL2" i="58"/>
  <c r="AL2" i="57"/>
  <c r="AK2" i="58"/>
  <c r="AK2" i="57"/>
  <c r="AM8" i="55"/>
  <c r="AM2" i="58"/>
  <c r="AM2" i="55"/>
  <c r="AM2" i="57"/>
  <c r="AL13" i="55"/>
  <c r="AL25" i="57"/>
  <c r="AL27" i="58"/>
  <c r="AK27" i="58"/>
  <c r="AK25" i="57"/>
  <c r="AM27" i="58"/>
  <c r="AM25" i="57"/>
  <c r="Z15" i="57"/>
  <c r="Z15" i="58"/>
  <c r="Y15" i="57"/>
  <c r="Y15" i="58"/>
  <c r="AM131" i="57"/>
  <c r="AM132" i="58"/>
  <c r="AK131" i="57"/>
  <c r="AK132" i="58"/>
  <c r="AL131" i="57"/>
  <c r="AL132" i="58"/>
  <c r="AW42" i="58"/>
  <c r="AW42" i="57"/>
  <c r="AW42" i="55"/>
  <c r="AV42" i="58"/>
  <c r="AV42" i="57"/>
  <c r="AV42" i="55"/>
  <c r="M39" i="33"/>
  <c r="N39" i="33"/>
  <c r="X66" i="55"/>
  <c r="H52" i="34"/>
  <c r="AV26" i="55"/>
  <c r="J118" i="35"/>
  <c r="AM67" i="55" s="1"/>
  <c r="I118" i="35"/>
  <c r="AL67" i="55" s="1"/>
  <c r="I116" i="35"/>
  <c r="N116" i="35" s="1"/>
  <c r="G33" i="57"/>
  <c r="G33" i="58"/>
  <c r="G33" i="55"/>
  <c r="H39" i="55"/>
  <c r="H33" i="55"/>
  <c r="H33" i="57"/>
  <c r="H33" i="58"/>
  <c r="X8" i="58"/>
  <c r="X8" i="57"/>
  <c r="Z8" i="58"/>
  <c r="Y8" i="58"/>
  <c r="AV2" i="58"/>
  <c r="AV2" i="57"/>
  <c r="AX2" i="55"/>
  <c r="AX2" i="58"/>
  <c r="AX2" i="57"/>
  <c r="AW2" i="58"/>
  <c r="AW2" i="57"/>
  <c r="X55" i="58"/>
  <c r="X57" i="57"/>
  <c r="Y55" i="58"/>
  <c r="Y57" i="57"/>
  <c r="Z55" i="58"/>
  <c r="Z57" i="57"/>
  <c r="AK66" i="58"/>
  <c r="AK64" i="57"/>
  <c r="AK67" i="55"/>
  <c r="AM66" i="58"/>
  <c r="AM64" i="57"/>
  <c r="AL66" i="58"/>
  <c r="AL64" i="57"/>
  <c r="AL89" i="57"/>
  <c r="AL89" i="58"/>
  <c r="AM89" i="57"/>
  <c r="AM89" i="58"/>
  <c r="AM98" i="55"/>
  <c r="AK86" i="55"/>
  <c r="AK89" i="58"/>
  <c r="AK89" i="57"/>
  <c r="AV44" i="57"/>
  <c r="AV44" i="58"/>
  <c r="AV44" i="55"/>
  <c r="AW44" i="58"/>
  <c r="AW44" i="57"/>
  <c r="AW44" i="55"/>
  <c r="AX34" i="55"/>
  <c r="AX44" i="57"/>
  <c r="AX44" i="58"/>
  <c r="AX44" i="55"/>
  <c r="AL73" i="58"/>
  <c r="AL74" i="57"/>
  <c r="AM74" i="57"/>
  <c r="AM73" i="58"/>
  <c r="AK74" i="57"/>
  <c r="AK73" i="58"/>
  <c r="AK58" i="57"/>
  <c r="AK56" i="58"/>
  <c r="AM56" i="58"/>
  <c r="AM58" i="57"/>
  <c r="AL58" i="57"/>
  <c r="AL56" i="58"/>
  <c r="H14" i="55"/>
  <c r="H14" i="57"/>
  <c r="H14" i="58"/>
  <c r="X76" i="57"/>
  <c r="X75" i="58"/>
  <c r="H18" i="55"/>
  <c r="H10" i="58"/>
  <c r="H10" i="57"/>
  <c r="G18" i="55"/>
  <c r="G10" i="57"/>
  <c r="G10" i="58"/>
  <c r="G10" i="55"/>
  <c r="Z79" i="55"/>
  <c r="AX19" i="55"/>
  <c r="AX17" i="58"/>
  <c r="AX17" i="57"/>
  <c r="AV17" i="57"/>
  <c r="AV17" i="58"/>
  <c r="AW16" i="55"/>
  <c r="AW17" i="57"/>
  <c r="AW17" i="58"/>
  <c r="X26" i="57"/>
  <c r="X24" i="58"/>
  <c r="AK40" i="58"/>
  <c r="AK43" i="57"/>
  <c r="AK42" i="57"/>
  <c r="AK42" i="58"/>
  <c r="AK36" i="57"/>
  <c r="AK35" i="58"/>
  <c r="AL102" i="58"/>
  <c r="AL103" i="57"/>
  <c r="AM102" i="58"/>
  <c r="AM103" i="57"/>
  <c r="AK102" i="58"/>
  <c r="AK103" i="57"/>
  <c r="X62" i="55"/>
  <c r="X42" i="57"/>
  <c r="X42" i="58"/>
  <c r="Y78" i="57"/>
  <c r="Z86" i="55"/>
  <c r="Z78" i="57"/>
  <c r="Z79" i="58"/>
  <c r="I89" i="35"/>
  <c r="J89" i="35"/>
  <c r="AM134" i="55" s="1"/>
  <c r="I41" i="34"/>
  <c r="J41" i="34" s="1"/>
  <c r="I88" i="35"/>
  <c r="J88" i="35"/>
  <c r="L67" i="36"/>
  <c r="Y5" i="55"/>
  <c r="Y4" i="58"/>
  <c r="Y5" i="57"/>
  <c r="O67" i="36"/>
  <c r="AA5" i="57" s="1"/>
  <c r="X4" i="58"/>
  <c r="X5" i="57"/>
  <c r="Z4" i="58"/>
  <c r="Z5" i="57"/>
  <c r="L43" i="34"/>
  <c r="I43" i="34"/>
  <c r="AL135" i="58"/>
  <c r="AL134" i="57"/>
  <c r="AK135" i="58"/>
  <c r="AK134" i="57"/>
  <c r="AM135" i="58"/>
  <c r="AM134" i="57"/>
  <c r="AL109" i="57"/>
  <c r="AL109" i="58"/>
  <c r="AM109" i="58"/>
  <c r="AM109" i="57"/>
  <c r="AK109" i="58"/>
  <c r="AK109" i="57"/>
  <c r="AW6" i="58"/>
  <c r="AW6" i="57"/>
  <c r="AX6" i="58"/>
  <c r="AX6" i="57"/>
  <c r="AV6" i="57"/>
  <c r="AV6" i="58"/>
  <c r="AV18" i="55"/>
  <c r="AX6" i="55"/>
  <c r="AV6" i="55"/>
  <c r="X5" i="55"/>
  <c r="AK108" i="55"/>
  <c r="AM108" i="55"/>
  <c r="AL134" i="55"/>
  <c r="K89" i="35"/>
  <c r="N89" i="35"/>
  <c r="AN134" i="55" s="1"/>
  <c r="AK134" i="55"/>
  <c r="X80" i="55"/>
  <c r="X79" i="57"/>
  <c r="X88" i="58"/>
  <c r="K68" i="36"/>
  <c r="Z80" i="55" s="1"/>
  <c r="K69" i="36"/>
  <c r="J68" i="36"/>
  <c r="J69" i="36"/>
  <c r="H25" i="55"/>
  <c r="H25" i="58"/>
  <c r="H25" i="57"/>
  <c r="G25" i="55"/>
  <c r="G25" i="58"/>
  <c r="G25" i="57"/>
  <c r="AM25" i="58"/>
  <c r="AM28" i="57"/>
  <c r="AK81" i="55"/>
  <c r="AK25" i="58"/>
  <c r="AK28" i="57"/>
  <c r="AM48" i="57"/>
  <c r="J79" i="35"/>
  <c r="H23" i="57"/>
  <c r="H23" i="58"/>
  <c r="I79" i="35"/>
  <c r="I80" i="35"/>
  <c r="AK88" i="55"/>
  <c r="AK11" i="55"/>
  <c r="AM11" i="55"/>
  <c r="AX28" i="55"/>
  <c r="AX23" i="58"/>
  <c r="AX22" i="57"/>
  <c r="AV23" i="58"/>
  <c r="AV22" i="57"/>
  <c r="AW23" i="58"/>
  <c r="AW22" i="57"/>
  <c r="AM6" i="55"/>
  <c r="AM11" i="58"/>
  <c r="AM11" i="57"/>
  <c r="AK11" i="58"/>
  <c r="AK11" i="57"/>
  <c r="AL11" i="58"/>
  <c r="AL11" i="57"/>
  <c r="Z19" i="58"/>
  <c r="Z20" i="57"/>
  <c r="Y19" i="58"/>
  <c r="Y20" i="57"/>
  <c r="X19" i="58"/>
  <c r="X20" i="55"/>
  <c r="X20" i="57"/>
  <c r="AL91" i="57"/>
  <c r="AL91" i="58"/>
  <c r="AK91" i="57"/>
  <c r="AK91" i="58"/>
  <c r="AM91" i="57"/>
  <c r="AM91" i="58"/>
  <c r="AM55" i="55"/>
  <c r="AM50" i="57"/>
  <c r="AM49" i="58"/>
  <c r="AK50" i="57"/>
  <c r="AK49" i="58"/>
  <c r="AL50" i="57"/>
  <c r="AL49" i="58"/>
  <c r="AL136" i="57"/>
  <c r="AL136" i="58"/>
  <c r="AL136" i="55"/>
  <c r="AM136" i="58"/>
  <c r="AM136" i="57"/>
  <c r="AM87" i="57"/>
  <c r="AM88" i="58"/>
  <c r="AM87" i="55"/>
  <c r="AK87" i="57"/>
  <c r="AK88" i="58"/>
  <c r="AK87" i="55"/>
  <c r="Y54" i="58"/>
  <c r="Y52" i="57"/>
  <c r="Z52" i="57"/>
  <c r="Z54" i="58"/>
  <c r="Z50" i="55"/>
  <c r="AV49" i="55"/>
  <c r="L31" i="34"/>
  <c r="X90" i="55"/>
  <c r="Z90" i="57"/>
  <c r="Z91" i="58"/>
  <c r="O49" i="36"/>
  <c r="X58" i="57"/>
  <c r="X58" i="58"/>
  <c r="K31" i="34"/>
  <c r="J31" i="34"/>
  <c r="M50" i="36"/>
  <c r="N50" i="36"/>
  <c r="AK37" i="57"/>
  <c r="AK37" i="58"/>
  <c r="AL37" i="57"/>
  <c r="AL37" i="58"/>
  <c r="Y38" i="58"/>
  <c r="Y40" i="57"/>
  <c r="AL29" i="55"/>
  <c r="AL28" i="58"/>
  <c r="AL29" i="57"/>
  <c r="Y27" i="58"/>
  <c r="Y27" i="57"/>
  <c r="Z27" i="58"/>
  <c r="Z27" i="57"/>
  <c r="Z33" i="55"/>
  <c r="Z38" i="58"/>
  <c r="Z40" i="57"/>
  <c r="AK28" i="58"/>
  <c r="AK29" i="57"/>
  <c r="L23" i="34"/>
  <c r="AV5" i="57"/>
  <c r="AV5" i="58"/>
  <c r="AW5" i="57"/>
  <c r="AW5" i="58"/>
  <c r="I23" i="34"/>
  <c r="X57" i="58"/>
  <c r="X48" i="57"/>
  <c r="J46" i="35"/>
  <c r="H37" i="55"/>
  <c r="H32" i="58"/>
  <c r="H32" i="57"/>
  <c r="G32" i="57"/>
  <c r="G32" i="58"/>
  <c r="AL18" i="58"/>
  <c r="AK17" i="57"/>
  <c r="AK18" i="58"/>
  <c r="AK16" i="55"/>
  <c r="AM18" i="58"/>
  <c r="Y10" i="58"/>
  <c r="Y9" i="57"/>
  <c r="X10" i="58"/>
  <c r="X9" i="57"/>
  <c r="Z12" i="55"/>
  <c r="Z9" i="57"/>
  <c r="Z10" i="58"/>
  <c r="AW32" i="58"/>
  <c r="AW32" i="57"/>
  <c r="AX32" i="58"/>
  <c r="AX32" i="57"/>
  <c r="AV32" i="57"/>
  <c r="AV32" i="58"/>
  <c r="Z66" i="58"/>
  <c r="Z66" i="57"/>
  <c r="X58" i="55"/>
  <c r="X91" i="57"/>
  <c r="X83" i="58"/>
  <c r="Y66" i="58"/>
  <c r="Y66" i="57"/>
  <c r="N37" i="35"/>
  <c r="AN118" i="57" s="1"/>
  <c r="AO118" i="57" s="1"/>
  <c r="K37" i="35"/>
  <c r="M38" i="35"/>
  <c r="L38" i="35"/>
  <c r="N33" i="35"/>
  <c r="K33" i="35"/>
  <c r="AM94" i="57"/>
  <c r="AM94" i="58"/>
  <c r="AL94" i="57"/>
  <c r="AL94" i="58"/>
  <c r="AK94" i="57"/>
  <c r="AK94" i="58"/>
  <c r="AM57" i="58"/>
  <c r="AM55" i="57"/>
  <c r="AL57" i="58"/>
  <c r="AL55" i="57"/>
  <c r="N32" i="35"/>
  <c r="K32" i="35"/>
  <c r="G27" i="58"/>
  <c r="G27" i="57"/>
  <c r="Z32" i="57"/>
  <c r="Z32" i="58"/>
  <c r="Y32" i="57"/>
  <c r="Y32" i="58"/>
  <c r="L22" i="36"/>
  <c r="I31" i="35"/>
  <c r="J31" i="35"/>
  <c r="M27" i="58"/>
  <c r="F12" i="47"/>
  <c r="X43" i="55"/>
  <c r="X43" i="57"/>
  <c r="X43" i="58"/>
  <c r="Z43" i="55"/>
  <c r="Z43" i="57"/>
  <c r="Z43" i="58"/>
  <c r="Y43" i="55"/>
  <c r="Y43" i="57"/>
  <c r="Y43" i="58"/>
  <c r="AW22" i="55"/>
  <c r="AW39" i="58"/>
  <c r="AW40" i="57"/>
  <c r="AX22" i="55"/>
  <c r="AX39" i="58"/>
  <c r="AX40" i="57"/>
  <c r="AV40" i="55"/>
  <c r="AV39" i="58"/>
  <c r="AV40" i="57"/>
  <c r="AV46" i="58"/>
  <c r="AV46" i="57"/>
  <c r="AV45" i="55"/>
  <c r="J12" i="34"/>
  <c r="K12" i="34"/>
  <c r="Z56" i="55"/>
  <c r="Y56" i="57"/>
  <c r="Y64" i="58"/>
  <c r="Y68" i="57"/>
  <c r="Z55" i="55"/>
  <c r="Z68" i="57"/>
  <c r="Z56" i="57"/>
  <c r="Z50" i="58"/>
  <c r="AL90" i="57"/>
  <c r="AL90" i="58"/>
  <c r="H36" i="57"/>
  <c r="H36" i="58"/>
  <c r="L7" i="34"/>
  <c r="I38" i="4"/>
  <c r="I39" i="4" s="1"/>
  <c r="AM92" i="55"/>
  <c r="AK111" i="55"/>
  <c r="AK119" i="57"/>
  <c r="AK118" i="58"/>
  <c r="AK119" i="55"/>
  <c r="AX45" i="58"/>
  <c r="AX47" i="57"/>
  <c r="AX47" i="55"/>
  <c r="AV45" i="58"/>
  <c r="AV47" i="57"/>
  <c r="AV47" i="55"/>
  <c r="AW45" i="58"/>
  <c r="AW47" i="57"/>
  <c r="AW47" i="55"/>
  <c r="AM97" i="57"/>
  <c r="AM99" i="58"/>
  <c r="AL99" i="58"/>
  <c r="AL97" i="57"/>
  <c r="Y13" i="58"/>
  <c r="Y14" i="57"/>
  <c r="Z13" i="58"/>
  <c r="Z14" i="57"/>
  <c r="Y56" i="58"/>
  <c r="Y49" i="57"/>
  <c r="X49" i="55"/>
  <c r="X49" i="57"/>
  <c r="X56" i="58"/>
  <c r="AM90" i="55"/>
  <c r="AM44" i="57"/>
  <c r="AM45" i="58"/>
  <c r="AL90" i="55"/>
  <c r="AL44" i="57"/>
  <c r="AL45" i="58"/>
  <c r="AV3" i="58"/>
  <c r="AV3" i="57"/>
  <c r="AX3" i="55"/>
  <c r="AX3" i="58"/>
  <c r="AX3" i="57"/>
  <c r="X84" i="57"/>
  <c r="X80" i="58"/>
  <c r="Y166" i="57"/>
  <c r="Y129" i="58"/>
  <c r="Y128" i="58"/>
  <c r="Y125" i="58"/>
  <c r="Y103" i="58"/>
  <c r="Y129" i="57"/>
  <c r="Y101" i="58"/>
  <c r="Y122" i="58"/>
  <c r="Y119" i="58"/>
  <c r="Y97" i="58"/>
  <c r="Y115" i="58"/>
  <c r="Y92" i="57"/>
  <c r="Y109" i="58"/>
  <c r="Y170" i="58"/>
  <c r="Y128" i="57"/>
  <c r="Y120" i="58"/>
  <c r="Y108" i="58"/>
  <c r="Y171" i="57"/>
  <c r="Y105" i="57"/>
  <c r="Y107" i="58"/>
  <c r="Y170" i="57"/>
  <c r="Y116" i="58"/>
  <c r="Y167" i="58"/>
  <c r="Y169" i="57"/>
  <c r="Y127" i="57"/>
  <c r="Y152" i="58"/>
  <c r="Y168" i="57"/>
  <c r="Y151" i="58"/>
  <c r="Y150" i="58"/>
  <c r="Y167" i="57"/>
  <c r="Y149" i="58"/>
  <c r="Y148" i="58"/>
  <c r="Y152" i="57"/>
  <c r="Y126" i="57"/>
  <c r="Y147" i="58"/>
  <c r="Y165" i="57"/>
  <c r="Y97" i="57"/>
  <c r="Y146" i="58"/>
  <c r="Y164" i="57"/>
  <c r="Y145" i="58"/>
  <c r="Y127" i="58"/>
  <c r="Y163" i="57"/>
  <c r="Y125" i="57"/>
  <c r="Y113" i="58"/>
  <c r="Y162" i="57"/>
  <c r="Y110" i="58"/>
  <c r="Y143" i="58"/>
  <c r="Y161" i="57"/>
  <c r="Y142" i="58"/>
  <c r="Y141" i="58"/>
  <c r="Y160" i="57"/>
  <c r="Y124" i="57"/>
  <c r="Y140" i="58"/>
  <c r="Y159" i="57"/>
  <c r="Y139" i="58"/>
  <c r="Y138" i="58"/>
  <c r="Y158" i="57"/>
  <c r="Y103" i="57"/>
  <c r="Y137" i="58"/>
  <c r="Y157" i="57"/>
  <c r="Y136" i="58"/>
  <c r="Y135" i="58"/>
  <c r="Y156" i="57"/>
  <c r="Y123" i="57"/>
  <c r="Y134" i="58"/>
  <c r="Y155" i="57"/>
  <c r="Y133" i="58"/>
  <c r="Y132" i="58"/>
  <c r="Y154" i="57"/>
  <c r="Y130" i="58"/>
  <c r="Y123" i="58"/>
  <c r="Y153" i="57"/>
  <c r="Y121" i="57"/>
  <c r="Y121" i="58"/>
  <c r="Y117" i="58"/>
  <c r="Y102" i="57"/>
  <c r="Y112" i="58"/>
  <c r="Y151" i="57"/>
  <c r="Y111" i="58"/>
  <c r="Y96" i="58"/>
  <c r="Y150" i="57"/>
  <c r="Y120" i="57"/>
  <c r="Y161" i="58"/>
  <c r="Y149" i="57"/>
  <c r="Y160" i="58"/>
  <c r="Y171" i="58"/>
  <c r="Y148" i="57"/>
  <c r="Y104" i="58"/>
  <c r="Y169" i="58"/>
  <c r="Y147" i="57"/>
  <c r="Y122" i="57"/>
  <c r="Y166" i="58"/>
  <c r="Y146" i="57"/>
  <c r="Y94" i="58"/>
  <c r="Y93" i="58"/>
  <c r="Y145" i="57"/>
  <c r="Y92" i="58"/>
  <c r="Y163" i="58"/>
  <c r="Y144" i="57"/>
  <c r="Y119" i="57"/>
  <c r="Y157" i="58"/>
  <c r="Y143" i="57"/>
  <c r="Y156" i="58"/>
  <c r="Y155" i="58"/>
  <c r="Y142" i="57"/>
  <c r="Y144" i="58"/>
  <c r="Y126" i="58"/>
  <c r="Y141" i="57"/>
  <c r="Y118" i="57"/>
  <c r="Y124" i="58"/>
  <c r="Y140" i="57"/>
  <c r="Y118" i="58"/>
  <c r="Y114" i="58"/>
  <c r="Y139" i="57"/>
  <c r="Y164" i="58"/>
  <c r="Y159" i="58"/>
  <c r="Y138" i="57"/>
  <c r="Y117" i="57"/>
  <c r="Y93" i="57"/>
  <c r="Y137" i="57"/>
  <c r="Y158" i="58"/>
  <c r="Y113" i="57"/>
  <c r="Y136" i="57"/>
  <c r="Y98" i="58"/>
  <c r="Y168" i="58"/>
  <c r="Y135" i="57"/>
  <c r="Y116" i="57"/>
  <c r="Y102" i="58"/>
  <c r="Y134" i="57"/>
  <c r="Y96" i="57"/>
  <c r="Y165" i="58"/>
  <c r="Y133" i="57"/>
  <c r="Y162" i="58"/>
  <c r="Y154" i="58"/>
  <c r="Y115" i="57"/>
  <c r="Y153" i="58"/>
  <c r="Y114" i="57"/>
  <c r="Y112" i="57"/>
  <c r="Y111" i="57"/>
  <c r="Y110" i="57"/>
  <c r="Y95" i="57"/>
  <c r="Y107" i="57"/>
  <c r="Y106" i="57"/>
  <c r="Y109" i="57"/>
  <c r="Y104" i="57"/>
  <c r="Y108" i="57"/>
  <c r="Y101" i="57"/>
  <c r="Y100" i="57"/>
  <c r="Y99" i="57"/>
  <c r="Y98" i="57"/>
  <c r="Y132" i="57"/>
  <c r="Y94" i="57"/>
  <c r="Y131" i="57"/>
  <c r="Y130" i="57"/>
  <c r="Y106" i="58"/>
  <c r="Y105" i="58"/>
  <c r="Y100" i="58"/>
  <c r="Y99" i="58"/>
  <c r="Y95" i="58"/>
  <c r="Y131" i="58"/>
  <c r="Z106" i="58"/>
  <c r="Z113" i="57"/>
  <c r="Z129" i="57"/>
  <c r="Z106" i="57"/>
  <c r="Z97" i="58"/>
  <c r="Z128" i="57"/>
  <c r="Z92" i="57"/>
  <c r="Z95" i="58"/>
  <c r="Z171" i="57"/>
  <c r="Z170" i="57"/>
  <c r="Z127" i="57"/>
  <c r="Z169" i="57"/>
  <c r="Z168" i="57"/>
  <c r="Z104" i="57"/>
  <c r="Z167" i="57"/>
  <c r="Z126" i="57"/>
  <c r="Z166" i="57"/>
  <c r="Z165" i="57"/>
  <c r="Z164" i="57"/>
  <c r="Z125" i="57"/>
  <c r="Z163" i="57"/>
  <c r="Z162" i="57"/>
  <c r="Z103" i="57"/>
  <c r="Z161" i="57"/>
  <c r="Z124" i="57"/>
  <c r="Z160" i="57"/>
  <c r="Z159" i="57"/>
  <c r="Z94" i="57"/>
  <c r="Z158" i="57"/>
  <c r="Z157" i="57"/>
  <c r="Z123" i="57"/>
  <c r="Z156" i="57"/>
  <c r="Z155" i="57"/>
  <c r="Z102" i="57"/>
  <c r="Z154" i="57"/>
  <c r="Z121" i="57"/>
  <c r="Z153" i="57"/>
  <c r="Z152" i="57"/>
  <c r="Z137" i="57"/>
  <c r="Z151" i="57"/>
  <c r="Z120" i="57"/>
  <c r="Z150" i="57"/>
  <c r="Z149" i="57"/>
  <c r="Z101" i="57"/>
  <c r="Z148" i="57"/>
  <c r="Z122" i="57"/>
  <c r="Z147" i="57"/>
  <c r="Z146" i="57"/>
  <c r="Z95" i="57"/>
  <c r="Z145" i="57"/>
  <c r="Z119" i="57"/>
  <c r="Z144" i="57"/>
  <c r="Z143" i="57"/>
  <c r="Z100" i="57"/>
  <c r="Z142" i="57"/>
  <c r="Z118" i="57"/>
  <c r="Z141" i="57"/>
  <c r="Z140" i="57"/>
  <c r="Z96" i="57"/>
  <c r="Z139" i="57"/>
  <c r="Z117" i="57"/>
  <c r="Z138" i="57"/>
  <c r="Z99" i="57"/>
  <c r="Z136" i="57"/>
  <c r="Z116" i="57"/>
  <c r="Z135" i="57"/>
  <c r="Z134" i="57"/>
  <c r="Z133" i="57"/>
  <c r="Z114" i="57"/>
  <c r="Z115" i="57"/>
  <c r="Z98" i="57"/>
  <c r="Z153" i="58"/>
  <c r="Z133" i="58"/>
  <c r="Z130" i="57"/>
  <c r="Z132" i="58"/>
  <c r="Z151" i="58"/>
  <c r="Z131" i="58"/>
  <c r="Z125" i="58"/>
  <c r="Z129" i="58"/>
  <c r="Z128" i="58"/>
  <c r="Z126" i="58"/>
  <c r="Z124" i="58"/>
  <c r="Z123" i="58"/>
  <c r="Z117" i="58"/>
  <c r="Z111" i="58"/>
  <c r="Z131" i="57"/>
  <c r="Z97" i="57"/>
  <c r="Z120" i="58"/>
  <c r="Z118" i="58"/>
  <c r="Z132" i="57"/>
  <c r="Z115" i="58"/>
  <c r="Z113" i="58"/>
  <c r="Z108" i="57"/>
  <c r="Z146" i="58"/>
  <c r="Z109" i="58"/>
  <c r="Z105" i="57"/>
  <c r="Z145" i="58"/>
  <c r="Z108" i="58"/>
  <c r="Z111" i="57"/>
  <c r="Z144" i="58"/>
  <c r="Z127" i="58"/>
  <c r="Z122" i="58"/>
  <c r="Z168" i="58"/>
  <c r="Z167" i="58"/>
  <c r="Z109" i="57"/>
  <c r="Z164" i="58"/>
  <c r="Z162" i="58"/>
  <c r="Z94" i="58"/>
  <c r="Z110" i="58"/>
  <c r="Z93" i="58"/>
  <c r="Z107" i="58"/>
  <c r="Z92" i="58"/>
  <c r="Z105" i="58"/>
  <c r="Z160" i="58"/>
  <c r="Z159" i="58"/>
  <c r="Z158" i="58"/>
  <c r="Z170" i="58"/>
  <c r="Z96" i="58"/>
  <c r="Z143" i="58"/>
  <c r="Z112" i="57"/>
  <c r="Z110" i="57"/>
  <c r="Z142" i="58"/>
  <c r="Z152" i="58"/>
  <c r="Z150" i="58"/>
  <c r="Z149" i="58"/>
  <c r="Z148" i="58"/>
  <c r="Z147" i="58"/>
  <c r="Z93" i="57"/>
  <c r="Z141" i="58"/>
  <c r="Z99" i="58"/>
  <c r="Z121" i="58"/>
  <c r="Z119" i="58"/>
  <c r="Z140" i="58"/>
  <c r="Z116" i="58"/>
  <c r="Z130" i="58"/>
  <c r="Z112" i="58"/>
  <c r="Z100" i="58"/>
  <c r="Z98" i="58"/>
  <c r="Z102" i="58"/>
  <c r="Z165" i="58"/>
  <c r="Z139" i="58"/>
  <c r="Z161" i="58"/>
  <c r="Z114" i="58"/>
  <c r="Z138" i="58"/>
  <c r="Z157" i="58"/>
  <c r="Z104" i="58"/>
  <c r="Z103" i="58"/>
  <c r="Z137" i="58"/>
  <c r="Z107" i="57"/>
  <c r="Z171" i="58"/>
  <c r="Z136" i="58"/>
  <c r="Z101" i="58"/>
  <c r="Z169" i="58"/>
  <c r="Z166" i="58"/>
  <c r="Z156" i="58"/>
  <c r="Z163" i="58"/>
  <c r="Z135" i="58"/>
  <c r="Z155" i="58"/>
  <c r="Z154" i="58"/>
  <c r="Z134" i="58"/>
  <c r="X92" i="55"/>
  <c r="X103" i="57"/>
  <c r="X110" i="58"/>
  <c r="X102" i="57"/>
  <c r="X107" i="58"/>
  <c r="X132" i="57"/>
  <c r="X105" i="58"/>
  <c r="X131" i="57"/>
  <c r="X130" i="57"/>
  <c r="X129" i="57"/>
  <c r="X143" i="58"/>
  <c r="X128" i="57"/>
  <c r="X127" i="57"/>
  <c r="X142" i="58"/>
  <c r="X126" i="57"/>
  <c r="X125" i="57"/>
  <c r="X141" i="58"/>
  <c r="X124" i="57"/>
  <c r="X123" i="57"/>
  <c r="X140" i="58"/>
  <c r="X121" i="57"/>
  <c r="X120" i="57"/>
  <c r="X139" i="58"/>
  <c r="X122" i="57"/>
  <c r="X119" i="57"/>
  <c r="X138" i="58"/>
  <c r="X118" i="57"/>
  <c r="X117" i="57"/>
  <c r="X137" i="58"/>
  <c r="X116" i="57"/>
  <c r="X114" i="57"/>
  <c r="X136" i="58"/>
  <c r="X111" i="57"/>
  <c r="X107" i="57"/>
  <c r="X135" i="58"/>
  <c r="X104" i="57"/>
  <c r="X101" i="57"/>
  <c r="X134" i="58"/>
  <c r="X100" i="57"/>
  <c r="X99" i="57"/>
  <c r="X133" i="58"/>
  <c r="X98" i="57"/>
  <c r="X97" i="57"/>
  <c r="X132" i="58"/>
  <c r="X96" i="57"/>
  <c r="X131" i="58"/>
  <c r="X95" i="57"/>
  <c r="X159" i="57"/>
  <c r="X129" i="58"/>
  <c r="X94" i="57"/>
  <c r="X128" i="58"/>
  <c r="X93" i="57"/>
  <c r="X125" i="58"/>
  <c r="X92" i="57"/>
  <c r="X104" i="58"/>
  <c r="X102" i="58"/>
  <c r="X114" i="58"/>
  <c r="X109" i="58"/>
  <c r="X100" i="58"/>
  <c r="X123" i="58"/>
  <c r="X96" i="58"/>
  <c r="X103" i="58"/>
  <c r="X171" i="57"/>
  <c r="X170" i="57"/>
  <c r="X169" i="57"/>
  <c r="X168" i="57"/>
  <c r="X113" i="58"/>
  <c r="X167" i="57"/>
  <c r="X166" i="57"/>
  <c r="X165" i="57"/>
  <c r="X164" i="57"/>
  <c r="X162" i="58"/>
  <c r="X130" i="58"/>
  <c r="X163" i="57"/>
  <c r="X162" i="57"/>
  <c r="X161" i="57"/>
  <c r="X160" i="57"/>
  <c r="X158" i="57"/>
  <c r="X122" i="58"/>
  <c r="X157" i="57"/>
  <c r="X117" i="58"/>
  <c r="X156" i="57"/>
  <c r="X163" i="58"/>
  <c r="X112" i="58"/>
  <c r="X155" i="57"/>
  <c r="X154" i="57"/>
  <c r="X94" i="58"/>
  <c r="X108" i="58"/>
  <c r="X95" i="58"/>
  <c r="X93" i="58"/>
  <c r="X126" i="58"/>
  <c r="X153" i="57"/>
  <c r="X92" i="58"/>
  <c r="X168" i="58"/>
  <c r="X166" i="58"/>
  <c r="X164" i="58"/>
  <c r="X152" i="57"/>
  <c r="X120" i="58"/>
  <c r="X159" i="58"/>
  <c r="X111" i="58"/>
  <c r="X157" i="58"/>
  <c r="X151" i="57"/>
  <c r="X169" i="58"/>
  <c r="X150" i="57"/>
  <c r="X158" i="58"/>
  <c r="X149" i="57"/>
  <c r="X148" i="57"/>
  <c r="X98" i="58"/>
  <c r="X97" i="58"/>
  <c r="X154" i="58"/>
  <c r="X147" i="57"/>
  <c r="X152" i="58"/>
  <c r="X151" i="58"/>
  <c r="X146" i="57"/>
  <c r="X106" i="58"/>
  <c r="X145" i="57"/>
  <c r="X101" i="58"/>
  <c r="X147" i="58"/>
  <c r="X146" i="58"/>
  <c r="X145" i="58"/>
  <c r="X144" i="57"/>
  <c r="X127" i="58"/>
  <c r="X161" i="58"/>
  <c r="X160" i="58"/>
  <c r="X124" i="58"/>
  <c r="X143" i="57"/>
  <c r="X156" i="58"/>
  <c r="X155" i="58"/>
  <c r="X142" i="57"/>
  <c r="X141" i="57"/>
  <c r="X153" i="58"/>
  <c r="X140" i="57"/>
  <c r="X99" i="58"/>
  <c r="X139" i="57"/>
  <c r="X138" i="57"/>
  <c r="X137" i="57"/>
  <c r="X150" i="58"/>
  <c r="X136" i="57"/>
  <c r="X149" i="58"/>
  <c r="X135" i="57"/>
  <c r="X148" i="58"/>
  <c r="X134" i="57"/>
  <c r="X171" i="58"/>
  <c r="X133" i="57"/>
  <c r="X115" i="57"/>
  <c r="X112" i="57"/>
  <c r="X165" i="58"/>
  <c r="X110" i="57"/>
  <c r="X109" i="57"/>
  <c r="X144" i="58"/>
  <c r="X170" i="58"/>
  <c r="X108" i="57"/>
  <c r="X167" i="58"/>
  <c r="X106" i="57"/>
  <c r="X121" i="58"/>
  <c r="X119" i="58"/>
  <c r="X118" i="58"/>
  <c r="X113" i="57"/>
  <c r="X116" i="58"/>
  <c r="X115" i="58"/>
  <c r="X105" i="57"/>
  <c r="X74" i="58"/>
  <c r="X74" i="57"/>
  <c r="AM115" i="58"/>
  <c r="AM107" i="57"/>
  <c r="AM106" i="55"/>
  <c r="AL107" i="57"/>
  <c r="AL115" i="58"/>
  <c r="AK30" i="57"/>
  <c r="AK30" i="58"/>
  <c r="AK30" i="55"/>
  <c r="AL30" i="58"/>
  <c r="AL30" i="57"/>
  <c r="AM25" i="55"/>
  <c r="AM30" i="58"/>
  <c r="AM30" i="57"/>
  <c r="AY34" i="57"/>
  <c r="AZ34" i="57" s="1"/>
  <c r="N123" i="36"/>
  <c r="M123" i="36"/>
  <c r="AL86" i="55"/>
  <c r="AL139" i="55"/>
  <c r="AM139" i="55"/>
  <c r="AM89" i="55"/>
  <c r="AM83" i="57"/>
  <c r="AM83" i="58"/>
  <c r="AL83" i="58"/>
  <c r="AL83" i="57"/>
  <c r="AM139" i="57"/>
  <c r="AL139" i="57"/>
  <c r="Y22" i="55"/>
  <c r="AK109" i="55"/>
  <c r="X47" i="55"/>
  <c r="AM97" i="55"/>
  <c r="AW45" i="57"/>
  <c r="AW47" i="58"/>
  <c r="AW46" i="55"/>
  <c r="AX23" i="55"/>
  <c r="AX45" i="57"/>
  <c r="AX47" i="58"/>
  <c r="AX46" i="55"/>
  <c r="AV45" i="57"/>
  <c r="AV47" i="58"/>
  <c r="AV46" i="55"/>
  <c r="AV10" i="58"/>
  <c r="AV11" i="57"/>
  <c r="AW10" i="58"/>
  <c r="AW11" i="57"/>
  <c r="AX10" i="58"/>
  <c r="AX11" i="57"/>
  <c r="X41" i="55"/>
  <c r="X23" i="58"/>
  <c r="X23" i="57"/>
  <c r="X22" i="55"/>
  <c r="Y23" i="58"/>
  <c r="Y23" i="57"/>
  <c r="X28" i="55"/>
  <c r="X47" i="57"/>
  <c r="X47" i="58"/>
  <c r="Z47" i="57"/>
  <c r="Z47" i="58"/>
  <c r="AM49" i="55"/>
  <c r="AM79" i="58"/>
  <c r="AM80" i="57"/>
  <c r="AK79" i="58"/>
  <c r="AK80" i="57"/>
  <c r="AL79" i="58"/>
  <c r="AL80" i="57"/>
  <c r="AL80" i="55"/>
  <c r="AK26" i="57"/>
  <c r="AK29" i="58"/>
  <c r="AM29" i="58"/>
  <c r="AM26" i="57"/>
  <c r="AL9" i="55"/>
  <c r="AL29" i="58"/>
  <c r="AL26" i="57"/>
  <c r="AK93" i="58"/>
  <c r="AK93" i="57"/>
  <c r="AK88" i="57"/>
  <c r="AK87" i="58"/>
  <c r="AM87" i="58"/>
  <c r="AM88" i="57"/>
  <c r="H13" i="55"/>
  <c r="H13" i="57"/>
  <c r="H13" i="58"/>
  <c r="H51" i="34"/>
  <c r="AX26" i="58" s="1"/>
  <c r="AK116" i="55"/>
  <c r="N38" i="33"/>
  <c r="M38" i="33"/>
  <c r="AM47" i="55"/>
  <c r="AX27" i="55"/>
  <c r="G51" i="34"/>
  <c r="AW26" i="58" s="1"/>
  <c r="AK47" i="55"/>
  <c r="AK19" i="57"/>
  <c r="AK20" i="58"/>
  <c r="AM20" i="58"/>
  <c r="AM19" i="57"/>
  <c r="AV39" i="55"/>
  <c r="AV26" i="57"/>
  <c r="AV25" i="58"/>
  <c r="AK95" i="57"/>
  <c r="AK96" i="58"/>
  <c r="AL95" i="57"/>
  <c r="AL96" i="58"/>
  <c r="AM95" i="57"/>
  <c r="AM96" i="58"/>
  <c r="AL44" i="58"/>
  <c r="AL47" i="57"/>
  <c r="AM79" i="55"/>
  <c r="AM44" i="58"/>
  <c r="AM47" i="57"/>
  <c r="AK44" i="58"/>
  <c r="AK47" i="57"/>
  <c r="AX27" i="58"/>
  <c r="AX27" i="57"/>
  <c r="AW27" i="58"/>
  <c r="AW27" i="57"/>
  <c r="AK116" i="57"/>
  <c r="AK116" i="58"/>
  <c r="X12" i="57"/>
  <c r="X14" i="58"/>
  <c r="X11" i="55"/>
  <c r="X62" i="57"/>
  <c r="X65" i="58"/>
  <c r="X60" i="57"/>
  <c r="X59" i="58"/>
  <c r="AM130" i="55"/>
  <c r="AK54" i="55"/>
  <c r="Z9" i="55"/>
  <c r="O81" i="36"/>
  <c r="X61" i="55"/>
  <c r="AK130" i="55"/>
  <c r="AM113" i="55"/>
  <c r="AM130" i="58"/>
  <c r="AM130" i="57"/>
  <c r="AV12" i="57"/>
  <c r="AV12" i="58"/>
  <c r="AX5" i="55"/>
  <c r="AX12" i="57"/>
  <c r="AX12" i="58"/>
  <c r="AW12" i="58"/>
  <c r="AW12" i="57"/>
  <c r="Z12" i="58"/>
  <c r="Z11" i="57"/>
  <c r="Y11" i="57"/>
  <c r="Y12" i="58"/>
  <c r="X12" i="58"/>
  <c r="X11" i="57"/>
  <c r="AK44" i="55"/>
  <c r="AK12" i="57"/>
  <c r="AK12" i="58"/>
  <c r="AK113" i="55"/>
  <c r="AK130" i="58"/>
  <c r="AK130" i="57"/>
  <c r="AL66" i="57"/>
  <c r="AL62" i="58"/>
  <c r="AL71" i="55"/>
  <c r="AK99" i="55"/>
  <c r="AK66" i="57"/>
  <c r="AK62" i="58"/>
  <c r="AK71" i="55"/>
  <c r="AM66" i="57"/>
  <c r="AM71" i="55"/>
  <c r="AM62" i="58"/>
  <c r="Z61" i="58"/>
  <c r="Z61" i="57"/>
  <c r="Y61" i="58"/>
  <c r="Y61" i="57"/>
  <c r="O79" i="36"/>
  <c r="X61" i="58"/>
  <c r="X61" i="57"/>
  <c r="AK54" i="57"/>
  <c r="AK53" i="58"/>
  <c r="AK51" i="55"/>
  <c r="AX8" i="55"/>
  <c r="AK27" i="55"/>
  <c r="AL27" i="55"/>
  <c r="AM27" i="55"/>
  <c r="AX11" i="55"/>
  <c r="AX8" i="57"/>
  <c r="AX7" i="58"/>
  <c r="AV11" i="55"/>
  <c r="AV7" i="58"/>
  <c r="AV8" i="57"/>
  <c r="AW7" i="58"/>
  <c r="AW8" i="57"/>
  <c r="AK50" i="58"/>
  <c r="AK51" i="57"/>
  <c r="AL51" i="57"/>
  <c r="AL50" i="58"/>
  <c r="AM50" i="58"/>
  <c r="AM51" i="57"/>
  <c r="AX51" i="58"/>
  <c r="AX51" i="57"/>
  <c r="AX51" i="55"/>
  <c r="AV51" i="58"/>
  <c r="AV51" i="57"/>
  <c r="AV51" i="55"/>
  <c r="AW51" i="58"/>
  <c r="AW51" i="57"/>
  <c r="AW51" i="55"/>
  <c r="AK54" i="58"/>
  <c r="AK56" i="57"/>
  <c r="AL28" i="55"/>
  <c r="AL54" i="58"/>
  <c r="AL56" i="57"/>
  <c r="AM28" i="55"/>
  <c r="AM54" i="58"/>
  <c r="AM56" i="57"/>
  <c r="X88" i="55"/>
  <c r="X69" i="57"/>
  <c r="X71" i="58"/>
  <c r="Z69" i="57"/>
  <c r="Z71" i="58"/>
  <c r="Y67" i="57"/>
  <c r="Z74" i="55"/>
  <c r="Z67" i="58"/>
  <c r="Z67" i="57"/>
  <c r="AM26" i="58"/>
  <c r="AM27" i="57"/>
  <c r="AK26" i="58"/>
  <c r="AK27" i="57"/>
  <c r="AL26" i="58"/>
  <c r="AL27" i="57"/>
  <c r="X17" i="57"/>
  <c r="X16" i="58"/>
  <c r="AM96" i="57"/>
  <c r="AM95" i="58"/>
  <c r="Y71" i="58"/>
  <c r="AM141" i="55"/>
  <c r="AL141" i="55"/>
  <c r="AK141" i="55"/>
  <c r="AK62" i="55"/>
  <c r="AM62" i="55"/>
  <c r="AK141" i="57"/>
  <c r="AK141" i="58"/>
  <c r="AM141" i="57"/>
  <c r="AM141" i="58"/>
  <c r="AL141" i="57"/>
  <c r="AL141" i="58"/>
  <c r="AK35" i="55"/>
  <c r="AK62" i="57"/>
  <c r="AK63" i="58"/>
  <c r="AL62" i="57"/>
  <c r="AL63" i="58"/>
  <c r="AM62" i="57"/>
  <c r="AM63" i="58"/>
  <c r="AK74" i="55"/>
  <c r="AK67" i="57"/>
  <c r="AK67" i="58"/>
  <c r="AM57" i="57"/>
  <c r="AM55" i="58"/>
  <c r="AK125" i="57"/>
  <c r="AK122" i="58"/>
  <c r="D8" i="58"/>
  <c r="D8" i="57"/>
  <c r="M22" i="57"/>
  <c r="M22" i="58"/>
  <c r="M5" i="57"/>
  <c r="M5" i="58"/>
  <c r="AY23" i="57"/>
  <c r="AZ23" i="57" s="1"/>
  <c r="M2" i="57"/>
  <c r="M2" i="58"/>
  <c r="AA31" i="57"/>
  <c r="AB31" i="57" s="1"/>
  <c r="AA31" i="58"/>
  <c r="AB31" i="58" s="1"/>
  <c r="M36" i="57"/>
  <c r="M36" i="58"/>
  <c r="M38" i="57"/>
  <c r="M38" i="58"/>
  <c r="M41" i="57"/>
  <c r="M41" i="58"/>
  <c r="AA18" i="57"/>
  <c r="AB18" i="57" s="1"/>
  <c r="AY35" i="57"/>
  <c r="AZ35" i="57" s="1"/>
  <c r="AN15" i="57"/>
  <c r="AO15" i="57" s="1"/>
  <c r="AN15" i="58"/>
  <c r="AO15" i="58" s="1"/>
  <c r="AN4" i="57"/>
  <c r="AO4" i="57" s="1"/>
  <c r="AN4" i="58"/>
  <c r="AO4" i="58" s="1"/>
  <c r="AN143" i="58"/>
  <c r="AO143" i="58" s="1"/>
  <c r="AN181" i="58"/>
  <c r="AO181" i="58" s="1"/>
  <c r="AN175" i="58"/>
  <c r="AO175" i="58" s="1"/>
  <c r="AN156" i="58"/>
  <c r="AO156" i="58" s="1"/>
  <c r="AN173" i="58"/>
  <c r="AO173" i="58" s="1"/>
  <c r="AN171" i="58"/>
  <c r="AO171" i="58" s="1"/>
  <c r="AN167" i="58"/>
  <c r="AO167" i="58" s="1"/>
  <c r="AN148" i="58"/>
  <c r="AO148" i="58" s="1"/>
  <c r="AN144" i="58"/>
  <c r="AO144" i="58" s="1"/>
  <c r="AN150" i="58"/>
  <c r="AO150" i="58" s="1"/>
  <c r="AN146" i="58"/>
  <c r="AO146" i="58" s="1"/>
  <c r="AN186" i="58"/>
  <c r="AO186" i="58" s="1"/>
  <c r="AN180" i="58"/>
  <c r="AO180" i="58" s="1"/>
  <c r="AN170" i="58"/>
  <c r="AO170" i="58" s="1"/>
  <c r="AN169" i="58"/>
  <c r="AO169" i="58" s="1"/>
  <c r="AN164" i="58"/>
  <c r="AO164" i="58" s="1"/>
  <c r="AN179" i="58"/>
  <c r="AO179" i="58" s="1"/>
  <c r="AN166" i="58"/>
  <c r="AO166" i="58" s="1"/>
  <c r="AN165" i="58"/>
  <c r="AO165" i="58" s="1"/>
  <c r="AN162" i="58"/>
  <c r="AO162" i="58" s="1"/>
  <c r="AN161" i="58"/>
  <c r="AO161" i="58" s="1"/>
  <c r="AN160" i="58"/>
  <c r="AO160" i="58" s="1"/>
  <c r="AN159" i="58"/>
  <c r="AO159" i="58" s="1"/>
  <c r="AN158" i="58"/>
  <c r="AO158" i="58" s="1"/>
  <c r="AN155" i="58"/>
  <c r="AO155" i="58" s="1"/>
  <c r="AN154" i="58"/>
  <c r="AO154" i="58" s="1"/>
  <c r="AN153" i="58"/>
  <c r="AO153" i="58" s="1"/>
  <c r="AN152" i="58"/>
  <c r="AO152" i="58" s="1"/>
  <c r="AN147" i="58"/>
  <c r="AO147" i="58" s="1"/>
  <c r="AN157" i="58"/>
  <c r="AO157" i="58" s="1"/>
  <c r="AN142" i="58"/>
  <c r="AO142" i="58" s="1"/>
  <c r="AN183" i="58"/>
  <c r="AO183" i="58" s="1"/>
  <c r="AN177" i="58"/>
  <c r="AO177" i="58" s="1"/>
  <c r="AN168" i="58"/>
  <c r="AO168" i="58" s="1"/>
  <c r="AN163" i="58"/>
  <c r="AO163" i="58" s="1"/>
  <c r="AN151" i="58"/>
  <c r="AO151" i="58" s="1"/>
  <c r="AN149" i="58"/>
  <c r="AO149" i="58" s="1"/>
  <c r="AN145" i="58"/>
  <c r="AO145" i="58" s="1"/>
  <c r="AN178" i="58"/>
  <c r="AO178" i="58" s="1"/>
  <c r="AN176" i="58"/>
  <c r="AO176" i="58" s="1"/>
  <c r="AN174" i="58"/>
  <c r="AO174" i="58" s="1"/>
  <c r="AN172" i="58"/>
  <c r="AO172" i="58" s="1"/>
  <c r="AN185" i="58"/>
  <c r="AO185" i="58" s="1"/>
  <c r="AN184" i="58"/>
  <c r="AO184" i="58" s="1"/>
  <c r="AN182" i="58"/>
  <c r="AO182" i="58" s="1"/>
  <c r="AA53" i="58"/>
  <c r="AB53" i="58" s="1"/>
  <c r="AA6" i="57"/>
  <c r="AB6" i="57" s="1"/>
  <c r="AN118" i="58"/>
  <c r="AA81" i="58"/>
  <c r="AB81" i="58" s="1"/>
  <c r="AN23" i="57"/>
  <c r="AO23" i="57" s="1"/>
  <c r="AN23" i="58"/>
  <c r="AO23" i="58" s="1"/>
  <c r="AN124" i="57"/>
  <c r="AO124" i="57" s="1"/>
  <c r="AN128" i="57"/>
  <c r="AO128" i="57" s="1"/>
  <c r="AN128" i="58"/>
  <c r="AO128" i="58" s="1"/>
  <c r="AA48" i="58"/>
  <c r="AB48" i="58" s="1"/>
  <c r="AA35" i="57"/>
  <c r="AB35" i="57" s="1"/>
  <c r="AN34" i="57"/>
  <c r="AO34" i="57" s="1"/>
  <c r="AN110" i="57"/>
  <c r="AO110" i="57" s="1"/>
  <c r="AN110" i="58"/>
  <c r="AO110" i="58" s="1"/>
  <c r="AN53" i="57"/>
  <c r="AO53" i="57" s="1"/>
  <c r="AN132" i="57"/>
  <c r="AO132" i="57" s="1"/>
  <c r="AN117" i="57"/>
  <c r="AO117" i="57" s="1"/>
  <c r="AA90" i="57"/>
  <c r="AB90" i="57" s="1"/>
  <c r="AA90" i="58"/>
  <c r="AB90" i="58" s="1"/>
  <c r="M50" i="58"/>
  <c r="M55" i="58"/>
  <c r="M52" i="58"/>
  <c r="M51" i="58"/>
  <c r="M49" i="58"/>
  <c r="M48" i="58"/>
  <c r="M47" i="58"/>
  <c r="M46" i="58"/>
  <c r="M45" i="58"/>
  <c r="M68" i="58"/>
  <c r="M42" i="58"/>
  <c r="M70" i="58"/>
  <c r="M69" i="58"/>
  <c r="M43" i="58"/>
  <c r="M79" i="58"/>
  <c r="M74" i="58"/>
  <c r="M73" i="58"/>
  <c r="M77" i="58"/>
  <c r="M60" i="58"/>
  <c r="M54" i="58"/>
  <c r="M53" i="58"/>
  <c r="M72" i="58"/>
  <c r="M64" i="58"/>
  <c r="M61" i="58"/>
  <c r="M58" i="58"/>
  <c r="M57" i="58"/>
  <c r="M56" i="58"/>
  <c r="M76" i="58"/>
  <c r="M44" i="58"/>
  <c r="M78" i="58"/>
  <c r="M59" i="58"/>
  <c r="M67" i="58"/>
  <c r="M75" i="58"/>
  <c r="M66" i="58"/>
  <c r="M71" i="58"/>
  <c r="M63" i="58"/>
  <c r="M65" i="58"/>
  <c r="M62" i="58"/>
  <c r="M80" i="58"/>
  <c r="M20" i="57"/>
  <c r="M20" i="58"/>
  <c r="AA58" i="57"/>
  <c r="AA58" i="58"/>
  <c r="AN134" i="57"/>
  <c r="AY6" i="58"/>
  <c r="M37" i="57"/>
  <c r="M37" i="58"/>
  <c r="M8" i="57"/>
  <c r="M8" i="58"/>
  <c r="M4" i="57"/>
  <c r="M4" i="58"/>
  <c r="M8" i="55"/>
  <c r="M20" i="55"/>
  <c r="M38" i="55"/>
  <c r="F14" i="47"/>
  <c r="M22" i="55"/>
  <c r="M27" i="57"/>
  <c r="AY15" i="55"/>
  <c r="AY33" i="57"/>
  <c r="AZ33" i="57" s="1"/>
  <c r="AP9" i="47"/>
  <c r="AY15" i="57"/>
  <c r="AZ15" i="57" s="1"/>
  <c r="M11" i="47"/>
  <c r="AA52" i="57"/>
  <c r="AB52" i="57" s="1"/>
  <c r="AN166" i="57"/>
  <c r="AO166" i="57" s="1"/>
  <c r="AN159" i="57"/>
  <c r="AO159" i="57" s="1"/>
  <c r="AN158" i="57"/>
  <c r="AO158" i="57" s="1"/>
  <c r="AN162" i="57"/>
  <c r="AO162" i="57" s="1"/>
  <c r="AN165" i="57"/>
  <c r="AO165" i="57" s="1"/>
  <c r="AN185" i="57"/>
  <c r="AO185" i="57" s="1"/>
  <c r="AN177" i="57"/>
  <c r="AO177" i="57" s="1"/>
  <c r="AN179" i="57"/>
  <c r="AO179" i="57" s="1"/>
  <c r="AN181" i="57"/>
  <c r="AO181" i="57" s="1"/>
  <c r="AN150" i="57"/>
  <c r="AO150" i="57" s="1"/>
  <c r="AN143" i="57"/>
  <c r="AO143" i="57" s="1"/>
  <c r="AN174" i="57"/>
  <c r="AO174" i="57" s="1"/>
  <c r="AN145" i="57"/>
  <c r="AO145" i="57" s="1"/>
  <c r="AN146" i="57"/>
  <c r="AO146" i="57" s="1"/>
  <c r="AN156" i="57"/>
  <c r="AO156" i="57" s="1"/>
  <c r="AN160" i="57"/>
  <c r="AO160" i="57" s="1"/>
  <c r="AN161" i="57"/>
  <c r="AO161" i="57" s="1"/>
  <c r="AN167" i="57"/>
  <c r="AO167" i="57" s="1"/>
  <c r="AN169" i="57"/>
  <c r="AO169" i="57" s="1"/>
  <c r="AN170" i="57"/>
  <c r="AO170" i="57" s="1"/>
  <c r="AN171" i="57"/>
  <c r="AO171" i="57" s="1"/>
  <c r="AN183" i="57"/>
  <c r="AO183" i="57" s="1"/>
  <c r="AN176" i="57"/>
  <c r="AO176" i="57" s="1"/>
  <c r="AN178" i="57"/>
  <c r="AO178" i="57" s="1"/>
  <c r="AN175" i="57"/>
  <c r="AO175" i="57" s="1"/>
  <c r="AN173" i="57"/>
  <c r="AO173" i="57" s="1"/>
  <c r="AN172" i="57"/>
  <c r="AO172" i="57" s="1"/>
  <c r="AN164" i="57"/>
  <c r="AO164" i="57" s="1"/>
  <c r="AN152" i="57"/>
  <c r="AO152" i="57" s="1"/>
  <c r="AN144" i="57"/>
  <c r="AO144" i="57" s="1"/>
  <c r="AN142" i="57"/>
  <c r="AO142" i="57" s="1"/>
  <c r="AN148" i="57"/>
  <c r="AO148" i="57" s="1"/>
  <c r="AN186" i="57"/>
  <c r="AO186" i="57" s="1"/>
  <c r="AN182" i="57"/>
  <c r="AO182" i="57" s="1"/>
  <c r="AN168" i="57"/>
  <c r="AO168" i="57" s="1"/>
  <c r="AN157" i="57"/>
  <c r="AO157" i="57" s="1"/>
  <c r="AN154" i="57"/>
  <c r="AO154" i="57" s="1"/>
  <c r="AN153" i="57"/>
  <c r="AO153" i="57" s="1"/>
  <c r="AN149" i="57"/>
  <c r="AO149" i="57" s="1"/>
  <c r="AN147" i="57"/>
  <c r="AO147" i="57" s="1"/>
  <c r="AN180" i="57"/>
  <c r="AO180" i="57" s="1"/>
  <c r="AN184" i="57"/>
  <c r="AO184" i="57" s="1"/>
  <c r="AN163" i="57"/>
  <c r="AO163" i="57" s="1"/>
  <c r="AN155" i="57"/>
  <c r="AO155" i="57" s="1"/>
  <c r="AN151" i="57"/>
  <c r="AO151" i="57" s="1"/>
  <c r="M8" i="47"/>
  <c r="AN63" i="55"/>
  <c r="M49" i="57"/>
  <c r="M50" i="57"/>
  <c r="M51" i="57"/>
  <c r="M52" i="57"/>
  <c r="M54" i="57"/>
  <c r="M65" i="57"/>
  <c r="M66" i="57"/>
  <c r="M67" i="57"/>
  <c r="M68" i="57"/>
  <c r="M69" i="57"/>
  <c r="M70" i="57"/>
  <c r="M71" i="57"/>
  <c r="M72" i="57"/>
  <c r="M74" i="57"/>
  <c r="M75" i="57"/>
  <c r="M76" i="57"/>
  <c r="M77" i="57"/>
  <c r="M42" i="57"/>
  <c r="M44" i="57"/>
  <c r="M47" i="57"/>
  <c r="M53" i="57"/>
  <c r="M45" i="57"/>
  <c r="M46" i="57"/>
  <c r="M48" i="57"/>
  <c r="M64" i="57"/>
  <c r="M63" i="57"/>
  <c r="M62" i="57"/>
  <c r="M61" i="57"/>
  <c r="M60" i="57"/>
  <c r="M59" i="57"/>
  <c r="M73" i="57"/>
  <c r="M57" i="57"/>
  <c r="M56" i="57"/>
  <c r="M55" i="57"/>
  <c r="M43" i="57"/>
  <c r="M58" i="57"/>
  <c r="M80" i="57"/>
  <c r="M79" i="57"/>
  <c r="M78" i="57"/>
  <c r="F6" i="47"/>
  <c r="M30" i="57"/>
  <c r="F19" i="47"/>
  <c r="M34" i="57"/>
  <c r="I85" i="34"/>
  <c r="L85" i="34"/>
  <c r="L35" i="34"/>
  <c r="L81" i="34"/>
  <c r="I81" i="34"/>
  <c r="N30" i="33"/>
  <c r="M23" i="58" s="1"/>
  <c r="M30" i="33"/>
  <c r="H17" i="55"/>
  <c r="I9" i="34"/>
  <c r="K118" i="35"/>
  <c r="N46" i="33"/>
  <c r="M17" i="58" s="1"/>
  <c r="G12" i="55"/>
  <c r="F10" i="47"/>
  <c r="M4" i="55"/>
  <c r="K87" i="35"/>
  <c r="K47" i="35"/>
  <c r="O61" i="36"/>
  <c r="L37" i="34"/>
  <c r="K187" i="35"/>
  <c r="I82" i="34"/>
  <c r="I92" i="34"/>
  <c r="J6" i="35"/>
  <c r="L63" i="34"/>
  <c r="AY48" i="55" s="1"/>
  <c r="AK118" i="55"/>
  <c r="AK84" i="55"/>
  <c r="O111" i="36"/>
  <c r="I198" i="35"/>
  <c r="AL60" i="55" s="1"/>
  <c r="L154" i="36"/>
  <c r="N71" i="33"/>
  <c r="M24" i="58" s="1"/>
  <c r="M71" i="33"/>
  <c r="H23" i="55"/>
  <c r="L156" i="36"/>
  <c r="O156" i="36"/>
  <c r="L155" i="36"/>
  <c r="O154" i="36"/>
  <c r="O155" i="36"/>
  <c r="I191" i="35"/>
  <c r="J191" i="35"/>
  <c r="I90" i="34"/>
  <c r="L90" i="34"/>
  <c r="L137" i="36"/>
  <c r="M64" i="33"/>
  <c r="N64" i="33"/>
  <c r="M26" i="58" s="1"/>
  <c r="K177" i="35"/>
  <c r="I86" i="34"/>
  <c r="I88" i="34"/>
  <c r="I181" i="35"/>
  <c r="AL113" i="58" s="1"/>
  <c r="J181" i="35"/>
  <c r="AM113" i="58" s="1"/>
  <c r="AV4" i="55"/>
  <c r="L86" i="34"/>
  <c r="AK45" i="55"/>
  <c r="AK24" i="55"/>
  <c r="K88" i="34"/>
  <c r="J88" i="34"/>
  <c r="I168" i="35"/>
  <c r="J168" i="35"/>
  <c r="H5" i="55"/>
  <c r="N59" i="33"/>
  <c r="M7" i="58" s="1"/>
  <c r="M59" i="33"/>
  <c r="J161" i="35"/>
  <c r="I161" i="35"/>
  <c r="I165" i="35"/>
  <c r="G78" i="34"/>
  <c r="AW37" i="55" s="1"/>
  <c r="K71" i="34"/>
  <c r="J71" i="34"/>
  <c r="K155" i="35"/>
  <c r="N155" i="35"/>
  <c r="L160" i="35"/>
  <c r="M160" i="35"/>
  <c r="I70" i="34"/>
  <c r="I152" i="35"/>
  <c r="G36" i="55"/>
  <c r="M53" i="33"/>
  <c r="N53" i="33"/>
  <c r="M9" i="58" s="1"/>
  <c r="J150" i="35"/>
  <c r="Z16" i="55"/>
  <c r="K143" i="35"/>
  <c r="N141" i="35"/>
  <c r="AN13" i="58" s="1"/>
  <c r="K115" i="36"/>
  <c r="J115" i="36"/>
  <c r="AK114" i="55"/>
  <c r="N143" i="35"/>
  <c r="AK110" i="55"/>
  <c r="AL34" i="55"/>
  <c r="K141" i="35"/>
  <c r="I66" i="34"/>
  <c r="L66" i="34"/>
  <c r="G35" i="55"/>
  <c r="M50" i="33"/>
  <c r="N50" i="33"/>
  <c r="M21" i="58" s="1"/>
  <c r="L111" i="36"/>
  <c r="I137" i="35"/>
  <c r="AL75" i="57" s="1"/>
  <c r="I139" i="35"/>
  <c r="H12" i="55"/>
  <c r="M46" i="33"/>
  <c r="I60" i="34"/>
  <c r="L104" i="36"/>
  <c r="K112" i="35"/>
  <c r="H28" i="55"/>
  <c r="N40" i="33"/>
  <c r="H55" i="34"/>
  <c r="H54" i="34"/>
  <c r="L89" i="36"/>
  <c r="X71" i="55"/>
  <c r="O89" i="36"/>
  <c r="J84" i="36"/>
  <c r="O85" i="36"/>
  <c r="K84" i="36"/>
  <c r="Z64" i="55" s="1"/>
  <c r="AK15" i="55"/>
  <c r="N103" i="35"/>
  <c r="AN21" i="58" s="1"/>
  <c r="AO21" i="58" s="1"/>
  <c r="AM15" i="55"/>
  <c r="K103" i="35"/>
  <c r="Y73" i="55"/>
  <c r="K105" i="35"/>
  <c r="N109" i="35"/>
  <c r="K108" i="35"/>
  <c r="AK76" i="55"/>
  <c r="N105" i="35"/>
  <c r="AL79" i="55"/>
  <c r="K104" i="35"/>
  <c r="AK79" i="55"/>
  <c r="N104" i="35"/>
  <c r="M42" i="33"/>
  <c r="N42" i="33"/>
  <c r="M33" i="58" s="1"/>
  <c r="G39" i="55"/>
  <c r="O93" i="36"/>
  <c r="L93" i="36"/>
  <c r="X9" i="55"/>
  <c r="O92" i="36"/>
  <c r="AA8" i="58" s="1"/>
  <c r="L92" i="36"/>
  <c r="Y9" i="55"/>
  <c r="K116" i="35"/>
  <c r="AM86" i="55"/>
  <c r="AV2" i="55"/>
  <c r="L74" i="34"/>
  <c r="AY2" i="58" s="1"/>
  <c r="AW2" i="55"/>
  <c r="I74" i="34"/>
  <c r="K120" i="35"/>
  <c r="N120" i="35"/>
  <c r="N118" i="35"/>
  <c r="K121" i="35"/>
  <c r="N119" i="35"/>
  <c r="K119" i="35"/>
  <c r="M95" i="36"/>
  <c r="N95" i="36"/>
  <c r="L77" i="36"/>
  <c r="L79" i="36"/>
  <c r="M81" i="36"/>
  <c r="J97" i="35"/>
  <c r="AM17" i="57" s="1"/>
  <c r="K102" i="35"/>
  <c r="N102" i="35"/>
  <c r="AV5" i="55"/>
  <c r="L47" i="34"/>
  <c r="AY12" i="58" s="1"/>
  <c r="AW5" i="55"/>
  <c r="I47" i="34"/>
  <c r="H10" i="55"/>
  <c r="M36" i="33"/>
  <c r="N36" i="33"/>
  <c r="AK10" i="55"/>
  <c r="M34" i="33"/>
  <c r="N34" i="33"/>
  <c r="L76" i="36"/>
  <c r="I46" i="34"/>
  <c r="L46" i="34"/>
  <c r="J91" i="35"/>
  <c r="I91" i="35"/>
  <c r="AV19" i="55"/>
  <c r="L44" i="34"/>
  <c r="I44" i="34"/>
  <c r="AW19" i="55"/>
  <c r="I94" i="35"/>
  <c r="I95" i="35"/>
  <c r="N87" i="35"/>
  <c r="L71" i="36"/>
  <c r="O71" i="36"/>
  <c r="K88" i="35"/>
  <c r="N88" i="35"/>
  <c r="L42" i="34"/>
  <c r="I42" i="34"/>
  <c r="X56" i="55"/>
  <c r="Y56" i="55"/>
  <c r="K70" i="36"/>
  <c r="J38" i="15"/>
  <c r="J39" i="15" s="1"/>
  <c r="J70" i="36"/>
  <c r="I38" i="15"/>
  <c r="I39" i="15" s="1"/>
  <c r="I85" i="35"/>
  <c r="I84" i="35"/>
  <c r="K84" i="35"/>
  <c r="N84" i="35"/>
  <c r="N32" i="33"/>
  <c r="M25" i="58" s="1"/>
  <c r="H30" i="55"/>
  <c r="M32" i="33"/>
  <c r="G30" i="55"/>
  <c r="AK105" i="55"/>
  <c r="G39" i="34"/>
  <c r="H39" i="34"/>
  <c r="N65" i="36"/>
  <c r="I35" i="34"/>
  <c r="AW11" i="55"/>
  <c r="I36" i="34"/>
  <c r="K70" i="35"/>
  <c r="L60" i="36"/>
  <c r="K71" i="35"/>
  <c r="N71" i="35"/>
  <c r="J37" i="34"/>
  <c r="K37" i="34"/>
  <c r="AK28" i="55"/>
  <c r="N72" i="35"/>
  <c r="L36" i="34"/>
  <c r="AY51" i="58" s="1"/>
  <c r="K72" i="35"/>
  <c r="K75" i="35"/>
  <c r="N75" i="35"/>
  <c r="I74" i="35"/>
  <c r="I73" i="35"/>
  <c r="N70" i="35"/>
  <c r="K73" i="35"/>
  <c r="H16" i="55"/>
  <c r="M25" i="33"/>
  <c r="N25" i="33"/>
  <c r="K69" i="35"/>
  <c r="L33" i="34"/>
  <c r="O55" i="36"/>
  <c r="L68" i="35"/>
  <c r="O56" i="36"/>
  <c r="I34" i="34"/>
  <c r="M56" i="36"/>
  <c r="N56" i="36"/>
  <c r="M68" i="35"/>
  <c r="K65" i="35"/>
  <c r="AL5" i="55"/>
  <c r="I7" i="34"/>
  <c r="M2" i="33"/>
  <c r="N2" i="33"/>
  <c r="M28" i="58" s="1"/>
  <c r="I30" i="34"/>
  <c r="L30" i="34"/>
  <c r="J58" i="35"/>
  <c r="J59" i="35"/>
  <c r="J51" i="36"/>
  <c r="I38" i="11"/>
  <c r="I39" i="11" s="1"/>
  <c r="K51" i="36"/>
  <c r="L51" i="36" s="1"/>
  <c r="J38" i="11"/>
  <c r="J39" i="11" s="1"/>
  <c r="N58" i="35"/>
  <c r="O48" i="36"/>
  <c r="Y24" i="55"/>
  <c r="J30" i="34"/>
  <c r="K30" i="34"/>
  <c r="O51" i="36"/>
  <c r="AK20" i="55"/>
  <c r="AK32" i="55"/>
  <c r="L62" i="35"/>
  <c r="M62" i="35"/>
  <c r="O46" i="36"/>
  <c r="L46" i="36"/>
  <c r="N56" i="35"/>
  <c r="N53" i="35"/>
  <c r="AK31" i="55"/>
  <c r="K53" i="35"/>
  <c r="AM31" i="55"/>
  <c r="K51" i="35"/>
  <c r="O40" i="36"/>
  <c r="L40" i="36"/>
  <c r="N51" i="35"/>
  <c r="AK53" i="55"/>
  <c r="N50" i="35"/>
  <c r="K50" i="35"/>
  <c r="AL53" i="55"/>
  <c r="L45" i="35"/>
  <c r="M45" i="35"/>
  <c r="K42" i="35"/>
  <c r="M39" i="35"/>
  <c r="L39" i="35"/>
  <c r="L23" i="36"/>
  <c r="M30" i="35"/>
  <c r="L30" i="35"/>
  <c r="O23" i="36"/>
  <c r="I14" i="34"/>
  <c r="AV22" i="55"/>
  <c r="L14" i="34"/>
  <c r="I16" i="34"/>
  <c r="L16" i="34"/>
  <c r="L25" i="36"/>
  <c r="O25" i="36"/>
  <c r="G15" i="34"/>
  <c r="I38" i="1"/>
  <c r="I39" i="1" s="1"/>
  <c r="H15" i="34"/>
  <c r="J38" i="1"/>
  <c r="J39" i="1" s="1"/>
  <c r="L18" i="36"/>
  <c r="L19" i="36"/>
  <c r="O19" i="36"/>
  <c r="Y55" i="55"/>
  <c r="O18" i="36"/>
  <c r="L13" i="36"/>
  <c r="I18" i="35"/>
  <c r="J18" i="35"/>
  <c r="J9" i="35"/>
  <c r="AM75" i="58" s="1"/>
  <c r="J11" i="35"/>
  <c r="AM117" i="58" s="1"/>
  <c r="J38" i="4"/>
  <c r="J39" i="4" s="1"/>
  <c r="I6" i="34"/>
  <c r="L6" i="34"/>
  <c r="I9" i="35"/>
  <c r="AL75" i="58" s="1"/>
  <c r="I11" i="35"/>
  <c r="J6" i="34"/>
  <c r="K6" i="34"/>
  <c r="M13" i="35"/>
  <c r="L13" i="35"/>
  <c r="I4" i="34"/>
  <c r="L2" i="36"/>
  <c r="O2" i="36"/>
  <c r="I6" i="35"/>
  <c r="M4" i="33"/>
  <c r="N4" i="33"/>
  <c r="F5" i="47" s="1"/>
  <c r="L4" i="34"/>
  <c r="K4" i="36"/>
  <c r="Z80" i="57" s="1"/>
  <c r="J4" i="36"/>
  <c r="Y80" i="57" s="1"/>
  <c r="I7" i="35"/>
  <c r="J7" i="35"/>
  <c r="G79" i="34"/>
  <c r="H79" i="34"/>
  <c r="H78" i="34"/>
  <c r="K159" i="35"/>
  <c r="N159" i="35"/>
  <c r="J123" i="35"/>
  <c r="I123" i="35"/>
  <c r="G57" i="34"/>
  <c r="G58" i="34"/>
  <c r="H57" i="34"/>
  <c r="H58" i="34"/>
  <c r="G54" i="34"/>
  <c r="AW39" i="55" s="1"/>
  <c r="I45" i="34"/>
  <c r="L45" i="34"/>
  <c r="G40" i="34"/>
  <c r="H40" i="34"/>
  <c r="I40" i="34" s="1"/>
  <c r="N66" i="36"/>
  <c r="M66" i="36"/>
  <c r="G24" i="34"/>
  <c r="G25" i="34"/>
  <c r="H24" i="34"/>
  <c r="H25" i="34"/>
  <c r="N18" i="33"/>
  <c r="N47" i="35"/>
  <c r="K41" i="36"/>
  <c r="J38" i="9"/>
  <c r="J39" i="9" s="1"/>
  <c r="J38" i="32"/>
  <c r="J39" i="32" s="1"/>
  <c r="K3" i="36"/>
  <c r="K10" i="35"/>
  <c r="N10" i="35"/>
  <c r="N11" i="35"/>
  <c r="AN117" i="58" s="1"/>
  <c r="AO117" i="58" s="1"/>
  <c r="I16" i="35"/>
  <c r="J16" i="35"/>
  <c r="AK112" i="55"/>
  <c r="I49" i="35"/>
  <c r="I46" i="35"/>
  <c r="L48" i="36"/>
  <c r="L47" i="36"/>
  <c r="O47" i="36"/>
  <c r="K76" i="35"/>
  <c r="Y74" i="55"/>
  <c r="L59" i="36"/>
  <c r="O59" i="36"/>
  <c r="K57" i="36"/>
  <c r="J38" i="13"/>
  <c r="J39" i="13" s="1"/>
  <c r="J57" i="36"/>
  <c r="I38" i="13"/>
  <c r="I39" i="13" s="1"/>
  <c r="X8" i="55"/>
  <c r="L58" i="36"/>
  <c r="O58" i="36"/>
  <c r="AA59" i="57" s="1"/>
  <c r="I92" i="35"/>
  <c r="J92" i="35"/>
  <c r="AM51" i="58" s="1"/>
  <c r="J90" i="35"/>
  <c r="AM36" i="58" s="1"/>
  <c r="I90" i="35"/>
  <c r="AL36" i="58" s="1"/>
  <c r="J72" i="36"/>
  <c r="Y26" i="55" s="1"/>
  <c r="J94" i="35"/>
  <c r="J95" i="35"/>
  <c r="I48" i="34"/>
  <c r="L48" i="34"/>
  <c r="J98" i="35"/>
  <c r="AM52" i="58" s="1"/>
  <c r="Y17" i="55"/>
  <c r="N81" i="36"/>
  <c r="X17" i="55"/>
  <c r="O77" i="36"/>
  <c r="AK26" i="55"/>
  <c r="I100" i="35"/>
  <c r="AL129" i="57" s="1"/>
  <c r="I101" i="35"/>
  <c r="I98" i="35"/>
  <c r="AL52" i="58" s="1"/>
  <c r="I97" i="35"/>
  <c r="AL17" i="57" s="1"/>
  <c r="M86" i="36"/>
  <c r="N86" i="36"/>
  <c r="O86" i="36"/>
  <c r="J106" i="35"/>
  <c r="AM116" i="55" s="1"/>
  <c r="J107" i="35"/>
  <c r="I106" i="35"/>
  <c r="AL116" i="55" s="1"/>
  <c r="I107" i="35"/>
  <c r="J82" i="36"/>
  <c r="I38" i="3"/>
  <c r="I39" i="3" s="1"/>
  <c r="K82" i="36"/>
  <c r="Z11" i="55" s="1"/>
  <c r="J38" i="3"/>
  <c r="J39" i="3" s="1"/>
  <c r="X15" i="55"/>
  <c r="I125" i="35"/>
  <c r="J125" i="35"/>
  <c r="J128" i="35"/>
  <c r="AM140" i="58" s="1"/>
  <c r="J122" i="35"/>
  <c r="AM66" i="55" s="1"/>
  <c r="I128" i="35"/>
  <c r="AL140" i="58" s="1"/>
  <c r="I122" i="35"/>
  <c r="AK104" i="55"/>
  <c r="AK58" i="55"/>
  <c r="J145" i="35"/>
  <c r="I145" i="35"/>
  <c r="X76" i="55"/>
  <c r="X60" i="55"/>
  <c r="K116" i="36"/>
  <c r="J38" i="22"/>
  <c r="J39" i="22" s="1"/>
  <c r="J152" i="35"/>
  <c r="M120" i="36"/>
  <c r="I150" i="35"/>
  <c r="N156" i="35"/>
  <c r="K156" i="35"/>
  <c r="K157" i="35"/>
  <c r="N157" i="35"/>
  <c r="I166" i="35"/>
  <c r="I163" i="35"/>
  <c r="I162" i="35"/>
  <c r="AL32" i="55" s="1"/>
  <c r="J163" i="35"/>
  <c r="J162" i="35"/>
  <c r="J167" i="35"/>
  <c r="I167" i="35"/>
  <c r="L133" i="36"/>
  <c r="Y57" i="55"/>
  <c r="L132" i="36"/>
  <c r="X57" i="55"/>
  <c r="O132" i="36"/>
  <c r="AA34" i="58" s="1"/>
  <c r="AB34" i="58" s="1"/>
  <c r="I171" i="35"/>
  <c r="I170" i="35"/>
  <c r="J171" i="35"/>
  <c r="AM64" i="55" s="1"/>
  <c r="J170" i="35"/>
  <c r="I182" i="35"/>
  <c r="I180" i="35"/>
  <c r="AL108" i="55" s="1"/>
  <c r="J182" i="35"/>
  <c r="J180" i="35"/>
  <c r="I91" i="34"/>
  <c r="L91" i="34"/>
  <c r="L147" i="36"/>
  <c r="Y10" i="55"/>
  <c r="Z10" i="55"/>
  <c r="X10" i="55"/>
  <c r="O147" i="36"/>
  <c r="J192" i="35"/>
  <c r="I192" i="35"/>
  <c r="X25" i="55"/>
  <c r="O152" i="36"/>
  <c r="AA32" i="58" s="1"/>
  <c r="AB32" i="58" s="1"/>
  <c r="L152" i="36"/>
  <c r="L158" i="36"/>
  <c r="K203" i="35"/>
  <c r="J201" i="35"/>
  <c r="O160" i="36"/>
  <c r="I197" i="35"/>
  <c r="I199" i="35"/>
  <c r="AK18" i="55"/>
  <c r="AW35" i="55"/>
  <c r="I96" i="34"/>
  <c r="J202" i="35"/>
  <c r="N202" i="35" s="1"/>
  <c r="J197" i="35"/>
  <c r="J198" i="35"/>
  <c r="J199" i="35"/>
  <c r="K200" i="35"/>
  <c r="N200" i="35"/>
  <c r="K114" i="36"/>
  <c r="Z81" i="55" s="1"/>
  <c r="J114" i="36"/>
  <c r="Y81" i="55" s="1"/>
  <c r="J83" i="36"/>
  <c r="Y50" i="58" s="1"/>
  <c r="K83" i="36"/>
  <c r="K99" i="35"/>
  <c r="AL99" i="55"/>
  <c r="N99" i="35"/>
  <c r="K80" i="36"/>
  <c r="K78" i="36"/>
  <c r="J80" i="36"/>
  <c r="J78" i="36"/>
  <c r="X65" i="55"/>
  <c r="K73" i="36"/>
  <c r="Z48" i="57" s="1"/>
  <c r="AK17" i="55"/>
  <c r="N42" i="35"/>
  <c r="O33" i="36"/>
  <c r="L33" i="36"/>
  <c r="L24" i="36"/>
  <c r="O24" i="36"/>
  <c r="J7" i="47"/>
  <c r="A8" i="36"/>
  <c r="A9" i="36" s="1"/>
  <c r="A10" i="36" s="1"/>
  <c r="A11" i="36" s="1"/>
  <c r="A12" i="36" s="1"/>
  <c r="J5" i="36"/>
  <c r="Y84" i="55" s="1"/>
  <c r="K5" i="36"/>
  <c r="Z84" i="55" s="1"/>
  <c r="I5" i="35"/>
  <c r="L151" i="36"/>
  <c r="L92" i="34"/>
  <c r="K202" i="35"/>
  <c r="N195" i="35"/>
  <c r="L9" i="34"/>
  <c r="AV34" i="55"/>
  <c r="L75" i="34"/>
  <c r="AY44" i="58" s="1"/>
  <c r="I75" i="34"/>
  <c r="AW34" i="55"/>
  <c r="J52" i="36"/>
  <c r="I38" i="12"/>
  <c r="I39" i="12" s="1"/>
  <c r="K52" i="36"/>
  <c r="Z3" i="55" s="1"/>
  <c r="J38" i="12"/>
  <c r="J39" i="12" s="1"/>
  <c r="Z24" i="55"/>
  <c r="Z57" i="55"/>
  <c r="L41" i="35"/>
  <c r="M41" i="35"/>
  <c r="AK37" i="55"/>
  <c r="K151" i="35"/>
  <c r="AL97" i="55"/>
  <c r="AW6" i="55"/>
  <c r="X26" i="55"/>
  <c r="O133" i="36"/>
  <c r="AK85" i="55"/>
  <c r="L160" i="36"/>
  <c r="O151" i="36"/>
  <c r="N64" i="35"/>
  <c r="K64" i="35"/>
  <c r="O101" i="36"/>
  <c r="K184" i="35"/>
  <c r="O137" i="36"/>
  <c r="AA21" i="57" s="1"/>
  <c r="O14" i="36"/>
  <c r="M12" i="47" s="1"/>
  <c r="L87" i="34"/>
  <c r="AY35" i="58" s="1"/>
  <c r="O120" i="36"/>
  <c r="N132" i="35"/>
  <c r="K132" i="35"/>
  <c r="K133" i="35"/>
  <c r="AA9" i="47"/>
  <c r="AW30" i="55"/>
  <c r="I80" i="34"/>
  <c r="AV30" i="55"/>
  <c r="L80" i="34"/>
  <c r="AK29" i="55"/>
  <c r="AK34" i="55"/>
  <c r="AW8" i="55"/>
  <c r="I32" i="34"/>
  <c r="AV8" i="55"/>
  <c r="L32" i="34"/>
  <c r="AK5" i="55"/>
  <c r="N65" i="35"/>
  <c r="AN5" i="58" s="1"/>
  <c r="AO5" i="58" s="1"/>
  <c r="N173" i="35"/>
  <c r="K173" i="35"/>
  <c r="AL11" i="55"/>
  <c r="AW23" i="55"/>
  <c r="I69" i="34"/>
  <c r="AV23" i="55"/>
  <c r="L69" i="34"/>
  <c r="N55" i="36"/>
  <c r="M55" i="36"/>
  <c r="AL100" i="55"/>
  <c r="K66" i="35"/>
  <c r="AK100" i="55"/>
  <c r="N66" i="35"/>
  <c r="K127" i="35"/>
  <c r="N127" i="35"/>
  <c r="O148" i="36"/>
  <c r="AA28" i="58" s="1"/>
  <c r="AB28" i="58" s="1"/>
  <c r="X64" i="55"/>
  <c r="L148" i="36"/>
  <c r="N150" i="36"/>
  <c r="M150" i="36"/>
  <c r="K99" i="36"/>
  <c r="K98" i="36"/>
  <c r="K113" i="35"/>
  <c r="N113" i="35"/>
  <c r="AN132" i="58" s="1"/>
  <c r="AK96" i="55"/>
  <c r="L38" i="34"/>
  <c r="AY23" i="58" s="1"/>
  <c r="AV28" i="55"/>
  <c r="I38" i="34"/>
  <c r="AW28" i="55"/>
  <c r="AK6" i="55"/>
  <c r="N77" i="35"/>
  <c r="AN11" i="58" s="1"/>
  <c r="K77" i="35"/>
  <c r="AL6" i="55"/>
  <c r="K189" i="35"/>
  <c r="K115" i="35"/>
  <c r="N115" i="35"/>
  <c r="L45" i="36"/>
  <c r="O45" i="36"/>
  <c r="O135" i="36"/>
  <c r="L82" i="34"/>
  <c r="N126" i="35"/>
  <c r="L56" i="34"/>
  <c r="N112" i="35"/>
  <c r="AN131" i="55" s="1"/>
  <c r="O90" i="36"/>
  <c r="O6" i="36"/>
  <c r="L143" i="36"/>
  <c r="N69" i="35"/>
  <c r="K17" i="35"/>
  <c r="O130" i="36"/>
  <c r="AM39" i="55"/>
  <c r="Y48" i="55"/>
  <c r="N101" i="36"/>
  <c r="M101" i="36"/>
  <c r="N117" i="35"/>
  <c r="K117" i="35"/>
  <c r="L76" i="34"/>
  <c r="I76" i="34"/>
  <c r="O94" i="36"/>
  <c r="L94" i="36"/>
  <c r="X48" i="55"/>
  <c r="O158" i="36"/>
  <c r="AK39" i="55"/>
  <c r="N184" i="35"/>
  <c r="AN20" i="57" s="1"/>
  <c r="AK117" i="55"/>
  <c r="I53" i="34"/>
  <c r="L53" i="34"/>
  <c r="X72" i="55"/>
  <c r="X16" i="55"/>
  <c r="X39" i="55"/>
  <c r="Y39" i="55"/>
  <c r="O106" i="36"/>
  <c r="L106" i="36"/>
  <c r="X36" i="55"/>
  <c r="X27" i="55"/>
  <c r="X14" i="55"/>
  <c r="X12" i="55"/>
  <c r="I38" i="5"/>
  <c r="I39" i="5" s="1"/>
  <c r="J12" i="36"/>
  <c r="J38" i="5"/>
  <c r="J39" i="5" s="1"/>
  <c r="K12" i="36"/>
  <c r="AV25" i="55"/>
  <c r="AV31" i="55"/>
  <c r="AW13" i="55"/>
  <c r="I26" i="34"/>
  <c r="N54" i="35"/>
  <c r="K54" i="35"/>
  <c r="AK73" i="55"/>
  <c r="M195" i="35"/>
  <c r="L195" i="35"/>
  <c r="N178" i="35"/>
  <c r="K178" i="35"/>
  <c r="AV27" i="55"/>
  <c r="L68" i="34"/>
  <c r="AY11" i="58" s="1"/>
  <c r="AZ11" i="58" s="1"/>
  <c r="Y33" i="55"/>
  <c r="Y41" i="55"/>
  <c r="I62" i="34"/>
  <c r="AX16" i="55"/>
  <c r="AK19" i="55"/>
  <c r="O75" i="36"/>
  <c r="L75" i="36"/>
  <c r="K111" i="35"/>
  <c r="AL8" i="55"/>
  <c r="N111" i="35"/>
  <c r="AN2" i="58" s="1"/>
  <c r="AK8" i="55"/>
  <c r="J81" i="34"/>
  <c r="K81" i="34"/>
  <c r="J56" i="34"/>
  <c r="K56" i="34"/>
  <c r="O54" i="36"/>
  <c r="AA89" i="55" s="1"/>
  <c r="X89" i="55"/>
  <c r="L54" i="36"/>
  <c r="Y89" i="55"/>
  <c r="O76" i="36"/>
  <c r="L83" i="34"/>
  <c r="AY30" i="58" s="1"/>
  <c r="I65" i="34"/>
  <c r="L65" i="34"/>
  <c r="I3" i="34"/>
  <c r="L121" i="36"/>
  <c r="N164" i="35"/>
  <c r="AN134" i="58" s="1"/>
  <c r="L135" i="36"/>
  <c r="I22" i="34"/>
  <c r="N172" i="35"/>
  <c r="K172" i="35"/>
  <c r="G89" i="34"/>
  <c r="I38" i="29"/>
  <c r="I39" i="29" s="1"/>
  <c r="H89" i="34"/>
  <c r="J38" i="29"/>
  <c r="J39" i="29" s="1"/>
  <c r="K72" i="36"/>
  <c r="J38" i="16"/>
  <c r="J39" i="16" s="1"/>
  <c r="H49" i="34"/>
  <c r="J38" i="17"/>
  <c r="J39" i="17" s="1"/>
  <c r="G49" i="34"/>
  <c r="I38" i="17"/>
  <c r="I39" i="17" s="1"/>
  <c r="I52" i="35"/>
  <c r="I38" i="10"/>
  <c r="I39" i="10" s="1"/>
  <c r="AK50" i="55"/>
  <c r="M136" i="36"/>
  <c r="N136" i="36"/>
  <c r="X31" i="55"/>
  <c r="O134" i="36"/>
  <c r="L134" i="36"/>
  <c r="Y31" i="55"/>
  <c r="K82" i="34"/>
  <c r="J82" i="34"/>
  <c r="X13" i="55"/>
  <c r="K97" i="36"/>
  <c r="Z8" i="57" s="1"/>
  <c r="J38" i="19"/>
  <c r="J39" i="19" s="1"/>
  <c r="J97" i="36"/>
  <c r="Y8" i="57" s="1"/>
  <c r="I38" i="19"/>
  <c r="I39" i="19" s="1"/>
  <c r="K93" i="35"/>
  <c r="N93" i="35"/>
  <c r="AK38" i="55"/>
  <c r="I38" i="16"/>
  <c r="I39" i="16" s="1"/>
  <c r="J73" i="36"/>
  <c r="Y48" i="57" s="1"/>
  <c r="AK13" i="55"/>
  <c r="N110" i="35"/>
  <c r="K110" i="35"/>
  <c r="AM13" i="55"/>
  <c r="L87" i="36"/>
  <c r="Y7" i="55"/>
  <c r="O87" i="36"/>
  <c r="AV13" i="55"/>
  <c r="L26" i="34"/>
  <c r="AY13" i="58" s="1"/>
  <c r="AZ13" i="58" s="1"/>
  <c r="AV3" i="55"/>
  <c r="G2" i="34"/>
  <c r="I38" i="32"/>
  <c r="I39" i="32" s="1"/>
  <c r="AK97" i="55"/>
  <c r="N151" i="35"/>
  <c r="X93" i="55"/>
  <c r="X148" i="55"/>
  <c r="X102" i="55"/>
  <c r="X95" i="55"/>
  <c r="N4" i="35"/>
  <c r="K4" i="35"/>
  <c r="N194" i="35"/>
  <c r="K194" i="35"/>
  <c r="O108" i="36"/>
  <c r="Y45" i="55"/>
  <c r="L108" i="36"/>
  <c r="K67" i="35"/>
  <c r="AL66" i="55"/>
  <c r="AK66" i="55"/>
  <c r="N67" i="35"/>
  <c r="AN77" i="58" s="1"/>
  <c r="AO77" i="58" s="1"/>
  <c r="AV35" i="55"/>
  <c r="L96" i="34"/>
  <c r="AK82" i="55"/>
  <c r="Y59" i="55"/>
  <c r="L129" i="36"/>
  <c r="X59" i="55"/>
  <c r="O129" i="36"/>
  <c r="AK12" i="55"/>
  <c r="AX17" i="55"/>
  <c r="I77" i="34"/>
  <c r="AK41" i="55"/>
  <c r="N131" i="35"/>
  <c r="AL102" i="55"/>
  <c r="K124" i="35"/>
  <c r="N124" i="35"/>
  <c r="K8" i="34"/>
  <c r="J8" i="34"/>
  <c r="L42" i="36"/>
  <c r="I38" i="27"/>
  <c r="I39" i="27" s="1"/>
  <c r="I169" i="35"/>
  <c r="J38" i="27"/>
  <c r="J39" i="27" s="1"/>
  <c r="J169" i="35"/>
  <c r="X53" i="55"/>
  <c r="Y153" i="55"/>
  <c r="Y102" i="55"/>
  <c r="Y94" i="55"/>
  <c r="Y165" i="55"/>
  <c r="Y124" i="55"/>
  <c r="Y171" i="55"/>
  <c r="Y109" i="55"/>
  <c r="Y167" i="55"/>
  <c r="Y142" i="55"/>
  <c r="Y115" i="55"/>
  <c r="Y169" i="55"/>
  <c r="Y103" i="55"/>
  <c r="Y151" i="55"/>
  <c r="Y126" i="55"/>
  <c r="Y156" i="55"/>
  <c r="Y162" i="55"/>
  <c r="Y133" i="55"/>
  <c r="Y161" i="55"/>
  <c r="Y118" i="55"/>
  <c r="Y125" i="55"/>
  <c r="Y123" i="55"/>
  <c r="Y159" i="55"/>
  <c r="Y158" i="55"/>
  <c r="Y92" i="55"/>
  <c r="Y129" i="55"/>
  <c r="L6" i="36"/>
  <c r="Y154" i="55"/>
  <c r="Y138" i="55"/>
  <c r="Y148" i="55"/>
  <c r="Y137" i="55"/>
  <c r="Y105" i="55"/>
  <c r="Y127" i="55"/>
  <c r="Y149" i="55"/>
  <c r="Y104" i="55"/>
  <c r="Y114" i="55"/>
  <c r="Y170" i="55"/>
  <c r="Y139" i="55"/>
  <c r="Y113" i="55"/>
  <c r="Y143" i="55"/>
  <c r="Y119" i="55"/>
  <c r="Y106" i="55"/>
  <c r="Y128" i="55"/>
  <c r="Y116" i="55"/>
  <c r="Y147" i="55"/>
  <c r="Y155" i="55"/>
  <c r="Y122" i="55"/>
  <c r="Y160" i="55"/>
  <c r="Y134" i="55"/>
  <c r="Y145" i="55"/>
  <c r="Y112" i="55"/>
  <c r="Y132" i="55"/>
  <c r="Y144" i="55"/>
  <c r="Y136" i="55"/>
  <c r="Y131" i="55"/>
  <c r="Y130" i="55"/>
  <c r="Y98" i="55"/>
  <c r="Y120" i="55"/>
  <c r="Y146" i="55"/>
  <c r="Y166" i="55"/>
  <c r="Y168" i="55"/>
  <c r="Y93" i="55"/>
  <c r="Y157" i="55"/>
  <c r="Y97" i="55"/>
  <c r="Y141" i="55"/>
  <c r="Y135" i="55"/>
  <c r="Y110" i="55"/>
  <c r="Y152" i="55"/>
  <c r="Y101" i="55"/>
  <c r="Y100" i="55"/>
  <c r="Y121" i="55"/>
  <c r="Y163" i="55"/>
  <c r="Y107" i="55"/>
  <c r="Y164" i="55"/>
  <c r="Y117" i="55"/>
  <c r="Y140" i="55"/>
  <c r="Y108" i="55"/>
  <c r="Y111" i="55"/>
  <c r="Y99" i="55"/>
  <c r="Y95" i="55"/>
  <c r="Y96" i="55"/>
  <c r="Y150" i="55"/>
  <c r="Z116" i="55"/>
  <c r="Z135" i="55"/>
  <c r="Z121" i="55"/>
  <c r="Z102" i="55"/>
  <c r="Z94" i="55"/>
  <c r="Z130" i="55"/>
  <c r="Z99" i="55"/>
  <c r="Z104" i="55"/>
  <c r="Z166" i="55"/>
  <c r="Z101" i="55"/>
  <c r="Z103" i="55"/>
  <c r="Z115" i="55"/>
  <c r="Z146" i="55"/>
  <c r="Z170" i="55"/>
  <c r="Z127" i="55"/>
  <c r="Z154" i="55"/>
  <c r="Z110" i="55"/>
  <c r="Z109" i="55"/>
  <c r="Z119" i="55"/>
  <c r="Z140" i="55"/>
  <c r="Z124" i="55"/>
  <c r="Z112" i="55"/>
  <c r="Z142" i="55"/>
  <c r="Z93" i="55"/>
  <c r="Z123" i="55"/>
  <c r="Z167" i="55"/>
  <c r="Z131" i="55"/>
  <c r="Z136" i="55"/>
  <c r="Z160" i="55"/>
  <c r="Z113" i="55"/>
  <c r="Z97" i="55"/>
  <c r="Z153" i="55"/>
  <c r="Z152" i="55"/>
  <c r="Z155" i="55"/>
  <c r="Z139" i="55"/>
  <c r="Z134" i="55"/>
  <c r="Z148" i="55"/>
  <c r="Z106" i="55"/>
  <c r="Z162" i="55"/>
  <c r="Z98" i="55"/>
  <c r="Z105" i="55"/>
  <c r="Z100" i="55"/>
  <c r="Z168" i="55"/>
  <c r="Z129" i="55"/>
  <c r="Z141" i="55"/>
  <c r="Z114" i="55"/>
  <c r="Z147" i="55"/>
  <c r="Z156" i="55"/>
  <c r="Z158" i="55"/>
  <c r="Z138" i="55"/>
  <c r="Z159" i="55"/>
  <c r="Z150" i="55"/>
  <c r="Z107" i="55"/>
  <c r="Z169" i="55"/>
  <c r="Z95" i="55"/>
  <c r="Z163" i="55"/>
  <c r="Z151" i="55"/>
  <c r="Z149" i="55"/>
  <c r="Z117" i="55"/>
  <c r="Z143" i="55"/>
  <c r="Z161" i="55"/>
  <c r="Z122" i="55"/>
  <c r="Z92" i="55"/>
  <c r="Z96" i="55"/>
  <c r="Z132" i="55"/>
  <c r="Z164" i="55"/>
  <c r="Z118" i="55"/>
  <c r="Z171" i="55"/>
  <c r="Z145" i="55"/>
  <c r="Z126" i="55"/>
  <c r="Z111" i="55"/>
  <c r="Z108" i="55"/>
  <c r="Z133" i="55"/>
  <c r="Z137" i="55"/>
  <c r="Z165" i="55"/>
  <c r="Z157" i="55"/>
  <c r="Z144" i="55"/>
  <c r="Z128" i="55"/>
  <c r="Z120" i="55"/>
  <c r="Z125" i="55"/>
  <c r="X101" i="55"/>
  <c r="X162" i="55"/>
  <c r="X134" i="55"/>
  <c r="X105" i="55"/>
  <c r="X112" i="55"/>
  <c r="X114" i="55"/>
  <c r="X139" i="55"/>
  <c r="X100" i="55"/>
  <c r="X170" i="55"/>
  <c r="X154" i="55"/>
  <c r="X169" i="55"/>
  <c r="X107" i="55"/>
  <c r="X122" i="55"/>
  <c r="X149" i="55"/>
  <c r="X127" i="55"/>
  <c r="X164" i="55"/>
  <c r="X117" i="55"/>
  <c r="X111" i="55"/>
  <c r="X155" i="55"/>
  <c r="X136" i="55"/>
  <c r="X110" i="55"/>
  <c r="X166" i="55"/>
  <c r="X165" i="55"/>
  <c r="X113" i="55"/>
  <c r="X99" i="55"/>
  <c r="X157" i="55"/>
  <c r="X132" i="55"/>
  <c r="X125" i="55"/>
  <c r="X140" i="55"/>
  <c r="X104" i="55"/>
  <c r="X171" i="55"/>
  <c r="X143" i="55"/>
  <c r="X109" i="55"/>
  <c r="X153" i="55"/>
  <c r="X126" i="55"/>
  <c r="X144" i="55"/>
  <c r="X151" i="55"/>
  <c r="X135" i="55"/>
  <c r="X115" i="55"/>
  <c r="X145" i="55"/>
  <c r="X159" i="55"/>
  <c r="X123" i="55"/>
  <c r="X167" i="55"/>
  <c r="X120" i="55"/>
  <c r="X118" i="55"/>
  <c r="X116" i="55"/>
  <c r="X150" i="55"/>
  <c r="X147" i="55"/>
  <c r="X128" i="55"/>
  <c r="X156" i="55"/>
  <c r="X158" i="55"/>
  <c r="X133" i="55"/>
  <c r="X106" i="55"/>
  <c r="X161" i="55"/>
  <c r="X160" i="55"/>
  <c r="X130" i="55"/>
  <c r="X141" i="55"/>
  <c r="X138" i="55"/>
  <c r="X103" i="55"/>
  <c r="X121" i="55"/>
  <c r="X146" i="55"/>
  <c r="X124" i="55"/>
  <c r="X119" i="55"/>
  <c r="X108" i="55"/>
  <c r="X137" i="55"/>
  <c r="X131" i="55"/>
  <c r="X163" i="55"/>
  <c r="X98" i="55"/>
  <c r="X97" i="55"/>
  <c r="X129" i="55"/>
  <c r="X152" i="55"/>
  <c r="X142" i="55"/>
  <c r="X168" i="55"/>
  <c r="X19" i="55"/>
  <c r="N57" i="35"/>
  <c r="K57" i="35"/>
  <c r="AK25" i="55"/>
  <c r="N2" i="35"/>
  <c r="K2" i="35"/>
  <c r="AL25" i="55"/>
  <c r="M61" i="33"/>
  <c r="N61" i="33"/>
  <c r="X54" i="55"/>
  <c r="X73" i="55"/>
  <c r="X94" i="55"/>
  <c r="N78" i="35"/>
  <c r="AK55" i="55"/>
  <c r="AL55" i="55"/>
  <c r="K78" i="35"/>
  <c r="O65" i="36"/>
  <c r="X96" i="55"/>
  <c r="K55" i="35"/>
  <c r="N55" i="35"/>
  <c r="AK92" i="55"/>
  <c r="M18" i="33"/>
  <c r="G37" i="55"/>
  <c r="C13" i="55"/>
  <c r="L3" i="34"/>
  <c r="L22" i="34"/>
  <c r="M65" i="36"/>
  <c r="I28" i="34"/>
  <c r="N17" i="35"/>
  <c r="N75" i="33"/>
  <c r="L130" i="36"/>
  <c r="L131" i="36"/>
  <c r="I94" i="34"/>
  <c r="I93" i="34"/>
  <c r="N153" i="35"/>
  <c r="K15" i="35"/>
  <c r="N133" i="35"/>
  <c r="K131" i="35"/>
  <c r="L60" i="34"/>
  <c r="L27" i="34"/>
  <c r="I27" i="34"/>
  <c r="I97" i="34"/>
  <c r="Y30" i="55"/>
  <c r="I142" i="35"/>
  <c r="I38" i="22"/>
  <c r="I39" i="22" s="1"/>
  <c r="K44" i="36"/>
  <c r="J38" i="10"/>
  <c r="J39" i="10" s="1"/>
  <c r="J153" i="36"/>
  <c r="I38" i="30"/>
  <c r="I39" i="30" s="1"/>
  <c r="AK43" i="55"/>
  <c r="I175" i="35"/>
  <c r="I38" i="28"/>
  <c r="I39" i="28" s="1"/>
  <c r="K91" i="36"/>
  <c r="J38" i="18"/>
  <c r="J39" i="18" s="1"/>
  <c r="G15" i="55"/>
  <c r="M48" i="33"/>
  <c r="N48" i="33"/>
  <c r="M3" i="58" s="1"/>
  <c r="X18" i="55"/>
  <c r="O100" i="36"/>
  <c r="L100" i="36"/>
  <c r="I48" i="35"/>
  <c r="AL62" i="55" s="1"/>
  <c r="I38" i="9"/>
  <c r="I39" i="9" s="1"/>
  <c r="M75" i="33"/>
  <c r="N196" i="35"/>
  <c r="K196" i="35"/>
  <c r="AK22" i="55"/>
  <c r="L94" i="34"/>
  <c r="J190" i="35"/>
  <c r="J38" i="30"/>
  <c r="J39" i="30" s="1"/>
  <c r="K174" i="35"/>
  <c r="N174" i="35"/>
  <c r="AN57" i="58" s="1"/>
  <c r="AO57" i="58" s="1"/>
  <c r="Y90" i="55"/>
  <c r="AW38" i="55"/>
  <c r="I84" i="34"/>
  <c r="AV38" i="55"/>
  <c r="L84" i="34"/>
  <c r="AY43" i="58" s="1"/>
  <c r="K138" i="36"/>
  <c r="Z46" i="58" s="1"/>
  <c r="J38" i="28"/>
  <c r="J39" i="28" s="1"/>
  <c r="N66" i="33"/>
  <c r="M12" i="58" s="1"/>
  <c r="G14" i="55"/>
  <c r="M66" i="33"/>
  <c r="I87" i="34"/>
  <c r="K142" i="36"/>
  <c r="Z4" i="55" s="1"/>
  <c r="J38" i="2"/>
  <c r="J39" i="2" s="1"/>
  <c r="J144" i="36"/>
  <c r="I38" i="2"/>
  <c r="I39" i="2" s="1"/>
  <c r="X82" i="55"/>
  <c r="Y79" i="55"/>
  <c r="O145" i="36"/>
  <c r="L145" i="36"/>
  <c r="O146" i="36"/>
  <c r="L146" i="36"/>
  <c r="J166" i="35"/>
  <c r="J165" i="35"/>
  <c r="X4" i="55"/>
  <c r="O131" i="36"/>
  <c r="K164" i="35"/>
  <c r="J127" i="36"/>
  <c r="I38" i="26"/>
  <c r="I39" i="26" s="1"/>
  <c r="K128" i="36"/>
  <c r="J38" i="26"/>
  <c r="J39" i="26" s="1"/>
  <c r="AV17" i="55"/>
  <c r="L77" i="34"/>
  <c r="M60" i="33"/>
  <c r="N60" i="33"/>
  <c r="K153" i="35"/>
  <c r="AK72" i="55"/>
  <c r="N149" i="35"/>
  <c r="AM72" i="55"/>
  <c r="K149" i="35"/>
  <c r="I68" i="34"/>
  <c r="AW27" i="55"/>
  <c r="O119" i="36"/>
  <c r="L119" i="36"/>
  <c r="L153" i="35"/>
  <c r="M153" i="35"/>
  <c r="N148" i="35"/>
  <c r="AK49" i="55"/>
  <c r="K148" i="35"/>
  <c r="AL49" i="55"/>
  <c r="N147" i="35"/>
  <c r="AK9" i="55"/>
  <c r="K147" i="35"/>
  <c r="K117" i="36"/>
  <c r="J38" i="23"/>
  <c r="J39" i="23" s="1"/>
  <c r="J118" i="36"/>
  <c r="Y47" i="55" s="1"/>
  <c r="I38" i="23"/>
  <c r="I39" i="23" s="1"/>
  <c r="O110" i="36"/>
  <c r="L110" i="36"/>
  <c r="J137" i="35"/>
  <c r="J135" i="35"/>
  <c r="O109" i="36"/>
  <c r="L109" i="36"/>
  <c r="I63" i="34"/>
  <c r="AL51" i="55"/>
  <c r="J107" i="36"/>
  <c r="Y26" i="58" s="1"/>
  <c r="I38" i="21"/>
  <c r="I39" i="21" s="1"/>
  <c r="K107" i="36"/>
  <c r="Z26" i="58" s="1"/>
  <c r="J38" i="21"/>
  <c r="J39" i="21" s="1"/>
  <c r="AV16" i="55"/>
  <c r="L62" i="34"/>
  <c r="K140" i="35"/>
  <c r="N140" i="35"/>
  <c r="L105" i="36"/>
  <c r="AL4" i="55"/>
  <c r="N129" i="35"/>
  <c r="AN6" i="58" s="1"/>
  <c r="AO6" i="58" s="1"/>
  <c r="K129" i="35"/>
  <c r="AK42" i="55"/>
  <c r="N130" i="35"/>
  <c r="K103" i="36"/>
  <c r="J38" i="20"/>
  <c r="J39" i="20" s="1"/>
  <c r="X38" i="55"/>
  <c r="O103" i="36"/>
  <c r="AA37" i="58" s="1"/>
  <c r="AB37" i="58" s="1"/>
  <c r="J60" i="34"/>
  <c r="K60" i="34"/>
  <c r="N105" i="36"/>
  <c r="M105" i="36"/>
  <c r="L59" i="34"/>
  <c r="I59" i="34"/>
  <c r="AW9" i="55"/>
  <c r="N134" i="35"/>
  <c r="K134" i="35"/>
  <c r="O105" i="36"/>
  <c r="I61" i="34"/>
  <c r="L61" i="34"/>
  <c r="O104" i="36"/>
  <c r="AA71" i="55" s="1"/>
  <c r="J102" i="36"/>
  <c r="I38" i="20"/>
  <c r="I39" i="20" s="1"/>
  <c r="I114" i="35"/>
  <c r="I38" i="18"/>
  <c r="I39" i="18" s="1"/>
  <c r="J96" i="36"/>
  <c r="I38" i="25"/>
  <c r="I39" i="25" s="1"/>
  <c r="K96" i="36"/>
  <c r="J38" i="25"/>
  <c r="J39" i="25" s="1"/>
  <c r="N81" i="35"/>
  <c r="AN136" i="55" s="1"/>
  <c r="K81" i="35"/>
  <c r="N82" i="35"/>
  <c r="K82" i="35"/>
  <c r="K64" i="36"/>
  <c r="J38" i="14"/>
  <c r="J39" i="14" s="1"/>
  <c r="J64" i="36"/>
  <c r="I38" i="14"/>
  <c r="I39" i="14" s="1"/>
  <c r="AM105" i="55"/>
  <c r="L83" i="35"/>
  <c r="M83" i="35"/>
  <c r="J33" i="34"/>
  <c r="K33" i="34"/>
  <c r="J48" i="35"/>
  <c r="J49" i="35"/>
  <c r="K21" i="34"/>
  <c r="J21" i="34"/>
  <c r="AL106" i="55"/>
  <c r="K44" i="35"/>
  <c r="AK95" i="55"/>
  <c r="N44" i="35"/>
  <c r="AW32" i="55"/>
  <c r="I20" i="34"/>
  <c r="AV32" i="55"/>
  <c r="L20" i="34"/>
  <c r="K34" i="36"/>
  <c r="J38" i="8"/>
  <c r="J39" i="8" s="1"/>
  <c r="X78" i="55"/>
  <c r="J34" i="36"/>
  <c r="I38" i="8"/>
  <c r="I39" i="8" s="1"/>
  <c r="N19" i="35"/>
  <c r="K19" i="35"/>
  <c r="O16" i="36"/>
  <c r="L16" i="36"/>
  <c r="AK69" i="55"/>
  <c r="N15" i="35"/>
  <c r="AN78" i="58" s="1"/>
  <c r="AO78" i="58" s="1"/>
  <c r="K10" i="34"/>
  <c r="J10" i="34"/>
  <c r="AM88" i="55"/>
  <c r="L97" i="34"/>
  <c r="M14" i="35"/>
  <c r="L14" i="35"/>
  <c r="M36" i="36"/>
  <c r="N36" i="36"/>
  <c r="AV29" i="55"/>
  <c r="L95" i="34"/>
  <c r="I95" i="34"/>
  <c r="AX29" i="55"/>
  <c r="N15" i="36"/>
  <c r="M15" i="36"/>
  <c r="M43" i="35"/>
  <c r="L43" i="35"/>
  <c r="K161" i="36"/>
  <c r="J38" i="31"/>
  <c r="J39" i="31" s="1"/>
  <c r="J161" i="36"/>
  <c r="I38" i="31"/>
  <c r="I39" i="31" s="1"/>
  <c r="Y21" i="55"/>
  <c r="L53" i="36"/>
  <c r="O53" i="36"/>
  <c r="N138" i="35"/>
  <c r="K138" i="35"/>
  <c r="L36" i="35"/>
  <c r="M36" i="35"/>
  <c r="AN177" i="55"/>
  <c r="AN158" i="55"/>
  <c r="AN170" i="55"/>
  <c r="AN164" i="55"/>
  <c r="AN160" i="55"/>
  <c r="AN132" i="55"/>
  <c r="AN153" i="55"/>
  <c r="AN168" i="55"/>
  <c r="AN162" i="55"/>
  <c r="AN143" i="55"/>
  <c r="AN149" i="55"/>
  <c r="AN169" i="55"/>
  <c r="AN186" i="55"/>
  <c r="AN167" i="55"/>
  <c r="AN175" i="55"/>
  <c r="AN142" i="55"/>
  <c r="AN155" i="55"/>
  <c r="AN181" i="55"/>
  <c r="AN171" i="55"/>
  <c r="AN128" i="55"/>
  <c r="AN166" i="55"/>
  <c r="AN154" i="55"/>
  <c r="AN173" i="55"/>
  <c r="AN179" i="55"/>
  <c r="AN156" i="55"/>
  <c r="AN159" i="55"/>
  <c r="AN180" i="55"/>
  <c r="AN150" i="55"/>
  <c r="AN174" i="55"/>
  <c r="AN178" i="55"/>
  <c r="AN163" i="55"/>
  <c r="AN147" i="55"/>
  <c r="AN152" i="55"/>
  <c r="AN185" i="55"/>
  <c r="AN161" i="55"/>
  <c r="AN144" i="55"/>
  <c r="AN172" i="55"/>
  <c r="AN157" i="55"/>
  <c r="AN183" i="55"/>
  <c r="AN146" i="55"/>
  <c r="AN148" i="55"/>
  <c r="AN165" i="55"/>
  <c r="AN145" i="55"/>
  <c r="AN176" i="55"/>
  <c r="AN124" i="55"/>
  <c r="AN184" i="55"/>
  <c r="AN151" i="55"/>
  <c r="AN182" i="55"/>
  <c r="K176" i="35"/>
  <c r="AL88" i="55"/>
  <c r="M86" i="35"/>
  <c r="L86" i="35"/>
  <c r="I50" i="34"/>
  <c r="L50" i="34"/>
  <c r="AY14" i="55"/>
  <c r="AM61" i="55"/>
  <c r="AM58" i="55"/>
  <c r="AM53" i="55"/>
  <c r="AM57" i="55"/>
  <c r="AM101" i="55"/>
  <c r="AM115" i="55"/>
  <c r="AM77" i="55"/>
  <c r="AL57" i="55"/>
  <c r="N125" i="36"/>
  <c r="M125" i="36"/>
  <c r="M126" i="36"/>
  <c r="N126" i="36"/>
  <c r="N9" i="36"/>
  <c r="M9" i="36"/>
  <c r="Y37" i="55"/>
  <c r="M10" i="36"/>
  <c r="N10" i="36"/>
  <c r="Y86" i="55"/>
  <c r="L74" i="36"/>
  <c r="O74" i="36"/>
  <c r="M90" i="36"/>
  <c r="N90" i="36"/>
  <c r="L43" i="36"/>
  <c r="O43" i="36"/>
  <c r="L63" i="36"/>
  <c r="N8" i="36"/>
  <c r="M8" i="36"/>
  <c r="N37" i="36"/>
  <c r="M37" i="36"/>
  <c r="N124" i="36"/>
  <c r="M124" i="36"/>
  <c r="M28" i="36"/>
  <c r="N28" i="36"/>
  <c r="Y69" i="55"/>
  <c r="Y67" i="55"/>
  <c r="Z27" i="55"/>
  <c r="Y40" i="55"/>
  <c r="Y27" i="55"/>
  <c r="N17" i="36"/>
  <c r="M17" i="36"/>
  <c r="M61" i="36"/>
  <c r="N61" i="36"/>
  <c r="M59" i="55"/>
  <c r="M56" i="55"/>
  <c r="M65" i="55"/>
  <c r="M47" i="55"/>
  <c r="M73" i="55"/>
  <c r="M53" i="55"/>
  <c r="M48" i="55"/>
  <c r="M60" i="55"/>
  <c r="M80" i="55"/>
  <c r="M68" i="55"/>
  <c r="M77" i="55"/>
  <c r="M49" i="55"/>
  <c r="M51" i="55"/>
  <c r="M71" i="55"/>
  <c r="M64" i="55"/>
  <c r="M55" i="55"/>
  <c r="M75" i="55"/>
  <c r="M61" i="55"/>
  <c r="M74" i="55"/>
  <c r="M57" i="55"/>
  <c r="M44" i="55"/>
  <c r="M67" i="55"/>
  <c r="M63" i="55"/>
  <c r="M76" i="55"/>
  <c r="M69" i="55"/>
  <c r="M42" i="55"/>
  <c r="M54" i="55"/>
  <c r="M70" i="55"/>
  <c r="M50" i="55"/>
  <c r="M43" i="55"/>
  <c r="M79" i="55"/>
  <c r="M72" i="55"/>
  <c r="M46" i="55"/>
  <c r="M45" i="55"/>
  <c r="M78" i="55"/>
  <c r="M62" i="55"/>
  <c r="M52" i="55"/>
  <c r="M58" i="55"/>
  <c r="M66" i="55"/>
  <c r="F20" i="47"/>
  <c r="F21" i="47"/>
  <c r="F7" i="47"/>
  <c r="F8" i="47"/>
  <c r="A23" i="33"/>
  <c r="A24" i="33" s="1"/>
  <c r="A25" i="33" s="1"/>
  <c r="A26" i="33" s="1"/>
  <c r="A27" i="33" s="1"/>
  <c r="A28" i="33" s="1"/>
  <c r="A29" i="33" s="1"/>
  <c r="F24" i="47"/>
  <c r="C22" i="47"/>
  <c r="D26" i="47"/>
  <c r="E25" i="47"/>
  <c r="E27" i="47"/>
  <c r="C26" i="47"/>
  <c r="E22" i="47"/>
  <c r="D24" i="47"/>
  <c r="E24" i="47"/>
  <c r="C28" i="47"/>
  <c r="F28" i="47"/>
  <c r="F29" i="47"/>
  <c r="E28" i="47"/>
  <c r="F26" i="47"/>
  <c r="F22" i="47"/>
  <c r="F27" i="47"/>
  <c r="F23" i="47"/>
  <c r="D27" i="47"/>
  <c r="D22" i="47"/>
  <c r="E23" i="47"/>
  <c r="D25" i="47"/>
  <c r="D23" i="47"/>
  <c r="E26" i="47"/>
  <c r="C23" i="47"/>
  <c r="C24" i="47"/>
  <c r="C27" i="47"/>
  <c r="C25" i="47"/>
  <c r="E29" i="47"/>
  <c r="C29" i="47"/>
  <c r="D28" i="47"/>
  <c r="D29" i="47"/>
  <c r="C16" i="55"/>
  <c r="C9" i="55"/>
  <c r="AN11" i="47"/>
  <c r="AP11" i="47"/>
  <c r="AL11" i="47"/>
  <c r="A12" i="34"/>
  <c r="Z11" i="47"/>
  <c r="N185" i="35"/>
  <c r="N120" i="36"/>
  <c r="Y35" i="55"/>
  <c r="K146" i="35"/>
  <c r="L146" i="35" s="1"/>
  <c r="Z35" i="55"/>
  <c r="N85" i="36"/>
  <c r="AL40" i="55"/>
  <c r="K185" i="35"/>
  <c r="L185" i="35" s="1"/>
  <c r="K186" i="35"/>
  <c r="L186" i="35" s="1"/>
  <c r="AM43" i="55"/>
  <c r="AL120" i="55"/>
  <c r="AM40" i="55"/>
  <c r="N187" i="35"/>
  <c r="AM46" i="55"/>
  <c r="N183" i="35"/>
  <c r="K183" i="35"/>
  <c r="AM45" i="55"/>
  <c r="AL45" i="55"/>
  <c r="M56" i="35"/>
  <c r="L34" i="35"/>
  <c r="M29" i="36"/>
  <c r="L35" i="35"/>
  <c r="Y32" i="55"/>
  <c r="AL121" i="55"/>
  <c r="N176" i="35"/>
  <c r="N144" i="35"/>
  <c r="AN138" i="55" s="1"/>
  <c r="K144" i="35"/>
  <c r="L144" i="35" s="1"/>
  <c r="AL91" i="55"/>
  <c r="N146" i="35"/>
  <c r="M38" i="36"/>
  <c r="Z14" i="55"/>
  <c r="L61" i="35"/>
  <c r="M63" i="35"/>
  <c r="Z34" i="55"/>
  <c r="Z32" i="55"/>
  <c r="N186" i="35"/>
  <c r="AL20" i="55"/>
  <c r="Z68" i="55"/>
  <c r="AX32" i="55"/>
  <c r="L109" i="35"/>
  <c r="AW36" i="55"/>
  <c r="Y36" i="55"/>
  <c r="N39" i="36"/>
  <c r="L20" i="35"/>
  <c r="M24" i="35"/>
  <c r="Y34" i="55"/>
  <c r="AM41" i="55"/>
  <c r="AL41" i="55"/>
  <c r="AL115" i="55"/>
  <c r="AL89" i="55"/>
  <c r="K188" i="35"/>
  <c r="N188" i="35"/>
  <c r="Y68" i="55"/>
  <c r="O63" i="36"/>
  <c r="L60" i="35"/>
  <c r="AY41" i="55"/>
  <c r="M21" i="35"/>
  <c r="K193" i="35"/>
  <c r="N193" i="35"/>
  <c r="AM121" i="55"/>
  <c r="L158" i="35"/>
  <c r="M158" i="35"/>
  <c r="N22" i="35"/>
  <c r="K22" i="35"/>
  <c r="L23" i="35"/>
  <c r="M23" i="35"/>
  <c r="AN108" i="47"/>
  <c r="K12" i="35"/>
  <c r="N12" i="35"/>
  <c r="K41" i="34"/>
  <c r="L62" i="36"/>
  <c r="M62" i="36" s="1"/>
  <c r="O62" i="36"/>
  <c r="AA18" i="58" s="1"/>
  <c r="AB18" i="58" s="1"/>
  <c r="Y49" i="55"/>
  <c r="Z40" i="55"/>
  <c r="AL110" i="55"/>
  <c r="AM110" i="55"/>
  <c r="Z28" i="55"/>
  <c r="Z30" i="55"/>
  <c r="N136" i="35"/>
  <c r="K136" i="35"/>
  <c r="L136" i="35" s="1"/>
  <c r="M41" i="55"/>
  <c r="AL39" i="55"/>
  <c r="K179" i="35"/>
  <c r="N179" i="35"/>
  <c r="A9" i="35"/>
  <c r="AO109" i="47" s="1"/>
  <c r="AL108" i="47"/>
  <c r="AO108" i="47"/>
  <c r="S8" i="47"/>
  <c r="R8" i="47"/>
  <c r="AM81" i="55"/>
  <c r="K3" i="35"/>
  <c r="N3" i="35"/>
  <c r="M40" i="55"/>
  <c r="O157" i="36"/>
  <c r="L157" i="36"/>
  <c r="L141" i="36"/>
  <c r="O141" i="36"/>
  <c r="N122" i="36"/>
  <c r="M122" i="36"/>
  <c r="M31" i="55"/>
  <c r="K67" i="34"/>
  <c r="J67" i="34"/>
  <c r="Y16" i="55"/>
  <c r="L112" i="36"/>
  <c r="O112" i="36"/>
  <c r="AA21" i="58" s="1"/>
  <c r="L88" i="36"/>
  <c r="O88" i="36"/>
  <c r="AA35" i="58" s="1"/>
  <c r="AA20" i="55"/>
  <c r="M49" i="36"/>
  <c r="N49" i="36"/>
  <c r="Y14" i="55"/>
  <c r="L32" i="36"/>
  <c r="O32" i="36"/>
  <c r="M27" i="36"/>
  <c r="N27" i="36"/>
  <c r="L26" i="36"/>
  <c r="AA52" i="55"/>
  <c r="M14" i="36"/>
  <c r="N14" i="36"/>
  <c r="M2" i="55"/>
  <c r="M34" i="58" l="1"/>
  <c r="M34" i="55"/>
  <c r="M11" i="57"/>
  <c r="M11" i="55"/>
  <c r="M11" i="58"/>
  <c r="M19" i="57"/>
  <c r="M19" i="58"/>
  <c r="M19" i="55"/>
  <c r="I64" i="34"/>
  <c r="AL101" i="55"/>
  <c r="AL101" i="58"/>
  <c r="AL69" i="58"/>
  <c r="AL76" i="55"/>
  <c r="AL72" i="58"/>
  <c r="AM76" i="55"/>
  <c r="AM72" i="58"/>
  <c r="Y25" i="57"/>
  <c r="Y25" i="55"/>
  <c r="Z25" i="55"/>
  <c r="Z25" i="57"/>
  <c r="AM92" i="57"/>
  <c r="AM92" i="58"/>
  <c r="AY24" i="58"/>
  <c r="AZ24" i="58" s="1"/>
  <c r="AM85" i="55"/>
  <c r="AM85" i="57"/>
  <c r="AM86" i="58"/>
  <c r="AL85" i="55"/>
  <c r="N79" i="35"/>
  <c r="K79" i="35"/>
  <c r="AL85" i="57"/>
  <c r="AL86" i="58"/>
  <c r="N80" i="35"/>
  <c r="AL92" i="55"/>
  <c r="K80" i="35"/>
  <c r="AL92" i="57"/>
  <c r="AL92" i="58"/>
  <c r="AL117" i="58"/>
  <c r="AL119" i="55"/>
  <c r="J7" i="34"/>
  <c r="K7" i="34"/>
  <c r="AY48" i="57"/>
  <c r="AZ48" i="57" s="1"/>
  <c r="AY48" i="58"/>
  <c r="AZ48" i="58" s="1"/>
  <c r="AA6" i="47"/>
  <c r="AP6" i="47"/>
  <c r="J5" i="34"/>
  <c r="K5" i="34"/>
  <c r="Y70" i="55"/>
  <c r="Y67" i="58"/>
  <c r="Y69" i="57"/>
  <c r="AN122" i="55"/>
  <c r="AN122" i="57"/>
  <c r="AO122" i="57" s="1"/>
  <c r="L28" i="35"/>
  <c r="M28" i="35"/>
  <c r="AY41" i="58"/>
  <c r="AZ41" i="58" s="1"/>
  <c r="AY41" i="57"/>
  <c r="AZ41" i="57" s="1"/>
  <c r="L29" i="35"/>
  <c r="M29" i="35"/>
  <c r="Y60" i="58"/>
  <c r="Y64" i="55"/>
  <c r="Y63" i="58"/>
  <c r="Z60" i="58"/>
  <c r="Z63" i="58"/>
  <c r="AB21" i="58"/>
  <c r="Z88" i="55"/>
  <c r="Z89" i="57"/>
  <c r="Z89" i="58"/>
  <c r="Y89" i="57"/>
  <c r="Y89" i="58"/>
  <c r="AL31" i="57"/>
  <c r="AL32" i="58"/>
  <c r="AL31" i="55"/>
  <c r="AM38" i="55"/>
  <c r="AM39" i="58"/>
  <c r="AL38" i="55"/>
  <c r="AL39" i="58"/>
  <c r="L139" i="36"/>
  <c r="AL82" i="57"/>
  <c r="AL82" i="58"/>
  <c r="AA52" i="58"/>
  <c r="AB52" i="58" s="1"/>
  <c r="AA51" i="57"/>
  <c r="AB51" i="57" s="1"/>
  <c r="AL52" i="55"/>
  <c r="AL52" i="57"/>
  <c r="AM52" i="55"/>
  <c r="AM52" i="57"/>
  <c r="AA75" i="57"/>
  <c r="AB75" i="57" s="1"/>
  <c r="AM17" i="55"/>
  <c r="AL17" i="55"/>
  <c r="AN24" i="58"/>
  <c r="AO24" i="58" s="1"/>
  <c r="AN21" i="55"/>
  <c r="AN40" i="55"/>
  <c r="M29" i="58"/>
  <c r="Z49" i="58"/>
  <c r="Z48" i="55"/>
  <c r="Z46" i="57"/>
  <c r="AM73" i="57"/>
  <c r="AM76" i="58"/>
  <c r="AL69" i="57"/>
  <c r="AL73" i="57"/>
  <c r="AL76" i="58"/>
  <c r="Z72" i="57"/>
  <c r="Z72" i="58"/>
  <c r="Z64" i="58"/>
  <c r="Z65" i="57"/>
  <c r="O82" i="36"/>
  <c r="AA14" i="58" s="1"/>
  <c r="AB14" i="58" s="1"/>
  <c r="Y63" i="57"/>
  <c r="Y63" i="55"/>
  <c r="Z63" i="55"/>
  <c r="Z63" i="57"/>
  <c r="Y53" i="57"/>
  <c r="Y51" i="55"/>
  <c r="Z53" i="57"/>
  <c r="Z51" i="55"/>
  <c r="M75" i="35"/>
  <c r="L75" i="35"/>
  <c r="AY8" i="58"/>
  <c r="AZ8" i="58" s="1"/>
  <c r="AY6" i="57"/>
  <c r="AZ6" i="57" s="1"/>
  <c r="L8" i="35"/>
  <c r="M8" i="35"/>
  <c r="AM80" i="55"/>
  <c r="AM78" i="57"/>
  <c r="AM80" i="58"/>
  <c r="AL78" i="57"/>
  <c r="AL80" i="58"/>
  <c r="AY20" i="58"/>
  <c r="AZ20" i="58" s="1"/>
  <c r="AM7" i="57"/>
  <c r="AM7" i="58"/>
  <c r="AM7" i="55"/>
  <c r="AM69" i="57"/>
  <c r="AM70" i="55"/>
  <c r="L126" i="35"/>
  <c r="M126" i="35"/>
  <c r="AY21" i="58"/>
  <c r="AZ21" i="58" s="1"/>
  <c r="AW50" i="58"/>
  <c r="AW50" i="55"/>
  <c r="AW49" i="57"/>
  <c r="AX50" i="58"/>
  <c r="AX49" i="57"/>
  <c r="AX50" i="55"/>
  <c r="AL127" i="58"/>
  <c r="AL127" i="57"/>
  <c r="AL127" i="55"/>
  <c r="AM127" i="58"/>
  <c r="AM127" i="57"/>
  <c r="AM127" i="55"/>
  <c r="AM140" i="57"/>
  <c r="AM140" i="55"/>
  <c r="AM65" i="57"/>
  <c r="AM65" i="58"/>
  <c r="AM65" i="55"/>
  <c r="AL140" i="57"/>
  <c r="AL140" i="55"/>
  <c r="AL65" i="57"/>
  <c r="AL65" i="58"/>
  <c r="AL65" i="55"/>
  <c r="Z69" i="55"/>
  <c r="Z72" i="55"/>
  <c r="Z73" i="58"/>
  <c r="Z73" i="57"/>
  <c r="Z36" i="55"/>
  <c r="Z64" i="57"/>
  <c r="Z13" i="55"/>
  <c r="Z9" i="58"/>
  <c r="Y13" i="55"/>
  <c r="Y9" i="58"/>
  <c r="AB59" i="57"/>
  <c r="N159" i="36"/>
  <c r="M159" i="36"/>
  <c r="AL58" i="58"/>
  <c r="AL60" i="57"/>
  <c r="AM133" i="58"/>
  <c r="AM133" i="57"/>
  <c r="AM133" i="55"/>
  <c r="AL18" i="57"/>
  <c r="AL16" i="58"/>
  <c r="AL112" i="58"/>
  <c r="AL112" i="57"/>
  <c r="AM18" i="57"/>
  <c r="AM16" i="58"/>
  <c r="AM60" i="57"/>
  <c r="AM58" i="58"/>
  <c r="AM60" i="55"/>
  <c r="AM112" i="58"/>
  <c r="AM112" i="57"/>
  <c r="N149" i="36"/>
  <c r="M149" i="36"/>
  <c r="AO20" i="57"/>
  <c r="AN19" i="58"/>
  <c r="AO19" i="58" s="1"/>
  <c r="AW31" i="57"/>
  <c r="AW31" i="58"/>
  <c r="AX31" i="57"/>
  <c r="AX31" i="58"/>
  <c r="O140" i="36"/>
  <c r="L140" i="36"/>
  <c r="O139" i="36"/>
  <c r="AA79" i="58" s="1"/>
  <c r="AB79" i="58" s="1"/>
  <c r="AB21" i="57"/>
  <c r="J83" i="34"/>
  <c r="K83" i="34"/>
  <c r="Y78" i="58"/>
  <c r="Y85" i="57"/>
  <c r="Z85" i="57"/>
  <c r="Z78" i="58"/>
  <c r="AZ30" i="58"/>
  <c r="AZ43" i="58"/>
  <c r="N175" i="35"/>
  <c r="AL86" i="57"/>
  <c r="AL85" i="58"/>
  <c r="Z45" i="55"/>
  <c r="Z45" i="58"/>
  <c r="Z45" i="57"/>
  <c r="AN124" i="58"/>
  <c r="AO124" i="58" s="1"/>
  <c r="AN123" i="55"/>
  <c r="AZ35" i="58"/>
  <c r="AL107" i="58"/>
  <c r="AL111" i="57"/>
  <c r="AM59" i="55"/>
  <c r="AM111" i="55"/>
  <c r="AM111" i="57"/>
  <c r="AM107" i="58"/>
  <c r="AY9" i="57"/>
  <c r="AZ9" i="57" s="1"/>
  <c r="AY9" i="58"/>
  <c r="AZ9" i="58" s="1"/>
  <c r="AL108" i="57"/>
  <c r="AL108" i="58"/>
  <c r="AL107" i="55"/>
  <c r="AM108" i="57"/>
  <c r="AM108" i="58"/>
  <c r="AM107" i="55"/>
  <c r="Z5" i="58"/>
  <c r="Z4" i="57"/>
  <c r="Y70" i="57"/>
  <c r="Y69" i="58"/>
  <c r="AO134" i="58"/>
  <c r="AM33" i="55"/>
  <c r="AM16" i="57"/>
  <c r="AM17" i="58"/>
  <c r="AL16" i="57"/>
  <c r="AL17" i="58"/>
  <c r="AW37" i="57"/>
  <c r="AW37" i="58"/>
  <c r="AX37" i="58"/>
  <c r="AX37" i="57"/>
  <c r="AX37" i="55"/>
  <c r="AL102" i="57"/>
  <c r="AL103" i="58"/>
  <c r="AL32" i="57"/>
  <c r="AL31" i="58"/>
  <c r="AM83" i="55"/>
  <c r="AM99" i="55"/>
  <c r="AM102" i="57"/>
  <c r="AM103" i="58"/>
  <c r="K162" i="35"/>
  <c r="AM32" i="57"/>
  <c r="AM31" i="58"/>
  <c r="O127" i="36"/>
  <c r="AA12" i="57" s="1"/>
  <c r="AB12" i="57" s="1"/>
  <c r="Y12" i="55"/>
  <c r="Y13" i="57"/>
  <c r="Y11" i="58"/>
  <c r="Z51" i="58"/>
  <c r="Z55" i="57"/>
  <c r="K72" i="34"/>
  <c r="J72" i="34"/>
  <c r="AA46" i="55"/>
  <c r="AO13" i="58"/>
  <c r="M113" i="36"/>
  <c r="N113" i="36"/>
  <c r="AY28" i="58"/>
  <c r="AZ28" i="58" s="1"/>
  <c r="AN114" i="58"/>
  <c r="AO114" i="58" s="1"/>
  <c r="Z77" i="55"/>
  <c r="Z88" i="57"/>
  <c r="Z84" i="58"/>
  <c r="Y88" i="55"/>
  <c r="Y88" i="57"/>
  <c r="Y84" i="58"/>
  <c r="Z81" i="57"/>
  <c r="Z86" i="58"/>
  <c r="Z82" i="55"/>
  <c r="Y81" i="57"/>
  <c r="Y86" i="58"/>
  <c r="AL34" i="58"/>
  <c r="AL33" i="57"/>
  <c r="L64" i="34"/>
  <c r="AL104" i="55"/>
  <c r="AL72" i="57"/>
  <c r="AL71" i="58"/>
  <c r="AL70" i="55"/>
  <c r="AL58" i="55"/>
  <c r="AL96" i="55"/>
  <c r="AL101" i="57"/>
  <c r="AL100" i="58"/>
  <c r="AM71" i="58"/>
  <c r="AM72" i="57"/>
  <c r="AM9" i="55"/>
  <c r="AM9" i="57"/>
  <c r="AM9" i="58"/>
  <c r="Y25" i="58"/>
  <c r="Y24" i="57"/>
  <c r="Y23" i="55"/>
  <c r="Z18" i="55"/>
  <c r="Z24" i="57"/>
  <c r="Z25" i="58"/>
  <c r="Z23" i="55"/>
  <c r="AY18" i="58"/>
  <c r="AZ18" i="58" s="1"/>
  <c r="AY18" i="55"/>
  <c r="AY19" i="58"/>
  <c r="AZ19" i="58" s="1"/>
  <c r="AB35" i="58"/>
  <c r="L130" i="35"/>
  <c r="M130" i="35"/>
  <c r="Z33" i="58"/>
  <c r="Z37" i="57"/>
  <c r="Z37" i="55"/>
  <c r="Y40" i="58"/>
  <c r="Y39" i="57"/>
  <c r="Y38" i="55"/>
  <c r="AA15" i="58"/>
  <c r="AB15" i="58" s="1"/>
  <c r="AA15" i="57"/>
  <c r="AB15" i="57" s="1"/>
  <c r="AO132" i="58"/>
  <c r="AO2" i="58"/>
  <c r="AX42" i="58"/>
  <c r="AX42" i="57"/>
  <c r="AX42" i="55"/>
  <c r="AX40" i="55"/>
  <c r="AX39" i="57"/>
  <c r="AX40" i="58"/>
  <c r="AX39" i="55"/>
  <c r="AW39" i="57"/>
  <c r="AW40" i="58"/>
  <c r="L52" i="34"/>
  <c r="I52" i="34"/>
  <c r="AN64" i="57"/>
  <c r="AO64" i="57" s="1"/>
  <c r="AN66" i="58"/>
  <c r="AO66" i="58" s="1"/>
  <c r="AB8" i="58"/>
  <c r="AZ2" i="58"/>
  <c r="AZ44" i="58"/>
  <c r="AN98" i="58"/>
  <c r="AO98" i="58" s="1"/>
  <c r="AN89" i="57"/>
  <c r="AO89" i="57" s="1"/>
  <c r="AN89" i="58"/>
  <c r="AO89" i="58" s="1"/>
  <c r="AN66" i="57"/>
  <c r="AO66" i="57" s="1"/>
  <c r="AO134" i="57"/>
  <c r="AZ6" i="58"/>
  <c r="AY17" i="58"/>
  <c r="AZ17" i="58" s="1"/>
  <c r="AM35" i="55"/>
  <c r="AM36" i="57"/>
  <c r="AM35" i="58"/>
  <c r="AL35" i="55"/>
  <c r="AL36" i="57"/>
  <c r="AL35" i="58"/>
  <c r="AL48" i="55"/>
  <c r="AL43" i="57"/>
  <c r="AL40" i="58"/>
  <c r="AM40" i="58"/>
  <c r="AM43" i="57"/>
  <c r="AM48" i="55"/>
  <c r="AM42" i="55"/>
  <c r="AM42" i="57"/>
  <c r="AM42" i="58"/>
  <c r="AL42" i="55"/>
  <c r="AL42" i="57"/>
  <c r="AL42" i="58"/>
  <c r="Y24" i="58"/>
  <c r="Y26" i="57"/>
  <c r="Z42" i="57"/>
  <c r="Z42" i="58"/>
  <c r="Z42" i="55"/>
  <c r="Z65" i="55"/>
  <c r="Z24" i="58"/>
  <c r="Z26" i="57"/>
  <c r="Z26" i="55"/>
  <c r="Y62" i="55"/>
  <c r="Y42" i="57"/>
  <c r="Y42" i="58"/>
  <c r="Y42" i="55"/>
  <c r="AB5" i="57"/>
  <c r="L68" i="36"/>
  <c r="O68" i="36"/>
  <c r="AA80" i="55" s="1"/>
  <c r="Y80" i="55"/>
  <c r="M67" i="36"/>
  <c r="N67" i="36"/>
  <c r="K43" i="34"/>
  <c r="J43" i="34"/>
  <c r="Z88" i="58"/>
  <c r="Z79" i="57"/>
  <c r="Y88" i="58"/>
  <c r="Y79" i="57"/>
  <c r="O69" i="36"/>
  <c r="L69" i="36"/>
  <c r="AN25" i="58"/>
  <c r="AO25" i="58" s="1"/>
  <c r="L89" i="35"/>
  <c r="M89" i="35"/>
  <c r="AL48" i="57"/>
  <c r="AL51" i="58"/>
  <c r="AL46" i="55"/>
  <c r="AL25" i="58"/>
  <c r="AL28" i="57"/>
  <c r="S2" i="57"/>
  <c r="S2" i="58"/>
  <c r="R87" i="57"/>
  <c r="R2" i="58"/>
  <c r="S49" i="58"/>
  <c r="R10" i="57"/>
  <c r="S10" i="57"/>
  <c r="S87" i="57"/>
  <c r="R49" i="58"/>
  <c r="R2" i="57"/>
  <c r="AB58" i="57"/>
  <c r="AZ23" i="58"/>
  <c r="AO11" i="58"/>
  <c r="AN49" i="58"/>
  <c r="AO49" i="58" s="1"/>
  <c r="AA44" i="58"/>
  <c r="AB44" i="58" s="1"/>
  <c r="AB58" i="58"/>
  <c r="AY49" i="55"/>
  <c r="AY49" i="58"/>
  <c r="AZ49" i="58" s="1"/>
  <c r="AN28" i="58"/>
  <c r="AO28" i="58" s="1"/>
  <c r="AM28" i="58"/>
  <c r="AM29" i="57"/>
  <c r="AM29" i="55"/>
  <c r="AM37" i="58"/>
  <c r="AM37" i="57"/>
  <c r="AM36" i="55"/>
  <c r="AN80" i="58"/>
  <c r="AO80" i="58" s="1"/>
  <c r="AY5" i="57"/>
  <c r="AZ5" i="57" s="1"/>
  <c r="AY5" i="58"/>
  <c r="AZ5" i="58" s="1"/>
  <c r="J23" i="34"/>
  <c r="K23" i="34"/>
  <c r="Z91" i="55"/>
  <c r="Z91" i="57"/>
  <c r="Z83" i="58"/>
  <c r="Y91" i="57"/>
  <c r="Y83" i="58"/>
  <c r="Y91" i="55"/>
  <c r="M37" i="35"/>
  <c r="L37" i="35"/>
  <c r="AO118" i="58"/>
  <c r="M33" i="35"/>
  <c r="L33" i="35"/>
  <c r="L32" i="35"/>
  <c r="M32" i="35"/>
  <c r="M22" i="36"/>
  <c r="N22" i="36"/>
  <c r="N31" i="35"/>
  <c r="K31" i="35"/>
  <c r="AW46" i="58"/>
  <c r="AW46" i="57"/>
  <c r="AW45" i="55"/>
  <c r="AX46" i="57"/>
  <c r="AX46" i="58"/>
  <c r="AX45" i="55"/>
  <c r="AN90" i="57"/>
  <c r="AO90" i="57" s="1"/>
  <c r="AN90" i="58"/>
  <c r="AO90" i="58" s="1"/>
  <c r="AP8" i="47"/>
  <c r="AA8" i="47"/>
  <c r="AM91" i="55"/>
  <c r="AM84" i="58"/>
  <c r="AM81" i="57"/>
  <c r="AM118" i="58"/>
  <c r="AM119" i="57"/>
  <c r="AM119" i="55"/>
  <c r="AL81" i="55"/>
  <c r="AL84" i="58"/>
  <c r="AL81" i="57"/>
  <c r="AL118" i="58"/>
  <c r="AL119" i="57"/>
  <c r="Z74" i="57"/>
  <c r="Z74" i="58"/>
  <c r="Y74" i="57"/>
  <c r="Y74" i="58"/>
  <c r="Z56" i="58"/>
  <c r="Z49" i="57"/>
  <c r="Y85" i="55"/>
  <c r="Y84" i="57"/>
  <c r="Y80" i="58"/>
  <c r="Z85" i="55"/>
  <c r="Z80" i="58"/>
  <c r="Z84" i="57"/>
  <c r="L2" i="34"/>
  <c r="AW3" i="58"/>
  <c r="AW3" i="57"/>
  <c r="AN83" i="58"/>
  <c r="AO83" i="58" s="1"/>
  <c r="AN83" i="57"/>
  <c r="AO83" i="57" s="1"/>
  <c r="AN87" i="58"/>
  <c r="AO87" i="58" s="1"/>
  <c r="AY10" i="58"/>
  <c r="AY47" i="58"/>
  <c r="AM109" i="55"/>
  <c r="AM93" i="57"/>
  <c r="AM93" i="58"/>
  <c r="AL93" i="57"/>
  <c r="AL93" i="58"/>
  <c r="AL109" i="55"/>
  <c r="Z41" i="55"/>
  <c r="Z23" i="58"/>
  <c r="Z23" i="57"/>
  <c r="Z22" i="55"/>
  <c r="Y47" i="57"/>
  <c r="Y47" i="58"/>
  <c r="AX26" i="57"/>
  <c r="AX25" i="58"/>
  <c r="AX26" i="55"/>
  <c r="AW26" i="55"/>
  <c r="AW26" i="57"/>
  <c r="AW25" i="58"/>
  <c r="M13" i="57"/>
  <c r="M13" i="58"/>
  <c r="AN20" i="58"/>
  <c r="AO20" i="58" s="1"/>
  <c r="I51" i="34"/>
  <c r="L51" i="34"/>
  <c r="AY26" i="57" s="1"/>
  <c r="AZ26" i="57" s="1"/>
  <c r="M13" i="55"/>
  <c r="Y59" i="58"/>
  <c r="Y60" i="57"/>
  <c r="Z60" i="57"/>
  <c r="Z59" i="58"/>
  <c r="AM116" i="57"/>
  <c r="AM116" i="58"/>
  <c r="AL116" i="57"/>
  <c r="AL116" i="58"/>
  <c r="Y14" i="58"/>
  <c r="Y12" i="57"/>
  <c r="Y11" i="55"/>
  <c r="Z15" i="55"/>
  <c r="Z14" i="58"/>
  <c r="Z12" i="57"/>
  <c r="Y65" i="58"/>
  <c r="Y62" i="57"/>
  <c r="Y66" i="55"/>
  <c r="Z65" i="58"/>
  <c r="Z62" i="57"/>
  <c r="Z66" i="55"/>
  <c r="AL12" i="55"/>
  <c r="AA61" i="57"/>
  <c r="AB61" i="57" s="1"/>
  <c r="AA61" i="58"/>
  <c r="AB61" i="58" s="1"/>
  <c r="AZ12" i="58"/>
  <c r="AZ51" i="58"/>
  <c r="AM12" i="55"/>
  <c r="AL54" i="55"/>
  <c r="AM54" i="55"/>
  <c r="Y76" i="55"/>
  <c r="AM44" i="55"/>
  <c r="AM12" i="58"/>
  <c r="AM12" i="57"/>
  <c r="AM53" i="58"/>
  <c r="AM54" i="57"/>
  <c r="AL130" i="58"/>
  <c r="AL130" i="57"/>
  <c r="AL130" i="55"/>
  <c r="AL26" i="55"/>
  <c r="AL53" i="58"/>
  <c r="AL54" i="57"/>
  <c r="AL12" i="57"/>
  <c r="AL12" i="58"/>
  <c r="Z76" i="57"/>
  <c r="Z75" i="58"/>
  <c r="Y76" i="57"/>
  <c r="Y75" i="58"/>
  <c r="O57" i="36"/>
  <c r="Z17" i="55"/>
  <c r="AL103" i="55"/>
  <c r="N73" i="35"/>
  <c r="AN97" i="57" s="1"/>
  <c r="AO97" i="57" s="1"/>
  <c r="AL96" i="57"/>
  <c r="AL95" i="58"/>
  <c r="Z8" i="55"/>
  <c r="Z16" i="58"/>
  <c r="Z17" i="57"/>
  <c r="Y16" i="58"/>
  <c r="Y17" i="57"/>
  <c r="AL56" i="55"/>
  <c r="AL125" i="57"/>
  <c r="AL122" i="58"/>
  <c r="AL125" i="55"/>
  <c r="AL55" i="58"/>
  <c r="AL57" i="57"/>
  <c r="AL67" i="58"/>
  <c r="AL67" i="57"/>
  <c r="AL74" i="55"/>
  <c r="AM67" i="58"/>
  <c r="AM67" i="57"/>
  <c r="AM125" i="57"/>
  <c r="AM122" i="58"/>
  <c r="AM125" i="55"/>
  <c r="D18" i="58"/>
  <c r="D18" i="57"/>
  <c r="D22" i="58"/>
  <c r="D22" i="57"/>
  <c r="D22" i="55"/>
  <c r="D15" i="58"/>
  <c r="D15" i="57"/>
  <c r="AN106" i="55"/>
  <c r="AN129" i="55"/>
  <c r="AN141" i="55"/>
  <c r="AN139" i="55"/>
  <c r="AN29" i="55"/>
  <c r="AN103" i="55"/>
  <c r="AA43" i="55"/>
  <c r="AY12" i="55"/>
  <c r="AY10" i="55"/>
  <c r="AA83" i="55"/>
  <c r="AN94" i="55"/>
  <c r="AN30" i="55"/>
  <c r="M7" i="55"/>
  <c r="M25" i="55"/>
  <c r="AA11" i="55"/>
  <c r="M32" i="55"/>
  <c r="AY38" i="57"/>
  <c r="AZ38" i="57" s="1"/>
  <c r="AY38" i="58"/>
  <c r="AZ38" i="58" s="1"/>
  <c r="AA67" i="57"/>
  <c r="AB67" i="57" s="1"/>
  <c r="AN52" i="58"/>
  <c r="AO52" i="58" s="1"/>
  <c r="AN113" i="57"/>
  <c r="AO113" i="57" s="1"/>
  <c r="M16" i="57"/>
  <c r="M16" i="58"/>
  <c r="AN91" i="57"/>
  <c r="AO91" i="57" s="1"/>
  <c r="AN91" i="58"/>
  <c r="AO91" i="58" s="1"/>
  <c r="AN47" i="57"/>
  <c r="AO47" i="57" s="1"/>
  <c r="AN47" i="58"/>
  <c r="AO47" i="58" s="1"/>
  <c r="AA57" i="57"/>
  <c r="AB57" i="57" s="1"/>
  <c r="AA57" i="58"/>
  <c r="AB57" i="58" s="1"/>
  <c r="M14" i="57"/>
  <c r="M14" i="58"/>
  <c r="M10" i="57"/>
  <c r="M10" i="58"/>
  <c r="AY16" i="57"/>
  <c r="AZ16" i="57" s="1"/>
  <c r="AY16" i="58"/>
  <c r="AZ16" i="58" s="1"/>
  <c r="AN103" i="57"/>
  <c r="AO103" i="57" s="1"/>
  <c r="AN27" i="57"/>
  <c r="AO27" i="57" s="1"/>
  <c r="AN27" i="58"/>
  <c r="AO27" i="58" s="1"/>
  <c r="M18" i="57"/>
  <c r="M18" i="58"/>
  <c r="AN29" i="57"/>
  <c r="AO29" i="57" s="1"/>
  <c r="AN29" i="58"/>
  <c r="AO29" i="58" s="1"/>
  <c r="AA27" i="57"/>
  <c r="AB27" i="57" s="1"/>
  <c r="AA27" i="58"/>
  <c r="AB27" i="58" s="1"/>
  <c r="AN10" i="57"/>
  <c r="AO10" i="57" s="1"/>
  <c r="AN141" i="57"/>
  <c r="AO141" i="57" s="1"/>
  <c r="AN141" i="58"/>
  <c r="AO141" i="58" s="1"/>
  <c r="AA43" i="57"/>
  <c r="AB43" i="57" s="1"/>
  <c r="AY40" i="57"/>
  <c r="AZ40" i="57" s="1"/>
  <c r="AY40" i="58"/>
  <c r="AZ40" i="58" s="1"/>
  <c r="AA68" i="57"/>
  <c r="AB68" i="57" s="1"/>
  <c r="AA68" i="58"/>
  <c r="AB68" i="58" s="1"/>
  <c r="AA56" i="58"/>
  <c r="AB56" i="58" s="1"/>
  <c r="AN139" i="57"/>
  <c r="AO139" i="57" s="1"/>
  <c r="AN139" i="58"/>
  <c r="AO139" i="58" s="1"/>
  <c r="M32" i="57"/>
  <c r="M32" i="58"/>
  <c r="AN62" i="57"/>
  <c r="AO62" i="57" s="1"/>
  <c r="AN62" i="58"/>
  <c r="AO62" i="58" s="1"/>
  <c r="AN81" i="57"/>
  <c r="AO81" i="57" s="1"/>
  <c r="AN81" i="58"/>
  <c r="AO81" i="58" s="1"/>
  <c r="AN119" i="57"/>
  <c r="AO119" i="57" s="1"/>
  <c r="AN119" i="58"/>
  <c r="AO119" i="58" s="1"/>
  <c r="AA69" i="58"/>
  <c r="AB69" i="58" s="1"/>
  <c r="AA9" i="57"/>
  <c r="AB9" i="57" s="1"/>
  <c r="AA29" i="57"/>
  <c r="AB29" i="57" s="1"/>
  <c r="AA29" i="58"/>
  <c r="AB29" i="58" s="1"/>
  <c r="AN120" i="57"/>
  <c r="AO120" i="57" s="1"/>
  <c r="AN120" i="58"/>
  <c r="AO120" i="58" s="1"/>
  <c r="AA64" i="57"/>
  <c r="AB64" i="57" s="1"/>
  <c r="AA64" i="58"/>
  <c r="AB64" i="58" s="1"/>
  <c r="AY29" i="57"/>
  <c r="AZ29" i="57" s="1"/>
  <c r="AY29" i="58"/>
  <c r="AZ29" i="58" s="1"/>
  <c r="AA33" i="57"/>
  <c r="AB33" i="57" s="1"/>
  <c r="AA33" i="58"/>
  <c r="AB33" i="58" s="1"/>
  <c r="AN73" i="57"/>
  <c r="AO73" i="57" s="1"/>
  <c r="AN73" i="58"/>
  <c r="AO73" i="58" s="1"/>
  <c r="AA24" i="58"/>
  <c r="AB24" i="58" s="1"/>
  <c r="AY36" i="57"/>
  <c r="AZ36" i="57" s="1"/>
  <c r="AY36" i="58"/>
  <c r="AZ36" i="58" s="1"/>
  <c r="AY7" i="57"/>
  <c r="AZ7" i="57" s="1"/>
  <c r="AY7" i="58"/>
  <c r="AZ7" i="58" s="1"/>
  <c r="AN3" i="57"/>
  <c r="AO3" i="57" s="1"/>
  <c r="AN3" i="58"/>
  <c r="AO3" i="58" s="1"/>
  <c r="AN137" i="57"/>
  <c r="AO137" i="57" s="1"/>
  <c r="AN137" i="58"/>
  <c r="AO137" i="58" s="1"/>
  <c r="AN104" i="57"/>
  <c r="AO104" i="57" s="1"/>
  <c r="AN104" i="58"/>
  <c r="AO104" i="58" s="1"/>
  <c r="AY22" i="57"/>
  <c r="AZ22" i="57" s="1"/>
  <c r="AY22" i="58"/>
  <c r="AZ22" i="58" s="1"/>
  <c r="AN88" i="57"/>
  <c r="AO88" i="57" s="1"/>
  <c r="AN88" i="58"/>
  <c r="AO88" i="58" s="1"/>
  <c r="AA83" i="57"/>
  <c r="AB83" i="57" s="1"/>
  <c r="AN121" i="57"/>
  <c r="AO121" i="57" s="1"/>
  <c r="AN121" i="58"/>
  <c r="AO121" i="58" s="1"/>
  <c r="AN131" i="57"/>
  <c r="AO131" i="57" s="1"/>
  <c r="AN131" i="58"/>
  <c r="AO131" i="58" s="1"/>
  <c r="AA147" i="58"/>
  <c r="AB147" i="58" s="1"/>
  <c r="AA123" i="58"/>
  <c r="AB123" i="58" s="1"/>
  <c r="AA145" i="58"/>
  <c r="AB145" i="58" s="1"/>
  <c r="AA94" i="58"/>
  <c r="AB94" i="58" s="1"/>
  <c r="AA142" i="58"/>
  <c r="AB142" i="58" s="1"/>
  <c r="AA93" i="58"/>
  <c r="AB93" i="58" s="1"/>
  <c r="AA92" i="58"/>
  <c r="AB92" i="58" s="1"/>
  <c r="AA141" i="58"/>
  <c r="AB141" i="58" s="1"/>
  <c r="AA100" i="58"/>
  <c r="AB100" i="58" s="1"/>
  <c r="AA168" i="58"/>
  <c r="AB168" i="58" s="1"/>
  <c r="AA169" i="58"/>
  <c r="AB169" i="58" s="1"/>
  <c r="AA167" i="58"/>
  <c r="AB167" i="58" s="1"/>
  <c r="AA155" i="58"/>
  <c r="AB155" i="58" s="1"/>
  <c r="AA118" i="58"/>
  <c r="AB118" i="58" s="1"/>
  <c r="AA116" i="58"/>
  <c r="AB116" i="58" s="1"/>
  <c r="AA111" i="58"/>
  <c r="AB111" i="58" s="1"/>
  <c r="AA106" i="58"/>
  <c r="AB106" i="58" s="1"/>
  <c r="AA134" i="58"/>
  <c r="AB134" i="58" s="1"/>
  <c r="AA170" i="58"/>
  <c r="AB170" i="58" s="1"/>
  <c r="AA101" i="58"/>
  <c r="AB101" i="58" s="1"/>
  <c r="AA99" i="58"/>
  <c r="AB99" i="58" s="1"/>
  <c r="AA97" i="58"/>
  <c r="AB97" i="58" s="1"/>
  <c r="AA96" i="58"/>
  <c r="AB96" i="58" s="1"/>
  <c r="AA171" i="58"/>
  <c r="AB171" i="58" s="1"/>
  <c r="AA103" i="58"/>
  <c r="AB103" i="58" s="1"/>
  <c r="AA108" i="58"/>
  <c r="AB108" i="58" s="1"/>
  <c r="AA98" i="58"/>
  <c r="AB98" i="58" s="1"/>
  <c r="AA138" i="58"/>
  <c r="AB138" i="58" s="1"/>
  <c r="AA137" i="58"/>
  <c r="AB137" i="58" s="1"/>
  <c r="AA136" i="58"/>
  <c r="AB136" i="58" s="1"/>
  <c r="AA135" i="58"/>
  <c r="AB135" i="58" s="1"/>
  <c r="AA102" i="58"/>
  <c r="AB102" i="58" s="1"/>
  <c r="AA133" i="58"/>
  <c r="AB133" i="58" s="1"/>
  <c r="AA132" i="58"/>
  <c r="AB132" i="58" s="1"/>
  <c r="AA131" i="58"/>
  <c r="AB131" i="58" s="1"/>
  <c r="AA130" i="58"/>
  <c r="AB130" i="58" s="1"/>
  <c r="AA129" i="58"/>
  <c r="AB129" i="58" s="1"/>
  <c r="AA128" i="58"/>
  <c r="AB128" i="58" s="1"/>
  <c r="AA126" i="58"/>
  <c r="AB126" i="58" s="1"/>
  <c r="AA125" i="58"/>
  <c r="AB125" i="58" s="1"/>
  <c r="AA124" i="58"/>
  <c r="AB124" i="58" s="1"/>
  <c r="AA114" i="58"/>
  <c r="AB114" i="58" s="1"/>
  <c r="AA112" i="58"/>
  <c r="AB112" i="58" s="1"/>
  <c r="AA110" i="58"/>
  <c r="AB110" i="58" s="1"/>
  <c r="AA109" i="58"/>
  <c r="AB109" i="58" s="1"/>
  <c r="AA122" i="58"/>
  <c r="AB122" i="58" s="1"/>
  <c r="AA121" i="58"/>
  <c r="AB121" i="58" s="1"/>
  <c r="AA120" i="58"/>
  <c r="AB120" i="58" s="1"/>
  <c r="AA117" i="58"/>
  <c r="AB117" i="58" s="1"/>
  <c r="AA107" i="58"/>
  <c r="AB107" i="58" s="1"/>
  <c r="AA140" i="58"/>
  <c r="AB140" i="58" s="1"/>
  <c r="AA139" i="58"/>
  <c r="AB139" i="58" s="1"/>
  <c r="AA104" i="58"/>
  <c r="AB104" i="58" s="1"/>
  <c r="AA159" i="58"/>
  <c r="AB159" i="58" s="1"/>
  <c r="AA157" i="58"/>
  <c r="AB157" i="58" s="1"/>
  <c r="AA154" i="58"/>
  <c r="AB154" i="58" s="1"/>
  <c r="AA153" i="58"/>
  <c r="AB153" i="58" s="1"/>
  <c r="AA146" i="58"/>
  <c r="AB146" i="58" s="1"/>
  <c r="AA144" i="58"/>
  <c r="AB144" i="58" s="1"/>
  <c r="AA119" i="58"/>
  <c r="AB119" i="58" s="1"/>
  <c r="AA143" i="58"/>
  <c r="AB143" i="58" s="1"/>
  <c r="AA152" i="58"/>
  <c r="AB152" i="58" s="1"/>
  <c r="AA151" i="58"/>
  <c r="AB151" i="58" s="1"/>
  <c r="AA149" i="58"/>
  <c r="AB149" i="58" s="1"/>
  <c r="AA148" i="58"/>
  <c r="AB148" i="58" s="1"/>
  <c r="AA166" i="58"/>
  <c r="AB166" i="58" s="1"/>
  <c r="AA164" i="58"/>
  <c r="AB164" i="58" s="1"/>
  <c r="AA163" i="58"/>
  <c r="AB163" i="58" s="1"/>
  <c r="AA95" i="58"/>
  <c r="AB95" i="58" s="1"/>
  <c r="AA165" i="58"/>
  <c r="AB165" i="58" s="1"/>
  <c r="AA161" i="58"/>
  <c r="AB161" i="58" s="1"/>
  <c r="AA160" i="58"/>
  <c r="AB160" i="58" s="1"/>
  <c r="AA150" i="58"/>
  <c r="AB150" i="58" s="1"/>
  <c r="AA127" i="58"/>
  <c r="AB127" i="58" s="1"/>
  <c r="AA115" i="58"/>
  <c r="AB115" i="58" s="1"/>
  <c r="AA113" i="58"/>
  <c r="AB113" i="58" s="1"/>
  <c r="AA105" i="58"/>
  <c r="AB105" i="58" s="1"/>
  <c r="AA162" i="58"/>
  <c r="AB162" i="58" s="1"/>
  <c r="AA158" i="58"/>
  <c r="AB158" i="58" s="1"/>
  <c r="AA156" i="58"/>
  <c r="AB156" i="58" s="1"/>
  <c r="AN58" i="57"/>
  <c r="AO58" i="57" s="1"/>
  <c r="AA39" i="57"/>
  <c r="AB39" i="57" s="1"/>
  <c r="AA39" i="58"/>
  <c r="AB39" i="58" s="1"/>
  <c r="AN22" i="57"/>
  <c r="AO22" i="57" s="1"/>
  <c r="AN22" i="58"/>
  <c r="AO22" i="58" s="1"/>
  <c r="AN76" i="57"/>
  <c r="AO76" i="57" s="1"/>
  <c r="AN135" i="57"/>
  <c r="AO135" i="57" s="1"/>
  <c r="AN135" i="58"/>
  <c r="AO135" i="58" s="1"/>
  <c r="AN106" i="57"/>
  <c r="AO106" i="57" s="1"/>
  <c r="AN106" i="58"/>
  <c r="AO106" i="58" s="1"/>
  <c r="AN129" i="57"/>
  <c r="AO129" i="57" s="1"/>
  <c r="AN129" i="58"/>
  <c r="AO129" i="58" s="1"/>
  <c r="AA30" i="57"/>
  <c r="AB30" i="57" s="1"/>
  <c r="AA30" i="58"/>
  <c r="AB30" i="58" s="1"/>
  <c r="AN75" i="58"/>
  <c r="AO75" i="58" s="1"/>
  <c r="AN30" i="57"/>
  <c r="AO30" i="57" s="1"/>
  <c r="AN30" i="58"/>
  <c r="AO30" i="58" s="1"/>
  <c r="AN50" i="57"/>
  <c r="AO50" i="57" s="1"/>
  <c r="AN50" i="58"/>
  <c r="AO50" i="58" s="1"/>
  <c r="AN95" i="57"/>
  <c r="AO95" i="57" s="1"/>
  <c r="AN95" i="58"/>
  <c r="AO95" i="58" s="1"/>
  <c r="AN94" i="57"/>
  <c r="AO94" i="57" s="1"/>
  <c r="AN94" i="58"/>
  <c r="AO94" i="58" s="1"/>
  <c r="M39" i="57"/>
  <c r="M39" i="58"/>
  <c r="AN59" i="57"/>
  <c r="AO59" i="57" s="1"/>
  <c r="AN59" i="58"/>
  <c r="AO59" i="58" s="1"/>
  <c r="AA12" i="58"/>
  <c r="AB12" i="58" s="1"/>
  <c r="AN97" i="58"/>
  <c r="AO97" i="58" s="1"/>
  <c r="AN26" i="57"/>
  <c r="AO26" i="57" s="1"/>
  <c r="AN26" i="58"/>
  <c r="AO26" i="58" s="1"/>
  <c r="AN115" i="57"/>
  <c r="AO115" i="57" s="1"/>
  <c r="AN115" i="58"/>
  <c r="AO115" i="58" s="1"/>
  <c r="AN40" i="57"/>
  <c r="AO40" i="57" s="1"/>
  <c r="AA71" i="57"/>
  <c r="AB71" i="57" s="1"/>
  <c r="AA71" i="58"/>
  <c r="AB71" i="58" s="1"/>
  <c r="AN136" i="57"/>
  <c r="AO136" i="57" s="1"/>
  <c r="AN136" i="58"/>
  <c r="AO136" i="58" s="1"/>
  <c r="AY32" i="57"/>
  <c r="AZ32" i="57" s="1"/>
  <c r="AY32" i="58"/>
  <c r="AZ32" i="58" s="1"/>
  <c r="AY27" i="57"/>
  <c r="AZ27" i="57" s="1"/>
  <c r="AY27" i="58"/>
  <c r="AZ27" i="58" s="1"/>
  <c r="AN44" i="57"/>
  <c r="AO44" i="57" s="1"/>
  <c r="AN44" i="58"/>
  <c r="AO44" i="58" s="1"/>
  <c r="AN105" i="57"/>
  <c r="AO105" i="57" s="1"/>
  <c r="AN105" i="58"/>
  <c r="AO105" i="58" s="1"/>
  <c r="AN123" i="57"/>
  <c r="AO123" i="57" s="1"/>
  <c r="AN123" i="58"/>
  <c r="AO123" i="58" s="1"/>
  <c r="AN138" i="57"/>
  <c r="AO138" i="57" s="1"/>
  <c r="AN138" i="58"/>
  <c r="AO138" i="58" s="1"/>
  <c r="AN61" i="57"/>
  <c r="AO61" i="57" s="1"/>
  <c r="AN61" i="58"/>
  <c r="AO61" i="58" s="1"/>
  <c r="AN100" i="57"/>
  <c r="AO100" i="57" s="1"/>
  <c r="AA20" i="57"/>
  <c r="AB20" i="57" s="1"/>
  <c r="AA20" i="58"/>
  <c r="AB20" i="58" s="1"/>
  <c r="AN39" i="57"/>
  <c r="AO39" i="57" s="1"/>
  <c r="AN43" i="57"/>
  <c r="AO43" i="57" s="1"/>
  <c r="AN43" i="58"/>
  <c r="AO43" i="58" s="1"/>
  <c r="AA41" i="57"/>
  <c r="AB41" i="57" s="1"/>
  <c r="AA41" i="58"/>
  <c r="AB41" i="58" s="1"/>
  <c r="AA19" i="57"/>
  <c r="AB19" i="57" s="1"/>
  <c r="AA19" i="58"/>
  <c r="AB19" i="58" s="1"/>
  <c r="AA36" i="57"/>
  <c r="AB36" i="57" s="1"/>
  <c r="AA36" i="58"/>
  <c r="AB36" i="58" s="1"/>
  <c r="AA10" i="57"/>
  <c r="AB10" i="57" s="1"/>
  <c r="AA10" i="58"/>
  <c r="AB10" i="58" s="1"/>
  <c r="AN114" i="55"/>
  <c r="M28" i="55"/>
  <c r="M39" i="55"/>
  <c r="M10" i="55"/>
  <c r="M18" i="55"/>
  <c r="AY19" i="55"/>
  <c r="AA56" i="55"/>
  <c r="AN105" i="55"/>
  <c r="AA24" i="55"/>
  <c r="AY22" i="55"/>
  <c r="AA10" i="55"/>
  <c r="AN27" i="55"/>
  <c r="AY7" i="55"/>
  <c r="AY30" i="55"/>
  <c r="AY8" i="55"/>
  <c r="AN11" i="55"/>
  <c r="AN100" i="55"/>
  <c r="AY28" i="55"/>
  <c r="AN97" i="55"/>
  <c r="AA79" i="55"/>
  <c r="AN55" i="55"/>
  <c r="AY38" i="55"/>
  <c r="AN49" i="55"/>
  <c r="AA86" i="55"/>
  <c r="AN119" i="55"/>
  <c r="AN137" i="55"/>
  <c r="AN135" i="55"/>
  <c r="AY11" i="55"/>
  <c r="AY8" i="57"/>
  <c r="AZ8" i="57" s="1"/>
  <c r="M17" i="55"/>
  <c r="M23" i="57"/>
  <c r="M12" i="55"/>
  <c r="M17" i="57"/>
  <c r="M23" i="55"/>
  <c r="M24" i="57"/>
  <c r="M24" i="55"/>
  <c r="M27" i="55"/>
  <c r="M26" i="57"/>
  <c r="M26" i="55"/>
  <c r="AY4" i="55"/>
  <c r="AY10" i="57"/>
  <c r="AZ10" i="57" s="1"/>
  <c r="M5" i="55"/>
  <c r="M7" i="57"/>
  <c r="M36" i="55"/>
  <c r="M9" i="55"/>
  <c r="M9" i="57"/>
  <c r="AN34" i="55"/>
  <c r="AN13" i="57"/>
  <c r="AO13" i="57" s="1"/>
  <c r="M35" i="55"/>
  <c r="M21" i="55"/>
  <c r="M21" i="57"/>
  <c r="AN15" i="55"/>
  <c r="AN19" i="57"/>
  <c r="AO19" i="57" s="1"/>
  <c r="M33" i="57"/>
  <c r="M33" i="55"/>
  <c r="AA9" i="55"/>
  <c r="AY2" i="55"/>
  <c r="AY2" i="57"/>
  <c r="AZ2" i="57" s="1"/>
  <c r="AN67" i="55"/>
  <c r="AN86" i="55"/>
  <c r="AN98" i="55"/>
  <c r="AN98" i="57"/>
  <c r="AO98" i="57" s="1"/>
  <c r="AY5" i="55"/>
  <c r="AY12" i="57"/>
  <c r="AZ12" i="57" s="1"/>
  <c r="AN81" i="55"/>
  <c r="AN28" i="57"/>
  <c r="AO28" i="57" s="1"/>
  <c r="M30" i="55"/>
  <c r="M25" i="57"/>
  <c r="AN87" i="55"/>
  <c r="AN87" i="57"/>
  <c r="AO87" i="57" s="1"/>
  <c r="AN51" i="57"/>
  <c r="AO51" i="57" s="1"/>
  <c r="AN28" i="55"/>
  <c r="AN55" i="57"/>
  <c r="AO55" i="57" s="1"/>
  <c r="AY51" i="55"/>
  <c r="AY51" i="57"/>
  <c r="AZ51" i="57" s="1"/>
  <c r="F3" i="47"/>
  <c r="M28" i="57"/>
  <c r="AY47" i="55"/>
  <c r="M3" i="47"/>
  <c r="AA14" i="57"/>
  <c r="AB14" i="57" s="1"/>
  <c r="AA33" i="55"/>
  <c r="AA40" i="57"/>
  <c r="AB40" i="57" s="1"/>
  <c r="AA15" i="55"/>
  <c r="AA11" i="57"/>
  <c r="AB11" i="57" s="1"/>
  <c r="AN89" i="55"/>
  <c r="AA57" i="55"/>
  <c r="AA34" i="57"/>
  <c r="AB34" i="57" s="1"/>
  <c r="AA32" i="57"/>
  <c r="AB32" i="57" s="1"/>
  <c r="AN71" i="57"/>
  <c r="AO71" i="57" s="1"/>
  <c r="AN71" i="55"/>
  <c r="AY34" i="55"/>
  <c r="AY44" i="57"/>
  <c r="AZ44" i="57" s="1"/>
  <c r="AY44" i="55"/>
  <c r="AY6" i="55"/>
  <c r="AY24" i="57"/>
  <c r="AZ24" i="57" s="1"/>
  <c r="AY24" i="55"/>
  <c r="AN5" i="55"/>
  <c r="AN5" i="57"/>
  <c r="AO5" i="57" s="1"/>
  <c r="AY23" i="55"/>
  <c r="AY46" i="57"/>
  <c r="AZ46" i="57" s="1"/>
  <c r="AY46" i="55"/>
  <c r="AA28" i="57"/>
  <c r="AB28" i="57" s="1"/>
  <c r="AN6" i="55"/>
  <c r="AN11" i="57"/>
  <c r="AO11" i="57" s="1"/>
  <c r="AY20" i="55"/>
  <c r="AY20" i="57"/>
  <c r="AZ20" i="57" s="1"/>
  <c r="AA167" i="57"/>
  <c r="AB167" i="57" s="1"/>
  <c r="AA160" i="57"/>
  <c r="AB160" i="57" s="1"/>
  <c r="AA158" i="57"/>
  <c r="AB158" i="57" s="1"/>
  <c r="AA113" i="57"/>
  <c r="AB113" i="57" s="1"/>
  <c r="AA155" i="57"/>
  <c r="AB155" i="57" s="1"/>
  <c r="AA153" i="57"/>
  <c r="AB153" i="57" s="1"/>
  <c r="AA150" i="57"/>
  <c r="AB150" i="57" s="1"/>
  <c r="AA159" i="57"/>
  <c r="AB159" i="57" s="1"/>
  <c r="AA111" i="57"/>
  <c r="AB111" i="57" s="1"/>
  <c r="AA110" i="57"/>
  <c r="AB110" i="57" s="1"/>
  <c r="AA147" i="57"/>
  <c r="AB147" i="57" s="1"/>
  <c r="AA93" i="57"/>
  <c r="AB93" i="57" s="1"/>
  <c r="AA92" i="57"/>
  <c r="AB92" i="57" s="1"/>
  <c r="AA144" i="57"/>
  <c r="AB144" i="57" s="1"/>
  <c r="AA142" i="57"/>
  <c r="AB142" i="57" s="1"/>
  <c r="AA140" i="57"/>
  <c r="AB140" i="57" s="1"/>
  <c r="AA166" i="57"/>
  <c r="AB166" i="57" s="1"/>
  <c r="AA108" i="57"/>
  <c r="AB108" i="57" s="1"/>
  <c r="AA103" i="57"/>
  <c r="AB103" i="57" s="1"/>
  <c r="AA96" i="57"/>
  <c r="AB96" i="57" s="1"/>
  <c r="AA102" i="57"/>
  <c r="AB102" i="57" s="1"/>
  <c r="AA109" i="57"/>
  <c r="AB109" i="57" s="1"/>
  <c r="AA106" i="57"/>
  <c r="AB106" i="57" s="1"/>
  <c r="AA105" i="57"/>
  <c r="AB105" i="57" s="1"/>
  <c r="AA101" i="57"/>
  <c r="AB101" i="57" s="1"/>
  <c r="AA99" i="57"/>
  <c r="AB99" i="57" s="1"/>
  <c r="AA98" i="57"/>
  <c r="AB98" i="57" s="1"/>
  <c r="AA97" i="57"/>
  <c r="AB97" i="57" s="1"/>
  <c r="AA145" i="57"/>
  <c r="AB145" i="57" s="1"/>
  <c r="AA139" i="57"/>
  <c r="AB139" i="57" s="1"/>
  <c r="AA138" i="57"/>
  <c r="AB138" i="57" s="1"/>
  <c r="AA137" i="57"/>
  <c r="AB137" i="57" s="1"/>
  <c r="AA136" i="57"/>
  <c r="AB136" i="57" s="1"/>
  <c r="AA135" i="57"/>
  <c r="AB135" i="57" s="1"/>
  <c r="AA134" i="57"/>
  <c r="AB134" i="57" s="1"/>
  <c r="AA133" i="57"/>
  <c r="AB133" i="57" s="1"/>
  <c r="AA132" i="57"/>
  <c r="AB132" i="57" s="1"/>
  <c r="AA131" i="57"/>
  <c r="AB131" i="57" s="1"/>
  <c r="AA130" i="57"/>
  <c r="AB130" i="57" s="1"/>
  <c r="AA129" i="57"/>
  <c r="AB129" i="57" s="1"/>
  <c r="AA128" i="57"/>
  <c r="AB128" i="57" s="1"/>
  <c r="AA127" i="57"/>
  <c r="AB127" i="57" s="1"/>
  <c r="AA126" i="57"/>
  <c r="AB126" i="57" s="1"/>
  <c r="AA125" i="57"/>
  <c r="AB125" i="57" s="1"/>
  <c r="AA124" i="57"/>
  <c r="AB124" i="57" s="1"/>
  <c r="AA123" i="57"/>
  <c r="AB123" i="57" s="1"/>
  <c r="AA121" i="57"/>
  <c r="AB121" i="57" s="1"/>
  <c r="AA120" i="57"/>
  <c r="AB120" i="57" s="1"/>
  <c r="AA122" i="57"/>
  <c r="AB122" i="57" s="1"/>
  <c r="AA119" i="57"/>
  <c r="AB119" i="57" s="1"/>
  <c r="AA118" i="57"/>
  <c r="AB118" i="57" s="1"/>
  <c r="AA117" i="57"/>
  <c r="AB117" i="57" s="1"/>
  <c r="AA116" i="57"/>
  <c r="AB116" i="57" s="1"/>
  <c r="AA115" i="57"/>
  <c r="AB115" i="57" s="1"/>
  <c r="AA114" i="57"/>
  <c r="AB114" i="57" s="1"/>
  <c r="AA112" i="57"/>
  <c r="AB112" i="57" s="1"/>
  <c r="AA171" i="57"/>
  <c r="AB171" i="57" s="1"/>
  <c r="AA162" i="57"/>
  <c r="AB162" i="57" s="1"/>
  <c r="AA161" i="57"/>
  <c r="AB161" i="57" s="1"/>
  <c r="AA152" i="57"/>
  <c r="AB152" i="57" s="1"/>
  <c r="AA143" i="57"/>
  <c r="AB143" i="57" s="1"/>
  <c r="AA107" i="57"/>
  <c r="AB107" i="57" s="1"/>
  <c r="AA104" i="57"/>
  <c r="AB104" i="57" s="1"/>
  <c r="AA100" i="57"/>
  <c r="AB100" i="57" s="1"/>
  <c r="AA95" i="57"/>
  <c r="AB95" i="57" s="1"/>
  <c r="AA94" i="57"/>
  <c r="AB94" i="57" s="1"/>
  <c r="AA164" i="57"/>
  <c r="AB164" i="57" s="1"/>
  <c r="AA163" i="57"/>
  <c r="AB163" i="57" s="1"/>
  <c r="AA154" i="57"/>
  <c r="AB154" i="57" s="1"/>
  <c r="AA151" i="57"/>
  <c r="AB151" i="57" s="1"/>
  <c r="AA169" i="57"/>
  <c r="AB169" i="57" s="1"/>
  <c r="AA165" i="57"/>
  <c r="AB165" i="57" s="1"/>
  <c r="AA157" i="57"/>
  <c r="AB157" i="57" s="1"/>
  <c r="AA156" i="57"/>
  <c r="AB156" i="57" s="1"/>
  <c r="AA149" i="57"/>
  <c r="AB149" i="57" s="1"/>
  <c r="AA148" i="57"/>
  <c r="AB148" i="57" s="1"/>
  <c r="AA146" i="57"/>
  <c r="AB146" i="57" s="1"/>
  <c r="AA141" i="57"/>
  <c r="AB141" i="57" s="1"/>
  <c r="AA170" i="57"/>
  <c r="AB170" i="57" s="1"/>
  <c r="AA168" i="57"/>
  <c r="AB168" i="57" s="1"/>
  <c r="AY33" i="55"/>
  <c r="AY28" i="57"/>
  <c r="AZ28" i="57" s="1"/>
  <c r="AA39" i="55"/>
  <c r="AA78" i="57"/>
  <c r="AB78" i="57" s="1"/>
  <c r="AN24" i="57"/>
  <c r="AO24" i="57" s="1"/>
  <c r="AY27" i="55"/>
  <c r="AY11" i="57"/>
  <c r="AZ11" i="57" s="1"/>
  <c r="AN2" i="55"/>
  <c r="AN2" i="57"/>
  <c r="AO2" i="57" s="1"/>
  <c r="AY36" i="55"/>
  <c r="AY30" i="57"/>
  <c r="AZ30" i="57" s="1"/>
  <c r="AY25" i="57"/>
  <c r="AZ25" i="57" s="1"/>
  <c r="AA31" i="55"/>
  <c r="AA86" i="57"/>
  <c r="AB86" i="57" s="1"/>
  <c r="AN13" i="55"/>
  <c r="AN25" i="57"/>
  <c r="AO25" i="57" s="1"/>
  <c r="AY13" i="55"/>
  <c r="AY13" i="57"/>
  <c r="AZ13" i="57" s="1"/>
  <c r="AN77" i="57"/>
  <c r="AO77" i="57" s="1"/>
  <c r="AA59" i="55"/>
  <c r="M29" i="55"/>
  <c r="M29" i="57"/>
  <c r="M15" i="55"/>
  <c r="M3" i="57"/>
  <c r="M3" i="55"/>
  <c r="AY43" i="55"/>
  <c r="AY43" i="57"/>
  <c r="AZ43" i="57" s="1"/>
  <c r="M14" i="55"/>
  <c r="M12" i="57"/>
  <c r="AY17" i="55"/>
  <c r="AY17" i="57"/>
  <c r="AZ17" i="57" s="1"/>
  <c r="AN80" i="57"/>
  <c r="AO80" i="57" s="1"/>
  <c r="AN80" i="55"/>
  <c r="AY16" i="55"/>
  <c r="AY19" i="57"/>
  <c r="AZ19" i="57" s="1"/>
  <c r="AN4" i="55"/>
  <c r="AN6" i="57"/>
  <c r="AO6" i="57" s="1"/>
  <c r="AA37" i="55"/>
  <c r="AA37" i="57"/>
  <c r="AB37" i="57" s="1"/>
  <c r="AY9" i="55"/>
  <c r="AY18" i="57"/>
  <c r="AZ18" i="57" s="1"/>
  <c r="AN78" i="57"/>
  <c r="AO78" i="57" s="1"/>
  <c r="AN78" i="55"/>
  <c r="AY29" i="55"/>
  <c r="AY21" i="55"/>
  <c r="AY21" i="57"/>
  <c r="AZ21" i="57" s="1"/>
  <c r="AA21" i="55"/>
  <c r="AA44" i="57"/>
  <c r="AB44" i="57" s="1"/>
  <c r="AN93" i="55"/>
  <c r="AA50" i="57"/>
  <c r="AB50" i="57" s="1"/>
  <c r="AA50" i="55"/>
  <c r="AN77" i="55"/>
  <c r="AN114" i="57"/>
  <c r="AO114" i="57" s="1"/>
  <c r="AN61" i="55"/>
  <c r="AN49" i="57"/>
  <c r="AO49" i="57" s="1"/>
  <c r="M151" i="36"/>
  <c r="N151" i="36"/>
  <c r="J85" i="34"/>
  <c r="K85" i="34"/>
  <c r="M118" i="35"/>
  <c r="L118" i="35"/>
  <c r="L116" i="35"/>
  <c r="M116" i="35"/>
  <c r="AM32" i="55"/>
  <c r="K58" i="35"/>
  <c r="J9" i="34"/>
  <c r="K9" i="34"/>
  <c r="M87" i="35"/>
  <c r="L87" i="35"/>
  <c r="L187" i="35"/>
  <c r="M187" i="35"/>
  <c r="M47" i="35"/>
  <c r="L47" i="35"/>
  <c r="K36" i="34"/>
  <c r="J36" i="34"/>
  <c r="L71" i="35"/>
  <c r="M71" i="35"/>
  <c r="L69" i="35"/>
  <c r="M69" i="35"/>
  <c r="J91" i="34"/>
  <c r="K91" i="34"/>
  <c r="I55" i="34"/>
  <c r="L55" i="34"/>
  <c r="AY42" i="58" s="1"/>
  <c r="AZ42" i="58" s="1"/>
  <c r="J92" i="34"/>
  <c r="K92" i="34"/>
  <c r="M154" i="36"/>
  <c r="N154" i="36"/>
  <c r="K161" i="35"/>
  <c r="AA5" i="47"/>
  <c r="AP5" i="47"/>
  <c r="AM104" i="55"/>
  <c r="AM118" i="55"/>
  <c r="N198" i="35"/>
  <c r="AN58" i="58" s="1"/>
  <c r="AO58" i="58" s="1"/>
  <c r="AM82" i="55"/>
  <c r="N201" i="35"/>
  <c r="AN133" i="58" s="1"/>
  <c r="AO133" i="58" s="1"/>
  <c r="K201" i="35"/>
  <c r="N199" i="35"/>
  <c r="N156" i="36"/>
  <c r="M156" i="36"/>
  <c r="N191" i="35"/>
  <c r="AN45" i="58" s="1"/>
  <c r="AO45" i="58" s="1"/>
  <c r="K192" i="35"/>
  <c r="N192" i="35"/>
  <c r="AN79" i="58" s="1"/>
  <c r="AO79" i="58" s="1"/>
  <c r="M155" i="36"/>
  <c r="N155" i="36"/>
  <c r="K191" i="35"/>
  <c r="M152" i="36"/>
  <c r="N152" i="36"/>
  <c r="J90" i="34"/>
  <c r="K90" i="34"/>
  <c r="N147" i="36"/>
  <c r="M147" i="36"/>
  <c r="N137" i="36"/>
  <c r="M137" i="36"/>
  <c r="L177" i="35"/>
  <c r="M177" i="35"/>
  <c r="J86" i="34"/>
  <c r="K86" i="34"/>
  <c r="N181" i="35"/>
  <c r="K181" i="35"/>
  <c r="AL59" i="55"/>
  <c r="N182" i="35"/>
  <c r="K182" i="35"/>
  <c r="N171" i="35"/>
  <c r="AN64" i="55" s="1"/>
  <c r="AL19" i="55"/>
  <c r="K168" i="35"/>
  <c r="N168" i="35"/>
  <c r="AN38" i="58" s="1"/>
  <c r="AO38" i="58" s="1"/>
  <c r="K167" i="35"/>
  <c r="N167" i="35"/>
  <c r="AN41" i="58" s="1"/>
  <c r="AO41" i="58" s="1"/>
  <c r="AL50" i="55"/>
  <c r="N132" i="36"/>
  <c r="M132" i="36"/>
  <c r="K171" i="35"/>
  <c r="AL64" i="55"/>
  <c r="AL33" i="55"/>
  <c r="N161" i="35"/>
  <c r="AN16" i="55" s="1"/>
  <c r="L155" i="35"/>
  <c r="M155" i="35"/>
  <c r="J70" i="34"/>
  <c r="K70" i="34"/>
  <c r="K150" i="35"/>
  <c r="N150" i="35"/>
  <c r="M151" i="35"/>
  <c r="L151" i="35"/>
  <c r="L143" i="35"/>
  <c r="M143" i="35"/>
  <c r="O115" i="36"/>
  <c r="L115" i="36"/>
  <c r="L141" i="35"/>
  <c r="M141" i="35"/>
  <c r="L114" i="36"/>
  <c r="O114" i="36"/>
  <c r="K145" i="35"/>
  <c r="N145" i="35"/>
  <c r="J66" i="34"/>
  <c r="K66" i="34"/>
  <c r="L116" i="36"/>
  <c r="O116" i="36"/>
  <c r="M111" i="36"/>
  <c r="N111" i="36"/>
  <c r="AL118" i="55"/>
  <c r="AL84" i="55"/>
  <c r="K139" i="35"/>
  <c r="N139" i="35"/>
  <c r="N104" i="36"/>
  <c r="M104" i="36"/>
  <c r="I57" i="34"/>
  <c r="L57" i="34"/>
  <c r="AY47" i="57" s="1"/>
  <c r="AZ47" i="57" s="1"/>
  <c r="I58" i="34"/>
  <c r="M112" i="35"/>
  <c r="L112" i="35"/>
  <c r="N89" i="36"/>
  <c r="M89" i="36"/>
  <c r="O84" i="36"/>
  <c r="L84" i="36"/>
  <c r="Z73" i="55"/>
  <c r="M103" i="35"/>
  <c r="L103" i="35"/>
  <c r="L105" i="35"/>
  <c r="M105" i="35"/>
  <c r="M108" i="35"/>
  <c r="L108" i="35"/>
  <c r="M104" i="35"/>
  <c r="L104" i="35"/>
  <c r="K106" i="35"/>
  <c r="N106" i="35"/>
  <c r="L82" i="36"/>
  <c r="Y15" i="55"/>
  <c r="N93" i="36"/>
  <c r="M93" i="36"/>
  <c r="M92" i="36"/>
  <c r="N92" i="36"/>
  <c r="J74" i="34"/>
  <c r="K74" i="34"/>
  <c r="L119" i="35"/>
  <c r="M119" i="35"/>
  <c r="L120" i="35"/>
  <c r="M120" i="35"/>
  <c r="M121" i="35"/>
  <c r="L121" i="35"/>
  <c r="K75" i="34"/>
  <c r="J75" i="34"/>
  <c r="M77" i="36"/>
  <c r="N77" i="36"/>
  <c r="N79" i="36"/>
  <c r="M79" i="36"/>
  <c r="N100" i="35"/>
  <c r="AN130" i="58" s="1"/>
  <c r="AO130" i="58" s="1"/>
  <c r="K100" i="35"/>
  <c r="N97" i="35"/>
  <c r="L102" i="35"/>
  <c r="M102" i="35"/>
  <c r="J47" i="34"/>
  <c r="K47" i="34"/>
  <c r="Z75" i="55"/>
  <c r="Z61" i="55"/>
  <c r="N98" i="35"/>
  <c r="M76" i="36"/>
  <c r="N76" i="36"/>
  <c r="K46" i="34"/>
  <c r="J46" i="34"/>
  <c r="AM117" i="55"/>
  <c r="K91" i="35"/>
  <c r="N91" i="35"/>
  <c r="AN39" i="58" s="1"/>
  <c r="AO39" i="58" s="1"/>
  <c r="J44" i="34"/>
  <c r="K44" i="34"/>
  <c r="K45" i="34"/>
  <c r="J45" i="34"/>
  <c r="N94" i="35"/>
  <c r="K94" i="35"/>
  <c r="N95" i="35"/>
  <c r="K95" i="35"/>
  <c r="J42" i="34"/>
  <c r="K42" i="34"/>
  <c r="N71" i="36"/>
  <c r="M71" i="36"/>
  <c r="L88" i="35"/>
  <c r="M88" i="35"/>
  <c r="AL47" i="55"/>
  <c r="K85" i="35"/>
  <c r="N85" i="35"/>
  <c r="L70" i="36"/>
  <c r="O70" i="36"/>
  <c r="L84" i="35"/>
  <c r="M84" i="35"/>
  <c r="J40" i="34"/>
  <c r="K40" i="34"/>
  <c r="I39" i="34"/>
  <c r="L39" i="34"/>
  <c r="K35" i="34"/>
  <c r="J35" i="34"/>
  <c r="M72" i="35"/>
  <c r="L72" i="35"/>
  <c r="M60" i="36"/>
  <c r="N60" i="36"/>
  <c r="M70" i="35"/>
  <c r="L70" i="35"/>
  <c r="N74" i="35"/>
  <c r="K74" i="35"/>
  <c r="M73" i="35"/>
  <c r="L73" i="35"/>
  <c r="N59" i="36"/>
  <c r="M59" i="36"/>
  <c r="M16" i="55"/>
  <c r="F25" i="47"/>
  <c r="K34" i="34"/>
  <c r="J34" i="34"/>
  <c r="M65" i="35"/>
  <c r="L65" i="35"/>
  <c r="Y3" i="55"/>
  <c r="L52" i="36"/>
  <c r="O52" i="36"/>
  <c r="AA3" i="58" s="1"/>
  <c r="AB3" i="58" s="1"/>
  <c r="N59" i="35"/>
  <c r="AM20" i="55"/>
  <c r="K59" i="35"/>
  <c r="N51" i="36"/>
  <c r="M51" i="36"/>
  <c r="M47" i="36"/>
  <c r="N47" i="36"/>
  <c r="M46" i="36"/>
  <c r="N46" i="36"/>
  <c r="M53" i="35"/>
  <c r="L53" i="35"/>
  <c r="L51" i="35"/>
  <c r="M51" i="35"/>
  <c r="N40" i="36"/>
  <c r="M40" i="36"/>
  <c r="M50" i="35"/>
  <c r="L50" i="35"/>
  <c r="M37" i="55"/>
  <c r="F18" i="47"/>
  <c r="AL112" i="55"/>
  <c r="L41" i="36"/>
  <c r="O41" i="36"/>
  <c r="M42" i="35"/>
  <c r="L42" i="35"/>
  <c r="M23" i="36"/>
  <c r="N23" i="36"/>
  <c r="J14" i="34"/>
  <c r="K14" i="34"/>
  <c r="L15" i="34"/>
  <c r="K16" i="34"/>
  <c r="J16" i="34"/>
  <c r="I15" i="34"/>
  <c r="M25" i="36"/>
  <c r="N25" i="36"/>
  <c r="M18" i="36"/>
  <c r="N18" i="36"/>
  <c r="M19" i="36"/>
  <c r="N19" i="36"/>
  <c r="N13" i="36"/>
  <c r="M13" i="36"/>
  <c r="N16" i="35"/>
  <c r="K16" i="35"/>
  <c r="K18" i="35"/>
  <c r="N18" i="35"/>
  <c r="AN126" i="58" s="1"/>
  <c r="AO126" i="58" s="1"/>
  <c r="AA7" i="47"/>
  <c r="AP7" i="47"/>
  <c r="N9" i="35"/>
  <c r="K9" i="35"/>
  <c r="AL111" i="55"/>
  <c r="K11" i="35"/>
  <c r="J4" i="34"/>
  <c r="K4" i="34"/>
  <c r="L4" i="36"/>
  <c r="O4" i="36"/>
  <c r="Y53" i="55"/>
  <c r="N2" i="36"/>
  <c r="M2" i="36"/>
  <c r="N6" i="35"/>
  <c r="K6" i="35"/>
  <c r="L3" i="36"/>
  <c r="Z49" i="55"/>
  <c r="O3" i="36"/>
  <c r="AA46" i="57" s="1"/>
  <c r="AB46" i="57" s="1"/>
  <c r="N7" i="35"/>
  <c r="K7" i="35"/>
  <c r="I79" i="34"/>
  <c r="L79" i="34"/>
  <c r="I78" i="34"/>
  <c r="L78" i="34"/>
  <c r="N163" i="35"/>
  <c r="K163" i="35"/>
  <c r="AL83" i="55"/>
  <c r="M159" i="35"/>
  <c r="L159" i="35"/>
  <c r="L58" i="34"/>
  <c r="N123" i="35"/>
  <c r="K123" i="35"/>
  <c r="N125" i="35"/>
  <c r="AN127" i="58" s="1"/>
  <c r="AO127" i="58" s="1"/>
  <c r="AL95" i="55"/>
  <c r="K125" i="35"/>
  <c r="AM95" i="55"/>
  <c r="K128" i="35"/>
  <c r="N128" i="35"/>
  <c r="AN140" i="58" s="1"/>
  <c r="AO140" i="58" s="1"/>
  <c r="AW40" i="55"/>
  <c r="I54" i="34"/>
  <c r="L54" i="34"/>
  <c r="AY39" i="58" s="1"/>
  <c r="AZ39" i="58" s="1"/>
  <c r="L40" i="34"/>
  <c r="I24" i="34"/>
  <c r="L24" i="34"/>
  <c r="AW41" i="55"/>
  <c r="L25" i="34"/>
  <c r="I25" i="34"/>
  <c r="M10" i="35"/>
  <c r="L10" i="35"/>
  <c r="Y6" i="55"/>
  <c r="L12" i="36"/>
  <c r="O12" i="36"/>
  <c r="Z6" i="55"/>
  <c r="N46" i="35"/>
  <c r="K46" i="35"/>
  <c r="M48" i="36"/>
  <c r="N48" i="36"/>
  <c r="L76" i="35"/>
  <c r="M76" i="35"/>
  <c r="L57" i="36"/>
  <c r="Y8" i="55"/>
  <c r="M58" i="36"/>
  <c r="N58" i="36"/>
  <c r="AM37" i="55"/>
  <c r="AM10" i="55"/>
  <c r="AL117" i="55"/>
  <c r="AL10" i="55"/>
  <c r="K92" i="35"/>
  <c r="N92" i="35"/>
  <c r="N90" i="35"/>
  <c r="K90" i="35"/>
  <c r="AL37" i="55"/>
  <c r="K48" i="34"/>
  <c r="J48" i="34"/>
  <c r="AM26" i="55"/>
  <c r="K98" i="35"/>
  <c r="K101" i="35"/>
  <c r="N101" i="35"/>
  <c r="K97" i="35"/>
  <c r="AL44" i="55"/>
  <c r="L80" i="36"/>
  <c r="O80" i="36"/>
  <c r="K107" i="35"/>
  <c r="N107" i="35"/>
  <c r="O83" i="36"/>
  <c r="AA50" i="58" s="1"/>
  <c r="AB50" i="58" s="1"/>
  <c r="L83" i="36"/>
  <c r="K122" i="35"/>
  <c r="N122" i="35"/>
  <c r="AN66" i="55" s="1"/>
  <c r="K152" i="35"/>
  <c r="N152" i="35"/>
  <c r="L156" i="35"/>
  <c r="M156" i="35"/>
  <c r="M157" i="35"/>
  <c r="L157" i="35"/>
  <c r="N162" i="35"/>
  <c r="AM50" i="55"/>
  <c r="AM19" i="55"/>
  <c r="N133" i="36"/>
  <c r="M133" i="36"/>
  <c r="K170" i="35"/>
  <c r="N170" i="35"/>
  <c r="N180" i="35"/>
  <c r="AN108" i="55" s="1"/>
  <c r="K180" i="35"/>
  <c r="AN120" i="55"/>
  <c r="AM22" i="55"/>
  <c r="AM73" i="55"/>
  <c r="AL22" i="55"/>
  <c r="AL73" i="55"/>
  <c r="M158" i="36"/>
  <c r="N158" i="36"/>
  <c r="L203" i="35"/>
  <c r="M203" i="35"/>
  <c r="AL82" i="55"/>
  <c r="AL18" i="55"/>
  <c r="N197" i="35"/>
  <c r="K197" i="35"/>
  <c r="J96" i="34"/>
  <c r="K96" i="34"/>
  <c r="AM18" i="55"/>
  <c r="K198" i="35"/>
  <c r="M202" i="35"/>
  <c r="L202" i="35"/>
  <c r="K199" i="35"/>
  <c r="M200" i="35"/>
  <c r="L200" i="35"/>
  <c r="Z60" i="55"/>
  <c r="Z76" i="55"/>
  <c r="Y60" i="55"/>
  <c r="Y77" i="55"/>
  <c r="L99" i="35"/>
  <c r="M99" i="35"/>
  <c r="O78" i="36"/>
  <c r="Y61" i="55"/>
  <c r="L78" i="36"/>
  <c r="Y75" i="55"/>
  <c r="M33" i="36"/>
  <c r="N33" i="36"/>
  <c r="Z78" i="55"/>
  <c r="Z58" i="55"/>
  <c r="O34" i="36"/>
  <c r="AA83" i="58" s="1"/>
  <c r="AB83" i="58" s="1"/>
  <c r="Y58" i="55"/>
  <c r="M24" i="36"/>
  <c r="N24" i="36"/>
  <c r="S2" i="55"/>
  <c r="R2" i="55"/>
  <c r="L14" i="47"/>
  <c r="A13" i="36"/>
  <c r="A14" i="36" s="1"/>
  <c r="A15" i="36" s="1"/>
  <c r="A16" i="36" s="1"/>
  <c r="A17" i="36" s="1"/>
  <c r="Y19" i="55"/>
  <c r="O5" i="36"/>
  <c r="L5" i="36"/>
  <c r="Z53" i="55"/>
  <c r="Z19" i="55"/>
  <c r="K5" i="35"/>
  <c r="N5" i="35"/>
  <c r="AA10" i="47"/>
  <c r="AP10" i="47"/>
  <c r="K53" i="34"/>
  <c r="J53" i="34"/>
  <c r="N106" i="36"/>
  <c r="M106" i="36"/>
  <c r="N160" i="36"/>
  <c r="M160" i="36"/>
  <c r="L64" i="35"/>
  <c r="M64" i="35"/>
  <c r="AN102" i="55"/>
  <c r="L184" i="35"/>
  <c r="M184" i="35"/>
  <c r="L132" i="35"/>
  <c r="M132" i="35"/>
  <c r="M133" i="35"/>
  <c r="L133" i="35"/>
  <c r="K80" i="34"/>
  <c r="J80" i="34"/>
  <c r="K32" i="34"/>
  <c r="J32" i="34"/>
  <c r="M173" i="35"/>
  <c r="L173" i="35"/>
  <c r="J69" i="34"/>
  <c r="K69" i="34"/>
  <c r="L66" i="35"/>
  <c r="M66" i="35"/>
  <c r="L17" i="35"/>
  <c r="M17" i="35"/>
  <c r="J26" i="34"/>
  <c r="K26" i="34"/>
  <c r="L178" i="35"/>
  <c r="M178" i="35"/>
  <c r="J62" i="34"/>
  <c r="K62" i="34"/>
  <c r="J3" i="34"/>
  <c r="K3" i="34"/>
  <c r="O73" i="36"/>
  <c r="L73" i="36"/>
  <c r="Y65" i="55"/>
  <c r="AP105" i="47"/>
  <c r="T5" i="47"/>
  <c r="L4" i="35"/>
  <c r="M4" i="35"/>
  <c r="L194" i="35"/>
  <c r="M194" i="35"/>
  <c r="N108" i="36"/>
  <c r="M108" i="36"/>
  <c r="M67" i="35"/>
  <c r="L67" i="35"/>
  <c r="AY35" i="55"/>
  <c r="N129" i="36"/>
  <c r="M129" i="36"/>
  <c r="K77" i="34"/>
  <c r="J77" i="34"/>
  <c r="N42" i="36"/>
  <c r="M42" i="36"/>
  <c r="M127" i="35"/>
  <c r="L127" i="35"/>
  <c r="N148" i="36"/>
  <c r="M148" i="36"/>
  <c r="L99" i="36"/>
  <c r="O99" i="36"/>
  <c r="L98" i="36"/>
  <c r="O98" i="36"/>
  <c r="AA65" i="57" s="1"/>
  <c r="AB65" i="57" s="1"/>
  <c r="L113" i="35"/>
  <c r="M113" i="35"/>
  <c r="K38" i="34"/>
  <c r="J38" i="34"/>
  <c r="M77" i="35"/>
  <c r="L77" i="35"/>
  <c r="M189" i="35"/>
  <c r="L189" i="35"/>
  <c r="L97" i="36"/>
  <c r="L115" i="35"/>
  <c r="M115" i="35"/>
  <c r="N45" i="36"/>
  <c r="M45" i="36"/>
  <c r="AA133" i="55"/>
  <c r="AA146" i="55"/>
  <c r="AA123" i="55"/>
  <c r="AA155" i="55"/>
  <c r="AA102" i="55"/>
  <c r="AA136" i="55"/>
  <c r="AA110" i="55"/>
  <c r="AA108" i="55"/>
  <c r="AA111" i="55"/>
  <c r="AA164" i="55"/>
  <c r="AA96" i="55"/>
  <c r="AA131" i="55"/>
  <c r="AA101" i="55"/>
  <c r="AA149" i="55"/>
  <c r="AA132" i="55"/>
  <c r="AA148" i="55"/>
  <c r="AA98" i="55"/>
  <c r="AA168" i="55"/>
  <c r="AA124" i="55"/>
  <c r="AA150" i="55"/>
  <c r="AA107" i="55"/>
  <c r="AA99" i="55"/>
  <c r="AA129" i="55"/>
  <c r="AA120" i="55"/>
  <c r="AA125" i="55"/>
  <c r="AA153" i="55"/>
  <c r="AA165" i="55"/>
  <c r="AA171" i="55"/>
  <c r="AA103" i="55"/>
  <c r="AA112" i="55"/>
  <c r="AA122" i="55"/>
  <c r="AA152" i="55"/>
  <c r="AA145" i="55"/>
  <c r="AA141" i="55"/>
  <c r="AA159" i="55"/>
  <c r="AA119" i="55"/>
  <c r="AA104" i="55"/>
  <c r="AA115" i="55"/>
  <c r="AA140" i="55"/>
  <c r="AA139" i="55"/>
  <c r="AA113" i="55"/>
  <c r="AA138" i="55"/>
  <c r="AA161" i="55"/>
  <c r="AA137" i="55"/>
  <c r="AA95" i="55"/>
  <c r="AA128" i="55"/>
  <c r="AA151" i="55"/>
  <c r="AA160" i="55"/>
  <c r="AA100" i="55"/>
  <c r="AA130" i="55"/>
  <c r="AA118" i="55"/>
  <c r="AA114" i="55"/>
  <c r="AA144" i="55"/>
  <c r="AA158" i="55"/>
  <c r="AA127" i="55"/>
  <c r="AA147" i="55"/>
  <c r="AA135" i="55"/>
  <c r="AA105" i="55"/>
  <c r="AA162" i="55"/>
  <c r="AA121" i="55"/>
  <c r="AA116" i="55"/>
  <c r="AA157" i="55"/>
  <c r="AA166" i="55"/>
  <c r="AA106" i="55"/>
  <c r="AA126" i="55"/>
  <c r="AA156" i="55"/>
  <c r="AA154" i="55"/>
  <c r="AA134" i="55"/>
  <c r="AA169" i="55"/>
  <c r="AA163" i="55"/>
  <c r="AA142" i="55"/>
  <c r="AA170" i="55"/>
  <c r="AA143" i="55"/>
  <c r="AA117" i="55"/>
  <c r="AA97" i="55"/>
  <c r="AA167" i="55"/>
  <c r="AA92" i="55"/>
  <c r="AA94" i="55"/>
  <c r="AA93" i="55"/>
  <c r="AA109" i="55"/>
  <c r="N143" i="36"/>
  <c r="M143" i="36"/>
  <c r="L117" i="35"/>
  <c r="M117" i="35"/>
  <c r="J76" i="34"/>
  <c r="K76" i="34"/>
  <c r="M94" i="36"/>
  <c r="N94" i="36"/>
  <c r="L54" i="35"/>
  <c r="M54" i="35"/>
  <c r="Z7" i="55"/>
  <c r="O97" i="36"/>
  <c r="AA9" i="58" s="1"/>
  <c r="AB9" i="58" s="1"/>
  <c r="M124" i="35"/>
  <c r="L124" i="35"/>
  <c r="J27" i="34"/>
  <c r="K27" i="34"/>
  <c r="K97" i="34"/>
  <c r="J97" i="34"/>
  <c r="O144" i="36"/>
  <c r="AA67" i="58" s="1"/>
  <c r="AB67" i="58" s="1"/>
  <c r="L144" i="36"/>
  <c r="Y82" i="55"/>
  <c r="N75" i="36"/>
  <c r="M75" i="36"/>
  <c r="M111" i="35"/>
  <c r="L111" i="35"/>
  <c r="N54" i="36"/>
  <c r="M54" i="36"/>
  <c r="N135" i="36"/>
  <c r="M135" i="36"/>
  <c r="M172" i="35"/>
  <c r="L172" i="35"/>
  <c r="AW25" i="55"/>
  <c r="I89" i="34"/>
  <c r="AW31" i="55"/>
  <c r="L89" i="34"/>
  <c r="AX25" i="55"/>
  <c r="AX31" i="55"/>
  <c r="Z62" i="55"/>
  <c r="L72" i="36"/>
  <c r="O72" i="36"/>
  <c r="I49" i="34"/>
  <c r="L49" i="34"/>
  <c r="AL3" i="55"/>
  <c r="K52" i="35"/>
  <c r="N52" i="35"/>
  <c r="N134" i="36"/>
  <c r="M134" i="36"/>
  <c r="L93" i="35"/>
  <c r="M93" i="35"/>
  <c r="M110" i="35"/>
  <c r="L110" i="35"/>
  <c r="N87" i="36"/>
  <c r="M87" i="36"/>
  <c r="AW3" i="55"/>
  <c r="I2" i="34"/>
  <c r="J65" i="34"/>
  <c r="K65" i="34"/>
  <c r="N121" i="36"/>
  <c r="M121" i="36"/>
  <c r="K22" i="34"/>
  <c r="J22" i="34"/>
  <c r="K94" i="34"/>
  <c r="J94" i="34"/>
  <c r="K93" i="34"/>
  <c r="J93" i="34"/>
  <c r="L15" i="35"/>
  <c r="M15" i="35"/>
  <c r="O153" i="36"/>
  <c r="AA54" i="58" s="1"/>
  <c r="AB54" i="58" s="1"/>
  <c r="L153" i="36"/>
  <c r="Y54" i="55"/>
  <c r="K175" i="35"/>
  <c r="AL43" i="55"/>
  <c r="O91" i="36"/>
  <c r="L91" i="36"/>
  <c r="AN43" i="55"/>
  <c r="M131" i="35"/>
  <c r="L131" i="35"/>
  <c r="L149" i="35"/>
  <c r="M149" i="35"/>
  <c r="N130" i="36"/>
  <c r="M130" i="36"/>
  <c r="N131" i="36"/>
  <c r="M131" i="36"/>
  <c r="M129" i="35"/>
  <c r="L129" i="35"/>
  <c r="N169" i="35"/>
  <c r="K169" i="35"/>
  <c r="N6" i="36"/>
  <c r="M6" i="36"/>
  <c r="L57" i="35"/>
  <c r="M57" i="35"/>
  <c r="AN25" i="55"/>
  <c r="AP103" i="47"/>
  <c r="T3" i="47"/>
  <c r="M2" i="35"/>
  <c r="L2" i="35"/>
  <c r="L78" i="35"/>
  <c r="M78" i="35"/>
  <c r="M55" i="35"/>
  <c r="L55" i="35"/>
  <c r="AP4" i="47"/>
  <c r="AA4" i="47"/>
  <c r="J28" i="34"/>
  <c r="K28" i="34"/>
  <c r="N142" i="35"/>
  <c r="AN34" i="58" s="1"/>
  <c r="AO34" i="58" s="1"/>
  <c r="K142" i="35"/>
  <c r="O44" i="36"/>
  <c r="L44" i="36"/>
  <c r="N100" i="36"/>
  <c r="M100" i="36"/>
  <c r="Z90" i="55"/>
  <c r="O138" i="36"/>
  <c r="L138" i="36"/>
  <c r="Z5" i="55"/>
  <c r="O142" i="36"/>
  <c r="L142" i="36"/>
  <c r="AM51" i="55"/>
  <c r="K135" i="35"/>
  <c r="N135" i="35"/>
  <c r="Y18" i="55"/>
  <c r="O107" i="36"/>
  <c r="L107" i="36"/>
  <c r="K114" i="35"/>
  <c r="N114" i="35"/>
  <c r="L64" i="36"/>
  <c r="O64" i="36"/>
  <c r="M138" i="35"/>
  <c r="L138" i="35"/>
  <c r="L196" i="35"/>
  <c r="M196" i="35"/>
  <c r="N190" i="35"/>
  <c r="K190" i="35"/>
  <c r="M174" i="35"/>
  <c r="L174" i="35"/>
  <c r="J84" i="34"/>
  <c r="K84" i="34"/>
  <c r="K87" i="34"/>
  <c r="J87" i="34"/>
  <c r="N145" i="36"/>
  <c r="M145" i="36"/>
  <c r="M146" i="36"/>
  <c r="N146" i="36"/>
  <c r="N166" i="35"/>
  <c r="K166" i="35"/>
  <c r="N165" i="35"/>
  <c r="K165" i="35"/>
  <c r="L164" i="35"/>
  <c r="M164" i="35"/>
  <c r="L127" i="36"/>
  <c r="Y4" i="55"/>
  <c r="O128" i="36"/>
  <c r="L128" i="36"/>
  <c r="Z47" i="55"/>
  <c r="Y28" i="55"/>
  <c r="O118" i="36"/>
  <c r="AA47" i="58" s="1"/>
  <c r="AB47" i="58" s="1"/>
  <c r="L118" i="36"/>
  <c r="J68" i="34"/>
  <c r="K68" i="34"/>
  <c r="N119" i="36"/>
  <c r="M119" i="36"/>
  <c r="L148" i="35"/>
  <c r="M148" i="35"/>
  <c r="L147" i="35"/>
  <c r="M147" i="35"/>
  <c r="O117" i="36"/>
  <c r="AA22" i="58" s="1"/>
  <c r="AB22" i="58" s="1"/>
  <c r="L117" i="36"/>
  <c r="M110" i="36"/>
  <c r="N110" i="36"/>
  <c r="N137" i="35"/>
  <c r="AN76" i="55" s="1"/>
  <c r="K137" i="35"/>
  <c r="AM84" i="55"/>
  <c r="AM74" i="55"/>
  <c r="M109" i="36"/>
  <c r="N109" i="36"/>
  <c r="K63" i="34"/>
  <c r="J63" i="34"/>
  <c r="L140" i="35"/>
  <c r="M140" i="35"/>
  <c r="Z38" i="55"/>
  <c r="L103" i="36"/>
  <c r="L102" i="36"/>
  <c r="Y29" i="55"/>
  <c r="O102" i="36"/>
  <c r="K59" i="34"/>
  <c r="J59" i="34"/>
  <c r="L134" i="35"/>
  <c r="M134" i="35"/>
  <c r="K61" i="34"/>
  <c r="J61" i="34"/>
  <c r="L96" i="36"/>
  <c r="O96" i="36"/>
  <c r="L81" i="35"/>
  <c r="M81" i="35"/>
  <c r="M82" i="35"/>
  <c r="L82" i="35"/>
  <c r="M53" i="36"/>
  <c r="N53" i="36"/>
  <c r="N48" i="35"/>
  <c r="K48" i="35"/>
  <c r="AM112" i="55"/>
  <c r="N49" i="35"/>
  <c r="K49" i="35"/>
  <c r="Y78" i="55"/>
  <c r="L34" i="36"/>
  <c r="L44" i="35"/>
  <c r="M44" i="35"/>
  <c r="J20" i="34"/>
  <c r="K20" i="34"/>
  <c r="L19" i="35"/>
  <c r="M19" i="35"/>
  <c r="N16" i="36"/>
  <c r="M16" i="36"/>
  <c r="J95" i="34"/>
  <c r="K95" i="34"/>
  <c r="O161" i="36"/>
  <c r="L161" i="36"/>
  <c r="M176" i="35"/>
  <c r="L176" i="35"/>
  <c r="AY32" i="55"/>
  <c r="AY40" i="55"/>
  <c r="J50" i="34"/>
  <c r="K50" i="34"/>
  <c r="AN90" i="55"/>
  <c r="M74" i="36"/>
  <c r="N74" i="36"/>
  <c r="M63" i="36"/>
  <c r="N63" i="36"/>
  <c r="N43" i="36"/>
  <c r="M43" i="36"/>
  <c r="AA44" i="55"/>
  <c r="AA27" i="55"/>
  <c r="AA68" i="55"/>
  <c r="AA67" i="55"/>
  <c r="C19" i="55"/>
  <c r="A30" i="33"/>
  <c r="A13" i="34"/>
  <c r="AN12" i="47"/>
  <c r="X12" i="47"/>
  <c r="Y12" i="47"/>
  <c r="Z12" i="47"/>
  <c r="AO12" i="47"/>
  <c r="AL12" i="47"/>
  <c r="AA12" i="47"/>
  <c r="AP12" i="47"/>
  <c r="AN39" i="55"/>
  <c r="M186" i="35"/>
  <c r="AN24" i="55"/>
  <c r="M146" i="35"/>
  <c r="AA35" i="55"/>
  <c r="M185" i="35"/>
  <c r="L183" i="35"/>
  <c r="M183" i="35"/>
  <c r="M144" i="35"/>
  <c r="AN121" i="55"/>
  <c r="M136" i="35"/>
  <c r="AN53" i="55"/>
  <c r="AN57" i="55"/>
  <c r="AA34" i="55"/>
  <c r="AA32" i="55"/>
  <c r="AN115" i="55"/>
  <c r="M188" i="35"/>
  <c r="L188" i="35"/>
  <c r="N62" i="36"/>
  <c r="AA40" i="55"/>
  <c r="M193" i="35"/>
  <c r="L193" i="35"/>
  <c r="M22" i="35"/>
  <c r="L22" i="35"/>
  <c r="L12" i="35"/>
  <c r="M12" i="35"/>
  <c r="AN88" i="55"/>
  <c r="AA30" i="55"/>
  <c r="L179" i="35"/>
  <c r="M179" i="35"/>
  <c r="Q9" i="47"/>
  <c r="A10" i="35"/>
  <c r="AN110" i="47" s="1"/>
  <c r="R9" i="47"/>
  <c r="S9" i="47"/>
  <c r="AL109" i="47"/>
  <c r="AN109" i="47"/>
  <c r="T9" i="47"/>
  <c r="AP109" i="47"/>
  <c r="M3" i="35"/>
  <c r="L3" i="35"/>
  <c r="T4" i="47"/>
  <c r="AP104" i="47"/>
  <c r="AN110" i="55"/>
  <c r="M157" i="36"/>
  <c r="N157" i="36"/>
  <c r="N141" i="36"/>
  <c r="M141" i="36"/>
  <c r="N112" i="36"/>
  <c r="M112" i="36"/>
  <c r="N88" i="36"/>
  <c r="M88" i="36"/>
  <c r="AA14" i="55"/>
  <c r="N32" i="36"/>
  <c r="M32" i="36"/>
  <c r="N26" i="36"/>
  <c r="M26" i="36"/>
  <c r="J64" i="34" l="1"/>
  <c r="K64" i="34"/>
  <c r="AA25" i="57"/>
  <c r="AB25" i="57" s="1"/>
  <c r="AA25" i="55"/>
  <c r="AN70" i="58"/>
  <c r="AO70" i="58" s="1"/>
  <c r="AN75" i="57"/>
  <c r="AO75" i="57" s="1"/>
  <c r="AA26" i="58"/>
  <c r="AB26" i="58" s="1"/>
  <c r="AN72" i="58"/>
  <c r="AO72" i="58" s="1"/>
  <c r="AN85" i="57"/>
  <c r="AO85" i="57" s="1"/>
  <c r="AN86" i="58"/>
  <c r="AO86" i="58" s="1"/>
  <c r="M79" i="35"/>
  <c r="L79" i="35"/>
  <c r="L80" i="35"/>
  <c r="M80" i="35"/>
  <c r="AY26" i="58"/>
  <c r="AZ26" i="58" s="1"/>
  <c r="AA81" i="55"/>
  <c r="AA79" i="57"/>
  <c r="AB79" i="57" s="1"/>
  <c r="AA84" i="58"/>
  <c r="AB84" i="58" s="1"/>
  <c r="AA89" i="57"/>
  <c r="AB89" i="57" s="1"/>
  <c r="AA89" i="58"/>
  <c r="AB89" i="58" s="1"/>
  <c r="M139" i="36"/>
  <c r="N139" i="36"/>
  <c r="AA45" i="58"/>
  <c r="AB45" i="58" s="1"/>
  <c r="AA46" i="58"/>
  <c r="AB46" i="58" s="1"/>
  <c r="AA17" i="57"/>
  <c r="AB17" i="57" s="1"/>
  <c r="AA16" i="57"/>
  <c r="AB16" i="57" s="1"/>
  <c r="AA16" i="55"/>
  <c r="AN82" i="57"/>
  <c r="AO82" i="57" s="1"/>
  <c r="AN82" i="58"/>
  <c r="AO82" i="58" s="1"/>
  <c r="AN52" i="55"/>
  <c r="AN52" i="57"/>
  <c r="AO52" i="57" s="1"/>
  <c r="AA42" i="58"/>
  <c r="AB42" i="58" s="1"/>
  <c r="AA43" i="58"/>
  <c r="AB43" i="58" s="1"/>
  <c r="AA48" i="57"/>
  <c r="AB48" i="57" s="1"/>
  <c r="AN111" i="58"/>
  <c r="AO111" i="58" s="1"/>
  <c r="AN113" i="58"/>
  <c r="AO113" i="58" s="1"/>
  <c r="AA70" i="58"/>
  <c r="AB70" i="58" s="1"/>
  <c r="AA69" i="57"/>
  <c r="AB69" i="57" s="1"/>
  <c r="AN112" i="58"/>
  <c r="AO112" i="58" s="1"/>
  <c r="AA63" i="55"/>
  <c r="AA63" i="58"/>
  <c r="AB63" i="58" s="1"/>
  <c r="AY3" i="57"/>
  <c r="AZ3" i="57" s="1"/>
  <c r="AY3" i="58"/>
  <c r="AZ3" i="58" s="1"/>
  <c r="AA80" i="58"/>
  <c r="AB80" i="58" s="1"/>
  <c r="AA84" i="55"/>
  <c r="AA84" i="57"/>
  <c r="AB84" i="57" s="1"/>
  <c r="AA74" i="55"/>
  <c r="AA80" i="57"/>
  <c r="AB80" i="57" s="1"/>
  <c r="AN75" i="55"/>
  <c r="AN76" i="58"/>
  <c r="AO76" i="58" s="1"/>
  <c r="AA59" i="58"/>
  <c r="AB59" i="58" s="1"/>
  <c r="AA63" i="57"/>
  <c r="AB63" i="57" s="1"/>
  <c r="AA53" i="57"/>
  <c r="AB53" i="57" s="1"/>
  <c r="AA51" i="55"/>
  <c r="AN93" i="58"/>
  <c r="AO93" i="58" s="1"/>
  <c r="AA17" i="58"/>
  <c r="AB17" i="58" s="1"/>
  <c r="AA16" i="58"/>
  <c r="AB16" i="58" s="1"/>
  <c r="AA17" i="55"/>
  <c r="AN101" i="57"/>
  <c r="AO101" i="57" s="1"/>
  <c r="AN101" i="58"/>
  <c r="AO101" i="58" s="1"/>
  <c r="AN101" i="55"/>
  <c r="AN9" i="58"/>
  <c r="AO9" i="58" s="1"/>
  <c r="AN7" i="58"/>
  <c r="AO7" i="58" s="1"/>
  <c r="AN7" i="55"/>
  <c r="AN7" i="57"/>
  <c r="AO7" i="57" s="1"/>
  <c r="AA51" i="58"/>
  <c r="AB51" i="58" s="1"/>
  <c r="AA56" i="57"/>
  <c r="AB56" i="57" s="1"/>
  <c r="AN69" i="58"/>
  <c r="AO69" i="58" s="1"/>
  <c r="AN71" i="58"/>
  <c r="AO71" i="58" s="1"/>
  <c r="AY50" i="58"/>
  <c r="AZ50" i="58" s="1"/>
  <c r="AY49" i="57"/>
  <c r="AZ49" i="57" s="1"/>
  <c r="AA62" i="58"/>
  <c r="AB62" i="58" s="1"/>
  <c r="AA64" i="55"/>
  <c r="AN140" i="57"/>
  <c r="AO140" i="57" s="1"/>
  <c r="AN140" i="55"/>
  <c r="AN68" i="58"/>
  <c r="AO68" i="58" s="1"/>
  <c r="AN65" i="57"/>
  <c r="AO65" i="57" s="1"/>
  <c r="AN65" i="58"/>
  <c r="AO65" i="58" s="1"/>
  <c r="AN65" i="55"/>
  <c r="AA72" i="58"/>
  <c r="AB72" i="58" s="1"/>
  <c r="AA73" i="57"/>
  <c r="AB73" i="57" s="1"/>
  <c r="AA73" i="58"/>
  <c r="AB73" i="58" s="1"/>
  <c r="AA8" i="57"/>
  <c r="AB8" i="57" s="1"/>
  <c r="AA8" i="55"/>
  <c r="AN18" i="58"/>
  <c r="AO18" i="58" s="1"/>
  <c r="AN16" i="58"/>
  <c r="AO16" i="58" s="1"/>
  <c r="M140" i="36"/>
  <c r="N140" i="36"/>
  <c r="AN85" i="58"/>
  <c r="AO85" i="58" s="1"/>
  <c r="AN86" i="57"/>
  <c r="AO86" i="57" s="1"/>
  <c r="AN85" i="55"/>
  <c r="AA78" i="58"/>
  <c r="AB78" i="58" s="1"/>
  <c r="AA78" i="55"/>
  <c r="AN108" i="57"/>
  <c r="AO108" i="57" s="1"/>
  <c r="AN108" i="58"/>
  <c r="AO108" i="58" s="1"/>
  <c r="AA4" i="58"/>
  <c r="AB4" i="58" s="1"/>
  <c r="AA5" i="58"/>
  <c r="AB5" i="58" s="1"/>
  <c r="AN99" i="58"/>
  <c r="AO99" i="58" s="1"/>
  <c r="AN103" i="58"/>
  <c r="AO103" i="58" s="1"/>
  <c r="L162" i="35"/>
  <c r="M162" i="35"/>
  <c r="AA11" i="58"/>
  <c r="AB11" i="58" s="1"/>
  <c r="AA12" i="55"/>
  <c r="AN31" i="58"/>
  <c r="AO31" i="58" s="1"/>
  <c r="AN17" i="58"/>
  <c r="AO17" i="58" s="1"/>
  <c r="AN16" i="57"/>
  <c r="AO16" i="57" s="1"/>
  <c r="AA81" i="57"/>
  <c r="AB81" i="57" s="1"/>
  <c r="AA86" i="58"/>
  <c r="AB86" i="58" s="1"/>
  <c r="AN96" i="58"/>
  <c r="AO96" i="58" s="1"/>
  <c r="AN100" i="58"/>
  <c r="AO100" i="58" s="1"/>
  <c r="AA24" i="57"/>
  <c r="AB24" i="57" s="1"/>
  <c r="AA25" i="58"/>
  <c r="AB25" i="58" s="1"/>
  <c r="AA38" i="58"/>
  <c r="AB38" i="58" s="1"/>
  <c r="AA40" i="58"/>
  <c r="AB40" i="58" s="1"/>
  <c r="AA7" i="58"/>
  <c r="AB7" i="58" s="1"/>
  <c r="AA6" i="58"/>
  <c r="AB6" i="58" s="1"/>
  <c r="M84" i="36"/>
  <c r="N84" i="36"/>
  <c r="AA66" i="58"/>
  <c r="AB66" i="58" s="1"/>
  <c r="AA65" i="58"/>
  <c r="AB65" i="58" s="1"/>
  <c r="J51" i="34"/>
  <c r="K51" i="34"/>
  <c r="J52" i="34"/>
  <c r="K52" i="34"/>
  <c r="AY25" i="58"/>
  <c r="AZ25" i="58" s="1"/>
  <c r="AY26" i="55"/>
  <c r="AA75" i="58"/>
  <c r="AB75" i="58" s="1"/>
  <c r="AN48" i="58"/>
  <c r="AO48" i="58" s="1"/>
  <c r="AN40" i="58"/>
  <c r="AO40" i="58" s="1"/>
  <c r="AA88" i="58"/>
  <c r="AB88" i="58" s="1"/>
  <c r="M68" i="36"/>
  <c r="N68" i="36"/>
  <c r="M69" i="36"/>
  <c r="N69" i="36"/>
  <c r="AN46" i="58"/>
  <c r="AO46" i="58" s="1"/>
  <c r="AN51" i="58"/>
  <c r="AO51" i="58" s="1"/>
  <c r="AN36" i="58"/>
  <c r="AO36" i="58" s="1"/>
  <c r="AN37" i="57"/>
  <c r="AO37" i="57" s="1"/>
  <c r="AN37" i="58"/>
  <c r="AO37" i="58" s="1"/>
  <c r="AN8" i="58"/>
  <c r="AO8" i="58" s="1"/>
  <c r="AN10" i="58"/>
  <c r="AO10" i="58" s="1"/>
  <c r="AN67" i="58"/>
  <c r="AO67" i="58" s="1"/>
  <c r="AN62" i="55"/>
  <c r="AN63" i="58"/>
  <c r="AO63" i="58" s="1"/>
  <c r="M31" i="35"/>
  <c r="L31" i="35"/>
  <c r="AY45" i="58"/>
  <c r="AZ45" i="58" s="1"/>
  <c r="AY46" i="58"/>
  <c r="AZ46" i="58" s="1"/>
  <c r="AN92" i="58"/>
  <c r="AO92" i="58" s="1"/>
  <c r="AN84" i="58"/>
  <c r="AO84" i="58" s="1"/>
  <c r="AA3" i="47"/>
  <c r="AP3" i="47"/>
  <c r="AY3" i="55"/>
  <c r="AZ10" i="58"/>
  <c r="AZ47" i="58"/>
  <c r="AA23" i="58"/>
  <c r="AB23" i="58" s="1"/>
  <c r="AN93" i="57"/>
  <c r="AO93" i="57" s="1"/>
  <c r="AN109" i="55"/>
  <c r="AS13" i="58"/>
  <c r="AS14" i="57"/>
  <c r="AT14" i="57"/>
  <c r="AT13" i="58"/>
  <c r="AN12" i="55"/>
  <c r="AN54" i="58"/>
  <c r="AO54" i="58" s="1"/>
  <c r="AN53" i="58"/>
  <c r="AO53" i="58" s="1"/>
  <c r="AN67" i="57"/>
  <c r="AO67" i="57" s="1"/>
  <c r="AN55" i="58"/>
  <c r="AO55" i="58" s="1"/>
  <c r="AN57" i="57"/>
  <c r="AO57" i="57" s="1"/>
  <c r="AN125" i="58"/>
  <c r="AO125" i="58" s="1"/>
  <c r="AN122" i="58"/>
  <c r="AO122" i="58" s="1"/>
  <c r="AA91" i="55"/>
  <c r="AY37" i="55"/>
  <c r="AN54" i="55"/>
  <c r="AN46" i="55"/>
  <c r="AN99" i="55"/>
  <c r="AN60" i="57"/>
  <c r="AO60" i="57" s="1"/>
  <c r="AN60" i="58"/>
  <c r="AO60" i="58" s="1"/>
  <c r="AN109" i="57"/>
  <c r="AO109" i="57" s="1"/>
  <c r="AN109" i="58"/>
  <c r="AO109" i="58" s="1"/>
  <c r="AA82" i="57"/>
  <c r="AB82" i="57" s="1"/>
  <c r="AA82" i="58"/>
  <c r="AB82" i="58" s="1"/>
  <c r="AA60" i="57"/>
  <c r="AB60" i="57" s="1"/>
  <c r="AA60" i="58"/>
  <c r="AB60" i="58" s="1"/>
  <c r="AN116" i="57"/>
  <c r="AO116" i="57" s="1"/>
  <c r="AN116" i="58"/>
  <c r="AO116" i="58" s="1"/>
  <c r="AN12" i="57"/>
  <c r="AO12" i="57" s="1"/>
  <c r="AN12" i="58"/>
  <c r="AO12" i="58" s="1"/>
  <c r="AN35" i="57"/>
  <c r="AO35" i="57" s="1"/>
  <c r="AN35" i="58"/>
  <c r="AO35" i="58" s="1"/>
  <c r="AN102" i="57"/>
  <c r="AO102" i="57" s="1"/>
  <c r="AN102" i="58"/>
  <c r="AO102" i="58" s="1"/>
  <c r="AA74" i="57"/>
  <c r="AB74" i="57" s="1"/>
  <c r="AA74" i="58"/>
  <c r="AB74" i="58" s="1"/>
  <c r="AA49" i="57"/>
  <c r="AB49" i="57" s="1"/>
  <c r="AA49" i="58"/>
  <c r="AB49" i="58" s="1"/>
  <c r="AY37" i="57"/>
  <c r="AZ37" i="57" s="1"/>
  <c r="AY37" i="58"/>
  <c r="AZ37" i="58" s="1"/>
  <c r="AA13" i="57"/>
  <c r="AB13" i="57" s="1"/>
  <c r="AA13" i="58"/>
  <c r="AB13" i="58" s="1"/>
  <c r="AN56" i="57"/>
  <c r="AO56" i="57" s="1"/>
  <c r="AN56" i="58"/>
  <c r="AO56" i="58" s="1"/>
  <c r="AN42" i="57"/>
  <c r="AO42" i="57" s="1"/>
  <c r="AN42" i="58"/>
  <c r="AO42" i="58" s="1"/>
  <c r="AN32" i="57"/>
  <c r="AO32" i="57" s="1"/>
  <c r="AN32" i="58"/>
  <c r="AO32" i="58" s="1"/>
  <c r="AN107" i="57"/>
  <c r="AO107" i="57" s="1"/>
  <c r="AN107" i="58"/>
  <c r="AO107" i="58" s="1"/>
  <c r="AA76" i="57"/>
  <c r="AB76" i="57" s="1"/>
  <c r="AA76" i="58"/>
  <c r="AB76" i="58" s="1"/>
  <c r="AA91" i="57"/>
  <c r="AB91" i="57" s="1"/>
  <c r="AA91" i="58"/>
  <c r="AB91" i="58" s="1"/>
  <c r="AA85" i="57"/>
  <c r="AB85" i="57" s="1"/>
  <c r="AA85" i="58"/>
  <c r="AB85" i="58" s="1"/>
  <c r="AY31" i="57"/>
  <c r="AZ31" i="57" s="1"/>
  <c r="AY31" i="58"/>
  <c r="AZ31" i="58" s="1"/>
  <c r="AN33" i="57"/>
  <c r="AO33" i="57" s="1"/>
  <c r="AN33" i="58"/>
  <c r="AO33" i="58" s="1"/>
  <c r="AA77" i="57"/>
  <c r="AB77" i="57" s="1"/>
  <c r="AA77" i="58"/>
  <c r="AB77" i="58" s="1"/>
  <c r="AA55" i="57"/>
  <c r="AB55" i="57" s="1"/>
  <c r="AA55" i="58"/>
  <c r="AB55" i="58" s="1"/>
  <c r="AN74" i="57"/>
  <c r="AO74" i="57" s="1"/>
  <c r="AN74" i="58"/>
  <c r="AO74" i="58" s="1"/>
  <c r="AN107" i="55"/>
  <c r="AN32" i="55"/>
  <c r="AA55" i="55"/>
  <c r="AN17" i="55"/>
  <c r="AN42" i="55"/>
  <c r="AN45" i="55"/>
  <c r="AN116" i="55"/>
  <c r="AN35" i="55"/>
  <c r="AN56" i="55"/>
  <c r="AN60" i="55"/>
  <c r="AN41" i="55"/>
  <c r="AA85" i="55"/>
  <c r="AY42" i="55"/>
  <c r="AY42" i="57"/>
  <c r="AZ42" i="57" s="1"/>
  <c r="AN133" i="57"/>
  <c r="AO133" i="57" s="1"/>
  <c r="AN133" i="55"/>
  <c r="AN82" i="55"/>
  <c r="AN112" i="57"/>
  <c r="AO112" i="57" s="1"/>
  <c r="AN73" i="55"/>
  <c r="AN45" i="57"/>
  <c r="AO45" i="57" s="1"/>
  <c r="AN22" i="55"/>
  <c r="AN79" i="57"/>
  <c r="AO79" i="57" s="1"/>
  <c r="AN79" i="55"/>
  <c r="AN59" i="55"/>
  <c r="AN111" i="57"/>
  <c r="AO111" i="57" s="1"/>
  <c r="AN111" i="55"/>
  <c r="AN19" i="55"/>
  <c r="AN38" i="57"/>
  <c r="AO38" i="57" s="1"/>
  <c r="AN38" i="55"/>
  <c r="AN50" i="55"/>
  <c r="AN41" i="57"/>
  <c r="AO41" i="57" s="1"/>
  <c r="AN33" i="55"/>
  <c r="AN17" i="57"/>
  <c r="AO17" i="57" s="1"/>
  <c r="AA77" i="55"/>
  <c r="AA88" i="55"/>
  <c r="AA88" i="57"/>
  <c r="AB88" i="57" s="1"/>
  <c r="AN58" i="55"/>
  <c r="AN96" i="55"/>
  <c r="AN96" i="57"/>
  <c r="AO96" i="57" s="1"/>
  <c r="AY50" i="55"/>
  <c r="AY50" i="57"/>
  <c r="AZ50" i="57" s="1"/>
  <c r="AN113" i="55"/>
  <c r="AN130" i="57"/>
  <c r="AO130" i="57" s="1"/>
  <c r="AN130" i="55"/>
  <c r="AN26" i="55"/>
  <c r="AN54" i="57"/>
  <c r="AO54" i="57" s="1"/>
  <c r="AN47" i="55"/>
  <c r="AN46" i="57"/>
  <c r="AO46" i="57" s="1"/>
  <c r="AA3" i="55"/>
  <c r="AA3" i="57"/>
  <c r="AB3" i="57" s="1"/>
  <c r="AN20" i="55"/>
  <c r="AN36" i="55"/>
  <c r="AN36" i="57"/>
  <c r="AO36" i="57" s="1"/>
  <c r="AY45" i="55"/>
  <c r="AY45" i="57"/>
  <c r="AZ45" i="57" s="1"/>
  <c r="AN126" i="57"/>
  <c r="AO126" i="57" s="1"/>
  <c r="AN126" i="55"/>
  <c r="AN91" i="55"/>
  <c r="AN92" i="57"/>
  <c r="AO92" i="57" s="1"/>
  <c r="AN92" i="55"/>
  <c r="AN83" i="55"/>
  <c r="AN99" i="57"/>
  <c r="AO99" i="57" s="1"/>
  <c r="AN69" i="57"/>
  <c r="AO69" i="57" s="1"/>
  <c r="AN69" i="55"/>
  <c r="AN95" i="55"/>
  <c r="AN127" i="57"/>
  <c r="AO127" i="57" s="1"/>
  <c r="AN127" i="55"/>
  <c r="AY39" i="57"/>
  <c r="AZ39" i="57" s="1"/>
  <c r="AY39" i="55"/>
  <c r="AN48" i="55"/>
  <c r="AN48" i="57"/>
  <c r="AO48" i="57" s="1"/>
  <c r="AA73" i="55"/>
  <c r="AA66" i="57"/>
  <c r="AB66" i="57" s="1"/>
  <c r="AA66" i="55"/>
  <c r="AN68" i="57"/>
  <c r="AO68" i="57" s="1"/>
  <c r="AN68" i="55"/>
  <c r="AN18" i="55"/>
  <c r="AN18" i="57"/>
  <c r="AO18" i="57" s="1"/>
  <c r="AA42" i="55"/>
  <c r="AA42" i="57"/>
  <c r="AB42" i="57" s="1"/>
  <c r="AA69" i="55"/>
  <c r="AA72" i="57"/>
  <c r="AB72" i="57" s="1"/>
  <c r="AA72" i="55"/>
  <c r="AA36" i="55"/>
  <c r="AA62" i="57"/>
  <c r="AB62" i="57" s="1"/>
  <c r="AA13" i="55"/>
  <c r="AA7" i="55"/>
  <c r="AA7" i="57"/>
  <c r="AB7" i="57" s="1"/>
  <c r="AA82" i="55"/>
  <c r="AA70" i="55"/>
  <c r="AA70" i="57"/>
  <c r="AB70" i="57" s="1"/>
  <c r="AA26" i="55"/>
  <c r="AA26" i="57"/>
  <c r="AB26" i="57" s="1"/>
  <c r="AN3" i="55"/>
  <c r="AN8" i="55"/>
  <c r="AN8" i="57"/>
  <c r="AO8" i="57" s="1"/>
  <c r="AA54" i="55"/>
  <c r="AA54" i="57"/>
  <c r="AB54" i="57" s="1"/>
  <c r="AN72" i="57"/>
  <c r="AO72" i="57" s="1"/>
  <c r="AN72" i="55"/>
  <c r="AA90" i="55"/>
  <c r="AA45" i="55"/>
  <c r="AA45" i="57"/>
  <c r="AB45" i="57" s="1"/>
  <c r="AA5" i="55"/>
  <c r="AA4" i="55"/>
  <c r="AA4" i="57"/>
  <c r="AB4" i="57" s="1"/>
  <c r="AN51" i="55"/>
  <c r="AN9" i="55"/>
  <c r="AN9" i="57"/>
  <c r="AO9" i="57" s="1"/>
  <c r="AA18" i="55"/>
  <c r="AA23" i="57"/>
  <c r="AB23" i="57" s="1"/>
  <c r="AA23" i="55"/>
  <c r="AN31" i="57"/>
  <c r="AO31" i="57" s="1"/>
  <c r="AN31" i="55"/>
  <c r="AA28" i="55"/>
  <c r="AA47" i="57"/>
  <c r="AB47" i="57" s="1"/>
  <c r="AA41" i="55"/>
  <c r="AA22" i="55"/>
  <c r="AA22" i="57"/>
  <c r="AB22" i="57" s="1"/>
  <c r="AN70" i="57"/>
  <c r="AO70" i="57" s="1"/>
  <c r="AN70" i="55"/>
  <c r="AA29" i="55"/>
  <c r="AA38" i="55"/>
  <c r="AA38" i="57"/>
  <c r="AB38" i="57" s="1"/>
  <c r="AN125" i="57"/>
  <c r="AO125" i="57" s="1"/>
  <c r="AN125" i="55"/>
  <c r="M58" i="35"/>
  <c r="L58" i="35"/>
  <c r="L85" i="35"/>
  <c r="M85" i="35"/>
  <c r="L9" i="35"/>
  <c r="M9" i="35"/>
  <c r="K55" i="34"/>
  <c r="J55" i="34"/>
  <c r="L161" i="35"/>
  <c r="M161" i="35"/>
  <c r="AN104" i="55"/>
  <c r="AN118" i="55"/>
  <c r="J57" i="34"/>
  <c r="K57" i="34"/>
  <c r="M201" i="35"/>
  <c r="L201" i="35"/>
  <c r="M192" i="35"/>
  <c r="L192" i="35"/>
  <c r="M191" i="35"/>
  <c r="L191" i="35"/>
  <c r="L181" i="35"/>
  <c r="M181" i="35"/>
  <c r="L182" i="35"/>
  <c r="M182" i="35"/>
  <c r="L168" i="35"/>
  <c r="M168" i="35"/>
  <c r="M167" i="35"/>
  <c r="L167" i="35"/>
  <c r="M171" i="35"/>
  <c r="L171" i="35"/>
  <c r="J78" i="34"/>
  <c r="K78" i="34"/>
  <c r="L150" i="35"/>
  <c r="M150" i="35"/>
  <c r="N114" i="36"/>
  <c r="M114" i="36"/>
  <c r="N115" i="36"/>
  <c r="M115" i="36"/>
  <c r="AA76" i="55"/>
  <c r="AA60" i="55"/>
  <c r="M145" i="35"/>
  <c r="L145" i="35"/>
  <c r="N116" i="36"/>
  <c r="M116" i="36"/>
  <c r="L139" i="35"/>
  <c r="M139" i="35"/>
  <c r="K58" i="34"/>
  <c r="J58" i="34"/>
  <c r="L128" i="35"/>
  <c r="M128" i="35"/>
  <c r="L106" i="35"/>
  <c r="M106" i="35"/>
  <c r="N82" i="36"/>
  <c r="M82" i="36"/>
  <c r="L100" i="35"/>
  <c r="M100" i="35"/>
  <c r="AN23" i="55"/>
  <c r="AN44" i="55"/>
  <c r="AN117" i="55"/>
  <c r="M91" i="35"/>
  <c r="L91" i="35"/>
  <c r="M94" i="35"/>
  <c r="L94" i="35"/>
  <c r="L95" i="35"/>
  <c r="M95" i="35"/>
  <c r="AA62" i="55"/>
  <c r="N70" i="36"/>
  <c r="M70" i="36"/>
  <c r="J39" i="34"/>
  <c r="K39" i="34"/>
  <c r="M74" i="35"/>
  <c r="L74" i="35"/>
  <c r="M52" i="36"/>
  <c r="N52" i="36"/>
  <c r="M59" i="35"/>
  <c r="L59" i="35"/>
  <c r="M41" i="36"/>
  <c r="N41" i="36"/>
  <c r="J15" i="34"/>
  <c r="K15" i="34"/>
  <c r="A18" i="36"/>
  <c r="A19" i="36" s="1"/>
  <c r="A20" i="36" s="1"/>
  <c r="A21" i="36" s="1"/>
  <c r="A22" i="36" s="1"/>
  <c r="J16" i="47"/>
  <c r="K16" i="47"/>
  <c r="J15" i="47"/>
  <c r="L16" i="47"/>
  <c r="K15" i="47"/>
  <c r="K14" i="47"/>
  <c r="J14" i="47"/>
  <c r="L15" i="47"/>
  <c r="M14" i="47"/>
  <c r="M16" i="47"/>
  <c r="M15" i="47"/>
  <c r="M16" i="35"/>
  <c r="L16" i="35"/>
  <c r="L18" i="35"/>
  <c r="M18" i="35"/>
  <c r="N12" i="36"/>
  <c r="M12" i="36"/>
  <c r="L11" i="35"/>
  <c r="M11" i="35"/>
  <c r="M4" i="36"/>
  <c r="N4" i="36"/>
  <c r="M5" i="47"/>
  <c r="AA53" i="55"/>
  <c r="AP108" i="47"/>
  <c r="T8" i="47"/>
  <c r="AP107" i="47"/>
  <c r="T7" i="47"/>
  <c r="L6" i="35"/>
  <c r="M6" i="35"/>
  <c r="N3" i="36"/>
  <c r="M3" i="36"/>
  <c r="AA48" i="55"/>
  <c r="AA49" i="55"/>
  <c r="M4" i="47"/>
  <c r="M7" i="35"/>
  <c r="L7" i="35"/>
  <c r="AA19" i="55"/>
  <c r="M6" i="47"/>
  <c r="N5" i="36"/>
  <c r="M5" i="36"/>
  <c r="K79" i="34"/>
  <c r="J79" i="34"/>
  <c r="M163" i="35"/>
  <c r="L163" i="35"/>
  <c r="M125" i="35"/>
  <c r="L125" i="35"/>
  <c r="M123" i="35"/>
  <c r="L123" i="35"/>
  <c r="K54" i="34"/>
  <c r="J54" i="34"/>
  <c r="K24" i="34"/>
  <c r="J24" i="34"/>
  <c r="J25" i="34"/>
  <c r="K25" i="34"/>
  <c r="T6" i="47"/>
  <c r="AP106" i="47"/>
  <c r="M10" i="47"/>
  <c r="AA6" i="55"/>
  <c r="M46" i="35"/>
  <c r="L46" i="35"/>
  <c r="AN112" i="55"/>
  <c r="N57" i="36"/>
  <c r="M57" i="36"/>
  <c r="AN37" i="55"/>
  <c r="AN10" i="55"/>
  <c r="L92" i="35"/>
  <c r="M92" i="35"/>
  <c r="L90" i="35"/>
  <c r="M90" i="35"/>
  <c r="M98" i="35"/>
  <c r="L98" i="35"/>
  <c r="M101" i="35"/>
  <c r="L101" i="35"/>
  <c r="L97" i="35"/>
  <c r="M97" i="35"/>
  <c r="N80" i="36"/>
  <c r="M80" i="36"/>
  <c r="M107" i="35"/>
  <c r="L107" i="35"/>
  <c r="N83" i="36"/>
  <c r="M83" i="36"/>
  <c r="M122" i="35"/>
  <c r="L122" i="35"/>
  <c r="L152" i="35"/>
  <c r="M152" i="35"/>
  <c r="L170" i="35"/>
  <c r="M170" i="35"/>
  <c r="L180" i="35"/>
  <c r="M180" i="35"/>
  <c r="L198" i="35"/>
  <c r="M198" i="35"/>
  <c r="L197" i="35"/>
  <c r="M197" i="35"/>
  <c r="L199" i="35"/>
  <c r="M199" i="35"/>
  <c r="N78" i="36"/>
  <c r="M78" i="36"/>
  <c r="AA75" i="55"/>
  <c r="AA61" i="55"/>
  <c r="AA65" i="55"/>
  <c r="A23" i="36"/>
  <c r="A24" i="36" s="1"/>
  <c r="A25" i="36" s="1"/>
  <c r="A26" i="36" s="1"/>
  <c r="A27" i="36" s="1"/>
  <c r="A28" i="36" s="1"/>
  <c r="A29" i="36" s="1"/>
  <c r="A30" i="36" s="1"/>
  <c r="A31" i="36" s="1"/>
  <c r="A32" i="36" s="1"/>
  <c r="M23" i="47"/>
  <c r="K21" i="47"/>
  <c r="K18" i="47"/>
  <c r="L24" i="47"/>
  <c r="L20" i="47"/>
  <c r="L17" i="47"/>
  <c r="L21" i="47"/>
  <c r="L22" i="47"/>
  <c r="L18" i="47"/>
  <c r="M24" i="47"/>
  <c r="K22" i="47"/>
  <c r="J23" i="47"/>
  <c r="J22" i="47"/>
  <c r="K24" i="47"/>
  <c r="J19" i="47"/>
  <c r="J18" i="47"/>
  <c r="J20" i="47"/>
  <c r="J24" i="47"/>
  <c r="K23" i="47"/>
  <c r="L23" i="47"/>
  <c r="J21" i="47"/>
  <c r="K20" i="47"/>
  <c r="K19" i="47"/>
  <c r="K17" i="47"/>
  <c r="L19" i="47"/>
  <c r="J17" i="47"/>
  <c r="M17" i="47"/>
  <c r="M18" i="47"/>
  <c r="M19" i="47"/>
  <c r="M22" i="47"/>
  <c r="M21" i="47"/>
  <c r="M20" i="47"/>
  <c r="L5" i="35"/>
  <c r="M5" i="35"/>
  <c r="N73" i="36"/>
  <c r="M73" i="36"/>
  <c r="N153" i="36"/>
  <c r="M153" i="36"/>
  <c r="M144" i="36"/>
  <c r="N144" i="36"/>
  <c r="L175" i="35"/>
  <c r="M175" i="35"/>
  <c r="M99" i="36"/>
  <c r="N99" i="36"/>
  <c r="N98" i="36"/>
  <c r="M98" i="36"/>
  <c r="M97" i="36"/>
  <c r="N97" i="36"/>
  <c r="AA58" i="55"/>
  <c r="AA47" i="55"/>
  <c r="K89" i="34"/>
  <c r="J89" i="34"/>
  <c r="AY31" i="55"/>
  <c r="AY25" i="55"/>
  <c r="M72" i="36"/>
  <c r="N72" i="36"/>
  <c r="J49" i="34"/>
  <c r="K49" i="34"/>
  <c r="L52" i="35"/>
  <c r="M52" i="35"/>
  <c r="J2" i="34"/>
  <c r="K2" i="34"/>
  <c r="M91" i="36"/>
  <c r="N91" i="36"/>
  <c r="M135" i="35"/>
  <c r="L135" i="35"/>
  <c r="L114" i="35"/>
  <c r="M114" i="35"/>
  <c r="N64" i="36"/>
  <c r="M64" i="36"/>
  <c r="N128" i="36"/>
  <c r="M128" i="36"/>
  <c r="L169" i="35"/>
  <c r="M169" i="35"/>
  <c r="M142" i="35"/>
  <c r="L142" i="35"/>
  <c r="N44" i="36"/>
  <c r="M44" i="36"/>
  <c r="N142" i="36"/>
  <c r="M142" i="36"/>
  <c r="M107" i="36"/>
  <c r="N107" i="36"/>
  <c r="N138" i="36"/>
  <c r="M138" i="36"/>
  <c r="M190" i="35"/>
  <c r="L190" i="35"/>
  <c r="M166" i="35"/>
  <c r="L166" i="35"/>
  <c r="L165" i="35"/>
  <c r="M165" i="35"/>
  <c r="N127" i="36"/>
  <c r="M127" i="36"/>
  <c r="M118" i="36"/>
  <c r="N118" i="36"/>
  <c r="M117" i="36"/>
  <c r="N117" i="36"/>
  <c r="AN84" i="55"/>
  <c r="AN74" i="55"/>
  <c r="M137" i="35"/>
  <c r="L137" i="35"/>
  <c r="M103" i="36"/>
  <c r="N103" i="36"/>
  <c r="N102" i="36"/>
  <c r="M102" i="36"/>
  <c r="N96" i="36"/>
  <c r="M96" i="36"/>
  <c r="M48" i="35"/>
  <c r="L48" i="35"/>
  <c r="L49" i="35"/>
  <c r="M49" i="35"/>
  <c r="M34" i="36"/>
  <c r="N34" i="36"/>
  <c r="N161" i="36"/>
  <c r="M161" i="36"/>
  <c r="C30" i="47"/>
  <c r="D30" i="47"/>
  <c r="E30" i="47"/>
  <c r="F30" i="47"/>
  <c r="A31" i="33"/>
  <c r="A14" i="34"/>
  <c r="AO13" i="47"/>
  <c r="AN13" i="47"/>
  <c r="Q10" i="47"/>
  <c r="S10" i="47"/>
  <c r="A11" i="35"/>
  <c r="T11" i="47" s="1"/>
  <c r="AP110" i="47"/>
  <c r="R10" i="47"/>
  <c r="AO110" i="47"/>
  <c r="T10" i="47"/>
  <c r="AL110" i="47"/>
  <c r="R32" i="57" l="1"/>
  <c r="R7" i="58"/>
  <c r="S35" i="57"/>
  <c r="S6" i="55"/>
  <c r="R6" i="55"/>
  <c r="R6" i="57"/>
  <c r="S32" i="57"/>
  <c r="S6" i="57"/>
  <c r="R35" i="57"/>
  <c r="D23" i="57"/>
  <c r="D23" i="58"/>
  <c r="R14" i="55"/>
  <c r="S14" i="55"/>
  <c r="A33" i="36"/>
  <c r="M25" i="47"/>
  <c r="J25" i="47"/>
  <c r="C17" i="55"/>
  <c r="A32" i="33"/>
  <c r="C31" i="47"/>
  <c r="E31" i="47"/>
  <c r="D31" i="47"/>
  <c r="A15" i="34"/>
  <c r="AO14" i="47"/>
  <c r="AL13" i="47"/>
  <c r="Z13" i="47"/>
  <c r="Z14" i="47"/>
  <c r="AA13" i="47"/>
  <c r="X14" i="47"/>
  <c r="AA14" i="47"/>
  <c r="Y13" i="47"/>
  <c r="AP13" i="47"/>
  <c r="AL14" i="47"/>
  <c r="X13" i="47"/>
  <c r="AN111" i="47"/>
  <c r="AL111" i="47"/>
  <c r="R11" i="47"/>
  <c r="Q11" i="47"/>
  <c r="AP111" i="47"/>
  <c r="A12" i="35"/>
  <c r="Q12" i="47" s="1"/>
  <c r="S11" i="47"/>
  <c r="AO111" i="47"/>
  <c r="AS35" i="57" l="1"/>
  <c r="AT35" i="57"/>
  <c r="D25" i="58"/>
  <c r="D25" i="57"/>
  <c r="D25" i="55"/>
  <c r="L27" i="47"/>
  <c r="K28" i="47"/>
  <c r="K25" i="47"/>
  <c r="L25" i="47"/>
  <c r="M26" i="47"/>
  <c r="A34" i="36"/>
  <c r="J26" i="47"/>
  <c r="A33" i="33"/>
  <c r="F32" i="47" s="1"/>
  <c r="F31" i="47"/>
  <c r="D30" i="55"/>
  <c r="A16" i="34"/>
  <c r="Y14" i="47"/>
  <c r="AP14" i="47"/>
  <c r="AN14" i="47"/>
  <c r="A13" i="35"/>
  <c r="AL112" i="47"/>
  <c r="AO112" i="47"/>
  <c r="R12" i="47"/>
  <c r="S12" i="47"/>
  <c r="AP112" i="47"/>
  <c r="T12" i="47"/>
  <c r="AN112" i="47"/>
  <c r="A35" i="36" l="1"/>
  <c r="A36" i="36" s="1"/>
  <c r="A37" i="36" s="1"/>
  <c r="A38" i="36" s="1"/>
  <c r="A39" i="36" s="1"/>
  <c r="J27" i="47"/>
  <c r="K26" i="47"/>
  <c r="L26" i="47"/>
  <c r="M28" i="47"/>
  <c r="L28" i="47"/>
  <c r="K27" i="47"/>
  <c r="M27" i="47"/>
  <c r="C32" i="47"/>
  <c r="D32" i="47"/>
  <c r="E32" i="47"/>
  <c r="A34" i="33"/>
  <c r="A17" i="34"/>
  <c r="AA15" i="47"/>
  <c r="Z16" i="47"/>
  <c r="AN16" i="47"/>
  <c r="AL16" i="47"/>
  <c r="AP16" i="47"/>
  <c r="AO16" i="47"/>
  <c r="AN15" i="47"/>
  <c r="Y16" i="47"/>
  <c r="AP15" i="47"/>
  <c r="AL15" i="47"/>
  <c r="X15" i="47"/>
  <c r="AA16" i="47"/>
  <c r="A14" i="35"/>
  <c r="T13" i="47" s="1"/>
  <c r="AL113" i="47"/>
  <c r="D37" i="57" l="1"/>
  <c r="D37" i="58"/>
  <c r="D37" i="55"/>
  <c r="L29" i="47"/>
  <c r="J29" i="47"/>
  <c r="K29" i="47"/>
  <c r="A40" i="36"/>
  <c r="J28" i="47"/>
  <c r="E33" i="47"/>
  <c r="F33" i="47"/>
  <c r="F34" i="47"/>
  <c r="A35" i="33"/>
  <c r="A18" i="34"/>
  <c r="X16" i="47"/>
  <c r="A15" i="35"/>
  <c r="AL114" i="47" s="1"/>
  <c r="AP113" i="47"/>
  <c r="S13" i="47"/>
  <c r="D10" i="57" l="1"/>
  <c r="D10" i="58"/>
  <c r="A41" i="36"/>
  <c r="M29" i="47"/>
  <c r="A36" i="33"/>
  <c r="A19" i="34"/>
  <c r="X17" i="47"/>
  <c r="AA17" i="47"/>
  <c r="AN17" i="47"/>
  <c r="AP17" i="47"/>
  <c r="A16" i="35"/>
  <c r="T14" i="47"/>
  <c r="A42" i="36" l="1"/>
  <c r="A43" i="36" s="1"/>
  <c r="A44" i="36" s="1"/>
  <c r="A45" i="36" s="1"/>
  <c r="K31" i="47"/>
  <c r="M31" i="47"/>
  <c r="J31" i="47"/>
  <c r="K30" i="47"/>
  <c r="L30" i="47"/>
  <c r="M30" i="47"/>
  <c r="A46" i="36"/>
  <c r="A47" i="36" s="1"/>
  <c r="A48" i="36" s="1"/>
  <c r="J30" i="47"/>
  <c r="A37" i="33"/>
  <c r="A20" i="34"/>
  <c r="K32" i="47"/>
  <c r="A17" i="35"/>
  <c r="T15" i="47"/>
  <c r="M32" i="47" l="1"/>
  <c r="A49" i="36"/>
  <c r="A38" i="33"/>
  <c r="A21" i="34"/>
  <c r="AA18" i="47"/>
  <c r="J33" i="47"/>
  <c r="M33" i="47"/>
  <c r="L33" i="47"/>
  <c r="A18" i="35"/>
  <c r="K33" i="47" l="1"/>
  <c r="A50" i="36"/>
  <c r="A39" i="33"/>
  <c r="D32" i="55"/>
  <c r="C32" i="55"/>
  <c r="A22" i="34"/>
  <c r="C26" i="55"/>
  <c r="A51" i="36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M59" i="47" s="1"/>
  <c r="A19" i="35"/>
  <c r="A40" i="33" l="1"/>
  <c r="A23" i="34"/>
  <c r="M34" i="47"/>
  <c r="M35" i="47"/>
  <c r="M36" i="47"/>
  <c r="L31" i="47"/>
  <c r="J37" i="47"/>
  <c r="J40" i="47"/>
  <c r="M153" i="47"/>
  <c r="J36" i="47"/>
  <c r="K174" i="47"/>
  <c r="M169" i="47"/>
  <c r="K47" i="47"/>
  <c r="K49" i="47"/>
  <c r="J39" i="47"/>
  <c r="L77" i="47"/>
  <c r="L36" i="47"/>
  <c r="K150" i="47"/>
  <c r="K137" i="47"/>
  <c r="J38" i="47"/>
  <c r="J58" i="47"/>
  <c r="J165" i="47"/>
  <c r="J77" i="47"/>
  <c r="J60" i="47"/>
  <c r="M115" i="47"/>
  <c r="J32" i="47"/>
  <c r="J49" i="47"/>
  <c r="L32" i="47"/>
  <c r="L43" i="47"/>
  <c r="J46" i="47"/>
  <c r="J156" i="47"/>
  <c r="K144" i="47"/>
  <c r="M134" i="47"/>
  <c r="M47" i="47"/>
  <c r="J61" i="47"/>
  <c r="L40" i="47"/>
  <c r="M130" i="47"/>
  <c r="L69" i="47"/>
  <c r="J106" i="47"/>
  <c r="K157" i="47"/>
  <c r="M164" i="47"/>
  <c r="L63" i="47"/>
  <c r="M119" i="47"/>
  <c r="M102" i="47"/>
  <c r="K126" i="47"/>
  <c r="L47" i="47"/>
  <c r="L140" i="47"/>
  <c r="J86" i="47"/>
  <c r="M139" i="47"/>
  <c r="M101" i="47"/>
  <c r="M158" i="47"/>
  <c r="J160" i="47"/>
  <c r="K166" i="47"/>
  <c r="M125" i="47"/>
  <c r="M73" i="47"/>
  <c r="K37" i="47"/>
  <c r="J51" i="47"/>
  <c r="J107" i="47"/>
  <c r="M171" i="47"/>
  <c r="K165" i="47"/>
  <c r="L142" i="47"/>
  <c r="K41" i="47"/>
  <c r="J121" i="47"/>
  <c r="J45" i="47"/>
  <c r="K48" i="47"/>
  <c r="J147" i="47"/>
  <c r="K45" i="47"/>
  <c r="K34" i="47"/>
  <c r="J115" i="47"/>
  <c r="K62" i="47"/>
  <c r="L45" i="47"/>
  <c r="J161" i="47"/>
  <c r="K69" i="47"/>
  <c r="M156" i="47"/>
  <c r="L121" i="47"/>
  <c r="L101" i="47"/>
  <c r="M121" i="47"/>
  <c r="L37" i="47"/>
  <c r="K102" i="47"/>
  <c r="L38" i="47"/>
  <c r="K50" i="47"/>
  <c r="K38" i="47"/>
  <c r="L50" i="47"/>
  <c r="L176" i="47"/>
  <c r="L41" i="47"/>
  <c r="L35" i="47"/>
  <c r="K40" i="47"/>
  <c r="K177" i="47"/>
  <c r="K46" i="47"/>
  <c r="J34" i="47"/>
  <c r="M105" i="47"/>
  <c r="M136" i="47"/>
  <c r="J112" i="47"/>
  <c r="M90" i="47"/>
  <c r="J48" i="47"/>
  <c r="L66" i="47"/>
  <c r="J47" i="47"/>
  <c r="J41" i="47"/>
  <c r="M84" i="47"/>
  <c r="M167" i="47"/>
  <c r="J84" i="47"/>
  <c r="K36" i="47"/>
  <c r="K35" i="47"/>
  <c r="K39" i="47"/>
  <c r="K88" i="47"/>
  <c r="K114" i="47"/>
  <c r="M103" i="47"/>
  <c r="M154" i="47"/>
  <c r="M83" i="47"/>
  <c r="K100" i="47"/>
  <c r="K101" i="47"/>
  <c r="K143" i="47"/>
  <c r="J35" i="47"/>
  <c r="K79" i="47"/>
  <c r="J88" i="47"/>
  <c r="L109" i="47"/>
  <c r="M113" i="47"/>
  <c r="M39" i="47"/>
  <c r="L53" i="47"/>
  <c r="K167" i="47"/>
  <c r="L46" i="47"/>
  <c r="K82" i="47"/>
  <c r="M120" i="47"/>
  <c r="M110" i="47"/>
  <c r="K140" i="47"/>
  <c r="J114" i="47"/>
  <c r="K61" i="47"/>
  <c r="L42" i="47"/>
  <c r="K92" i="47"/>
  <c r="L95" i="47"/>
  <c r="L141" i="47"/>
  <c r="K155" i="47"/>
  <c r="L173" i="47"/>
  <c r="K156" i="47"/>
  <c r="M151" i="47"/>
  <c r="L150" i="47"/>
  <c r="M159" i="47"/>
  <c r="K168" i="47"/>
  <c r="L61" i="47"/>
  <c r="K153" i="47"/>
  <c r="M128" i="47"/>
  <c r="K175" i="47"/>
  <c r="K44" i="47"/>
  <c r="M172" i="47"/>
  <c r="J76" i="47"/>
  <c r="J122" i="47"/>
  <c r="K93" i="47"/>
  <c r="J66" i="47"/>
  <c r="J141" i="47"/>
  <c r="J50" i="47"/>
  <c r="J92" i="47"/>
  <c r="J70" i="47"/>
  <c r="L157" i="47"/>
  <c r="K116" i="47"/>
  <c r="K127" i="47"/>
  <c r="M52" i="47"/>
  <c r="J102" i="47"/>
  <c r="M53" i="47"/>
  <c r="L120" i="47"/>
  <c r="K97" i="47"/>
  <c r="K120" i="47"/>
  <c r="J163" i="47"/>
  <c r="M155" i="47"/>
  <c r="J80" i="47"/>
  <c r="K113" i="47"/>
  <c r="L86" i="47"/>
  <c r="L76" i="47"/>
  <c r="M92" i="47"/>
  <c r="L125" i="47"/>
  <c r="M114" i="47"/>
  <c r="L115" i="47"/>
  <c r="M161" i="47"/>
  <c r="K59" i="47"/>
  <c r="L88" i="47"/>
  <c r="K149" i="47"/>
  <c r="M116" i="47"/>
  <c r="M118" i="47"/>
  <c r="J89" i="47"/>
  <c r="J169" i="47"/>
  <c r="J138" i="47"/>
  <c r="J59" i="47"/>
  <c r="K159" i="47"/>
  <c r="M70" i="47"/>
  <c r="L73" i="47"/>
  <c r="L124" i="47"/>
  <c r="L90" i="47"/>
  <c r="K64" i="47"/>
  <c r="M48" i="47"/>
  <c r="J129" i="47"/>
  <c r="M108" i="47"/>
  <c r="K96" i="47"/>
  <c r="L56" i="47"/>
  <c r="J43" i="47"/>
  <c r="K67" i="47"/>
  <c r="K154" i="47"/>
  <c r="L108" i="47"/>
  <c r="J145" i="47"/>
  <c r="K171" i="47"/>
  <c r="K160" i="47"/>
  <c r="L131" i="47"/>
  <c r="J93" i="47"/>
  <c r="M163" i="47"/>
  <c r="K118" i="47"/>
  <c r="J133" i="47"/>
  <c r="K85" i="47"/>
  <c r="J67" i="47"/>
  <c r="L137" i="47"/>
  <c r="M141" i="47"/>
  <c r="J127" i="47"/>
  <c r="M76" i="47"/>
  <c r="K131" i="47"/>
  <c r="M75" i="47"/>
  <c r="M106" i="47"/>
  <c r="L34" i="47"/>
  <c r="M117" i="47"/>
  <c r="K138" i="47"/>
  <c r="K117" i="47"/>
  <c r="L168" i="47"/>
  <c r="J103" i="47"/>
  <c r="K63" i="47"/>
  <c r="L87" i="47"/>
  <c r="L156" i="47"/>
  <c r="K58" i="47"/>
  <c r="K163" i="47"/>
  <c r="J155" i="47"/>
  <c r="L134" i="47"/>
  <c r="J101" i="47"/>
  <c r="J90" i="47"/>
  <c r="L163" i="47"/>
  <c r="K95" i="47"/>
  <c r="K106" i="47"/>
  <c r="L155" i="47"/>
  <c r="L93" i="47"/>
  <c r="J146" i="47"/>
  <c r="J168" i="47"/>
  <c r="L65" i="47"/>
  <c r="L107" i="47"/>
  <c r="J154" i="47"/>
  <c r="M89" i="47"/>
  <c r="J85" i="47"/>
  <c r="J167" i="47"/>
  <c r="J152" i="47"/>
  <c r="J74" i="47"/>
  <c r="K72" i="47"/>
  <c r="L135" i="47"/>
  <c r="J173" i="47"/>
  <c r="L39" i="47"/>
  <c r="L127" i="47"/>
  <c r="M60" i="47"/>
  <c r="J79" i="47"/>
  <c r="K132" i="47"/>
  <c r="K121" i="47"/>
  <c r="L166" i="47"/>
  <c r="J105" i="47"/>
  <c r="L54" i="47"/>
  <c r="K43" i="47"/>
  <c r="J54" i="47"/>
  <c r="J94" i="47"/>
  <c r="L79" i="47"/>
  <c r="L130" i="47"/>
  <c r="L48" i="47"/>
  <c r="M146" i="47"/>
  <c r="K173" i="47"/>
  <c r="L55" i="47"/>
  <c r="K104" i="47"/>
  <c r="M157" i="47"/>
  <c r="J104" i="47"/>
  <c r="L104" i="47"/>
  <c r="K122" i="47"/>
  <c r="K52" i="47"/>
  <c r="J120" i="47"/>
  <c r="M99" i="47"/>
  <c r="L98" i="47"/>
  <c r="L160" i="47"/>
  <c r="J62" i="47"/>
  <c r="K51" i="47"/>
  <c r="K80" i="47"/>
  <c r="K139" i="47"/>
  <c r="M152" i="47"/>
  <c r="J91" i="47"/>
  <c r="L118" i="47"/>
  <c r="J174" i="47"/>
  <c r="K161" i="47"/>
  <c r="M126" i="47"/>
  <c r="K70" i="47"/>
  <c r="K176" i="47"/>
  <c r="M174" i="47"/>
  <c r="J137" i="47"/>
  <c r="J44" i="47"/>
  <c r="J144" i="47"/>
  <c r="L146" i="47"/>
  <c r="J82" i="47"/>
  <c r="L167" i="47"/>
  <c r="K87" i="47"/>
  <c r="J136" i="47"/>
  <c r="M87" i="47"/>
  <c r="J83" i="47"/>
  <c r="J73" i="47"/>
  <c r="L164" i="47"/>
  <c r="M42" i="47"/>
  <c r="L44" i="47"/>
  <c r="L114" i="47"/>
  <c r="K66" i="47"/>
  <c r="L138" i="47"/>
  <c r="K135" i="47"/>
  <c r="J139" i="47"/>
  <c r="M168" i="47"/>
  <c r="K42" i="47"/>
  <c r="K151" i="47"/>
  <c r="L169" i="47"/>
  <c r="L153" i="47"/>
  <c r="L72" i="47"/>
  <c r="K146" i="47"/>
  <c r="L97" i="47"/>
  <c r="J78" i="47"/>
  <c r="L84" i="47"/>
  <c r="J64" i="47"/>
  <c r="J132" i="47"/>
  <c r="K98" i="47"/>
  <c r="M175" i="47"/>
  <c r="L68" i="47"/>
  <c r="L85" i="47"/>
  <c r="J176" i="47"/>
  <c r="K111" i="47"/>
  <c r="L136" i="47"/>
  <c r="K148" i="47"/>
  <c r="K141" i="47"/>
  <c r="J170" i="47"/>
  <c r="L58" i="47"/>
  <c r="J116" i="47"/>
  <c r="L52" i="47"/>
  <c r="L110" i="47"/>
  <c r="J148" i="47"/>
  <c r="M166" i="47"/>
  <c r="J130" i="47"/>
  <c r="L71" i="47"/>
  <c r="K133" i="47"/>
  <c r="L159" i="47"/>
  <c r="K86" i="47"/>
  <c r="J151" i="47"/>
  <c r="L49" i="47"/>
  <c r="K60" i="47"/>
  <c r="L172" i="47"/>
  <c r="J126" i="47"/>
  <c r="L174" i="47"/>
  <c r="J97" i="47"/>
  <c r="J72" i="47"/>
  <c r="L151" i="47"/>
  <c r="L161" i="47"/>
  <c r="L96" i="47"/>
  <c r="M143" i="47"/>
  <c r="L165" i="47"/>
  <c r="K103" i="47"/>
  <c r="K77" i="47"/>
  <c r="L82" i="47"/>
  <c r="L144" i="47"/>
  <c r="K145" i="47"/>
  <c r="L128" i="47"/>
  <c r="J96" i="47"/>
  <c r="J142" i="47"/>
  <c r="K68" i="47"/>
  <c r="K91" i="47"/>
  <c r="K78" i="47"/>
  <c r="K109" i="47"/>
  <c r="L116" i="47"/>
  <c r="M177" i="47"/>
  <c r="J128" i="47"/>
  <c r="M138" i="47"/>
  <c r="L105" i="47"/>
  <c r="K76" i="47"/>
  <c r="L100" i="47"/>
  <c r="L117" i="47"/>
  <c r="K170" i="47"/>
  <c r="L103" i="47"/>
  <c r="J171" i="47"/>
  <c r="J117" i="47"/>
  <c r="M77" i="47"/>
  <c r="K152" i="47"/>
  <c r="J125" i="47"/>
  <c r="M112" i="47"/>
  <c r="L126" i="47"/>
  <c r="J75" i="47"/>
  <c r="L59" i="47"/>
  <c r="K158" i="47"/>
  <c r="L80" i="47"/>
  <c r="M165" i="47"/>
  <c r="L94" i="47"/>
  <c r="J157" i="47"/>
  <c r="J135" i="47"/>
  <c r="M137" i="47"/>
  <c r="L75" i="47"/>
  <c r="M133" i="47"/>
  <c r="L132" i="47"/>
  <c r="J159" i="47"/>
  <c r="L78" i="47"/>
  <c r="M123" i="47"/>
  <c r="J99" i="47"/>
  <c r="K169" i="47"/>
  <c r="J108" i="47"/>
  <c r="K112" i="47"/>
  <c r="L177" i="47"/>
  <c r="L113" i="47"/>
  <c r="J123" i="47"/>
  <c r="J175" i="47"/>
  <c r="L51" i="47"/>
  <c r="M145" i="47"/>
  <c r="M124" i="47"/>
  <c r="J158" i="47"/>
  <c r="M149" i="47"/>
  <c r="J109" i="47"/>
  <c r="J143" i="47"/>
  <c r="J134" i="47"/>
  <c r="M97" i="47"/>
  <c r="M176" i="47"/>
  <c r="K162" i="47"/>
  <c r="L129" i="47"/>
  <c r="L143" i="47"/>
  <c r="J42" i="47"/>
  <c r="K129" i="47"/>
  <c r="K123" i="47"/>
  <c r="L112" i="47"/>
  <c r="J68" i="47"/>
  <c r="J140" i="47"/>
  <c r="K134" i="47"/>
  <c r="J63" i="47"/>
  <c r="J53" i="47"/>
  <c r="L147" i="47"/>
  <c r="J55" i="47"/>
  <c r="K142" i="47"/>
  <c r="J57" i="47"/>
  <c r="J149" i="47"/>
  <c r="K99" i="47"/>
  <c r="J100" i="47"/>
  <c r="M86" i="47"/>
  <c r="L154" i="47"/>
  <c r="M94" i="47"/>
  <c r="M122" i="47"/>
  <c r="L152" i="47"/>
  <c r="J110" i="47"/>
  <c r="J69" i="47"/>
  <c r="M109" i="47"/>
  <c r="L106" i="47"/>
  <c r="K74" i="47"/>
  <c r="K115" i="47"/>
  <c r="M132" i="47"/>
  <c r="K90" i="47"/>
  <c r="K89" i="47"/>
  <c r="L89" i="47"/>
  <c r="M173" i="47"/>
  <c r="J113" i="47"/>
  <c r="L158" i="47"/>
  <c r="M67" i="47"/>
  <c r="M144" i="47"/>
  <c r="J95" i="47"/>
  <c r="K71" i="47"/>
  <c r="M61" i="47"/>
  <c r="L92" i="47"/>
  <c r="K110" i="47"/>
  <c r="L170" i="47"/>
  <c r="K54" i="47"/>
  <c r="L74" i="47"/>
  <c r="L62" i="47"/>
  <c r="M69" i="47"/>
  <c r="M170" i="47"/>
  <c r="J153" i="47"/>
  <c r="J65" i="47"/>
  <c r="L123" i="47"/>
  <c r="M127" i="47"/>
  <c r="K65" i="47"/>
  <c r="M41" i="47"/>
  <c r="K107" i="47"/>
  <c r="J162" i="47"/>
  <c r="J71" i="47"/>
  <c r="K108" i="47"/>
  <c r="K164" i="47"/>
  <c r="M57" i="47"/>
  <c r="M55" i="47"/>
  <c r="J118" i="47"/>
  <c r="K130" i="47"/>
  <c r="K53" i="47"/>
  <c r="K81" i="47"/>
  <c r="M100" i="47"/>
  <c r="K73" i="47"/>
  <c r="L111" i="47"/>
  <c r="M71" i="47"/>
  <c r="L99" i="47"/>
  <c r="M88" i="47"/>
  <c r="M93" i="47"/>
  <c r="K125" i="47"/>
  <c r="K55" i="47"/>
  <c r="J131" i="47"/>
  <c r="L81" i="47"/>
  <c r="M131" i="47"/>
  <c r="J98" i="47"/>
  <c r="L91" i="47"/>
  <c r="K119" i="47"/>
  <c r="K128" i="47"/>
  <c r="K83" i="47"/>
  <c r="M38" i="47"/>
  <c r="L139" i="47"/>
  <c r="J164" i="47"/>
  <c r="M50" i="47"/>
  <c r="M51" i="47"/>
  <c r="M56" i="47"/>
  <c r="M150" i="47"/>
  <c r="J56" i="47"/>
  <c r="K147" i="47"/>
  <c r="K56" i="47"/>
  <c r="M82" i="47"/>
  <c r="L102" i="47"/>
  <c r="K57" i="47"/>
  <c r="L149" i="47"/>
  <c r="M58" i="47"/>
  <c r="M98" i="47"/>
  <c r="M80" i="47"/>
  <c r="L148" i="47"/>
  <c r="M111" i="47"/>
  <c r="L60" i="47"/>
  <c r="M74" i="47"/>
  <c r="M96" i="47"/>
  <c r="M66" i="47"/>
  <c r="M46" i="47"/>
  <c r="K105" i="47"/>
  <c r="L67" i="47"/>
  <c r="L145" i="47"/>
  <c r="L64" i="47"/>
  <c r="M142" i="47"/>
  <c r="M40" i="47"/>
  <c r="M43" i="47"/>
  <c r="M72" i="47"/>
  <c r="J87" i="47"/>
  <c r="M91" i="47"/>
  <c r="M45" i="47"/>
  <c r="J81" i="47"/>
  <c r="M129" i="47"/>
  <c r="M148" i="47"/>
  <c r="L70" i="47"/>
  <c r="M95" i="47"/>
  <c r="M64" i="47"/>
  <c r="M160" i="47"/>
  <c r="L133" i="47"/>
  <c r="L57" i="47"/>
  <c r="M135" i="47"/>
  <c r="M49" i="47"/>
  <c r="J119" i="47"/>
  <c r="J52" i="47"/>
  <c r="K84" i="47"/>
  <c r="M147" i="47"/>
  <c r="J150" i="47"/>
  <c r="M62" i="47"/>
  <c r="K124" i="47"/>
  <c r="J124" i="47"/>
  <c r="M63" i="47"/>
  <c r="M68" i="47"/>
  <c r="M104" i="47"/>
  <c r="M107" i="47"/>
  <c r="K172" i="47"/>
  <c r="M44" i="47"/>
  <c r="M54" i="47"/>
  <c r="M81" i="47"/>
  <c r="K94" i="47"/>
  <c r="K136" i="47"/>
  <c r="L175" i="47"/>
  <c r="M78" i="47"/>
  <c r="J177" i="47"/>
  <c r="L119" i="47"/>
  <c r="L171" i="47"/>
  <c r="M85" i="47"/>
  <c r="L122" i="47"/>
  <c r="J166" i="47"/>
  <c r="J172" i="47"/>
  <c r="M162" i="47"/>
  <c r="K75" i="47"/>
  <c r="M37" i="47"/>
  <c r="L83" i="47"/>
  <c r="J111" i="47"/>
  <c r="L162" i="47"/>
  <c r="M140" i="47"/>
  <c r="M79" i="47"/>
  <c r="M65" i="47"/>
  <c r="A20" i="35"/>
  <c r="R13" i="58" l="1"/>
  <c r="S13" i="58"/>
  <c r="R49" i="57"/>
  <c r="S74" i="57"/>
  <c r="S56" i="58"/>
  <c r="S49" i="57"/>
  <c r="R74" i="57"/>
  <c r="R56" i="58"/>
  <c r="S80" i="58"/>
  <c r="R80" i="58"/>
  <c r="S10" i="58"/>
  <c r="R53" i="57"/>
  <c r="S9" i="58"/>
  <c r="S85" i="58"/>
  <c r="R52" i="58"/>
  <c r="R85" i="58"/>
  <c r="S53" i="57"/>
  <c r="S52" i="58"/>
  <c r="R9" i="58"/>
  <c r="S51" i="57"/>
  <c r="R51" i="57"/>
  <c r="S56" i="57"/>
  <c r="R30" i="58"/>
  <c r="S43" i="57"/>
  <c r="R43" i="58"/>
  <c r="S25" i="57"/>
  <c r="R25" i="57"/>
  <c r="S30" i="58"/>
  <c r="S43" i="58"/>
  <c r="R9" i="57"/>
  <c r="R56" i="57"/>
  <c r="R43" i="57"/>
  <c r="S9" i="57"/>
  <c r="S64" i="58"/>
  <c r="R22" i="55"/>
  <c r="S22" i="55"/>
  <c r="S100" i="58"/>
  <c r="S142" i="58"/>
  <c r="R103" i="58"/>
  <c r="S90" i="58"/>
  <c r="S6" i="58"/>
  <c r="S122" i="58"/>
  <c r="S81" i="57"/>
  <c r="R62" i="58"/>
  <c r="R48" i="58"/>
  <c r="R14" i="58"/>
  <c r="S32" i="58"/>
  <c r="R123" i="58"/>
  <c r="R125" i="58"/>
  <c r="R88" i="57"/>
  <c r="S59" i="58"/>
  <c r="S113" i="58"/>
  <c r="R143" i="57"/>
  <c r="S149" i="57"/>
  <c r="R159" i="57"/>
  <c r="S171" i="57"/>
  <c r="S150" i="57"/>
  <c r="R57" i="58"/>
  <c r="R69" i="58"/>
  <c r="R121" i="58"/>
  <c r="R139" i="58"/>
  <c r="S86" i="58"/>
  <c r="S151" i="58"/>
  <c r="S124" i="58"/>
  <c r="R83" i="57"/>
  <c r="S38" i="58"/>
  <c r="R29" i="58"/>
  <c r="R37" i="58"/>
  <c r="S154" i="58"/>
  <c r="R111" i="58"/>
  <c r="S128" i="58"/>
  <c r="S157" i="57"/>
  <c r="R110" i="57"/>
  <c r="R153" i="57"/>
  <c r="S84" i="58"/>
  <c r="R169" i="57"/>
  <c r="S170" i="57"/>
  <c r="S69" i="58"/>
  <c r="S22" i="58"/>
  <c r="R17" i="58"/>
  <c r="R162" i="58"/>
  <c r="S85" i="57"/>
  <c r="R34" i="58"/>
  <c r="S160" i="57"/>
  <c r="R117" i="58"/>
  <c r="R71" i="58"/>
  <c r="S51" i="58"/>
  <c r="S132" i="58"/>
  <c r="S82" i="57"/>
  <c r="S99" i="58"/>
  <c r="R122" i="58"/>
  <c r="R153" i="58"/>
  <c r="R32" i="58"/>
  <c r="S94" i="58"/>
  <c r="S53" i="58"/>
  <c r="R26" i="58"/>
  <c r="R163" i="57"/>
  <c r="R152" i="58"/>
  <c r="R10" i="58"/>
  <c r="S37" i="58"/>
  <c r="R108" i="58"/>
  <c r="R150" i="57"/>
  <c r="S76" i="58"/>
  <c r="S57" i="58"/>
  <c r="R158" i="58"/>
  <c r="S143" i="58"/>
  <c r="S47" i="58"/>
  <c r="R82" i="58"/>
  <c r="R156" i="58"/>
  <c r="S139" i="58"/>
  <c r="S127" i="58"/>
  <c r="R155" i="57"/>
  <c r="R35" i="58"/>
  <c r="R151" i="58"/>
  <c r="R141" i="58"/>
  <c r="R46" i="58"/>
  <c r="S45" i="58"/>
  <c r="S125" i="58"/>
  <c r="R140" i="58"/>
  <c r="S162" i="57"/>
  <c r="S148" i="58"/>
  <c r="R86" i="58"/>
  <c r="S71" i="58"/>
  <c r="R110" i="58"/>
  <c r="R25" i="58"/>
  <c r="S164" i="58"/>
  <c r="S112" i="58"/>
  <c r="S146" i="58"/>
  <c r="R162" i="57"/>
  <c r="R147" i="57"/>
  <c r="S65" i="57"/>
  <c r="S149" i="58"/>
  <c r="S67" i="57"/>
  <c r="R33" i="58"/>
  <c r="S140" i="58"/>
  <c r="R147" i="58"/>
  <c r="R68" i="58"/>
  <c r="R15" i="58"/>
  <c r="S129" i="58"/>
  <c r="R94" i="58"/>
  <c r="R70" i="58"/>
  <c r="S69" i="57"/>
  <c r="S168" i="57"/>
  <c r="R134" i="58"/>
  <c r="S61" i="58"/>
  <c r="R146" i="58"/>
  <c r="R127" i="58"/>
  <c r="S20" i="58"/>
  <c r="R60" i="58"/>
  <c r="S86" i="57"/>
  <c r="R36" i="58"/>
  <c r="R89" i="57"/>
  <c r="R44" i="58"/>
  <c r="S77" i="58"/>
  <c r="S159" i="58"/>
  <c r="R87" i="58"/>
  <c r="R144" i="57"/>
  <c r="S78" i="58"/>
  <c r="S50" i="58"/>
  <c r="R83" i="58"/>
  <c r="R152" i="57"/>
  <c r="R66" i="58"/>
  <c r="R63" i="58"/>
  <c r="S96" i="58"/>
  <c r="R117" i="57"/>
  <c r="S167" i="57"/>
  <c r="R124" i="58"/>
  <c r="S152" i="57"/>
  <c r="R98" i="58"/>
  <c r="S118" i="58"/>
  <c r="S36" i="58"/>
  <c r="S93" i="58"/>
  <c r="S144" i="58"/>
  <c r="S153" i="57"/>
  <c r="S110" i="57"/>
  <c r="S62" i="58"/>
  <c r="R137" i="58"/>
  <c r="R136" i="58"/>
  <c r="R85" i="57"/>
  <c r="R133" i="58"/>
  <c r="S19" i="58"/>
  <c r="R81" i="58"/>
  <c r="S160" i="58"/>
  <c r="S143" i="57"/>
  <c r="S144" i="57"/>
  <c r="R51" i="58"/>
  <c r="R77" i="58"/>
  <c r="S151" i="57"/>
  <c r="R166" i="58"/>
  <c r="R71" i="57"/>
  <c r="S148" i="57"/>
  <c r="S55" i="58"/>
  <c r="S21" i="58"/>
  <c r="R171" i="57"/>
  <c r="R158" i="57"/>
  <c r="R93" i="58"/>
  <c r="S88" i="58"/>
  <c r="R168" i="57"/>
  <c r="R24" i="58"/>
  <c r="R146" i="57"/>
  <c r="S8" i="58"/>
  <c r="S82" i="58"/>
  <c r="R58" i="58"/>
  <c r="S73" i="58"/>
  <c r="S12" i="58"/>
  <c r="R89" i="58"/>
  <c r="R39" i="58"/>
  <c r="S46" i="58"/>
  <c r="R68" i="57"/>
  <c r="S119" i="58"/>
  <c r="S166" i="58"/>
  <c r="R47" i="58"/>
  <c r="S154" i="57"/>
  <c r="R131" i="58"/>
  <c r="R50" i="58"/>
  <c r="R72" i="58"/>
  <c r="S72" i="58"/>
  <c r="S35" i="58"/>
  <c r="R165" i="57"/>
  <c r="S169" i="58"/>
  <c r="R54" i="58"/>
  <c r="S155" i="58"/>
  <c r="S158" i="57"/>
  <c r="S88" i="57"/>
  <c r="R90" i="58"/>
  <c r="R143" i="58"/>
  <c r="S54" i="58"/>
  <c r="S102" i="58"/>
  <c r="S44" i="58"/>
  <c r="S141" i="58"/>
  <c r="S145" i="58"/>
  <c r="R161" i="57"/>
  <c r="S75" i="58"/>
  <c r="S92" i="58"/>
  <c r="S138" i="58"/>
  <c r="S34" i="58"/>
  <c r="R115" i="58"/>
  <c r="R38" i="58"/>
  <c r="S83" i="57"/>
  <c r="S166" i="57"/>
  <c r="S155" i="57"/>
  <c r="R21" i="58"/>
  <c r="S152" i="58"/>
  <c r="R118" i="58"/>
  <c r="R73" i="58"/>
  <c r="S81" i="58"/>
  <c r="R79" i="58"/>
  <c r="R59" i="58"/>
  <c r="S60" i="58"/>
  <c r="S167" i="58"/>
  <c r="S15" i="58"/>
  <c r="R148" i="58"/>
  <c r="R167" i="57"/>
  <c r="S68" i="57"/>
  <c r="R148" i="57"/>
  <c r="R170" i="57"/>
  <c r="S136" i="58"/>
  <c r="R132" i="58"/>
  <c r="R95" i="58"/>
  <c r="R82" i="57"/>
  <c r="S48" i="58"/>
  <c r="S131" i="58"/>
  <c r="R76" i="58"/>
  <c r="R69" i="57"/>
  <c r="R66" i="57"/>
  <c r="S104" i="58"/>
  <c r="R154" i="58"/>
  <c r="S145" i="57"/>
  <c r="S158" i="58"/>
  <c r="R67" i="57"/>
  <c r="S163" i="58"/>
  <c r="R144" i="58"/>
  <c r="R164" i="57"/>
  <c r="S153" i="58"/>
  <c r="R129" i="58"/>
  <c r="S164" i="57"/>
  <c r="R84" i="58"/>
  <c r="R138" i="58"/>
  <c r="S66" i="57"/>
  <c r="R100" i="58"/>
  <c r="R149" i="57"/>
  <c r="R114" i="58"/>
  <c r="S70" i="58"/>
  <c r="R130" i="58"/>
  <c r="S163" i="57"/>
  <c r="S147" i="57"/>
  <c r="R109" i="58"/>
  <c r="R53" i="58"/>
  <c r="S121" i="58"/>
  <c r="R88" i="58"/>
  <c r="R105" i="58"/>
  <c r="S91" i="58"/>
  <c r="R86" i="57"/>
  <c r="S165" i="57"/>
  <c r="S89" i="57"/>
  <c r="S120" i="58"/>
  <c r="R92" i="58"/>
  <c r="S156" i="58"/>
  <c r="S157" i="58"/>
  <c r="R75" i="58"/>
  <c r="S169" i="57"/>
  <c r="R65" i="58"/>
  <c r="S171" i="58"/>
  <c r="R160" i="57"/>
  <c r="S114" i="58"/>
  <c r="S7" i="58"/>
  <c r="R167" i="58"/>
  <c r="S142" i="57"/>
  <c r="R81" i="57"/>
  <c r="S63" i="58"/>
  <c r="R171" i="58"/>
  <c r="R55" i="58"/>
  <c r="R91" i="58"/>
  <c r="S110" i="58"/>
  <c r="R151" i="57"/>
  <c r="R119" i="58"/>
  <c r="R156" i="57"/>
  <c r="S79" i="58"/>
  <c r="R112" i="58"/>
  <c r="R67" i="58"/>
  <c r="S135" i="58"/>
  <c r="R154" i="57"/>
  <c r="R45" i="58"/>
  <c r="S130" i="58"/>
  <c r="R128" i="58"/>
  <c r="S58" i="58"/>
  <c r="S65" i="58"/>
  <c r="R165" i="58"/>
  <c r="S26" i="58"/>
  <c r="S159" i="57"/>
  <c r="R145" i="58"/>
  <c r="R61" i="58"/>
  <c r="R99" i="58"/>
  <c r="R166" i="57"/>
  <c r="R8" i="58"/>
  <c r="S134" i="58"/>
  <c r="S156" i="57"/>
  <c r="S147" i="58"/>
  <c r="S28" i="58"/>
  <c r="R64" i="58"/>
  <c r="R157" i="57"/>
  <c r="S97" i="58"/>
  <c r="R145" i="57"/>
  <c r="S126" i="58"/>
  <c r="S161" i="57"/>
  <c r="R23" i="58"/>
  <c r="S125" i="57"/>
  <c r="R30" i="57"/>
  <c r="R157" i="58"/>
  <c r="S3" i="58"/>
  <c r="S117" i="57"/>
  <c r="S27" i="57"/>
  <c r="R7" i="57"/>
  <c r="S31" i="58"/>
  <c r="S45" i="57"/>
  <c r="S130" i="57"/>
  <c r="R80" i="57"/>
  <c r="R42" i="58"/>
  <c r="R126" i="57"/>
  <c r="S50" i="57"/>
  <c r="S5" i="57"/>
  <c r="S135" i="57"/>
  <c r="R44" i="57"/>
  <c r="S139" i="57"/>
  <c r="R21" i="57"/>
  <c r="S72" i="57"/>
  <c r="R31" i="58"/>
  <c r="R20" i="58"/>
  <c r="S136" i="57"/>
  <c r="R39" i="57"/>
  <c r="S95" i="57"/>
  <c r="R102" i="58"/>
  <c r="S87" i="58"/>
  <c r="S165" i="58"/>
  <c r="R61" i="57"/>
  <c r="R115" i="57"/>
  <c r="S100" i="57"/>
  <c r="S102" i="57"/>
  <c r="R41" i="58"/>
  <c r="S57" i="57"/>
  <c r="S59" i="57"/>
  <c r="S71" i="57"/>
  <c r="S140" i="57"/>
  <c r="R119" i="57"/>
  <c r="R54" i="57"/>
  <c r="S12" i="57"/>
  <c r="S66" i="58"/>
  <c r="R131" i="57"/>
  <c r="R91" i="57"/>
  <c r="S37" i="57"/>
  <c r="R17" i="57"/>
  <c r="R107" i="58"/>
  <c r="R125" i="57"/>
  <c r="S109" i="58"/>
  <c r="S137" i="57"/>
  <c r="R3" i="57"/>
  <c r="S95" i="58"/>
  <c r="R97" i="58"/>
  <c r="R130" i="57"/>
  <c r="R64" i="57"/>
  <c r="R26" i="57"/>
  <c r="R135" i="58"/>
  <c r="R28" i="58"/>
  <c r="R19" i="58"/>
  <c r="R70" i="57"/>
  <c r="S47" i="57"/>
  <c r="R75" i="57"/>
  <c r="R135" i="57"/>
  <c r="S76" i="57"/>
  <c r="S42" i="58"/>
  <c r="R111" i="57"/>
  <c r="R16" i="57"/>
  <c r="S108" i="58"/>
  <c r="S112" i="57"/>
  <c r="R47" i="57"/>
  <c r="S170" i="58"/>
  <c r="R96" i="58"/>
  <c r="S64" i="57"/>
  <c r="S36" i="57"/>
  <c r="R72" i="57"/>
  <c r="S119" i="57"/>
  <c r="R6" i="58"/>
  <c r="R97" i="57"/>
  <c r="S23" i="57"/>
  <c r="R11" i="57"/>
  <c r="R58" i="57"/>
  <c r="S19" i="57"/>
  <c r="S16" i="58"/>
  <c r="S126" i="57"/>
  <c r="S63" i="57"/>
  <c r="S129" i="57"/>
  <c r="S21" i="57"/>
  <c r="S103" i="58"/>
  <c r="S75" i="57"/>
  <c r="S18" i="58"/>
  <c r="R169" i="58"/>
  <c r="R142" i="57"/>
  <c r="R4" i="58"/>
  <c r="R108" i="57"/>
  <c r="S97" i="57"/>
  <c r="R132" i="57"/>
  <c r="R103" i="57"/>
  <c r="R13" i="57"/>
  <c r="R120" i="58"/>
  <c r="R27" i="58"/>
  <c r="S106" i="57"/>
  <c r="R100" i="57"/>
  <c r="R18" i="58"/>
  <c r="S62" i="57"/>
  <c r="S83" i="58"/>
  <c r="R99" i="57"/>
  <c r="S78" i="57"/>
  <c r="R104" i="58"/>
  <c r="R95" i="57"/>
  <c r="S98" i="58"/>
  <c r="R140" i="57"/>
  <c r="R20" i="57"/>
  <c r="S117" i="58"/>
  <c r="S131" i="57"/>
  <c r="S38" i="57"/>
  <c r="R118" i="57"/>
  <c r="S11" i="57"/>
  <c r="S30" i="57"/>
  <c r="R120" i="57"/>
  <c r="R38" i="57"/>
  <c r="S90" i="57"/>
  <c r="S33" i="58"/>
  <c r="R127" i="57"/>
  <c r="S133" i="58"/>
  <c r="R59" i="57"/>
  <c r="R155" i="58"/>
  <c r="R34" i="57"/>
  <c r="S105" i="57"/>
  <c r="R136" i="57"/>
  <c r="R65" i="57"/>
  <c r="S99" i="57"/>
  <c r="R73" i="57"/>
  <c r="S115" i="58"/>
  <c r="S11" i="58"/>
  <c r="R96" i="57"/>
  <c r="S73" i="57"/>
  <c r="S121" i="57"/>
  <c r="R109" i="57"/>
  <c r="R98" i="57"/>
  <c r="S161" i="58"/>
  <c r="S108" i="57"/>
  <c r="S18" i="57"/>
  <c r="S123" i="57"/>
  <c r="S105" i="58"/>
  <c r="S7" i="57"/>
  <c r="R149" i="58"/>
  <c r="S98" i="57"/>
  <c r="S141" i="57"/>
  <c r="S34" i="57"/>
  <c r="R101" i="57"/>
  <c r="S24" i="57"/>
  <c r="S96" i="57"/>
  <c r="S60" i="57"/>
  <c r="S79" i="57"/>
  <c r="S107" i="57"/>
  <c r="S41" i="57"/>
  <c r="R94" i="57"/>
  <c r="S146" i="57"/>
  <c r="R93" i="57"/>
  <c r="S101" i="57"/>
  <c r="S17" i="58"/>
  <c r="S26" i="57"/>
  <c r="S39" i="58"/>
  <c r="R102" i="57"/>
  <c r="R124" i="57"/>
  <c r="R76" i="57"/>
  <c r="S13" i="57"/>
  <c r="R11" i="58"/>
  <c r="S115" i="57"/>
  <c r="S44" i="57"/>
  <c r="S8" i="57"/>
  <c r="R41" i="57"/>
  <c r="S14" i="58"/>
  <c r="R60" i="57"/>
  <c r="S16" i="57"/>
  <c r="S23" i="58"/>
  <c r="R48" i="57"/>
  <c r="R121" i="57"/>
  <c r="S93" i="57"/>
  <c r="S104" i="57"/>
  <c r="R105" i="57"/>
  <c r="R22" i="58"/>
  <c r="S25" i="58"/>
  <c r="R139" i="57"/>
  <c r="R23" i="57"/>
  <c r="R129" i="57"/>
  <c r="S48" i="57"/>
  <c r="R5" i="57"/>
  <c r="R141" i="57"/>
  <c r="S54" i="57"/>
  <c r="R92" i="57"/>
  <c r="S15" i="57"/>
  <c r="R78" i="57"/>
  <c r="S24" i="58"/>
  <c r="S116" i="57"/>
  <c r="R113" i="57"/>
  <c r="S46" i="57"/>
  <c r="S17" i="57"/>
  <c r="R113" i="58"/>
  <c r="R122" i="57"/>
  <c r="R134" i="57"/>
  <c r="R22" i="57"/>
  <c r="R160" i="58"/>
  <c r="R142" i="58"/>
  <c r="S113" i="57"/>
  <c r="S40" i="58"/>
  <c r="S111" i="58"/>
  <c r="R133" i="57"/>
  <c r="R27" i="57"/>
  <c r="R159" i="58"/>
  <c r="R12" i="58"/>
  <c r="S120" i="57"/>
  <c r="S58" i="57"/>
  <c r="R31" i="57"/>
  <c r="R15" i="57"/>
  <c r="R164" i="58"/>
  <c r="S116" i="58"/>
  <c r="S29" i="58"/>
  <c r="S92" i="57"/>
  <c r="S33" i="57"/>
  <c r="R8" i="57"/>
  <c r="S137" i="58"/>
  <c r="S138" i="57"/>
  <c r="R114" i="57"/>
  <c r="S52" i="57"/>
  <c r="S22" i="57"/>
  <c r="R138" i="57"/>
  <c r="R45" i="57"/>
  <c r="S103" i="57"/>
  <c r="S39" i="57"/>
  <c r="S134" i="57"/>
  <c r="S3" i="57"/>
  <c r="R55" i="57"/>
  <c r="R168" i="58"/>
  <c r="S67" i="58"/>
  <c r="S101" i="58"/>
  <c r="R90" i="57"/>
  <c r="R106" i="58"/>
  <c r="S70" i="57"/>
  <c r="R24" i="57"/>
  <c r="S162" i="58"/>
  <c r="S124" i="57"/>
  <c r="R29" i="57"/>
  <c r="S29" i="57"/>
  <c r="S27" i="58"/>
  <c r="S106" i="58"/>
  <c r="S89" i="58"/>
  <c r="S109" i="57"/>
  <c r="R37" i="57"/>
  <c r="S28" i="57"/>
  <c r="S168" i="58"/>
  <c r="R3" i="58"/>
  <c r="S68" i="58"/>
  <c r="S107" i="58"/>
  <c r="R4" i="57"/>
  <c r="R101" i="58"/>
  <c r="S77" i="57"/>
  <c r="R116" i="58"/>
  <c r="S41" i="58"/>
  <c r="S132" i="57"/>
  <c r="S128" i="57"/>
  <c r="R116" i="57"/>
  <c r="R62" i="57"/>
  <c r="R46" i="57"/>
  <c r="R33" i="57"/>
  <c r="R28" i="57"/>
  <c r="S4" i="57"/>
  <c r="R77" i="57"/>
  <c r="R40" i="58"/>
  <c r="R170" i="58"/>
  <c r="R123" i="57"/>
  <c r="S111" i="57"/>
  <c r="S4" i="58"/>
  <c r="R137" i="57"/>
  <c r="S114" i="57"/>
  <c r="R50" i="57"/>
  <c r="S20" i="57"/>
  <c r="R163" i="58"/>
  <c r="S5" i="58"/>
  <c r="R63" i="57"/>
  <c r="R36" i="57"/>
  <c r="R19" i="57"/>
  <c r="R79" i="57"/>
  <c r="R5" i="58"/>
  <c r="S127" i="57"/>
  <c r="R161" i="58"/>
  <c r="R104" i="57"/>
  <c r="S94" i="57"/>
  <c r="R126" i="58"/>
  <c r="S91" i="57"/>
  <c r="R107" i="57"/>
  <c r="S31" i="57"/>
  <c r="S55" i="57"/>
  <c r="S42" i="57"/>
  <c r="S133" i="57"/>
  <c r="R42" i="57"/>
  <c r="S118" i="57"/>
  <c r="R12" i="57"/>
  <c r="S122" i="57"/>
  <c r="R40" i="57"/>
  <c r="R18" i="57"/>
  <c r="S80" i="57"/>
  <c r="R128" i="57"/>
  <c r="R57" i="57"/>
  <c r="S123" i="58"/>
  <c r="R78" i="58"/>
  <c r="R52" i="57"/>
  <c r="S40" i="57"/>
  <c r="R106" i="57"/>
  <c r="R150" i="58"/>
  <c r="S61" i="57"/>
  <c r="R112" i="57"/>
  <c r="S150" i="58"/>
  <c r="R16" i="58"/>
  <c r="A41" i="33"/>
  <c r="A24" i="34"/>
  <c r="R13" i="55"/>
  <c r="S13" i="55"/>
  <c r="S90" i="55"/>
  <c r="R90" i="55"/>
  <c r="R52" i="55"/>
  <c r="S52" i="55"/>
  <c r="R39" i="55"/>
  <c r="S39" i="55"/>
  <c r="R89" i="55"/>
  <c r="S89" i="55"/>
  <c r="R38" i="55"/>
  <c r="R32" i="55"/>
  <c r="S38" i="55"/>
  <c r="R48" i="55"/>
  <c r="S48" i="55"/>
  <c r="R45" i="55"/>
  <c r="R78" i="55"/>
  <c r="S59" i="55"/>
  <c r="R58" i="55"/>
  <c r="S32" i="55"/>
  <c r="R92" i="55"/>
  <c r="R62" i="55"/>
  <c r="S76" i="55"/>
  <c r="R76" i="55"/>
  <c r="S62" i="55"/>
  <c r="R64" i="55"/>
  <c r="S92" i="55"/>
  <c r="R73" i="55"/>
  <c r="S64" i="55"/>
  <c r="S45" i="55"/>
  <c r="R36" i="55"/>
  <c r="S19" i="55"/>
  <c r="S36" i="55"/>
  <c r="S73" i="55"/>
  <c r="R19" i="55"/>
  <c r="S58" i="55"/>
  <c r="R59" i="55"/>
  <c r="S78" i="55"/>
  <c r="R17" i="55"/>
  <c r="S17" i="55"/>
  <c r="H107" i="47"/>
  <c r="H94" i="47"/>
  <c r="H65" i="47"/>
  <c r="H165" i="47"/>
  <c r="H157" i="47"/>
  <c r="H114" i="47"/>
  <c r="H156" i="47"/>
  <c r="H101" i="47"/>
  <c r="R54" i="55"/>
  <c r="S79" i="55"/>
  <c r="S35" i="55"/>
  <c r="R24" i="55"/>
  <c r="R102" i="55"/>
  <c r="R154" i="55"/>
  <c r="R149" i="55"/>
  <c r="R112" i="55"/>
  <c r="S23" i="55"/>
  <c r="S85" i="55"/>
  <c r="R35" i="55"/>
  <c r="S105" i="55"/>
  <c r="R57" i="55"/>
  <c r="R88" i="55"/>
  <c r="S65" i="55"/>
  <c r="R25" i="55"/>
  <c r="S109" i="55"/>
  <c r="R109" i="55"/>
  <c r="S142" i="55"/>
  <c r="R101" i="55"/>
  <c r="R110" i="55"/>
  <c r="S69" i="55"/>
  <c r="S164" i="55"/>
  <c r="R153" i="55"/>
  <c r="R147" i="55"/>
  <c r="R99" i="55"/>
  <c r="R114" i="55"/>
  <c r="S55" i="55"/>
  <c r="R50" i="55"/>
  <c r="R156" i="55"/>
  <c r="R98" i="55"/>
  <c r="R163" i="55"/>
  <c r="S148" i="55"/>
  <c r="S146" i="55"/>
  <c r="S20" i="55"/>
  <c r="S108" i="55"/>
  <c r="S144" i="55"/>
  <c r="R121" i="55"/>
  <c r="R95" i="55"/>
  <c r="S112" i="55"/>
  <c r="S10" i="55"/>
  <c r="S46" i="55"/>
  <c r="R117" i="55"/>
  <c r="R67" i="55"/>
  <c r="S24" i="55"/>
  <c r="R130" i="55"/>
  <c r="R31" i="55"/>
  <c r="S119" i="55"/>
  <c r="R11" i="55"/>
  <c r="R107" i="55"/>
  <c r="R56" i="55"/>
  <c r="S141" i="55"/>
  <c r="R16" i="55"/>
  <c r="R148" i="55"/>
  <c r="R94" i="55"/>
  <c r="S158" i="55"/>
  <c r="R131" i="55"/>
  <c r="S3" i="55"/>
  <c r="S111" i="55"/>
  <c r="S74" i="55"/>
  <c r="R129" i="55"/>
  <c r="R166" i="55"/>
  <c r="S150" i="55"/>
  <c r="S31" i="55"/>
  <c r="S155" i="55"/>
  <c r="S5" i="55"/>
  <c r="R46" i="55"/>
  <c r="S139" i="55"/>
  <c r="S135" i="55"/>
  <c r="R120" i="55"/>
  <c r="S98" i="55"/>
  <c r="R12" i="55"/>
  <c r="R103" i="55"/>
  <c r="S149" i="55"/>
  <c r="R7" i="55"/>
  <c r="R134" i="55"/>
  <c r="R122" i="55"/>
  <c r="R142" i="55"/>
  <c r="R139" i="55"/>
  <c r="S107" i="55"/>
  <c r="R146" i="55"/>
  <c r="R104" i="55"/>
  <c r="R85" i="55"/>
  <c r="S83" i="55"/>
  <c r="S37" i="55"/>
  <c r="S127" i="55"/>
  <c r="R97" i="55"/>
  <c r="R28" i="55"/>
  <c r="R8" i="55"/>
  <c r="S100" i="55"/>
  <c r="R4" i="55"/>
  <c r="S8" i="55"/>
  <c r="S168" i="55"/>
  <c r="R26" i="55"/>
  <c r="R44" i="55"/>
  <c r="S134" i="55"/>
  <c r="R125" i="55"/>
  <c r="S60" i="55"/>
  <c r="S88" i="55"/>
  <c r="S43" i="55"/>
  <c r="R53" i="55"/>
  <c r="R133" i="55"/>
  <c r="R74" i="55"/>
  <c r="R77" i="55"/>
  <c r="R127" i="55"/>
  <c r="S70" i="55"/>
  <c r="R65" i="55"/>
  <c r="R165" i="55"/>
  <c r="R66" i="55"/>
  <c r="R159" i="55"/>
  <c r="S9" i="55"/>
  <c r="R135" i="55"/>
  <c r="S132" i="55"/>
  <c r="S25" i="55"/>
  <c r="S125" i="55"/>
  <c r="S40" i="55"/>
  <c r="R168" i="55"/>
  <c r="R91" i="55"/>
  <c r="S56" i="55"/>
  <c r="R5" i="55"/>
  <c r="R41" i="55"/>
  <c r="R3" i="55"/>
  <c r="R70" i="55"/>
  <c r="R162" i="55"/>
  <c r="R106" i="55"/>
  <c r="R81" i="55"/>
  <c r="R21" i="55"/>
  <c r="R123" i="55"/>
  <c r="S34" i="55"/>
  <c r="R49" i="55"/>
  <c r="S145" i="55"/>
  <c r="R116" i="55"/>
  <c r="S160" i="55"/>
  <c r="S157" i="55"/>
  <c r="S53" i="55"/>
  <c r="S106" i="55"/>
  <c r="S33" i="55"/>
  <c r="R82" i="55"/>
  <c r="S4" i="55"/>
  <c r="S167" i="55"/>
  <c r="R170" i="55"/>
  <c r="R157" i="55"/>
  <c r="S161" i="55"/>
  <c r="S68" i="55"/>
  <c r="S94" i="55"/>
  <c r="R68" i="55"/>
  <c r="S104" i="55"/>
  <c r="S117" i="55"/>
  <c r="R151" i="55"/>
  <c r="S97" i="55"/>
  <c r="S47" i="55"/>
  <c r="R108" i="55"/>
  <c r="R86" i="55"/>
  <c r="S122" i="55"/>
  <c r="S121" i="55"/>
  <c r="S114" i="55"/>
  <c r="R40" i="55"/>
  <c r="R75" i="55"/>
  <c r="S7" i="55"/>
  <c r="S120" i="55"/>
  <c r="R42" i="55"/>
  <c r="R145" i="55"/>
  <c r="R15" i="55"/>
  <c r="R87" i="55"/>
  <c r="R111" i="55"/>
  <c r="R43" i="55"/>
  <c r="S103" i="55"/>
  <c r="R115" i="55"/>
  <c r="S26" i="55"/>
  <c r="S128" i="55"/>
  <c r="R27" i="55"/>
  <c r="S131" i="55"/>
  <c r="R33" i="55"/>
  <c r="R128" i="55"/>
  <c r="S63" i="55"/>
  <c r="R23" i="55"/>
  <c r="R150" i="55"/>
  <c r="R158" i="55"/>
  <c r="R141" i="55"/>
  <c r="S169" i="55"/>
  <c r="R10" i="55"/>
  <c r="S77" i="55"/>
  <c r="S152" i="55"/>
  <c r="S137" i="55"/>
  <c r="R171" i="55"/>
  <c r="S44" i="55"/>
  <c r="S16" i="55"/>
  <c r="S126" i="55"/>
  <c r="S116" i="55"/>
  <c r="R61" i="55"/>
  <c r="R63" i="55"/>
  <c r="R18" i="55"/>
  <c r="R126" i="55"/>
  <c r="R105" i="55"/>
  <c r="R169" i="55"/>
  <c r="S129" i="55"/>
  <c r="S170" i="55"/>
  <c r="S163" i="55"/>
  <c r="R71" i="55"/>
  <c r="S71" i="55"/>
  <c r="S99" i="55"/>
  <c r="S41" i="55"/>
  <c r="S123" i="55"/>
  <c r="S80" i="55"/>
  <c r="S156" i="55"/>
  <c r="R143" i="55"/>
  <c r="S159" i="55"/>
  <c r="S15" i="55"/>
  <c r="S96" i="55"/>
  <c r="S87" i="55"/>
  <c r="R69" i="55"/>
  <c r="S133" i="55"/>
  <c r="S140" i="55"/>
  <c r="R20" i="55"/>
  <c r="R34" i="55"/>
  <c r="R137" i="55"/>
  <c r="S102" i="55"/>
  <c r="R93" i="55"/>
  <c r="S165" i="55"/>
  <c r="S110" i="55"/>
  <c r="S82" i="55"/>
  <c r="S27" i="55"/>
  <c r="R138" i="55"/>
  <c r="S51" i="55"/>
  <c r="R140" i="55"/>
  <c r="R113" i="55"/>
  <c r="R144" i="55"/>
  <c r="S28" i="55"/>
  <c r="R119" i="55"/>
  <c r="R83" i="55"/>
  <c r="S54" i="55"/>
  <c r="R84" i="55"/>
  <c r="R155" i="55"/>
  <c r="R60" i="55"/>
  <c r="S136" i="55"/>
  <c r="R55" i="55"/>
  <c r="R124" i="55"/>
  <c r="R164" i="55"/>
  <c r="R29" i="55"/>
  <c r="R30" i="55"/>
  <c r="S162" i="55"/>
  <c r="R80" i="55"/>
  <c r="R132" i="55"/>
  <c r="S151" i="55"/>
  <c r="S91" i="55"/>
  <c r="S138" i="55"/>
  <c r="R161" i="55"/>
  <c r="S95" i="55"/>
  <c r="S72" i="55"/>
  <c r="S154" i="55"/>
  <c r="R160" i="55"/>
  <c r="S66" i="55"/>
  <c r="S143" i="55"/>
  <c r="R72" i="55"/>
  <c r="S171" i="55"/>
  <c r="S18" i="55"/>
  <c r="S50" i="55"/>
  <c r="S42" i="55"/>
  <c r="S147" i="55"/>
  <c r="R167" i="55"/>
  <c r="S75" i="55"/>
  <c r="S81" i="55"/>
  <c r="R100" i="55"/>
  <c r="S86" i="55"/>
  <c r="R37" i="55"/>
  <c r="S113" i="55"/>
  <c r="S67" i="55"/>
  <c r="R51" i="55"/>
  <c r="S11" i="55"/>
  <c r="S12" i="55"/>
  <c r="R47" i="55"/>
  <c r="S29" i="55"/>
  <c r="R9" i="55"/>
  <c r="S21" i="55"/>
  <c r="S84" i="55"/>
  <c r="S57" i="55"/>
  <c r="R96" i="55"/>
  <c r="S93" i="55"/>
  <c r="R136" i="55"/>
  <c r="S166" i="55"/>
  <c r="S124" i="55"/>
  <c r="S61" i="55"/>
  <c r="R152" i="55"/>
  <c r="S30" i="55"/>
  <c r="S101" i="55"/>
  <c r="S115" i="55"/>
  <c r="R79" i="55"/>
  <c r="S49" i="55"/>
  <c r="R118" i="55"/>
  <c r="S118" i="55"/>
  <c r="S153" i="55"/>
  <c r="S130" i="55"/>
  <c r="H63" i="47"/>
  <c r="H43" i="47"/>
  <c r="H150" i="47"/>
  <c r="H149" i="47"/>
  <c r="H139" i="47"/>
  <c r="H115" i="47"/>
  <c r="H40" i="47"/>
  <c r="H56" i="47"/>
  <c r="H61" i="47"/>
  <c r="H92" i="47"/>
  <c r="H172" i="47"/>
  <c r="H158" i="47"/>
  <c r="H38" i="47"/>
  <c r="H105" i="47"/>
  <c r="H119" i="47"/>
  <c r="H140" i="47"/>
  <c r="H162" i="47"/>
  <c r="H76" i="47"/>
  <c r="H68" i="47"/>
  <c r="H108" i="47"/>
  <c r="H168" i="47"/>
  <c r="H77" i="47"/>
  <c r="H159" i="47"/>
  <c r="H164" i="47"/>
  <c r="H117" i="47"/>
  <c r="H141" i="47"/>
  <c r="H146" i="47"/>
  <c r="H126" i="47"/>
  <c r="H66" i="47"/>
  <c r="H152" i="47"/>
  <c r="H70" i="47"/>
  <c r="H151" i="47"/>
  <c r="H86" i="47"/>
  <c r="H166" i="47"/>
  <c r="H53" i="47"/>
  <c r="H89" i="47"/>
  <c r="H62" i="47"/>
  <c r="H46" i="47"/>
  <c r="H83" i="47"/>
  <c r="H130" i="47"/>
  <c r="H50" i="47"/>
  <c r="H123" i="47"/>
  <c r="H52" i="47"/>
  <c r="H154" i="47"/>
  <c r="H169" i="47"/>
  <c r="H110" i="47"/>
  <c r="H72" i="47"/>
  <c r="H145" i="47"/>
  <c r="H49" i="47"/>
  <c r="H160" i="47"/>
  <c r="H64" i="47"/>
  <c r="H80" i="47"/>
  <c r="H103" i="47"/>
  <c r="H171" i="47"/>
  <c r="H161" i="47"/>
  <c r="H142" i="47"/>
  <c r="H90" i="47"/>
  <c r="H128" i="47"/>
  <c r="H112" i="47"/>
  <c r="H41" i="47"/>
  <c r="H111" i="47"/>
  <c r="H127" i="47"/>
  <c r="H95" i="47"/>
  <c r="H98" i="47"/>
  <c r="H163" i="47"/>
  <c r="H47" i="47"/>
  <c r="H84" i="47"/>
  <c r="H174" i="47"/>
  <c r="H39" i="47"/>
  <c r="H57" i="47"/>
  <c r="H75" i="47"/>
  <c r="H173" i="47"/>
  <c r="H74" i="47"/>
  <c r="H78" i="47"/>
  <c r="H58" i="47"/>
  <c r="H109" i="47"/>
  <c r="H60" i="47"/>
  <c r="H118" i="47"/>
  <c r="H134" i="47"/>
  <c r="H153" i="47"/>
  <c r="H91" i="47"/>
  <c r="H104" i="47"/>
  <c r="H120" i="47"/>
  <c r="H100" i="47"/>
  <c r="H124" i="47"/>
  <c r="H37" i="47"/>
  <c r="H35" i="47"/>
  <c r="H8" i="47"/>
  <c r="H22" i="47"/>
  <c r="H27" i="47"/>
  <c r="H11" i="47"/>
  <c r="H20" i="47"/>
  <c r="H19" i="47"/>
  <c r="H28" i="47"/>
  <c r="H25" i="47"/>
  <c r="H26" i="47"/>
  <c r="H34" i="47"/>
  <c r="H13" i="47"/>
  <c r="H7" i="47"/>
  <c r="H5" i="47"/>
  <c r="H14" i="47"/>
  <c r="H23" i="47"/>
  <c r="H29" i="47"/>
  <c r="H31" i="47"/>
  <c r="H16" i="47"/>
  <c r="H4" i="47"/>
  <c r="H24" i="47"/>
  <c r="H15" i="47"/>
  <c r="H32" i="47"/>
  <c r="H17" i="47"/>
  <c r="H12" i="47"/>
  <c r="H36" i="47"/>
  <c r="H30" i="47"/>
  <c r="H18" i="47"/>
  <c r="H9" i="47"/>
  <c r="H21" i="47"/>
  <c r="H3" i="47"/>
  <c r="H33" i="47"/>
  <c r="H10" i="47"/>
  <c r="H6" i="47"/>
  <c r="H55" i="47"/>
  <c r="H106" i="47"/>
  <c r="H147" i="47"/>
  <c r="H132" i="47"/>
  <c r="H148" i="47"/>
  <c r="H93" i="47"/>
  <c r="H170" i="47"/>
  <c r="H133" i="47"/>
  <c r="H138" i="47"/>
  <c r="H175" i="47"/>
  <c r="H87" i="47"/>
  <c r="H99" i="47"/>
  <c r="H116" i="47"/>
  <c r="H167" i="47"/>
  <c r="H51" i="47"/>
  <c r="H48" i="47"/>
  <c r="H155" i="47"/>
  <c r="H96" i="47"/>
  <c r="H81" i="47"/>
  <c r="H54" i="47"/>
  <c r="H129" i="47"/>
  <c r="H88" i="47"/>
  <c r="H69" i="47"/>
  <c r="H73" i="47"/>
  <c r="H79" i="47"/>
  <c r="H67" i="47"/>
  <c r="H136" i="47"/>
  <c r="H85" i="47"/>
  <c r="H143" i="47"/>
  <c r="H131" i="47"/>
  <c r="H42" i="47"/>
  <c r="H44" i="47"/>
  <c r="H176" i="47"/>
  <c r="H137" i="47"/>
  <c r="H177" i="47"/>
  <c r="H125" i="47"/>
  <c r="H144" i="47"/>
  <c r="H113" i="47"/>
  <c r="H102" i="47"/>
  <c r="H135" i="47"/>
  <c r="H45" i="47"/>
  <c r="H82" i="47"/>
  <c r="H71" i="47"/>
  <c r="H122" i="47"/>
  <c r="H97" i="47"/>
  <c r="H121" i="47"/>
  <c r="H59" i="47"/>
  <c r="AS14" i="55"/>
  <c r="AT14" i="55"/>
  <c r="A21" i="35"/>
  <c r="A42" i="33" l="1"/>
  <c r="A25" i="34"/>
  <c r="J34" i="44"/>
  <c r="L72" i="44"/>
  <c r="L168" i="48"/>
  <c r="J95" i="48"/>
  <c r="I110" i="48"/>
  <c r="J168" i="44"/>
  <c r="L92" i="48"/>
  <c r="I105" i="48"/>
  <c r="J106" i="44"/>
  <c r="L36" i="44"/>
  <c r="K16" i="48"/>
  <c r="AK56" i="48" s="1"/>
  <c r="J156" i="48"/>
  <c r="J16" i="48"/>
  <c r="L154" i="44"/>
  <c r="K79" i="48"/>
  <c r="AK119" i="48" s="1"/>
  <c r="AA32" i="54"/>
  <c r="AA24" i="54"/>
  <c r="L95" i="48"/>
  <c r="K117" i="44"/>
  <c r="I41" i="44"/>
  <c r="Q70" i="54"/>
  <c r="L127" i="44"/>
  <c r="I65" i="48"/>
  <c r="AI105" i="48" s="1"/>
  <c r="Q169" i="54"/>
  <c r="Q20" i="54"/>
  <c r="L172" i="48"/>
  <c r="J69" i="44"/>
  <c r="J21" i="44"/>
  <c r="L168" i="44"/>
  <c r="I23" i="48"/>
  <c r="AI63" i="48" s="1"/>
  <c r="AA97" i="54"/>
  <c r="K162" i="44"/>
  <c r="AA56" i="54"/>
  <c r="K129" i="48"/>
  <c r="K25" i="48"/>
  <c r="AK65" i="48" s="1"/>
  <c r="L3" i="48"/>
  <c r="I161" i="44"/>
  <c r="I170" i="48"/>
  <c r="K99" i="44"/>
  <c r="L151" i="44"/>
  <c r="Q89" i="54"/>
  <c r="I128" i="44"/>
  <c r="L85" i="48"/>
  <c r="L65" i="48"/>
  <c r="K126" i="44"/>
  <c r="J11" i="44"/>
  <c r="K34" i="48"/>
  <c r="AK74" i="48" s="1"/>
  <c r="I14" i="44"/>
  <c r="L149" i="48"/>
  <c r="AA161" i="54"/>
  <c r="L173" i="48"/>
  <c r="I117" i="44"/>
  <c r="AA129" i="54"/>
  <c r="AA92" i="54"/>
  <c r="Q82" i="54"/>
  <c r="I170" i="44"/>
  <c r="I75" i="44"/>
  <c r="L176" i="48"/>
  <c r="L95" i="44"/>
  <c r="Q115" i="54"/>
  <c r="J161" i="44"/>
  <c r="I62" i="48"/>
  <c r="AI102" i="48" s="1"/>
  <c r="K11" i="44"/>
  <c r="I134" i="48"/>
  <c r="J131" i="44"/>
  <c r="I124" i="48"/>
  <c r="AA35" i="54"/>
  <c r="L18" i="48"/>
  <c r="I43" i="48"/>
  <c r="AI83" i="48" s="1"/>
  <c r="Q99" i="54"/>
  <c r="K155" i="48"/>
  <c r="Q143" i="54"/>
  <c r="K54" i="44"/>
  <c r="L121" i="48"/>
  <c r="AA132" i="54"/>
  <c r="K32" i="44"/>
  <c r="L58" i="48"/>
  <c r="K67" i="44"/>
  <c r="I55" i="44"/>
  <c r="J149" i="48"/>
  <c r="K65" i="44"/>
  <c r="K170" i="44"/>
  <c r="K134" i="48"/>
  <c r="K80" i="44"/>
  <c r="J73" i="48"/>
  <c r="L167" i="44"/>
  <c r="I134" i="44"/>
  <c r="I64" i="48"/>
  <c r="AI104" i="48" s="1"/>
  <c r="K113" i="44"/>
  <c r="L79" i="48"/>
  <c r="L109" i="44"/>
  <c r="J141" i="48"/>
  <c r="AA66" i="54"/>
  <c r="L131" i="44"/>
  <c r="I6" i="48"/>
  <c r="AI46" i="48" s="1"/>
  <c r="AA153" i="54"/>
  <c r="I29" i="48"/>
  <c r="AI69" i="48" s="1"/>
  <c r="K58" i="44"/>
  <c r="AA71" i="54"/>
  <c r="AA140" i="54"/>
  <c r="J43" i="48"/>
  <c r="AA78" i="54"/>
  <c r="L25" i="44"/>
  <c r="Q164" i="54"/>
  <c r="AA117" i="54"/>
  <c r="J148" i="44"/>
  <c r="AA6" i="54"/>
  <c r="J79" i="48"/>
  <c r="J170" i="48"/>
  <c r="J128" i="44"/>
  <c r="Q18" i="54"/>
  <c r="Q80" i="54"/>
  <c r="AA76" i="54"/>
  <c r="Q103" i="54"/>
  <c r="K95" i="48"/>
  <c r="AK135" i="48" s="1"/>
  <c r="Q4" i="54"/>
  <c r="L140" i="48"/>
  <c r="L104" i="48"/>
  <c r="J126" i="48"/>
  <c r="J113" i="48"/>
  <c r="J12" i="48"/>
  <c r="K47" i="44"/>
  <c r="L120" i="44"/>
  <c r="I122" i="44"/>
  <c r="J81" i="48"/>
  <c r="J156" i="44"/>
  <c r="Q126" i="54"/>
  <c r="I86" i="48"/>
  <c r="AI126" i="48" s="1"/>
  <c r="Q83" i="54"/>
  <c r="K42" i="44"/>
  <c r="AA81" i="54"/>
  <c r="Q53" i="54"/>
  <c r="K52" i="44"/>
  <c r="Q54" i="54"/>
  <c r="I84" i="44"/>
  <c r="L62" i="44"/>
  <c r="K167" i="48"/>
  <c r="J2" i="48"/>
  <c r="J150" i="44"/>
  <c r="L68" i="44"/>
  <c r="K66" i="44"/>
  <c r="K144" i="44"/>
  <c r="I112" i="44"/>
  <c r="L64" i="48"/>
  <c r="L5" i="44"/>
  <c r="I80" i="48"/>
  <c r="AI120" i="48" s="1"/>
  <c r="J103" i="48"/>
  <c r="I93" i="44"/>
  <c r="I60" i="44"/>
  <c r="L157" i="44"/>
  <c r="Q147" i="54"/>
  <c r="Q29" i="54"/>
  <c r="J66" i="48"/>
  <c r="L60" i="48"/>
  <c r="I21" i="44"/>
  <c r="L70" i="44"/>
  <c r="J13" i="44"/>
  <c r="J35" i="44"/>
  <c r="K20" i="48"/>
  <c r="AK60" i="48" s="1"/>
  <c r="K70" i="44"/>
  <c r="L156" i="48"/>
  <c r="I137" i="48"/>
  <c r="J58" i="48"/>
  <c r="K105" i="44"/>
  <c r="I7" i="44"/>
  <c r="J20" i="44"/>
  <c r="K64" i="48"/>
  <c r="AK104" i="48" s="1"/>
  <c r="Q64" i="54"/>
  <c r="L21" i="44"/>
  <c r="I75" i="48"/>
  <c r="AI115" i="48" s="1"/>
  <c r="L146" i="48"/>
  <c r="Q157" i="54"/>
  <c r="L35" i="48"/>
  <c r="I73" i="44"/>
  <c r="Q107" i="54"/>
  <c r="J122" i="48"/>
  <c r="K3" i="48"/>
  <c r="AK43" i="48" s="1"/>
  <c r="K167" i="44"/>
  <c r="K35" i="48"/>
  <c r="AK75" i="48" s="1"/>
  <c r="L101" i="48"/>
  <c r="I52" i="44"/>
  <c r="K171" i="44"/>
  <c r="AA165" i="54"/>
  <c r="L21" i="48"/>
  <c r="L158" i="48"/>
  <c r="K83" i="44"/>
  <c r="J108" i="48"/>
  <c r="Q55" i="54"/>
  <c r="K103" i="48"/>
  <c r="I73" i="48"/>
  <c r="AI113" i="48" s="1"/>
  <c r="J138" i="44"/>
  <c r="I124" i="44"/>
  <c r="L77" i="44"/>
  <c r="J101" i="48"/>
  <c r="I149" i="48"/>
  <c r="K81" i="44"/>
  <c r="K19" i="44"/>
  <c r="K22" i="48"/>
  <c r="AK62" i="48" s="1"/>
  <c r="AA63" i="54"/>
  <c r="L170" i="44"/>
  <c r="AA131" i="54"/>
  <c r="L60" i="44"/>
  <c r="K128" i="44"/>
  <c r="Q31" i="54"/>
  <c r="I150" i="48"/>
  <c r="J139" i="48"/>
  <c r="AA48" i="54"/>
  <c r="J105" i="48"/>
  <c r="J15" i="48"/>
  <c r="L100" i="48"/>
  <c r="K165" i="44"/>
  <c r="J22" i="48"/>
  <c r="K18" i="44"/>
  <c r="K62" i="44"/>
  <c r="I76" i="48"/>
  <c r="AI116" i="48" s="1"/>
  <c r="Q119" i="54"/>
  <c r="I144" i="48"/>
  <c r="Q26" i="54"/>
  <c r="J114" i="48"/>
  <c r="AA151" i="54"/>
  <c r="I83" i="44"/>
  <c r="AA7" i="54"/>
  <c r="J16" i="44"/>
  <c r="I130" i="44"/>
  <c r="J146" i="44"/>
  <c r="J9" i="44"/>
  <c r="L153" i="48"/>
  <c r="Q136" i="54"/>
  <c r="I9" i="48"/>
  <c r="AI49" i="48" s="1"/>
  <c r="L107" i="44"/>
  <c r="J49" i="44"/>
  <c r="L12" i="48"/>
  <c r="Q158" i="54"/>
  <c r="AA73" i="54"/>
  <c r="Q69" i="54"/>
  <c r="K13" i="48"/>
  <c r="AK53" i="48" s="1"/>
  <c r="J151" i="48"/>
  <c r="Q72" i="54"/>
  <c r="L150" i="44"/>
  <c r="J124" i="44"/>
  <c r="AA50" i="54"/>
  <c r="I140" i="48"/>
  <c r="J8" i="44"/>
  <c r="L162" i="48"/>
  <c r="K82" i="44"/>
  <c r="I94" i="44"/>
  <c r="I49" i="48"/>
  <c r="AI89" i="48" s="1"/>
  <c r="L165" i="48"/>
  <c r="I34" i="48"/>
  <c r="AI74" i="48" s="1"/>
  <c r="I159" i="48"/>
  <c r="I138" i="44"/>
  <c r="L122" i="48"/>
  <c r="I147" i="48"/>
  <c r="Q7" i="54"/>
  <c r="J157" i="44"/>
  <c r="AA86" i="54"/>
  <c r="K73" i="48"/>
  <c r="AK113" i="48" s="1"/>
  <c r="Q100" i="54"/>
  <c r="K161" i="48"/>
  <c r="L24" i="48"/>
  <c r="I34" i="44"/>
  <c r="L74" i="44"/>
  <c r="L129" i="44"/>
  <c r="Q131" i="54"/>
  <c r="K85" i="48"/>
  <c r="AK125" i="48" s="1"/>
  <c r="L22" i="48"/>
  <c r="Q140" i="54"/>
  <c r="I4" i="48"/>
  <c r="AI44" i="48" s="1"/>
  <c r="L87" i="44"/>
  <c r="I162" i="44"/>
  <c r="L9" i="48"/>
  <c r="L54" i="48"/>
  <c r="I100" i="48"/>
  <c r="AI140" i="48" s="1"/>
  <c r="K9" i="48"/>
  <c r="AK49" i="48" s="1"/>
  <c r="J71" i="48"/>
  <c r="K105" i="48"/>
  <c r="L7" i="48"/>
  <c r="AA164" i="54"/>
  <c r="L153" i="44"/>
  <c r="K151" i="48"/>
  <c r="Q171" i="54"/>
  <c r="J25" i="48"/>
  <c r="J164" i="48"/>
  <c r="L10" i="44"/>
  <c r="L51" i="44"/>
  <c r="L154" i="48"/>
  <c r="J70" i="44"/>
  <c r="I15" i="44"/>
  <c r="K165" i="48"/>
  <c r="J84" i="44"/>
  <c r="L77" i="48"/>
  <c r="AA52" i="54"/>
  <c r="Q60" i="54"/>
  <c r="J96" i="48"/>
  <c r="L83" i="48"/>
  <c r="Q95" i="54"/>
  <c r="I78" i="44"/>
  <c r="AA95" i="54"/>
  <c r="I131" i="48"/>
  <c r="Q76" i="54"/>
  <c r="L13" i="44"/>
  <c r="K54" i="48"/>
  <c r="AK94" i="48" s="1"/>
  <c r="L57" i="48"/>
  <c r="L163" i="44"/>
  <c r="L103" i="48"/>
  <c r="J91" i="48"/>
  <c r="K78" i="48"/>
  <c r="AK118" i="48" s="1"/>
  <c r="AA96" i="54"/>
  <c r="J32" i="44"/>
  <c r="AA171" i="54"/>
  <c r="K42" i="48"/>
  <c r="AK82" i="48" s="1"/>
  <c r="AA17" i="54"/>
  <c r="J134" i="48"/>
  <c r="L19" i="48"/>
  <c r="J163" i="44"/>
  <c r="J17" i="48"/>
  <c r="J166" i="48"/>
  <c r="L7" i="44"/>
  <c r="J62" i="48"/>
  <c r="J69" i="48"/>
  <c r="K55" i="44"/>
  <c r="I67" i="48"/>
  <c r="AI107" i="48" s="1"/>
  <c r="J160" i="48"/>
  <c r="J79" i="44"/>
  <c r="L169" i="44"/>
  <c r="L27" i="48"/>
  <c r="Q28" i="54"/>
  <c r="L25" i="48"/>
  <c r="K110" i="48"/>
  <c r="J163" i="48"/>
  <c r="L136" i="48"/>
  <c r="J118" i="44"/>
  <c r="K19" i="48"/>
  <c r="AK59" i="48" s="1"/>
  <c r="L139" i="44"/>
  <c r="K15" i="44"/>
  <c r="J26" i="48"/>
  <c r="I30" i="44"/>
  <c r="L109" i="48"/>
  <c r="AA15" i="54"/>
  <c r="J90" i="44"/>
  <c r="I145" i="44"/>
  <c r="K119" i="44"/>
  <c r="L111" i="44"/>
  <c r="I86" i="44"/>
  <c r="AA26" i="54"/>
  <c r="Q30" i="54"/>
  <c r="Q111" i="54"/>
  <c r="L164" i="48"/>
  <c r="I118" i="44"/>
  <c r="AA40" i="54"/>
  <c r="L159" i="44"/>
  <c r="J63" i="44"/>
  <c r="L88" i="48"/>
  <c r="I56" i="48"/>
  <c r="AI96" i="48" s="1"/>
  <c r="L43" i="44"/>
  <c r="L97" i="44"/>
  <c r="I53" i="48"/>
  <c r="AI93" i="48" s="1"/>
  <c r="I110" i="44"/>
  <c r="I44" i="48"/>
  <c r="AI84" i="48" s="1"/>
  <c r="I107" i="48"/>
  <c r="L41" i="48"/>
  <c r="Q46" i="54"/>
  <c r="J56" i="44"/>
  <c r="I50" i="44"/>
  <c r="L130" i="44"/>
  <c r="J5" i="48"/>
  <c r="J12" i="44"/>
  <c r="L136" i="44"/>
  <c r="L31" i="48"/>
  <c r="J14" i="44"/>
  <c r="AA87" i="54"/>
  <c r="I8" i="44"/>
  <c r="AA127" i="54"/>
  <c r="I104" i="48"/>
  <c r="K130" i="44"/>
  <c r="J125" i="48"/>
  <c r="Q145" i="54"/>
  <c r="Q86" i="54"/>
  <c r="L143" i="44"/>
  <c r="I5" i="44"/>
  <c r="K82" i="48"/>
  <c r="AK122" i="48" s="1"/>
  <c r="L28" i="48"/>
  <c r="L66" i="48"/>
  <c r="J17" i="44"/>
  <c r="Q47" i="54"/>
  <c r="AA125" i="54"/>
  <c r="AA19" i="54"/>
  <c r="K65" i="48"/>
  <c r="AK105" i="48" s="1"/>
  <c r="AA154" i="54"/>
  <c r="K104" i="48"/>
  <c r="I12" i="44"/>
  <c r="I44" i="44"/>
  <c r="AA106" i="54"/>
  <c r="L90" i="44"/>
  <c r="L129" i="48"/>
  <c r="I144" i="44"/>
  <c r="J32" i="48"/>
  <c r="J10" i="44"/>
  <c r="I112" i="48"/>
  <c r="J66" i="44"/>
  <c r="AA94" i="54"/>
  <c r="K94" i="44"/>
  <c r="K148" i="48"/>
  <c r="Q41" i="54"/>
  <c r="I91" i="44"/>
  <c r="K10" i="48"/>
  <c r="AK50" i="48" s="1"/>
  <c r="I38" i="44"/>
  <c r="K34" i="44"/>
  <c r="L98" i="48"/>
  <c r="K51" i="44"/>
  <c r="Q118" i="54"/>
  <c r="Q94" i="54"/>
  <c r="L80" i="48"/>
  <c r="K143" i="48"/>
  <c r="I45" i="48"/>
  <c r="AI85" i="48" s="1"/>
  <c r="L103" i="44"/>
  <c r="K41" i="48"/>
  <c r="AK81" i="48" s="1"/>
  <c r="J18" i="48"/>
  <c r="AA84" i="54"/>
  <c r="K137" i="48"/>
  <c r="J75" i="44"/>
  <c r="L160" i="44"/>
  <c r="J78" i="48"/>
  <c r="Q24" i="54"/>
  <c r="K107" i="48"/>
  <c r="I136" i="48"/>
  <c r="K162" i="48"/>
  <c r="L4" i="44"/>
  <c r="K130" i="48"/>
  <c r="J165" i="44"/>
  <c r="L161" i="44"/>
  <c r="K156" i="48"/>
  <c r="I57" i="48"/>
  <c r="AI97" i="48" s="1"/>
  <c r="Q6" i="54"/>
  <c r="AA72" i="54"/>
  <c r="L155" i="44"/>
  <c r="L84" i="44"/>
  <c r="L37" i="48"/>
  <c r="I66" i="48"/>
  <c r="AI106" i="48" s="1"/>
  <c r="L50" i="48"/>
  <c r="I66" i="44"/>
  <c r="J116" i="48"/>
  <c r="L152" i="48"/>
  <c r="Q141" i="54"/>
  <c r="J7" i="44"/>
  <c r="Q163" i="54"/>
  <c r="AA23" i="54"/>
  <c r="J33" i="48"/>
  <c r="Q168" i="54"/>
  <c r="AA126" i="54"/>
  <c r="L123" i="44"/>
  <c r="I113" i="48"/>
  <c r="AA13" i="54"/>
  <c r="K44" i="44"/>
  <c r="K129" i="44"/>
  <c r="J160" i="44"/>
  <c r="I53" i="44"/>
  <c r="AA104" i="54"/>
  <c r="I139" i="44"/>
  <c r="L126" i="44"/>
  <c r="L155" i="48"/>
  <c r="I33" i="44"/>
  <c r="K158" i="48"/>
  <c r="AA90" i="54"/>
  <c r="J24" i="44"/>
  <c r="J107" i="44"/>
  <c r="I82" i="44"/>
  <c r="J95" i="44"/>
  <c r="K100" i="44"/>
  <c r="I41" i="48"/>
  <c r="AI81" i="48" s="1"/>
  <c r="K92" i="44"/>
  <c r="K100" i="48"/>
  <c r="AK140" i="48" s="1"/>
  <c r="L151" i="48"/>
  <c r="AA150" i="54"/>
  <c r="J94" i="48"/>
  <c r="J89" i="48"/>
  <c r="J42" i="44"/>
  <c r="L83" i="44"/>
  <c r="K39" i="44"/>
  <c r="AA146" i="54"/>
  <c r="I171" i="48"/>
  <c r="I28" i="48"/>
  <c r="AI68" i="48" s="1"/>
  <c r="J144" i="48"/>
  <c r="K17" i="44"/>
  <c r="K71" i="48"/>
  <c r="AK111" i="48" s="1"/>
  <c r="L47" i="44"/>
  <c r="J109" i="48"/>
  <c r="J29" i="48"/>
  <c r="L58" i="44"/>
  <c r="K168" i="48"/>
  <c r="L4" i="48"/>
  <c r="K135" i="44"/>
  <c r="L24" i="44"/>
  <c r="L49" i="44"/>
  <c r="J62" i="44"/>
  <c r="J124" i="48"/>
  <c r="K27" i="44"/>
  <c r="K70" i="48"/>
  <c r="AK110" i="48" s="1"/>
  <c r="Q165" i="54"/>
  <c r="I109" i="44"/>
  <c r="I87" i="48"/>
  <c r="AI127" i="48" s="1"/>
  <c r="L159" i="48"/>
  <c r="J56" i="48"/>
  <c r="I164" i="44"/>
  <c r="Q2" i="54"/>
  <c r="I13" i="48"/>
  <c r="AI53" i="48" s="1"/>
  <c r="J127" i="48"/>
  <c r="AA79" i="54"/>
  <c r="Q91" i="54"/>
  <c r="K17" i="48"/>
  <c r="AK57" i="48" s="1"/>
  <c r="I14" i="48"/>
  <c r="AI54" i="48" s="1"/>
  <c r="J94" i="44"/>
  <c r="J154" i="44"/>
  <c r="K36" i="44"/>
  <c r="J47" i="44"/>
  <c r="L5" i="48"/>
  <c r="K147" i="44"/>
  <c r="L96" i="44"/>
  <c r="J87" i="44"/>
  <c r="L2" i="48"/>
  <c r="K38" i="48"/>
  <c r="AK78" i="48" s="1"/>
  <c r="I63" i="44"/>
  <c r="L35" i="44"/>
  <c r="Q155" i="54"/>
  <c r="L56" i="48"/>
  <c r="AA61" i="54"/>
  <c r="I155" i="48"/>
  <c r="L166" i="48"/>
  <c r="J19" i="48"/>
  <c r="J86" i="48"/>
  <c r="J58" i="44"/>
  <c r="K136" i="44"/>
  <c r="J45" i="48"/>
  <c r="L56" i="44"/>
  <c r="I115" i="48"/>
  <c r="J28" i="48"/>
  <c r="J60" i="44"/>
  <c r="J15" i="44"/>
  <c r="AA39" i="54"/>
  <c r="L33" i="48"/>
  <c r="J168" i="48"/>
  <c r="K11" i="48"/>
  <c r="AK51" i="48" s="1"/>
  <c r="Q121" i="54"/>
  <c r="J104" i="48"/>
  <c r="L42" i="48"/>
  <c r="K142" i="44"/>
  <c r="Q106" i="54"/>
  <c r="J120" i="48"/>
  <c r="J97" i="48"/>
  <c r="L74" i="48"/>
  <c r="I148" i="44"/>
  <c r="AA57" i="54"/>
  <c r="AA134" i="54"/>
  <c r="J92" i="44"/>
  <c r="J135" i="48"/>
  <c r="Q63" i="54"/>
  <c r="I141" i="44"/>
  <c r="K91" i="44"/>
  <c r="J117" i="48"/>
  <c r="K4" i="44"/>
  <c r="J112" i="44"/>
  <c r="I95" i="44"/>
  <c r="I111" i="44"/>
  <c r="I99" i="44"/>
  <c r="K69" i="44"/>
  <c r="Q156" i="54"/>
  <c r="J121" i="48"/>
  <c r="L29" i="48"/>
  <c r="Q17" i="54"/>
  <c r="I169" i="44"/>
  <c r="K87" i="48"/>
  <c r="AK127" i="48" s="1"/>
  <c r="K56" i="44"/>
  <c r="I136" i="44"/>
  <c r="J31" i="48"/>
  <c r="Q93" i="54"/>
  <c r="Q101" i="54"/>
  <c r="K50" i="44"/>
  <c r="J89" i="44"/>
  <c r="J96" i="44"/>
  <c r="L161" i="48"/>
  <c r="Q102" i="54"/>
  <c r="L6" i="48"/>
  <c r="L20" i="48"/>
  <c r="I96" i="48"/>
  <c r="AI136" i="48" s="1"/>
  <c r="I25" i="44"/>
  <c r="AA160" i="54"/>
  <c r="K93" i="48"/>
  <c r="AK133" i="48" s="1"/>
  <c r="J103" i="44"/>
  <c r="K125" i="44"/>
  <c r="Q61" i="54"/>
  <c r="K158" i="44"/>
  <c r="Q67" i="54"/>
  <c r="J73" i="44"/>
  <c r="J50" i="48"/>
  <c r="J43" i="44"/>
  <c r="L158" i="44"/>
  <c r="K67" i="48"/>
  <c r="AK107" i="48" s="1"/>
  <c r="L106" i="48"/>
  <c r="L121" i="44"/>
  <c r="J169" i="44"/>
  <c r="J3" i="48"/>
  <c r="AA119" i="54"/>
  <c r="J33" i="44"/>
  <c r="L59" i="48"/>
  <c r="I159" i="44"/>
  <c r="I152" i="44"/>
  <c r="I116" i="44"/>
  <c r="AA147" i="54"/>
  <c r="L157" i="48"/>
  <c r="K72" i="48"/>
  <c r="AK112" i="48" s="1"/>
  <c r="J125" i="44"/>
  <c r="L32" i="48"/>
  <c r="I114" i="48"/>
  <c r="J9" i="48"/>
  <c r="L106" i="44"/>
  <c r="J53" i="48"/>
  <c r="I120" i="48"/>
  <c r="K49" i="48"/>
  <c r="AK89" i="48" s="1"/>
  <c r="J137" i="48"/>
  <c r="K3" i="44"/>
  <c r="I48" i="48"/>
  <c r="AI88" i="48" s="1"/>
  <c r="L164" i="44"/>
  <c r="Q88" i="54"/>
  <c r="K161" i="44"/>
  <c r="K164" i="44"/>
  <c r="L9" i="44"/>
  <c r="L39" i="48"/>
  <c r="L149" i="44"/>
  <c r="K101" i="48"/>
  <c r="AK141" i="48" s="1"/>
  <c r="J48" i="48"/>
  <c r="J128" i="48"/>
  <c r="J135" i="44"/>
  <c r="L144" i="48"/>
  <c r="J169" i="48"/>
  <c r="K53" i="48"/>
  <c r="AK93" i="48" s="1"/>
  <c r="Q97" i="54"/>
  <c r="Q92" i="54"/>
  <c r="J76" i="44"/>
  <c r="AA49" i="54"/>
  <c r="K131" i="48"/>
  <c r="K118" i="48"/>
  <c r="I74" i="44"/>
  <c r="K76" i="48"/>
  <c r="AK116" i="48" s="1"/>
  <c r="I173" i="48"/>
  <c r="I55" i="48"/>
  <c r="AI95" i="48" s="1"/>
  <c r="K69" i="48"/>
  <c r="AK109" i="48" s="1"/>
  <c r="L36" i="48"/>
  <c r="L94" i="44"/>
  <c r="J159" i="48"/>
  <c r="I59" i="48"/>
  <c r="AI99" i="48" s="1"/>
  <c r="J39" i="44"/>
  <c r="I2" i="48"/>
  <c r="AI42" i="48" s="1"/>
  <c r="J175" i="48"/>
  <c r="I35" i="44"/>
  <c r="AA149" i="54"/>
  <c r="Q25" i="54"/>
  <c r="I102" i="44"/>
  <c r="I19" i="44"/>
  <c r="L133" i="44"/>
  <c r="AA42" i="54"/>
  <c r="K160" i="48"/>
  <c r="AA98" i="54"/>
  <c r="K32" i="48"/>
  <c r="AK72" i="48" s="1"/>
  <c r="AA116" i="54"/>
  <c r="AA44" i="54"/>
  <c r="Q10" i="54"/>
  <c r="J40" i="44"/>
  <c r="AA139" i="54"/>
  <c r="J82" i="48"/>
  <c r="Q58" i="54"/>
  <c r="AA112" i="54"/>
  <c r="K53" i="44"/>
  <c r="AA102" i="54"/>
  <c r="I7" i="48"/>
  <c r="AI47" i="48" s="1"/>
  <c r="Q62" i="54"/>
  <c r="K114" i="48"/>
  <c r="K138" i="48"/>
  <c r="L23" i="44"/>
  <c r="Q122" i="54"/>
  <c r="K91" i="48"/>
  <c r="AK131" i="48" s="1"/>
  <c r="J4" i="44"/>
  <c r="J133" i="44"/>
  <c r="L125" i="44"/>
  <c r="AA46" i="54"/>
  <c r="AA101" i="54"/>
  <c r="L38" i="44"/>
  <c r="J44" i="48"/>
  <c r="L99" i="48"/>
  <c r="J67" i="48"/>
  <c r="J64" i="48"/>
  <c r="J39" i="48"/>
  <c r="K31" i="44"/>
  <c r="J157" i="48"/>
  <c r="J108" i="44"/>
  <c r="L46" i="44"/>
  <c r="L124" i="44"/>
  <c r="J72" i="48"/>
  <c r="Q56" i="54"/>
  <c r="K84" i="44"/>
  <c r="I97" i="44"/>
  <c r="I175" i="48"/>
  <c r="L163" i="48"/>
  <c r="I29" i="44"/>
  <c r="J11" i="48"/>
  <c r="J132" i="48"/>
  <c r="Q38" i="54"/>
  <c r="L110" i="44"/>
  <c r="K99" i="48"/>
  <c r="AK139" i="48" s="1"/>
  <c r="Q59" i="54"/>
  <c r="L142" i="48"/>
  <c r="L120" i="48"/>
  <c r="L48" i="44"/>
  <c r="J86" i="44"/>
  <c r="I172" i="48"/>
  <c r="J13" i="48"/>
  <c r="J81" i="44"/>
  <c r="K116" i="48"/>
  <c r="I163" i="44"/>
  <c r="K81" i="48"/>
  <c r="AK121" i="48" s="1"/>
  <c r="Q144" i="54"/>
  <c r="K112" i="44"/>
  <c r="I43" i="44"/>
  <c r="K16" i="44"/>
  <c r="AA103" i="54"/>
  <c r="J166" i="44"/>
  <c r="Q152" i="54"/>
  <c r="I40" i="48"/>
  <c r="AI80" i="48" s="1"/>
  <c r="Q159" i="54"/>
  <c r="K156" i="44"/>
  <c r="L2" i="44"/>
  <c r="L76" i="44"/>
  <c r="Q162" i="54"/>
  <c r="Q8" i="54"/>
  <c r="J161" i="48"/>
  <c r="L45" i="48"/>
  <c r="I146" i="44"/>
  <c r="L76" i="48"/>
  <c r="J165" i="48"/>
  <c r="L141" i="44"/>
  <c r="I133" i="44"/>
  <c r="I46" i="48"/>
  <c r="AI86" i="48" s="1"/>
  <c r="J143" i="44"/>
  <c r="Q15" i="54"/>
  <c r="L101" i="44"/>
  <c r="Q142" i="54"/>
  <c r="AA137" i="54"/>
  <c r="J115" i="44"/>
  <c r="Q127" i="54"/>
  <c r="J167" i="48"/>
  <c r="K126" i="48"/>
  <c r="K74" i="44"/>
  <c r="K73" i="44"/>
  <c r="K61" i="48"/>
  <c r="AK101" i="48" s="1"/>
  <c r="K30" i="48"/>
  <c r="AK70" i="48" s="1"/>
  <c r="AA100" i="54"/>
  <c r="K57" i="44"/>
  <c r="J85" i="44"/>
  <c r="L23" i="48"/>
  <c r="K153" i="44"/>
  <c r="I98" i="48"/>
  <c r="AI138" i="48" s="1"/>
  <c r="J2" i="44"/>
  <c r="L100" i="44"/>
  <c r="I24" i="44"/>
  <c r="J53" i="44"/>
  <c r="K56" i="48"/>
  <c r="AK96" i="48" s="1"/>
  <c r="Q11" i="54"/>
  <c r="I137" i="44"/>
  <c r="K31" i="48"/>
  <c r="AK71" i="48" s="1"/>
  <c r="K6" i="48"/>
  <c r="AK46" i="48" s="1"/>
  <c r="K141" i="48"/>
  <c r="L123" i="48"/>
  <c r="L124" i="48"/>
  <c r="I157" i="48"/>
  <c r="J99" i="48"/>
  <c r="L89" i="44"/>
  <c r="L43" i="48"/>
  <c r="K12" i="48"/>
  <c r="AK52" i="48" s="1"/>
  <c r="AA108" i="54"/>
  <c r="I51" i="48"/>
  <c r="AI91" i="48" s="1"/>
  <c r="J75" i="48"/>
  <c r="K63" i="44"/>
  <c r="K33" i="48"/>
  <c r="AK73" i="48" s="1"/>
  <c r="J127" i="44"/>
  <c r="Q40" i="54"/>
  <c r="AA10" i="54"/>
  <c r="K155" i="44"/>
  <c r="L175" i="48"/>
  <c r="J158" i="48"/>
  <c r="J40" i="48"/>
  <c r="Q166" i="54"/>
  <c r="L10" i="48"/>
  <c r="K125" i="48"/>
  <c r="L111" i="48"/>
  <c r="L73" i="48"/>
  <c r="I70" i="48"/>
  <c r="AI110" i="48" s="1"/>
  <c r="K152" i="44"/>
  <c r="K117" i="48"/>
  <c r="I79" i="48"/>
  <c r="AI119" i="48" s="1"/>
  <c r="J147" i="48"/>
  <c r="J115" i="48"/>
  <c r="L65" i="44"/>
  <c r="L114" i="48"/>
  <c r="J46" i="48"/>
  <c r="J159" i="44"/>
  <c r="J153" i="48"/>
  <c r="J137" i="44"/>
  <c r="L99" i="44"/>
  <c r="J142" i="44"/>
  <c r="AA138" i="54"/>
  <c r="J139" i="44"/>
  <c r="AA11" i="54"/>
  <c r="L127" i="48"/>
  <c r="J149" i="44"/>
  <c r="L112" i="44"/>
  <c r="I32" i="44"/>
  <c r="K142" i="48"/>
  <c r="Q9" i="54"/>
  <c r="L88" i="44"/>
  <c r="Q113" i="54"/>
  <c r="I111" i="48"/>
  <c r="Q42" i="54"/>
  <c r="K58" i="48"/>
  <c r="AK98" i="48" s="1"/>
  <c r="L17" i="44"/>
  <c r="J41" i="48"/>
  <c r="L78" i="48"/>
  <c r="K122" i="44"/>
  <c r="I161" i="48"/>
  <c r="J55" i="44"/>
  <c r="Q27" i="54"/>
  <c r="I71" i="48"/>
  <c r="AI111" i="48" s="1"/>
  <c r="K157" i="44"/>
  <c r="K48" i="48"/>
  <c r="AK88" i="48" s="1"/>
  <c r="Q45" i="54"/>
  <c r="J52" i="48"/>
  <c r="K45" i="44"/>
  <c r="I154" i="44"/>
  <c r="Q114" i="54"/>
  <c r="I2" i="44"/>
  <c r="J111" i="48"/>
  <c r="AA170" i="54"/>
  <c r="K75" i="48"/>
  <c r="AK115" i="48" s="1"/>
  <c r="AA136" i="54"/>
  <c r="L97" i="48"/>
  <c r="Q128" i="54"/>
  <c r="J59" i="48"/>
  <c r="I22" i="44"/>
  <c r="I57" i="44"/>
  <c r="AA25" i="54"/>
  <c r="J162" i="48"/>
  <c r="K33" i="44"/>
  <c r="I79" i="44"/>
  <c r="I163" i="48"/>
  <c r="J59" i="44"/>
  <c r="J74" i="44"/>
  <c r="L18" i="44"/>
  <c r="L113" i="44"/>
  <c r="Q49" i="54"/>
  <c r="J131" i="48"/>
  <c r="AA110" i="54"/>
  <c r="Q37" i="54"/>
  <c r="L118" i="44"/>
  <c r="K149" i="44"/>
  <c r="Q98" i="54"/>
  <c r="J31" i="44"/>
  <c r="J155" i="48"/>
  <c r="I123" i="44"/>
  <c r="Q79" i="54"/>
  <c r="J126" i="44"/>
  <c r="L34" i="44"/>
  <c r="I142" i="48"/>
  <c r="Q116" i="54"/>
  <c r="Q52" i="54"/>
  <c r="J140" i="44"/>
  <c r="L98" i="44"/>
  <c r="Q90" i="54"/>
  <c r="K115" i="48"/>
  <c r="I81" i="44"/>
  <c r="J35" i="48"/>
  <c r="AA135" i="54"/>
  <c r="AA58" i="54"/>
  <c r="AA159" i="54"/>
  <c r="J8" i="48"/>
  <c r="J102" i="44"/>
  <c r="Q57" i="54"/>
  <c r="Q105" i="54"/>
  <c r="I157" i="44"/>
  <c r="I8" i="48"/>
  <c r="AI48" i="48" s="1"/>
  <c r="J117" i="44"/>
  <c r="I28" i="44"/>
  <c r="I122" i="48"/>
  <c r="K28" i="44"/>
  <c r="AA115" i="54"/>
  <c r="I158" i="48"/>
  <c r="L143" i="48"/>
  <c r="L3" i="44"/>
  <c r="AA31" i="54"/>
  <c r="Q44" i="54"/>
  <c r="L20" i="44"/>
  <c r="J146" i="48"/>
  <c r="Q134" i="54"/>
  <c r="L19" i="44"/>
  <c r="I18" i="44"/>
  <c r="J7" i="48"/>
  <c r="I93" i="48"/>
  <c r="AI133" i="48" s="1"/>
  <c r="Q48" i="54"/>
  <c r="K95" i="44"/>
  <c r="K92" i="48"/>
  <c r="AK132" i="48" s="1"/>
  <c r="J52" i="44"/>
  <c r="J6" i="48"/>
  <c r="J90" i="48"/>
  <c r="Q5" i="54"/>
  <c r="L47" i="48"/>
  <c r="K87" i="44"/>
  <c r="L34" i="48"/>
  <c r="L67" i="44"/>
  <c r="I129" i="48"/>
  <c r="I147" i="44"/>
  <c r="J19" i="44"/>
  <c r="J37" i="44"/>
  <c r="K48" i="44"/>
  <c r="AA53" i="54"/>
  <c r="I166" i="44"/>
  <c r="K88" i="48"/>
  <c r="AK128" i="48" s="1"/>
  <c r="J129" i="48"/>
  <c r="K146" i="48"/>
  <c r="K175" i="48"/>
  <c r="K60" i="48"/>
  <c r="AK100" i="48" s="1"/>
  <c r="L45" i="44"/>
  <c r="L67" i="48"/>
  <c r="K64" i="44"/>
  <c r="I25" i="48"/>
  <c r="AI65" i="48" s="1"/>
  <c r="J97" i="44"/>
  <c r="I117" i="48"/>
  <c r="L162" i="44"/>
  <c r="AA168" i="54"/>
  <c r="I13" i="44"/>
  <c r="K30" i="44"/>
  <c r="I65" i="44"/>
  <c r="Q151" i="54"/>
  <c r="Q13" i="54"/>
  <c r="AA158" i="54"/>
  <c r="J138" i="48"/>
  <c r="I12" i="48"/>
  <c r="AI52" i="48" s="1"/>
  <c r="K23" i="48"/>
  <c r="AK63" i="48" s="1"/>
  <c r="L53" i="48"/>
  <c r="K145" i="44"/>
  <c r="K13" i="44"/>
  <c r="J25" i="44"/>
  <c r="K5" i="48"/>
  <c r="AK45" i="48" s="1"/>
  <c r="J47" i="48"/>
  <c r="K160" i="44"/>
  <c r="Q130" i="54"/>
  <c r="I47" i="44"/>
  <c r="L17" i="48"/>
  <c r="I98" i="44"/>
  <c r="I121" i="44"/>
  <c r="AA64" i="54"/>
  <c r="I54" i="44"/>
  <c r="L116" i="44"/>
  <c r="K90" i="48"/>
  <c r="AK130" i="48" s="1"/>
  <c r="AA143" i="54"/>
  <c r="I142" i="44"/>
  <c r="K111" i="44"/>
  <c r="L82" i="48"/>
  <c r="J80" i="48"/>
  <c r="Q108" i="54"/>
  <c r="AA69" i="54"/>
  <c r="AA111" i="54"/>
  <c r="L52" i="48"/>
  <c r="K86" i="44"/>
  <c r="I125" i="44"/>
  <c r="Q153" i="54"/>
  <c r="I59" i="44"/>
  <c r="K22" i="44"/>
  <c r="J112" i="48"/>
  <c r="Q14" i="54"/>
  <c r="J65" i="48"/>
  <c r="K93" i="44"/>
  <c r="L150" i="48"/>
  <c r="I127" i="44"/>
  <c r="I47" i="48"/>
  <c r="AI87" i="48" s="1"/>
  <c r="L27" i="44"/>
  <c r="K83" i="48"/>
  <c r="AK123" i="48" s="1"/>
  <c r="Q81" i="54"/>
  <c r="J141" i="44"/>
  <c r="Q32" i="54"/>
  <c r="J100" i="44"/>
  <c r="K45" i="48"/>
  <c r="AK85" i="48" s="1"/>
  <c r="AA68" i="54"/>
  <c r="K154" i="44"/>
  <c r="I108" i="48"/>
  <c r="K78" i="44"/>
  <c r="K127" i="48"/>
  <c r="Q139" i="54"/>
  <c r="J24" i="48"/>
  <c r="K44" i="48"/>
  <c r="AK84" i="48" s="1"/>
  <c r="I23" i="44"/>
  <c r="L169" i="48"/>
  <c r="L6" i="44"/>
  <c r="K132" i="44"/>
  <c r="I166" i="48"/>
  <c r="I140" i="44"/>
  <c r="L26" i="44"/>
  <c r="I84" i="48"/>
  <c r="AI124" i="48" s="1"/>
  <c r="I135" i="44"/>
  <c r="J51" i="44"/>
  <c r="K59" i="48"/>
  <c r="AK99" i="48" s="1"/>
  <c r="K88" i="44"/>
  <c r="I94" i="48"/>
  <c r="AI134" i="48" s="1"/>
  <c r="Q117" i="54"/>
  <c r="Q109" i="54"/>
  <c r="K141" i="44"/>
  <c r="Q150" i="54"/>
  <c r="J67" i="44"/>
  <c r="K147" i="48"/>
  <c r="J92" i="48"/>
  <c r="L69" i="44"/>
  <c r="I89" i="44"/>
  <c r="K40" i="48"/>
  <c r="AK80" i="48" s="1"/>
  <c r="L44" i="48"/>
  <c r="I141" i="48"/>
  <c r="L15" i="48"/>
  <c r="K118" i="44"/>
  <c r="J77" i="44"/>
  <c r="L96" i="48"/>
  <c r="AA157" i="54"/>
  <c r="Q160" i="54"/>
  <c r="L131" i="48"/>
  <c r="L57" i="44"/>
  <c r="I150" i="44"/>
  <c r="I39" i="48"/>
  <c r="AI79" i="48" s="1"/>
  <c r="L32" i="44"/>
  <c r="L50" i="44"/>
  <c r="L170" i="48"/>
  <c r="J4" i="48"/>
  <c r="K106" i="48"/>
  <c r="I126" i="48"/>
  <c r="Q123" i="54"/>
  <c r="I158" i="44"/>
  <c r="L115" i="44"/>
  <c r="I77" i="48"/>
  <c r="AI117" i="48" s="1"/>
  <c r="L139" i="48"/>
  <c r="J54" i="44"/>
  <c r="I89" i="48"/>
  <c r="AI129" i="48" s="1"/>
  <c r="L125" i="48"/>
  <c r="L22" i="44"/>
  <c r="AA144" i="54"/>
  <c r="L86" i="48"/>
  <c r="J48" i="44"/>
  <c r="K152" i="48"/>
  <c r="J143" i="48"/>
  <c r="J171" i="48"/>
  <c r="I71" i="44"/>
  <c r="K172" i="48"/>
  <c r="K157" i="48"/>
  <c r="AA155" i="54"/>
  <c r="K47" i="48"/>
  <c r="AK87" i="48" s="1"/>
  <c r="AA130" i="54"/>
  <c r="Q167" i="54"/>
  <c r="J119" i="44"/>
  <c r="I32" i="48"/>
  <c r="AI72" i="48" s="1"/>
  <c r="I99" i="48"/>
  <c r="AI139" i="48" s="1"/>
  <c r="I106" i="44"/>
  <c r="I10" i="44"/>
  <c r="L39" i="44"/>
  <c r="K14" i="48"/>
  <c r="AK54" i="48" s="1"/>
  <c r="K74" i="48"/>
  <c r="AK114" i="48" s="1"/>
  <c r="K102" i="48"/>
  <c r="K66" i="48"/>
  <c r="AK106" i="48" s="1"/>
  <c r="K140" i="48"/>
  <c r="L119" i="44"/>
  <c r="I82" i="48"/>
  <c r="AI122" i="48" s="1"/>
  <c r="I151" i="44"/>
  <c r="I129" i="44"/>
  <c r="K96" i="48"/>
  <c r="AK136" i="48" s="1"/>
  <c r="L145" i="44"/>
  <c r="I81" i="48"/>
  <c r="AI121" i="48" s="1"/>
  <c r="J140" i="48"/>
  <c r="K173" i="48"/>
  <c r="J65" i="44"/>
  <c r="I64" i="44"/>
  <c r="K123" i="48"/>
  <c r="K170" i="48"/>
  <c r="I3" i="44"/>
  <c r="I42" i="44"/>
  <c r="AA47" i="54"/>
  <c r="L91" i="48"/>
  <c r="K120" i="44"/>
  <c r="J145" i="48"/>
  <c r="I149" i="44"/>
  <c r="L13" i="48"/>
  <c r="J154" i="48"/>
  <c r="J44" i="44"/>
  <c r="K146" i="44"/>
  <c r="L110" i="48"/>
  <c r="Q33" i="54"/>
  <c r="I33" i="48"/>
  <c r="AI73" i="48" s="1"/>
  <c r="AA169" i="54"/>
  <c r="I127" i="48"/>
  <c r="L126" i="48"/>
  <c r="I6" i="44"/>
  <c r="J151" i="44"/>
  <c r="I126" i="44"/>
  <c r="I146" i="48"/>
  <c r="J20" i="48"/>
  <c r="J170" i="44"/>
  <c r="J102" i="48"/>
  <c r="K25" i="44"/>
  <c r="J122" i="44"/>
  <c r="L135" i="44"/>
  <c r="I50" i="48"/>
  <c r="AI90" i="48" s="1"/>
  <c r="L52" i="44"/>
  <c r="I108" i="44"/>
  <c r="J173" i="48"/>
  <c r="L119" i="48"/>
  <c r="K20" i="44"/>
  <c r="L137" i="44"/>
  <c r="K72" i="44"/>
  <c r="L133" i="48"/>
  <c r="J101" i="44"/>
  <c r="K40" i="44"/>
  <c r="L144" i="44"/>
  <c r="K24" i="48"/>
  <c r="AK64" i="48" s="1"/>
  <c r="K89" i="48"/>
  <c r="AK129" i="48" s="1"/>
  <c r="K8" i="48"/>
  <c r="AK48" i="48" s="1"/>
  <c r="I37" i="44"/>
  <c r="K2" i="48"/>
  <c r="AK42" i="48" s="1"/>
  <c r="L128" i="44"/>
  <c r="I9" i="44"/>
  <c r="L42" i="44"/>
  <c r="J60" i="48"/>
  <c r="I68" i="44"/>
  <c r="L147" i="44"/>
  <c r="K10" i="44"/>
  <c r="I168" i="48"/>
  <c r="J45" i="44"/>
  <c r="I119" i="44"/>
  <c r="L33" i="44"/>
  <c r="I37" i="48"/>
  <c r="AI77" i="48" s="1"/>
  <c r="Q22" i="54"/>
  <c r="K124" i="44"/>
  <c r="J142" i="48"/>
  <c r="K133" i="44"/>
  <c r="K29" i="48"/>
  <c r="AK69" i="48" s="1"/>
  <c r="Q50" i="54"/>
  <c r="K7" i="48"/>
  <c r="AK47" i="48" s="1"/>
  <c r="Q74" i="54"/>
  <c r="AA105" i="54"/>
  <c r="K76" i="44"/>
  <c r="K98" i="44"/>
  <c r="I62" i="44"/>
  <c r="Q16" i="54"/>
  <c r="AA122" i="54"/>
  <c r="J28" i="44"/>
  <c r="AA142" i="54"/>
  <c r="Q135" i="54"/>
  <c r="K151" i="44"/>
  <c r="J123" i="44"/>
  <c r="L82" i="44"/>
  <c r="J150" i="48"/>
  <c r="J49" i="48"/>
  <c r="AA77" i="54"/>
  <c r="I72" i="48"/>
  <c r="AI112" i="48" s="1"/>
  <c r="L147" i="48"/>
  <c r="I103" i="48"/>
  <c r="K21" i="44"/>
  <c r="K101" i="44"/>
  <c r="K80" i="48"/>
  <c r="AK120" i="48" s="1"/>
  <c r="I85" i="44"/>
  <c r="K107" i="44"/>
  <c r="I118" i="48"/>
  <c r="L11" i="48"/>
  <c r="J27" i="48"/>
  <c r="J61" i="44"/>
  <c r="L115" i="48"/>
  <c r="K163" i="48"/>
  <c r="L11" i="44"/>
  <c r="K77" i="48"/>
  <c r="AK117" i="48" s="1"/>
  <c r="I167" i="44"/>
  <c r="K75" i="44"/>
  <c r="K12" i="44"/>
  <c r="AA152" i="54"/>
  <c r="L53" i="44"/>
  <c r="Q125" i="54"/>
  <c r="I88" i="44"/>
  <c r="I11" i="44"/>
  <c r="I68" i="48"/>
  <c r="AI108" i="48" s="1"/>
  <c r="J98" i="48"/>
  <c r="J50" i="44"/>
  <c r="I92" i="44"/>
  <c r="L113" i="48"/>
  <c r="K62" i="48"/>
  <c r="AK102" i="48" s="1"/>
  <c r="J23" i="44"/>
  <c r="I92" i="48"/>
  <c r="AI132" i="48" s="1"/>
  <c r="K153" i="48"/>
  <c r="I160" i="48"/>
  <c r="AA75" i="54"/>
  <c r="I21" i="48"/>
  <c r="AI61" i="48" s="1"/>
  <c r="J63" i="48"/>
  <c r="K24" i="44"/>
  <c r="I174" i="48"/>
  <c r="L16" i="44"/>
  <c r="J46" i="44"/>
  <c r="Q35" i="54"/>
  <c r="I38" i="48"/>
  <c r="AI78" i="48" s="1"/>
  <c r="L85" i="44"/>
  <c r="I11" i="48"/>
  <c r="AI51" i="48" s="1"/>
  <c r="J14" i="48"/>
  <c r="Q87" i="54"/>
  <c r="Q39" i="54"/>
  <c r="J144" i="44"/>
  <c r="L81" i="48"/>
  <c r="K29" i="44"/>
  <c r="I61" i="44"/>
  <c r="I95" i="48"/>
  <c r="AI135" i="48" s="1"/>
  <c r="L78" i="44"/>
  <c r="Q149" i="54"/>
  <c r="K138" i="44"/>
  <c r="Q133" i="54"/>
  <c r="L51" i="48"/>
  <c r="L63" i="44"/>
  <c r="AA128" i="54"/>
  <c r="Q43" i="54"/>
  <c r="Q21" i="54"/>
  <c r="I143" i="48"/>
  <c r="L46" i="48"/>
  <c r="I109" i="48"/>
  <c r="J57" i="48"/>
  <c r="L29" i="44"/>
  <c r="AA167" i="54"/>
  <c r="J42" i="48"/>
  <c r="I56" i="44"/>
  <c r="K166" i="44"/>
  <c r="L91" i="44"/>
  <c r="AA121" i="54"/>
  <c r="K60" i="44"/>
  <c r="L38" i="48"/>
  <c r="J114" i="44"/>
  <c r="I102" i="48"/>
  <c r="K14" i="44"/>
  <c r="J6" i="44"/>
  <c r="I26" i="44"/>
  <c r="AA41" i="54"/>
  <c r="I51" i="44"/>
  <c r="K63" i="48"/>
  <c r="AK103" i="48" s="1"/>
  <c r="AA118" i="54"/>
  <c r="I48" i="44"/>
  <c r="I27" i="44"/>
  <c r="K103" i="44"/>
  <c r="I130" i="48"/>
  <c r="J116" i="44"/>
  <c r="I107" i="44"/>
  <c r="J130" i="48"/>
  <c r="Q124" i="54"/>
  <c r="K46" i="44"/>
  <c r="Q110" i="54"/>
  <c r="I42" i="48"/>
  <c r="AI82" i="48" s="1"/>
  <c r="J34" i="48"/>
  <c r="J76" i="48"/>
  <c r="L64" i="44"/>
  <c r="I132" i="44"/>
  <c r="Q170" i="54"/>
  <c r="K106" i="44"/>
  <c r="K37" i="48"/>
  <c r="AK77" i="48" s="1"/>
  <c r="J27" i="44"/>
  <c r="L132" i="48"/>
  <c r="J153" i="44"/>
  <c r="J37" i="48"/>
  <c r="L81" i="44"/>
  <c r="K39" i="48"/>
  <c r="AK79" i="48" s="1"/>
  <c r="J18" i="44"/>
  <c r="K132" i="48"/>
  <c r="I67" i="44"/>
  <c r="J83" i="48"/>
  <c r="J85" i="48"/>
  <c r="Q75" i="54"/>
  <c r="Q120" i="54"/>
  <c r="K109" i="48"/>
  <c r="J88" i="44"/>
  <c r="L107" i="48"/>
  <c r="J36" i="44"/>
  <c r="Q68" i="54"/>
  <c r="L49" i="48"/>
  <c r="K137" i="44"/>
  <c r="J74" i="48"/>
  <c r="AA91" i="54"/>
  <c r="AA93" i="54"/>
  <c r="J5" i="44"/>
  <c r="AA141" i="54"/>
  <c r="L14" i="48"/>
  <c r="I63" i="48"/>
  <c r="AI103" i="48" s="1"/>
  <c r="AA120" i="54"/>
  <c r="K145" i="48"/>
  <c r="L93" i="48"/>
  <c r="J134" i="44"/>
  <c r="AA124" i="54"/>
  <c r="I101" i="44"/>
  <c r="J30" i="48"/>
  <c r="I5" i="48"/>
  <c r="AI45" i="48" s="1"/>
  <c r="J78" i="44"/>
  <c r="K148" i="44"/>
  <c r="J26" i="44"/>
  <c r="AA12" i="54"/>
  <c r="L116" i="48"/>
  <c r="I4" i="44"/>
  <c r="L148" i="48"/>
  <c r="K174" i="48"/>
  <c r="J164" i="44"/>
  <c r="K26" i="44"/>
  <c r="AA99" i="54"/>
  <c r="K36" i="48"/>
  <c r="AK76" i="48" s="1"/>
  <c r="K50" i="48"/>
  <c r="AK90" i="48" s="1"/>
  <c r="J171" i="44"/>
  <c r="I77" i="44"/>
  <c r="I148" i="48"/>
  <c r="K149" i="48"/>
  <c r="I128" i="48"/>
  <c r="I155" i="44"/>
  <c r="L89" i="48"/>
  <c r="J136" i="48"/>
  <c r="J152" i="48"/>
  <c r="AA3" i="54"/>
  <c r="K59" i="44"/>
  <c r="I39" i="44"/>
  <c r="I3" i="48"/>
  <c r="AI43" i="48" s="1"/>
  <c r="J29" i="44"/>
  <c r="AA20" i="54"/>
  <c r="K124" i="48"/>
  <c r="I31" i="44"/>
  <c r="Q65" i="54"/>
  <c r="L128" i="48"/>
  <c r="K121" i="44"/>
  <c r="AA37" i="54"/>
  <c r="K8" i="44"/>
  <c r="J111" i="44"/>
  <c r="K143" i="44"/>
  <c r="K169" i="48"/>
  <c r="I138" i="48"/>
  <c r="K119" i="48"/>
  <c r="I19" i="48"/>
  <c r="AI59" i="48" s="1"/>
  <c r="L75" i="44"/>
  <c r="I58" i="48"/>
  <c r="AI98" i="48" s="1"/>
  <c r="K154" i="48"/>
  <c r="AA27" i="54"/>
  <c r="I119" i="48"/>
  <c r="K23" i="44"/>
  <c r="I90" i="44"/>
  <c r="L105" i="48"/>
  <c r="J118" i="48"/>
  <c r="K4" i="48"/>
  <c r="AK44" i="48" s="1"/>
  <c r="Q73" i="54"/>
  <c r="K163" i="44"/>
  <c r="J72" i="44"/>
  <c r="I24" i="48"/>
  <c r="AI64" i="48" s="1"/>
  <c r="K150" i="48"/>
  <c r="Q129" i="54"/>
  <c r="K108" i="44"/>
  <c r="K7" i="44"/>
  <c r="AA109" i="54"/>
  <c r="J3" i="44"/>
  <c r="L86" i="44"/>
  <c r="AA5" i="54"/>
  <c r="AA22" i="54"/>
  <c r="AA163" i="54"/>
  <c r="J176" i="48"/>
  <c r="AA67" i="54"/>
  <c r="I169" i="48"/>
  <c r="I78" i="48"/>
  <c r="AI118" i="48" s="1"/>
  <c r="I164" i="48"/>
  <c r="K133" i="48"/>
  <c r="K102" i="44"/>
  <c r="K120" i="48"/>
  <c r="K112" i="48"/>
  <c r="I153" i="48"/>
  <c r="K61" i="44"/>
  <c r="AA38" i="54"/>
  <c r="K127" i="44"/>
  <c r="L16" i="48"/>
  <c r="J105" i="44"/>
  <c r="J93" i="44"/>
  <c r="K98" i="48"/>
  <c r="AK138" i="48" s="1"/>
  <c r="K140" i="44"/>
  <c r="L8" i="44"/>
  <c r="I46" i="44"/>
  <c r="AA62" i="54"/>
  <c r="K27" i="48"/>
  <c r="AK67" i="48" s="1"/>
  <c r="L160" i="48"/>
  <c r="I176" i="48"/>
  <c r="L62" i="48"/>
  <c r="I133" i="48"/>
  <c r="K164" i="48"/>
  <c r="J71" i="44"/>
  <c r="L117" i="44"/>
  <c r="I96" i="44"/>
  <c r="L167" i="48"/>
  <c r="L12" i="44"/>
  <c r="J130" i="44"/>
  <c r="I97" i="48"/>
  <c r="AI137" i="48" s="1"/>
  <c r="L138" i="44"/>
  <c r="L166" i="44"/>
  <c r="L134" i="44"/>
  <c r="L94" i="48"/>
  <c r="AA123" i="54"/>
  <c r="I72" i="44"/>
  <c r="L104" i="44"/>
  <c r="AA133" i="54"/>
  <c r="L132" i="44"/>
  <c r="J162" i="44"/>
  <c r="AA51" i="54"/>
  <c r="J174" i="48"/>
  <c r="L130" i="48"/>
  <c r="I156" i="44"/>
  <c r="L122" i="44"/>
  <c r="L55" i="48"/>
  <c r="I121" i="48"/>
  <c r="I61" i="48"/>
  <c r="AI101" i="48" s="1"/>
  <c r="J77" i="48"/>
  <c r="J36" i="48"/>
  <c r="Q85" i="54"/>
  <c r="I70" i="44"/>
  <c r="J110" i="48"/>
  <c r="J10" i="48"/>
  <c r="K28" i="48"/>
  <c r="AK68" i="48" s="1"/>
  <c r="J99" i="44"/>
  <c r="L118" i="48"/>
  <c r="I135" i="48"/>
  <c r="AA33" i="54"/>
  <c r="K104" i="44"/>
  <c r="AA156" i="54"/>
  <c r="K108" i="48"/>
  <c r="L146" i="44"/>
  <c r="K55" i="48"/>
  <c r="AK95" i="48" s="1"/>
  <c r="K51" i="48"/>
  <c r="AK91" i="48" s="1"/>
  <c r="J100" i="48"/>
  <c r="I16" i="44"/>
  <c r="K86" i="48"/>
  <c r="AK126" i="48" s="1"/>
  <c r="J82" i="44"/>
  <c r="I123" i="48"/>
  <c r="AA8" i="54"/>
  <c r="K144" i="48"/>
  <c r="AA2" i="54"/>
  <c r="I162" i="48"/>
  <c r="K43" i="48"/>
  <c r="AK83" i="48" s="1"/>
  <c r="J129" i="44"/>
  <c r="AA148" i="54"/>
  <c r="J41" i="44"/>
  <c r="J93" i="48"/>
  <c r="I165" i="48"/>
  <c r="Q23" i="54"/>
  <c r="I54" i="48"/>
  <c r="AI94" i="48" s="1"/>
  <c r="J38" i="44"/>
  <c r="L59" i="44"/>
  <c r="K159" i="48"/>
  <c r="K85" i="44"/>
  <c r="I90" i="48"/>
  <c r="AI130" i="48" s="1"/>
  <c r="J38" i="48"/>
  <c r="J68" i="48"/>
  <c r="L145" i="48"/>
  <c r="AA54" i="54"/>
  <c r="AA36" i="54"/>
  <c r="AA85" i="54"/>
  <c r="J84" i="48"/>
  <c r="L117" i="48"/>
  <c r="J54" i="48"/>
  <c r="AA4" i="54"/>
  <c r="L66" i="44"/>
  <c r="I114" i="44"/>
  <c r="J21" i="48"/>
  <c r="I132" i="48"/>
  <c r="J22" i="44"/>
  <c r="AA30" i="54"/>
  <c r="J110" i="44"/>
  <c r="L72" i="48"/>
  <c r="L171" i="44"/>
  <c r="L75" i="48"/>
  <c r="L84" i="48"/>
  <c r="L70" i="48"/>
  <c r="L41" i="44"/>
  <c r="J30" i="44"/>
  <c r="L108" i="44"/>
  <c r="L134" i="48"/>
  <c r="I20" i="44"/>
  <c r="Q132" i="54"/>
  <c r="L31" i="44"/>
  <c r="AA16" i="54"/>
  <c r="L14" i="44"/>
  <c r="Q84" i="54"/>
  <c r="I156" i="48"/>
  <c r="I58" i="44"/>
  <c r="AA29" i="54"/>
  <c r="AA166" i="54"/>
  <c r="K15" i="48"/>
  <c r="AK55" i="48" s="1"/>
  <c r="I20" i="48"/>
  <c r="AI60" i="48" s="1"/>
  <c r="AA88" i="54"/>
  <c r="I31" i="48"/>
  <c r="AI71" i="48" s="1"/>
  <c r="Q51" i="54"/>
  <c r="L114" i="44"/>
  <c r="Q12" i="54"/>
  <c r="I171" i="44"/>
  <c r="K90" i="44"/>
  <c r="K168" i="44"/>
  <c r="L15" i="44"/>
  <c r="I15" i="48"/>
  <c r="AI55" i="48" s="1"/>
  <c r="I131" i="44"/>
  <c r="L165" i="44"/>
  <c r="AA14" i="54"/>
  <c r="Q148" i="54"/>
  <c r="L40" i="48"/>
  <c r="L69" i="48"/>
  <c r="J148" i="48"/>
  <c r="J70" i="48"/>
  <c r="K139" i="44"/>
  <c r="L137" i="48"/>
  <c r="J120" i="44"/>
  <c r="AA70" i="54"/>
  <c r="I87" i="44"/>
  <c r="AA74" i="54"/>
  <c r="J61" i="48"/>
  <c r="L61" i="48"/>
  <c r="K113" i="48"/>
  <c r="K139" i="48"/>
  <c r="K131" i="44"/>
  <c r="Q34" i="54"/>
  <c r="L108" i="48"/>
  <c r="L80" i="44"/>
  <c r="K111" i="48"/>
  <c r="L55" i="44"/>
  <c r="K2" i="44"/>
  <c r="K35" i="44"/>
  <c r="K171" i="48"/>
  <c r="J88" i="48"/>
  <c r="K84" i="48"/>
  <c r="AK124" i="48" s="1"/>
  <c r="AA107" i="54"/>
  <c r="I160" i="44"/>
  <c r="K122" i="48"/>
  <c r="L73" i="44"/>
  <c r="AA9" i="54"/>
  <c r="L171" i="48"/>
  <c r="K96" i="44"/>
  <c r="I76" i="44"/>
  <c r="K134" i="44"/>
  <c r="L44" i="44"/>
  <c r="J158" i="44"/>
  <c r="I91" i="48"/>
  <c r="AI131" i="48" s="1"/>
  <c r="I69" i="44"/>
  <c r="I113" i="44"/>
  <c r="L135" i="48"/>
  <c r="AA114" i="54"/>
  <c r="K123" i="44"/>
  <c r="K150" i="44"/>
  <c r="L148" i="44"/>
  <c r="J132" i="44"/>
  <c r="K79" i="44"/>
  <c r="L63" i="48"/>
  <c r="J83" i="44"/>
  <c r="J121" i="44"/>
  <c r="I35" i="48"/>
  <c r="AI75" i="48" s="1"/>
  <c r="Q71" i="54"/>
  <c r="J119" i="48"/>
  <c r="J147" i="44"/>
  <c r="J145" i="44"/>
  <c r="L68" i="48"/>
  <c r="J87" i="48"/>
  <c r="K110" i="44"/>
  <c r="I152" i="48"/>
  <c r="K5" i="44"/>
  <c r="I80" i="44"/>
  <c r="K38" i="44"/>
  <c r="AA55" i="54"/>
  <c r="K97" i="44"/>
  <c r="K68" i="44"/>
  <c r="K43" i="44"/>
  <c r="K6" i="44"/>
  <c r="Q138" i="54"/>
  <c r="L37" i="44"/>
  <c r="AA83" i="54"/>
  <c r="I10" i="48"/>
  <c r="AI50" i="48" s="1"/>
  <c r="Q137" i="54"/>
  <c r="L61" i="44"/>
  <c r="J107" i="48"/>
  <c r="AA162" i="54"/>
  <c r="I26" i="48"/>
  <c r="AI66" i="48" s="1"/>
  <c r="L102" i="48"/>
  <c r="L54" i="44"/>
  <c r="AA45" i="54"/>
  <c r="K9" i="44"/>
  <c r="L140" i="44"/>
  <c r="AA80" i="54"/>
  <c r="J55" i="48"/>
  <c r="J104" i="44"/>
  <c r="I16" i="48"/>
  <c r="AI56" i="48" s="1"/>
  <c r="K77" i="44"/>
  <c r="AA59" i="54"/>
  <c r="K37" i="44"/>
  <c r="Q146" i="54"/>
  <c r="J133" i="48"/>
  <c r="AA21" i="54"/>
  <c r="J152" i="44"/>
  <c r="K71" i="44"/>
  <c r="I101" i="48"/>
  <c r="AI141" i="48" s="1"/>
  <c r="AA18" i="54"/>
  <c r="Q78" i="54"/>
  <c r="J136" i="44"/>
  <c r="I30" i="48"/>
  <c r="AI70" i="48" s="1"/>
  <c r="L79" i="44"/>
  <c r="I74" i="48"/>
  <c r="AI114" i="48" s="1"/>
  <c r="I139" i="48"/>
  <c r="K128" i="48"/>
  <c r="L93" i="44"/>
  <c r="I145" i="48"/>
  <c r="K176" i="48"/>
  <c r="J172" i="48"/>
  <c r="I165" i="44"/>
  <c r="J167" i="44"/>
  <c r="J98" i="44"/>
  <c r="K136" i="48"/>
  <c r="L152" i="44"/>
  <c r="I52" i="48"/>
  <c r="AI92" i="48" s="1"/>
  <c r="L71" i="44"/>
  <c r="I85" i="48"/>
  <c r="AI125" i="48" s="1"/>
  <c r="K57" i="48"/>
  <c r="AK97" i="48" s="1"/>
  <c r="L8" i="48"/>
  <c r="I100" i="44"/>
  <c r="K121" i="48"/>
  <c r="AA113" i="54"/>
  <c r="I69" i="48"/>
  <c r="AI109" i="48" s="1"/>
  <c r="L174" i="48"/>
  <c r="AA43" i="54"/>
  <c r="I143" i="44"/>
  <c r="Q96" i="54"/>
  <c r="Q154" i="54"/>
  <c r="AA28" i="54"/>
  <c r="K114" i="44"/>
  <c r="I49" i="44"/>
  <c r="K97" i="48"/>
  <c r="AK137" i="48" s="1"/>
  <c r="L26" i="48"/>
  <c r="K49" i="44"/>
  <c r="I17" i="48"/>
  <c r="AI57" i="48" s="1"/>
  <c r="L30" i="48"/>
  <c r="I83" i="48"/>
  <c r="AI123" i="48" s="1"/>
  <c r="AA60" i="54"/>
  <c r="I40" i="44"/>
  <c r="AA82" i="54"/>
  <c r="L28" i="44"/>
  <c r="L92" i="44"/>
  <c r="I168" i="44"/>
  <c r="L90" i="48"/>
  <c r="J68" i="44"/>
  <c r="I17" i="44"/>
  <c r="AA145" i="54"/>
  <c r="L87" i="48"/>
  <c r="Q19" i="54"/>
  <c r="I154" i="48"/>
  <c r="K68" i="48"/>
  <c r="AK108" i="48" s="1"/>
  <c r="J80" i="44"/>
  <c r="L40" i="44"/>
  <c r="K169" i="44"/>
  <c r="L71" i="48"/>
  <c r="L30" i="44"/>
  <c r="I45" i="44"/>
  <c r="J155" i="44"/>
  <c r="J123" i="48"/>
  <c r="I18" i="48"/>
  <c r="AI58" i="48" s="1"/>
  <c r="K41" i="44"/>
  <c r="K89" i="44"/>
  <c r="K52" i="48"/>
  <c r="AK92" i="48" s="1"/>
  <c r="L138" i="48"/>
  <c r="K94" i="48"/>
  <c r="AK134" i="48" s="1"/>
  <c r="AA89" i="54"/>
  <c r="I104" i="44"/>
  <c r="J91" i="44"/>
  <c r="L141" i="48"/>
  <c r="L156" i="44"/>
  <c r="K115" i="44"/>
  <c r="I88" i="48"/>
  <c r="AI128" i="48" s="1"/>
  <c r="K135" i="48"/>
  <c r="I151" i="48"/>
  <c r="AA65" i="54"/>
  <c r="J106" i="48"/>
  <c r="K21" i="48"/>
  <c r="AK61" i="48" s="1"/>
  <c r="Q36" i="54"/>
  <c r="J64" i="44"/>
  <c r="I120" i="44"/>
  <c r="K116" i="44"/>
  <c r="Q66" i="54"/>
  <c r="Q77" i="54"/>
  <c r="I153" i="44"/>
  <c r="Q161" i="54"/>
  <c r="I22" i="48"/>
  <c r="AI62" i="48" s="1"/>
  <c r="Q112" i="54"/>
  <c r="Q104" i="54"/>
  <c r="J51" i="48"/>
  <c r="K166" i="48"/>
  <c r="I116" i="48"/>
  <c r="I36" i="48"/>
  <c r="AI76" i="48" s="1"/>
  <c r="I60" i="48"/>
  <c r="AI100" i="48" s="1"/>
  <c r="J113" i="44"/>
  <c r="K26" i="48"/>
  <c r="AK66" i="48" s="1"/>
  <c r="I105" i="44"/>
  <c r="I27" i="48"/>
  <c r="AI67" i="48" s="1"/>
  <c r="I106" i="48"/>
  <c r="L112" i="48"/>
  <c r="I115" i="44"/>
  <c r="J57" i="44"/>
  <c r="I36" i="44"/>
  <c r="J23" i="48"/>
  <c r="AA34" i="54"/>
  <c r="I103" i="44"/>
  <c r="Q3" i="54"/>
  <c r="I125" i="48"/>
  <c r="J109" i="44"/>
  <c r="L105" i="44"/>
  <c r="L102" i="44"/>
  <c r="K18" i="48"/>
  <c r="AK58" i="48" s="1"/>
  <c r="I167" i="48"/>
  <c r="L142" i="44"/>
  <c r="K109" i="44"/>
  <c r="K159" i="44"/>
  <c r="L48" i="48"/>
  <c r="K46" i="48"/>
  <c r="AK86" i="48" s="1"/>
  <c r="A22" i="35"/>
  <c r="A43" i="33" l="1"/>
  <c r="A26" i="34"/>
  <c r="AB104" i="55"/>
  <c r="AB119" i="55"/>
  <c r="AB163" i="55"/>
  <c r="AB103" i="55"/>
  <c r="AB95" i="55"/>
  <c r="AB150" i="55"/>
  <c r="AB170" i="55"/>
  <c r="AB139" i="55"/>
  <c r="AB159" i="55"/>
  <c r="AB131" i="55"/>
  <c r="AB112" i="55"/>
  <c r="AB102" i="55"/>
  <c r="AB146" i="55"/>
  <c r="AB115" i="55"/>
  <c r="AB111" i="55"/>
  <c r="AB107" i="55"/>
  <c r="AB122" i="55"/>
  <c r="AB166" i="55"/>
  <c r="AB98" i="55"/>
  <c r="AB118" i="55"/>
  <c r="AB149" i="55"/>
  <c r="AB94" i="55"/>
  <c r="AB125" i="55"/>
  <c r="AB162" i="55"/>
  <c r="AB135" i="55"/>
  <c r="AB155" i="55"/>
  <c r="AB101" i="55"/>
  <c r="AB114" i="55"/>
  <c r="AB158" i="55"/>
  <c r="AB154" i="55"/>
  <c r="AB126" i="55"/>
  <c r="AB165" i="55"/>
  <c r="AB134" i="55"/>
  <c r="AB130" i="55"/>
  <c r="AB108" i="55"/>
  <c r="AB169" i="55"/>
  <c r="AB141" i="55"/>
  <c r="AB110" i="55"/>
  <c r="AB106" i="55"/>
  <c r="AB164" i="55"/>
  <c r="AB148" i="55"/>
  <c r="AB145" i="55"/>
  <c r="AB117" i="55"/>
  <c r="AB151" i="55"/>
  <c r="AB105" i="55"/>
  <c r="AB124" i="55"/>
  <c r="AB121" i="55"/>
  <c r="AB93" i="55"/>
  <c r="AB142" i="55"/>
  <c r="AB100" i="55"/>
  <c r="AB97" i="55"/>
  <c r="AB161" i="55"/>
  <c r="AB147" i="55"/>
  <c r="AB167" i="55"/>
  <c r="AB137" i="55"/>
  <c r="AB157" i="55"/>
  <c r="AB113" i="55"/>
  <c r="AB133" i="55"/>
  <c r="AB153" i="55"/>
  <c r="AB144" i="55"/>
  <c r="AB120" i="55"/>
  <c r="AB127" i="55"/>
  <c r="AB168" i="55"/>
  <c r="AB152" i="55"/>
  <c r="AB109" i="55"/>
  <c r="AB129" i="55"/>
  <c r="AB171" i="55"/>
  <c r="AB123" i="55"/>
  <c r="AB96" i="55"/>
  <c r="AB140" i="55"/>
  <c r="AB138" i="55"/>
  <c r="AB92" i="55"/>
  <c r="AB136" i="55"/>
  <c r="AB132" i="55"/>
  <c r="AB99" i="55"/>
  <c r="AB116" i="55"/>
  <c r="AB160" i="55"/>
  <c r="AB156" i="55"/>
  <c r="AB128" i="55"/>
  <c r="AB143" i="55"/>
  <c r="M132" i="48"/>
  <c r="M174" i="48"/>
  <c r="M130" i="48"/>
  <c r="M160" i="48"/>
  <c r="M150" i="48"/>
  <c r="M175" i="48"/>
  <c r="M136" i="48"/>
  <c r="M145" i="48"/>
  <c r="X21" i="54"/>
  <c r="T21" i="54"/>
  <c r="Z21" i="54"/>
  <c r="U21" i="54"/>
  <c r="W21" i="54"/>
  <c r="R21" i="54"/>
  <c r="V21" i="54"/>
  <c r="Y21" i="54"/>
  <c r="S21" i="54"/>
  <c r="Z16" i="54"/>
  <c r="R16" i="54"/>
  <c r="W16" i="54"/>
  <c r="Y16" i="54"/>
  <c r="S16" i="54"/>
  <c r="T16" i="54"/>
  <c r="X16" i="54"/>
  <c r="V16" i="54"/>
  <c r="U16" i="54"/>
  <c r="W81" i="54"/>
  <c r="V81" i="54"/>
  <c r="S81" i="54"/>
  <c r="Z81" i="54"/>
  <c r="T81" i="54"/>
  <c r="U81" i="54"/>
  <c r="R81" i="54"/>
  <c r="Y81" i="54"/>
  <c r="X81" i="54"/>
  <c r="AL87" i="48"/>
  <c r="M47" i="48"/>
  <c r="R144" i="54"/>
  <c r="Y144" i="54"/>
  <c r="U144" i="54"/>
  <c r="V144" i="54"/>
  <c r="W144" i="54"/>
  <c r="Z144" i="54"/>
  <c r="T144" i="54"/>
  <c r="S144" i="54"/>
  <c r="X144" i="54"/>
  <c r="T101" i="54"/>
  <c r="X101" i="54"/>
  <c r="Y101" i="54"/>
  <c r="U101" i="54"/>
  <c r="R101" i="54"/>
  <c r="W101" i="54"/>
  <c r="S101" i="54"/>
  <c r="V101" i="54"/>
  <c r="Z101" i="54"/>
  <c r="M166" i="48"/>
  <c r="Z131" i="54"/>
  <c r="S131" i="54"/>
  <c r="R131" i="54"/>
  <c r="T131" i="54"/>
  <c r="X131" i="54"/>
  <c r="Y131" i="54"/>
  <c r="V131" i="54"/>
  <c r="U131" i="54"/>
  <c r="W131" i="54"/>
  <c r="U119" i="54"/>
  <c r="V119" i="54"/>
  <c r="R119" i="54"/>
  <c r="Y119" i="54"/>
  <c r="Z119" i="54"/>
  <c r="W119" i="54"/>
  <c r="T119" i="54"/>
  <c r="X119" i="54"/>
  <c r="S119" i="54"/>
  <c r="Y64" i="54"/>
  <c r="W64" i="54"/>
  <c r="R64" i="54"/>
  <c r="U64" i="54"/>
  <c r="V64" i="54"/>
  <c r="Z64" i="54"/>
  <c r="S64" i="54"/>
  <c r="T64" i="54"/>
  <c r="X64" i="54"/>
  <c r="AL104" i="48"/>
  <c r="M64" i="48"/>
  <c r="Z143" i="54"/>
  <c r="V143" i="54"/>
  <c r="U143" i="54"/>
  <c r="R143" i="54"/>
  <c r="W143" i="54"/>
  <c r="S143" i="54"/>
  <c r="T143" i="54"/>
  <c r="Y143" i="54"/>
  <c r="X143" i="54"/>
  <c r="Z169" i="54"/>
  <c r="V169" i="54"/>
  <c r="U169" i="54"/>
  <c r="X169" i="54"/>
  <c r="Y169" i="54"/>
  <c r="W169" i="54"/>
  <c r="S169" i="54"/>
  <c r="R169" i="54"/>
  <c r="T169" i="54"/>
  <c r="AL127" i="48"/>
  <c r="M87" i="48"/>
  <c r="M112" i="48"/>
  <c r="R96" i="54"/>
  <c r="X96" i="54"/>
  <c r="U96" i="54"/>
  <c r="Z96" i="54"/>
  <c r="W96" i="54"/>
  <c r="V96" i="54"/>
  <c r="T96" i="54"/>
  <c r="Y96" i="54"/>
  <c r="S96" i="54"/>
  <c r="X71" i="54"/>
  <c r="S71" i="54"/>
  <c r="T71" i="54"/>
  <c r="V71" i="54"/>
  <c r="W71" i="54"/>
  <c r="U71" i="54"/>
  <c r="Z71" i="54"/>
  <c r="Y71" i="54"/>
  <c r="R71" i="54"/>
  <c r="AL95" i="48"/>
  <c r="M55" i="48"/>
  <c r="AL133" i="48"/>
  <c r="M93" i="48"/>
  <c r="S166" i="54"/>
  <c r="R166" i="54"/>
  <c r="Z166" i="54"/>
  <c r="U166" i="54"/>
  <c r="Y166" i="54"/>
  <c r="V166" i="54"/>
  <c r="T166" i="54"/>
  <c r="W166" i="54"/>
  <c r="X166" i="54"/>
  <c r="U11" i="54"/>
  <c r="X11" i="54"/>
  <c r="Y11" i="54"/>
  <c r="V11" i="54"/>
  <c r="T11" i="54"/>
  <c r="Z11" i="54"/>
  <c r="W11" i="54"/>
  <c r="S11" i="54"/>
  <c r="R11" i="54"/>
  <c r="Y58" i="54"/>
  <c r="Z58" i="54"/>
  <c r="U58" i="54"/>
  <c r="X58" i="54"/>
  <c r="W58" i="54"/>
  <c r="S58" i="54"/>
  <c r="T58" i="54"/>
  <c r="V58" i="54"/>
  <c r="R58" i="54"/>
  <c r="M106" i="48"/>
  <c r="AL114" i="48"/>
  <c r="M74" i="48"/>
  <c r="M159" i="48"/>
  <c r="AL68" i="48"/>
  <c r="M28" i="48"/>
  <c r="M154" i="48"/>
  <c r="T72" i="54"/>
  <c r="W72" i="54"/>
  <c r="Y72" i="54"/>
  <c r="V72" i="54"/>
  <c r="X72" i="54"/>
  <c r="U72" i="54"/>
  <c r="Z72" i="54"/>
  <c r="S72" i="54"/>
  <c r="R72" i="54"/>
  <c r="M104" i="48"/>
  <c r="R99" i="54"/>
  <c r="X99" i="54"/>
  <c r="W99" i="54"/>
  <c r="Y99" i="54"/>
  <c r="U99" i="54"/>
  <c r="S99" i="54"/>
  <c r="T99" i="54"/>
  <c r="Z99" i="54"/>
  <c r="V99" i="54"/>
  <c r="R106" i="54"/>
  <c r="Z106" i="54"/>
  <c r="V106" i="54"/>
  <c r="U106" i="54"/>
  <c r="S106" i="54"/>
  <c r="X106" i="54"/>
  <c r="Y106" i="54"/>
  <c r="W106" i="54"/>
  <c r="T106" i="54"/>
  <c r="V154" i="54"/>
  <c r="Y154" i="54"/>
  <c r="U154" i="54"/>
  <c r="Z154" i="54"/>
  <c r="X154" i="54"/>
  <c r="T154" i="54"/>
  <c r="S154" i="54"/>
  <c r="W154" i="54"/>
  <c r="R154" i="54"/>
  <c r="M102" i="48"/>
  <c r="M117" i="48"/>
  <c r="M115" i="48"/>
  <c r="Z5" i="54"/>
  <c r="U5" i="54"/>
  <c r="V5" i="54"/>
  <c r="X5" i="54"/>
  <c r="S5" i="54"/>
  <c r="T5" i="54"/>
  <c r="R5" i="54"/>
  <c r="W5" i="54"/>
  <c r="Y5" i="54"/>
  <c r="X98" i="54"/>
  <c r="Y98" i="54"/>
  <c r="U98" i="54"/>
  <c r="Z98" i="54"/>
  <c r="W98" i="54"/>
  <c r="R98" i="54"/>
  <c r="T98" i="54"/>
  <c r="S98" i="54"/>
  <c r="V98" i="54"/>
  <c r="AL50" i="48"/>
  <c r="M10" i="48"/>
  <c r="Y15" i="54"/>
  <c r="T15" i="54"/>
  <c r="S15" i="54"/>
  <c r="Z15" i="54"/>
  <c r="V15" i="54"/>
  <c r="U15" i="54"/>
  <c r="X15" i="54"/>
  <c r="R15" i="54"/>
  <c r="W15" i="54"/>
  <c r="AL76" i="48"/>
  <c r="M36" i="48"/>
  <c r="W88" i="54"/>
  <c r="Z88" i="54"/>
  <c r="U88" i="54"/>
  <c r="X88" i="54"/>
  <c r="Y88" i="54"/>
  <c r="T88" i="54"/>
  <c r="R88" i="54"/>
  <c r="S88" i="54"/>
  <c r="V88" i="54"/>
  <c r="Y93" i="54"/>
  <c r="T93" i="54"/>
  <c r="R93" i="54"/>
  <c r="X93" i="54"/>
  <c r="Z93" i="54"/>
  <c r="V93" i="54"/>
  <c r="W93" i="54"/>
  <c r="S93" i="54"/>
  <c r="U93" i="54"/>
  <c r="AL106" i="48"/>
  <c r="M66" i="48"/>
  <c r="M69" i="48"/>
  <c r="AL109" i="48"/>
  <c r="AL102" i="48"/>
  <c r="M62" i="48"/>
  <c r="T105" i="54"/>
  <c r="U105" i="54"/>
  <c r="Y105" i="54"/>
  <c r="S105" i="54"/>
  <c r="R105" i="54"/>
  <c r="W105" i="54"/>
  <c r="Z105" i="54"/>
  <c r="X105" i="54"/>
  <c r="V105" i="54"/>
  <c r="R114" i="54"/>
  <c r="W114" i="54"/>
  <c r="X114" i="54"/>
  <c r="S114" i="54"/>
  <c r="U114" i="54"/>
  <c r="Y114" i="54"/>
  <c r="T114" i="54"/>
  <c r="V114" i="54"/>
  <c r="Z114" i="54"/>
  <c r="AL96" i="48"/>
  <c r="M56" i="48"/>
  <c r="M140" i="48"/>
  <c r="Y70" i="54"/>
  <c r="T70" i="54"/>
  <c r="X70" i="54"/>
  <c r="W70" i="54"/>
  <c r="U70" i="54"/>
  <c r="S70" i="54"/>
  <c r="R70" i="54"/>
  <c r="V70" i="54"/>
  <c r="Z70" i="54"/>
  <c r="T84" i="54"/>
  <c r="Y84" i="54"/>
  <c r="W84" i="54"/>
  <c r="X84" i="54"/>
  <c r="V84" i="54"/>
  <c r="Z84" i="54"/>
  <c r="S84" i="54"/>
  <c r="U84" i="54"/>
  <c r="R84" i="54"/>
  <c r="AL129" i="48"/>
  <c r="M89" i="48"/>
  <c r="S43" i="54"/>
  <c r="T43" i="54"/>
  <c r="V43" i="54"/>
  <c r="R43" i="54"/>
  <c r="X43" i="54"/>
  <c r="U43" i="54"/>
  <c r="Z43" i="54"/>
  <c r="Y43" i="54"/>
  <c r="W43" i="54"/>
  <c r="Y19" i="54"/>
  <c r="V19" i="54"/>
  <c r="X19" i="54"/>
  <c r="R19" i="54"/>
  <c r="T19" i="54"/>
  <c r="S19" i="54"/>
  <c r="Z19" i="54"/>
  <c r="W19" i="54"/>
  <c r="U19" i="54"/>
  <c r="AL80" i="48"/>
  <c r="M40" i="48"/>
  <c r="AL91" i="48"/>
  <c r="M51" i="48"/>
  <c r="AL51" i="48"/>
  <c r="M11" i="48"/>
  <c r="M126" i="48"/>
  <c r="M131" i="48"/>
  <c r="Y57" i="54"/>
  <c r="R57" i="54"/>
  <c r="T57" i="54"/>
  <c r="U57" i="54"/>
  <c r="W57" i="54"/>
  <c r="V57" i="54"/>
  <c r="Z57" i="54"/>
  <c r="S57" i="54"/>
  <c r="X57" i="54"/>
  <c r="W37" i="54"/>
  <c r="X37" i="54"/>
  <c r="V37" i="54"/>
  <c r="T37" i="54"/>
  <c r="S37" i="54"/>
  <c r="Z37" i="54"/>
  <c r="U37" i="54"/>
  <c r="R37" i="54"/>
  <c r="Y37" i="54"/>
  <c r="M127" i="48"/>
  <c r="R155" i="54"/>
  <c r="X155" i="54"/>
  <c r="S155" i="54"/>
  <c r="Z155" i="54"/>
  <c r="V155" i="54"/>
  <c r="W155" i="54"/>
  <c r="U155" i="54"/>
  <c r="T155" i="54"/>
  <c r="Y155" i="54"/>
  <c r="V41" i="54"/>
  <c r="Y41" i="54"/>
  <c r="S41" i="54"/>
  <c r="X41" i="54"/>
  <c r="W41" i="54"/>
  <c r="U41" i="54"/>
  <c r="Z41" i="54"/>
  <c r="T41" i="54"/>
  <c r="R41" i="54"/>
  <c r="AL64" i="48"/>
  <c r="M24" i="48"/>
  <c r="Y55" i="54"/>
  <c r="T55" i="54"/>
  <c r="S55" i="54"/>
  <c r="X55" i="54"/>
  <c r="R55" i="54"/>
  <c r="W55" i="54"/>
  <c r="V55" i="54"/>
  <c r="U55" i="54"/>
  <c r="Z55" i="54"/>
  <c r="S4" i="54"/>
  <c r="Z4" i="54"/>
  <c r="W4" i="54"/>
  <c r="T4" i="54"/>
  <c r="R4" i="54"/>
  <c r="U4" i="54"/>
  <c r="V4" i="54"/>
  <c r="X4" i="54"/>
  <c r="Y4" i="54"/>
  <c r="AL58" i="48"/>
  <c r="M18" i="48"/>
  <c r="AL105" i="48"/>
  <c r="M65" i="48"/>
  <c r="U137" i="54"/>
  <c r="R137" i="54"/>
  <c r="S137" i="54"/>
  <c r="X137" i="54"/>
  <c r="V137" i="54"/>
  <c r="W137" i="54"/>
  <c r="T137" i="54"/>
  <c r="Y137" i="54"/>
  <c r="Z137" i="54"/>
  <c r="AL135" i="48"/>
  <c r="M95" i="48"/>
  <c r="T17" i="54"/>
  <c r="Y17" i="54"/>
  <c r="Z17" i="54"/>
  <c r="U17" i="54"/>
  <c r="W17" i="54"/>
  <c r="R17" i="54"/>
  <c r="S17" i="54"/>
  <c r="V17" i="54"/>
  <c r="X17" i="54"/>
  <c r="M158" i="48"/>
  <c r="V14" i="54"/>
  <c r="T14" i="54"/>
  <c r="W14" i="54"/>
  <c r="Z14" i="54"/>
  <c r="X14" i="54"/>
  <c r="R14" i="54"/>
  <c r="S14" i="54"/>
  <c r="Y14" i="54"/>
  <c r="U14" i="54"/>
  <c r="X130" i="54"/>
  <c r="V130" i="54"/>
  <c r="S130" i="54"/>
  <c r="Z130" i="54"/>
  <c r="R130" i="54"/>
  <c r="U130" i="54"/>
  <c r="T130" i="54"/>
  <c r="W130" i="54"/>
  <c r="Y130" i="54"/>
  <c r="Y40" i="54"/>
  <c r="T40" i="54"/>
  <c r="V40" i="54"/>
  <c r="Z40" i="54"/>
  <c r="S40" i="54"/>
  <c r="R40" i="54"/>
  <c r="W40" i="54"/>
  <c r="U40" i="54"/>
  <c r="X40" i="54"/>
  <c r="AL139" i="48"/>
  <c r="M99" i="48"/>
  <c r="T67" i="54"/>
  <c r="R67" i="54"/>
  <c r="S67" i="54"/>
  <c r="Z67" i="54"/>
  <c r="V67" i="54"/>
  <c r="X67" i="54"/>
  <c r="W67" i="54"/>
  <c r="U67" i="54"/>
  <c r="Y67" i="54"/>
  <c r="AL69" i="48"/>
  <c r="M29" i="48"/>
  <c r="AL42" i="48"/>
  <c r="M2" i="48"/>
  <c r="Z24" i="54"/>
  <c r="W24" i="54"/>
  <c r="U24" i="54"/>
  <c r="R24" i="54"/>
  <c r="V24" i="54"/>
  <c r="T24" i="54"/>
  <c r="X24" i="54"/>
  <c r="Y24" i="54"/>
  <c r="S24" i="54"/>
  <c r="AL65" i="48"/>
  <c r="M25" i="48"/>
  <c r="AL52" i="48"/>
  <c r="M12" i="48"/>
  <c r="AL61" i="48"/>
  <c r="M21" i="48"/>
  <c r="V80" i="54"/>
  <c r="R80" i="54"/>
  <c r="S80" i="54"/>
  <c r="Y80" i="54"/>
  <c r="Z80" i="54"/>
  <c r="T80" i="54"/>
  <c r="U80" i="54"/>
  <c r="X80" i="54"/>
  <c r="W80" i="54"/>
  <c r="R78" i="54"/>
  <c r="Y78" i="54"/>
  <c r="V78" i="54"/>
  <c r="S78" i="54"/>
  <c r="Z78" i="54"/>
  <c r="U78" i="54"/>
  <c r="W78" i="54"/>
  <c r="T78" i="54"/>
  <c r="X78" i="54"/>
  <c r="AL88" i="48"/>
  <c r="M48" i="48"/>
  <c r="AL130" i="48"/>
  <c r="M90" i="48"/>
  <c r="M113" i="48"/>
  <c r="M133" i="48"/>
  <c r="M110" i="48"/>
  <c r="AL85" i="48"/>
  <c r="M45" i="48"/>
  <c r="M120" i="48"/>
  <c r="T121" i="54"/>
  <c r="W121" i="54"/>
  <c r="Z121" i="54"/>
  <c r="V121" i="54"/>
  <c r="X121" i="54"/>
  <c r="R121" i="54"/>
  <c r="S121" i="54"/>
  <c r="U121" i="54"/>
  <c r="Y121" i="54"/>
  <c r="T28" i="54"/>
  <c r="R28" i="54"/>
  <c r="Z28" i="54"/>
  <c r="S28" i="54"/>
  <c r="U28" i="54"/>
  <c r="V28" i="54"/>
  <c r="Y28" i="54"/>
  <c r="X28" i="54"/>
  <c r="W28" i="54"/>
  <c r="AL97" i="48"/>
  <c r="M57" i="48"/>
  <c r="Y18" i="54"/>
  <c r="X18" i="54"/>
  <c r="R18" i="54"/>
  <c r="V18" i="54"/>
  <c r="W18" i="54"/>
  <c r="T18" i="54"/>
  <c r="S18" i="54"/>
  <c r="U18" i="54"/>
  <c r="Z18" i="54"/>
  <c r="Y133" i="54"/>
  <c r="U133" i="54"/>
  <c r="W133" i="54"/>
  <c r="Z133" i="54"/>
  <c r="S133" i="54"/>
  <c r="V133" i="54"/>
  <c r="R133" i="54"/>
  <c r="X133" i="54"/>
  <c r="T133" i="54"/>
  <c r="M141" i="48"/>
  <c r="AL48" i="48"/>
  <c r="M8" i="48"/>
  <c r="U138" i="54"/>
  <c r="S138" i="54"/>
  <c r="V138" i="54"/>
  <c r="X138" i="54"/>
  <c r="Z138" i="54"/>
  <c r="Y138" i="54"/>
  <c r="T138" i="54"/>
  <c r="R138" i="54"/>
  <c r="W138" i="54"/>
  <c r="U170" i="54"/>
  <c r="V170" i="54"/>
  <c r="X170" i="54"/>
  <c r="R170" i="54"/>
  <c r="Y170" i="54"/>
  <c r="S170" i="54"/>
  <c r="T170" i="54"/>
  <c r="Z170" i="54"/>
  <c r="W170" i="54"/>
  <c r="AL55" i="48"/>
  <c r="M15" i="48"/>
  <c r="M169" i="48"/>
  <c r="AL63" i="48"/>
  <c r="M23" i="48"/>
  <c r="M142" i="48"/>
  <c r="T61" i="54"/>
  <c r="V61" i="54"/>
  <c r="W61" i="54"/>
  <c r="R61" i="54"/>
  <c r="Y61" i="54"/>
  <c r="X61" i="54"/>
  <c r="S61" i="54"/>
  <c r="Z61" i="54"/>
  <c r="U61" i="54"/>
  <c r="R156" i="54"/>
  <c r="Y156" i="54"/>
  <c r="Z156" i="54"/>
  <c r="S156" i="54"/>
  <c r="W156" i="54"/>
  <c r="U156" i="54"/>
  <c r="T156" i="54"/>
  <c r="X156" i="54"/>
  <c r="V156" i="54"/>
  <c r="X163" i="54"/>
  <c r="R163" i="54"/>
  <c r="S163" i="54"/>
  <c r="U163" i="54"/>
  <c r="Z163" i="54"/>
  <c r="Y163" i="54"/>
  <c r="W163" i="54"/>
  <c r="T163" i="54"/>
  <c r="V163" i="54"/>
  <c r="AL67" i="48"/>
  <c r="M27" i="48"/>
  <c r="Y7" i="54"/>
  <c r="X7" i="54"/>
  <c r="U7" i="54"/>
  <c r="Z7" i="54"/>
  <c r="T7" i="54"/>
  <c r="W7" i="54"/>
  <c r="R7" i="54"/>
  <c r="V7" i="54"/>
  <c r="S7" i="54"/>
  <c r="V54" i="54"/>
  <c r="X54" i="54"/>
  <c r="W54" i="54"/>
  <c r="R54" i="54"/>
  <c r="T54" i="54"/>
  <c r="S54" i="54"/>
  <c r="U54" i="54"/>
  <c r="Z54" i="54"/>
  <c r="Y54" i="54"/>
  <c r="AL110" i="48"/>
  <c r="M70" i="48"/>
  <c r="AL78" i="48"/>
  <c r="M38" i="48"/>
  <c r="M125" i="48"/>
  <c r="U27" i="54"/>
  <c r="X27" i="54"/>
  <c r="V27" i="54"/>
  <c r="S27" i="54"/>
  <c r="R27" i="54"/>
  <c r="T27" i="54"/>
  <c r="Y27" i="54"/>
  <c r="W27" i="54"/>
  <c r="Z27" i="54"/>
  <c r="Z8" i="54"/>
  <c r="T8" i="54"/>
  <c r="W8" i="54"/>
  <c r="U8" i="54"/>
  <c r="Y8" i="54"/>
  <c r="X8" i="54"/>
  <c r="R8" i="54"/>
  <c r="S8" i="54"/>
  <c r="V8" i="54"/>
  <c r="W59" i="54"/>
  <c r="T59" i="54"/>
  <c r="U59" i="54"/>
  <c r="Z59" i="54"/>
  <c r="R59" i="54"/>
  <c r="Y59" i="54"/>
  <c r="S59" i="54"/>
  <c r="X59" i="54"/>
  <c r="V59" i="54"/>
  <c r="U92" i="54"/>
  <c r="R92" i="54"/>
  <c r="Y92" i="54"/>
  <c r="T92" i="54"/>
  <c r="Z92" i="54"/>
  <c r="W92" i="54"/>
  <c r="S92" i="54"/>
  <c r="X92" i="54"/>
  <c r="V92" i="54"/>
  <c r="AL47" i="48"/>
  <c r="M7" i="48"/>
  <c r="U74" i="54"/>
  <c r="W74" i="54"/>
  <c r="R74" i="54"/>
  <c r="V74" i="54"/>
  <c r="Z74" i="54"/>
  <c r="S74" i="54"/>
  <c r="X74" i="54"/>
  <c r="Y74" i="54"/>
  <c r="T74" i="54"/>
  <c r="AL54" i="48"/>
  <c r="M14" i="48"/>
  <c r="M134" i="48"/>
  <c r="M103" i="48"/>
  <c r="M108" i="48"/>
  <c r="AL124" i="48"/>
  <c r="M84" i="48"/>
  <c r="S129" i="54"/>
  <c r="Z129" i="54"/>
  <c r="T129" i="54"/>
  <c r="X129" i="54"/>
  <c r="U129" i="54"/>
  <c r="R129" i="54"/>
  <c r="Y129" i="54"/>
  <c r="V129" i="54"/>
  <c r="W129" i="54"/>
  <c r="AL121" i="48"/>
  <c r="M81" i="48"/>
  <c r="M147" i="48"/>
  <c r="R22" i="54"/>
  <c r="V22" i="54"/>
  <c r="Y22" i="54"/>
  <c r="W22" i="54"/>
  <c r="S22" i="54"/>
  <c r="X22" i="54"/>
  <c r="Z22" i="54"/>
  <c r="U22" i="54"/>
  <c r="T22" i="54"/>
  <c r="AL84" i="48"/>
  <c r="M44" i="48"/>
  <c r="U153" i="54"/>
  <c r="T153" i="54"/>
  <c r="W153" i="54"/>
  <c r="Z153" i="54"/>
  <c r="V153" i="54"/>
  <c r="X153" i="54"/>
  <c r="Y153" i="54"/>
  <c r="R153" i="54"/>
  <c r="S153" i="54"/>
  <c r="W134" i="54"/>
  <c r="S134" i="54"/>
  <c r="Y134" i="54"/>
  <c r="V134" i="54"/>
  <c r="X134" i="54"/>
  <c r="R134" i="54"/>
  <c r="U134" i="54"/>
  <c r="Z134" i="54"/>
  <c r="T134" i="54"/>
  <c r="U162" i="54"/>
  <c r="V162" i="54"/>
  <c r="S162" i="54"/>
  <c r="R162" i="54"/>
  <c r="Z162" i="54"/>
  <c r="T162" i="54"/>
  <c r="Y162" i="54"/>
  <c r="W162" i="54"/>
  <c r="X162" i="54"/>
  <c r="U97" i="54"/>
  <c r="X97" i="54"/>
  <c r="R97" i="54"/>
  <c r="S97" i="54"/>
  <c r="T97" i="54"/>
  <c r="W97" i="54"/>
  <c r="Z97" i="54"/>
  <c r="Y97" i="54"/>
  <c r="V97" i="54"/>
  <c r="AL72" i="48"/>
  <c r="M32" i="48"/>
  <c r="AL73" i="48"/>
  <c r="M33" i="48"/>
  <c r="AL45" i="48"/>
  <c r="M5" i="48"/>
  <c r="W141" i="54"/>
  <c r="X141" i="54"/>
  <c r="R141" i="54"/>
  <c r="V141" i="54"/>
  <c r="Z141" i="54"/>
  <c r="S141" i="54"/>
  <c r="U141" i="54"/>
  <c r="Y141" i="54"/>
  <c r="T141" i="54"/>
  <c r="M164" i="48"/>
  <c r="Z76" i="54"/>
  <c r="X76" i="54"/>
  <c r="V76" i="54"/>
  <c r="W76" i="54"/>
  <c r="U76" i="54"/>
  <c r="R76" i="54"/>
  <c r="Y76" i="54"/>
  <c r="T76" i="54"/>
  <c r="S76" i="54"/>
  <c r="M122" i="48"/>
  <c r="T136" i="54"/>
  <c r="V136" i="54"/>
  <c r="U136" i="54"/>
  <c r="Y136" i="54"/>
  <c r="W136" i="54"/>
  <c r="S136" i="54"/>
  <c r="X136" i="54"/>
  <c r="Z136" i="54"/>
  <c r="R136" i="54"/>
  <c r="V31" i="54"/>
  <c r="W31" i="54"/>
  <c r="T31" i="54"/>
  <c r="U31" i="54"/>
  <c r="Y31" i="54"/>
  <c r="R31" i="54"/>
  <c r="Z31" i="54"/>
  <c r="X31" i="54"/>
  <c r="S31" i="54"/>
  <c r="AL141" i="48"/>
  <c r="M101" i="48"/>
  <c r="U53" i="54"/>
  <c r="X53" i="54"/>
  <c r="V53" i="54"/>
  <c r="W53" i="54"/>
  <c r="S53" i="54"/>
  <c r="T53" i="54"/>
  <c r="Y53" i="54"/>
  <c r="R53" i="54"/>
  <c r="Z53" i="54"/>
  <c r="T115" i="54"/>
  <c r="U115" i="54"/>
  <c r="W115" i="54"/>
  <c r="Z115" i="54"/>
  <c r="R115" i="54"/>
  <c r="V115" i="54"/>
  <c r="X115" i="54"/>
  <c r="Y115" i="54"/>
  <c r="S115" i="54"/>
  <c r="AL43" i="48"/>
  <c r="M3" i="48"/>
  <c r="AL136" i="48"/>
  <c r="M96" i="48"/>
  <c r="W104" i="54"/>
  <c r="V104" i="54"/>
  <c r="Z104" i="54"/>
  <c r="R104" i="54"/>
  <c r="U104" i="54"/>
  <c r="Y104" i="54"/>
  <c r="S104" i="54"/>
  <c r="X104" i="54"/>
  <c r="T104" i="54"/>
  <c r="M138" i="48"/>
  <c r="Z146" i="54"/>
  <c r="T146" i="54"/>
  <c r="R146" i="54"/>
  <c r="V146" i="54"/>
  <c r="X146" i="54"/>
  <c r="U146" i="54"/>
  <c r="W146" i="54"/>
  <c r="S146" i="54"/>
  <c r="Y146" i="54"/>
  <c r="M135" i="48"/>
  <c r="U34" i="54"/>
  <c r="Z34" i="54"/>
  <c r="S34" i="54"/>
  <c r="X34" i="54"/>
  <c r="T34" i="54"/>
  <c r="V34" i="54"/>
  <c r="R34" i="54"/>
  <c r="W34" i="54"/>
  <c r="Y34" i="54"/>
  <c r="AL115" i="48"/>
  <c r="M75" i="48"/>
  <c r="M128" i="48"/>
  <c r="AL89" i="48"/>
  <c r="M49" i="48"/>
  <c r="M119" i="48"/>
  <c r="AL53" i="48"/>
  <c r="M13" i="48"/>
  <c r="Y90" i="54"/>
  <c r="Z90" i="54"/>
  <c r="W90" i="54"/>
  <c r="U90" i="54"/>
  <c r="S90" i="54"/>
  <c r="V90" i="54"/>
  <c r="X90" i="54"/>
  <c r="R90" i="54"/>
  <c r="T90" i="54"/>
  <c r="AL44" i="48"/>
  <c r="M4" i="48"/>
  <c r="M152" i="48"/>
  <c r="M129" i="48"/>
  <c r="R111" i="54"/>
  <c r="T111" i="54"/>
  <c r="S111" i="54"/>
  <c r="V111" i="54"/>
  <c r="U111" i="54"/>
  <c r="Z111" i="54"/>
  <c r="X111" i="54"/>
  <c r="W111" i="54"/>
  <c r="Y111" i="54"/>
  <c r="M153" i="48"/>
  <c r="Y12" i="54"/>
  <c r="U12" i="54"/>
  <c r="S12" i="54"/>
  <c r="T12" i="54"/>
  <c r="V12" i="54"/>
  <c r="W12" i="54"/>
  <c r="R12" i="54"/>
  <c r="X12" i="54"/>
  <c r="Z12" i="54"/>
  <c r="AL134" i="48"/>
  <c r="M94" i="48"/>
  <c r="AL56" i="48"/>
  <c r="M16" i="48"/>
  <c r="S65" i="54"/>
  <c r="T65" i="54"/>
  <c r="R65" i="54"/>
  <c r="V65" i="54"/>
  <c r="W65" i="54"/>
  <c r="X65" i="54"/>
  <c r="Z65" i="54"/>
  <c r="U65" i="54"/>
  <c r="Y65" i="54"/>
  <c r="M148" i="48"/>
  <c r="S68" i="54"/>
  <c r="Y68" i="54"/>
  <c r="Z68" i="54"/>
  <c r="R68" i="54"/>
  <c r="T68" i="54"/>
  <c r="V68" i="54"/>
  <c r="X68" i="54"/>
  <c r="W68" i="54"/>
  <c r="U68" i="54"/>
  <c r="Z39" i="54"/>
  <c r="S39" i="54"/>
  <c r="R39" i="54"/>
  <c r="U39" i="54"/>
  <c r="W39" i="54"/>
  <c r="Y39" i="54"/>
  <c r="X39" i="54"/>
  <c r="T39" i="54"/>
  <c r="V39" i="54"/>
  <c r="M139" i="48"/>
  <c r="T139" i="54"/>
  <c r="X139" i="54"/>
  <c r="W139" i="54"/>
  <c r="U139" i="54"/>
  <c r="Z139" i="54"/>
  <c r="R139" i="54"/>
  <c r="Y139" i="54"/>
  <c r="V139" i="54"/>
  <c r="S139" i="54"/>
  <c r="M114" i="48"/>
  <c r="V38" i="54"/>
  <c r="W38" i="54"/>
  <c r="X38" i="54"/>
  <c r="S38" i="54"/>
  <c r="U38" i="54"/>
  <c r="R38" i="54"/>
  <c r="Z38" i="54"/>
  <c r="Y38" i="54"/>
  <c r="T38" i="54"/>
  <c r="T30" i="54"/>
  <c r="W30" i="54"/>
  <c r="R30" i="54"/>
  <c r="Z30" i="54"/>
  <c r="S30" i="54"/>
  <c r="Y30" i="54"/>
  <c r="X30" i="54"/>
  <c r="U30" i="54"/>
  <c r="V30" i="54"/>
  <c r="AL100" i="48"/>
  <c r="M60" i="48"/>
  <c r="M176" i="48"/>
  <c r="U69" i="54"/>
  <c r="S69" i="54"/>
  <c r="Z69" i="54"/>
  <c r="X69" i="54"/>
  <c r="T69" i="54"/>
  <c r="Y69" i="54"/>
  <c r="V69" i="54"/>
  <c r="W69" i="54"/>
  <c r="R69" i="54"/>
  <c r="AL140" i="48"/>
  <c r="M100" i="48"/>
  <c r="Z50" i="54"/>
  <c r="X50" i="54"/>
  <c r="Y50" i="54"/>
  <c r="W50" i="54"/>
  <c r="V50" i="54"/>
  <c r="S50" i="54"/>
  <c r="U50" i="54"/>
  <c r="R50" i="54"/>
  <c r="T50" i="54"/>
  <c r="W33" i="54"/>
  <c r="V33" i="54"/>
  <c r="R33" i="54"/>
  <c r="Z33" i="54"/>
  <c r="U33" i="54"/>
  <c r="S33" i="54"/>
  <c r="T33" i="54"/>
  <c r="Y33" i="54"/>
  <c r="X33" i="54"/>
  <c r="M72" i="48"/>
  <c r="AL112" i="48"/>
  <c r="Y23" i="54"/>
  <c r="T23" i="54"/>
  <c r="U23" i="54"/>
  <c r="V23" i="54"/>
  <c r="Z23" i="54"/>
  <c r="R23" i="54"/>
  <c r="S23" i="54"/>
  <c r="X23" i="54"/>
  <c r="W23" i="54"/>
  <c r="M118" i="48"/>
  <c r="X87" i="54"/>
  <c r="V87" i="54"/>
  <c r="S87" i="54"/>
  <c r="U87" i="54"/>
  <c r="Z87" i="54"/>
  <c r="Y87" i="54"/>
  <c r="W87" i="54"/>
  <c r="R87" i="54"/>
  <c r="T87" i="54"/>
  <c r="AL92" i="48"/>
  <c r="M52" i="48"/>
  <c r="AL93" i="48"/>
  <c r="M53" i="48"/>
  <c r="X44" i="54"/>
  <c r="U44" i="54"/>
  <c r="S44" i="54"/>
  <c r="Y44" i="54"/>
  <c r="V44" i="54"/>
  <c r="R44" i="54"/>
  <c r="Z44" i="54"/>
  <c r="W44" i="54"/>
  <c r="T44" i="54"/>
  <c r="AL118" i="48"/>
  <c r="M78" i="48"/>
  <c r="M144" i="48"/>
  <c r="M157" i="48"/>
  <c r="AL71" i="48"/>
  <c r="M31" i="48"/>
  <c r="U83" i="54"/>
  <c r="V83" i="54"/>
  <c r="Z83" i="54"/>
  <c r="W83" i="54"/>
  <c r="X83" i="54"/>
  <c r="T83" i="54"/>
  <c r="S83" i="54"/>
  <c r="R83" i="54"/>
  <c r="Y83" i="54"/>
  <c r="T161" i="54"/>
  <c r="R161" i="54"/>
  <c r="S161" i="54"/>
  <c r="V161" i="54"/>
  <c r="Z161" i="54"/>
  <c r="Y161" i="54"/>
  <c r="W161" i="54"/>
  <c r="X161" i="54"/>
  <c r="U161" i="54"/>
  <c r="S51" i="54"/>
  <c r="Y51" i="54"/>
  <c r="Z51" i="54"/>
  <c r="R51" i="54"/>
  <c r="V51" i="54"/>
  <c r="X51" i="54"/>
  <c r="T51" i="54"/>
  <c r="W51" i="54"/>
  <c r="U51" i="54"/>
  <c r="M116" i="48"/>
  <c r="M107" i="48"/>
  <c r="U110" i="54"/>
  <c r="V110" i="54"/>
  <c r="X110" i="54"/>
  <c r="R110" i="54"/>
  <c r="T110" i="54"/>
  <c r="Y110" i="54"/>
  <c r="W110" i="54"/>
  <c r="Z110" i="54"/>
  <c r="S110" i="54"/>
  <c r="Y125" i="54"/>
  <c r="W125" i="54"/>
  <c r="V125" i="54"/>
  <c r="S125" i="54"/>
  <c r="T125" i="54"/>
  <c r="Z125" i="54"/>
  <c r="X125" i="54"/>
  <c r="R125" i="54"/>
  <c r="U125" i="54"/>
  <c r="X52" i="54"/>
  <c r="T52" i="54"/>
  <c r="V52" i="54"/>
  <c r="Z52" i="54"/>
  <c r="U52" i="54"/>
  <c r="Y52" i="54"/>
  <c r="S52" i="54"/>
  <c r="W52" i="54"/>
  <c r="R52" i="54"/>
  <c r="AL83" i="48"/>
  <c r="M43" i="48"/>
  <c r="S159" i="54"/>
  <c r="X159" i="54"/>
  <c r="Z159" i="54"/>
  <c r="W159" i="54"/>
  <c r="R159" i="54"/>
  <c r="T159" i="54"/>
  <c r="U159" i="54"/>
  <c r="V159" i="54"/>
  <c r="Y159" i="54"/>
  <c r="W25" i="54"/>
  <c r="Y25" i="54"/>
  <c r="R25" i="54"/>
  <c r="U25" i="54"/>
  <c r="X25" i="54"/>
  <c r="Z25" i="54"/>
  <c r="T25" i="54"/>
  <c r="S25" i="54"/>
  <c r="V25" i="54"/>
  <c r="AL90" i="48"/>
  <c r="M50" i="48"/>
  <c r="X95" i="54"/>
  <c r="Z95" i="54"/>
  <c r="S95" i="54"/>
  <c r="W95" i="54"/>
  <c r="U95" i="54"/>
  <c r="R95" i="54"/>
  <c r="Y95" i="54"/>
  <c r="T95" i="54"/>
  <c r="V95" i="54"/>
  <c r="AL94" i="48"/>
  <c r="M54" i="48"/>
  <c r="M165" i="48"/>
  <c r="Z29" i="54"/>
  <c r="V29" i="54"/>
  <c r="X29" i="54"/>
  <c r="T29" i="54"/>
  <c r="Y29" i="54"/>
  <c r="W29" i="54"/>
  <c r="S29" i="54"/>
  <c r="U29" i="54"/>
  <c r="R29" i="54"/>
  <c r="X164" i="54"/>
  <c r="S164" i="54"/>
  <c r="W164" i="54"/>
  <c r="Y164" i="54"/>
  <c r="U164" i="54"/>
  <c r="T164" i="54"/>
  <c r="V164" i="54"/>
  <c r="R164" i="54"/>
  <c r="Z164" i="54"/>
  <c r="AL119" i="48"/>
  <c r="M79" i="48"/>
  <c r="R145" i="54"/>
  <c r="S145" i="54"/>
  <c r="W145" i="54"/>
  <c r="X145" i="54"/>
  <c r="V145" i="54"/>
  <c r="U145" i="54"/>
  <c r="T145" i="54"/>
  <c r="Z145" i="54"/>
  <c r="Y145" i="54"/>
  <c r="Z112" i="54"/>
  <c r="U112" i="54"/>
  <c r="S112" i="54"/>
  <c r="V112" i="54"/>
  <c r="W112" i="54"/>
  <c r="X112" i="54"/>
  <c r="T112" i="54"/>
  <c r="R112" i="54"/>
  <c r="Y112" i="54"/>
  <c r="AL70" i="48"/>
  <c r="M30" i="48"/>
  <c r="AL101" i="48"/>
  <c r="M61" i="48"/>
  <c r="Z73" i="54"/>
  <c r="W73" i="54"/>
  <c r="X73" i="54"/>
  <c r="U73" i="54"/>
  <c r="R73" i="54"/>
  <c r="T73" i="54"/>
  <c r="Y73" i="54"/>
  <c r="V73" i="54"/>
  <c r="S73" i="54"/>
  <c r="AL131" i="48"/>
  <c r="M91" i="48"/>
  <c r="U116" i="54"/>
  <c r="X116" i="54"/>
  <c r="R116" i="54"/>
  <c r="V116" i="54"/>
  <c r="Y116" i="54"/>
  <c r="W116" i="54"/>
  <c r="Z116" i="54"/>
  <c r="T116" i="54"/>
  <c r="S116" i="54"/>
  <c r="Y122" i="54"/>
  <c r="S122" i="54"/>
  <c r="U122" i="54"/>
  <c r="R122" i="54"/>
  <c r="W122" i="54"/>
  <c r="V122" i="54"/>
  <c r="Z122" i="54"/>
  <c r="X122" i="54"/>
  <c r="T122" i="54"/>
  <c r="AL60" i="48"/>
  <c r="M20" i="48"/>
  <c r="AL123" i="48"/>
  <c r="M83" i="48"/>
  <c r="AL49" i="48"/>
  <c r="M9" i="48"/>
  <c r="Y107" i="54"/>
  <c r="S107" i="54"/>
  <c r="V107" i="54"/>
  <c r="W107" i="54"/>
  <c r="X107" i="54"/>
  <c r="T107" i="54"/>
  <c r="U107" i="54"/>
  <c r="R107" i="54"/>
  <c r="Z107" i="54"/>
  <c r="R147" i="54"/>
  <c r="X147" i="54"/>
  <c r="Z147" i="54"/>
  <c r="S147" i="54"/>
  <c r="W147" i="54"/>
  <c r="T147" i="54"/>
  <c r="Y147" i="54"/>
  <c r="V147" i="54"/>
  <c r="U147" i="54"/>
  <c r="Y126" i="54"/>
  <c r="U126" i="54"/>
  <c r="S126" i="54"/>
  <c r="X126" i="54"/>
  <c r="T126" i="54"/>
  <c r="W126" i="54"/>
  <c r="V126" i="54"/>
  <c r="R126" i="54"/>
  <c r="Z126" i="54"/>
  <c r="S82" i="54"/>
  <c r="X82" i="54"/>
  <c r="V82" i="54"/>
  <c r="Z82" i="54"/>
  <c r="W82" i="54"/>
  <c r="R82" i="54"/>
  <c r="U82" i="54"/>
  <c r="T82" i="54"/>
  <c r="Y82" i="54"/>
  <c r="AL132" i="48"/>
  <c r="M92" i="48"/>
  <c r="M63" i="48"/>
  <c r="AL103" i="48"/>
  <c r="V168" i="54"/>
  <c r="Y168" i="54"/>
  <c r="U168" i="54"/>
  <c r="R168" i="54"/>
  <c r="W168" i="54"/>
  <c r="T168" i="54"/>
  <c r="X168" i="54"/>
  <c r="Z168" i="54"/>
  <c r="S168" i="54"/>
  <c r="M156" i="48"/>
  <c r="AL126" i="48"/>
  <c r="M86" i="48"/>
  <c r="R77" i="54"/>
  <c r="Z77" i="54"/>
  <c r="W77" i="54"/>
  <c r="T77" i="54"/>
  <c r="Y77" i="54"/>
  <c r="V77" i="54"/>
  <c r="U77" i="54"/>
  <c r="S77" i="54"/>
  <c r="X77" i="54"/>
  <c r="W124" i="54"/>
  <c r="U124" i="54"/>
  <c r="Z124" i="54"/>
  <c r="Y124" i="54"/>
  <c r="V124" i="54"/>
  <c r="S124" i="54"/>
  <c r="X124" i="54"/>
  <c r="T124" i="54"/>
  <c r="R124" i="54"/>
  <c r="V123" i="54"/>
  <c r="W123" i="54"/>
  <c r="Y123" i="54"/>
  <c r="X123" i="54"/>
  <c r="T123" i="54"/>
  <c r="S123" i="54"/>
  <c r="R123" i="54"/>
  <c r="U123" i="54"/>
  <c r="Z123" i="54"/>
  <c r="V108" i="54"/>
  <c r="Z108" i="54"/>
  <c r="S108" i="54"/>
  <c r="X108" i="54"/>
  <c r="R108" i="54"/>
  <c r="T108" i="54"/>
  <c r="Y108" i="54"/>
  <c r="W108" i="54"/>
  <c r="U108" i="54"/>
  <c r="M143" i="48"/>
  <c r="T152" i="54"/>
  <c r="S152" i="54"/>
  <c r="Z152" i="54"/>
  <c r="R152" i="54"/>
  <c r="U152" i="54"/>
  <c r="Y152" i="54"/>
  <c r="X152" i="54"/>
  <c r="W152" i="54"/>
  <c r="V152" i="54"/>
  <c r="M163" i="48"/>
  <c r="AL46" i="48"/>
  <c r="M6" i="48"/>
  <c r="AL77" i="48"/>
  <c r="M37" i="48"/>
  <c r="T49" i="54"/>
  <c r="W49" i="54"/>
  <c r="Y49" i="54"/>
  <c r="X49" i="54"/>
  <c r="R49" i="54"/>
  <c r="U49" i="54"/>
  <c r="Z49" i="54"/>
  <c r="S49" i="54"/>
  <c r="V49" i="54"/>
  <c r="AL116" i="48"/>
  <c r="M76" i="48"/>
  <c r="M151" i="48"/>
  <c r="S171" i="54"/>
  <c r="X171" i="54"/>
  <c r="U171" i="54"/>
  <c r="Y171" i="54"/>
  <c r="V171" i="54"/>
  <c r="T171" i="54"/>
  <c r="R171" i="54"/>
  <c r="Z171" i="54"/>
  <c r="W171" i="54"/>
  <c r="X3" i="54"/>
  <c r="T3" i="54"/>
  <c r="W3" i="54"/>
  <c r="Y3" i="54"/>
  <c r="U3" i="54"/>
  <c r="S3" i="54"/>
  <c r="Z3" i="54"/>
  <c r="R3" i="54"/>
  <c r="V3" i="54"/>
  <c r="T66" i="54"/>
  <c r="R66" i="54"/>
  <c r="X66" i="54"/>
  <c r="Z66" i="54"/>
  <c r="W66" i="54"/>
  <c r="S66" i="54"/>
  <c r="V66" i="54"/>
  <c r="Y66" i="54"/>
  <c r="U66" i="54"/>
  <c r="V120" i="54"/>
  <c r="Z120" i="54"/>
  <c r="Y120" i="54"/>
  <c r="T120" i="54"/>
  <c r="U120" i="54"/>
  <c r="W120" i="54"/>
  <c r="R120" i="54"/>
  <c r="X120" i="54"/>
  <c r="S120" i="54"/>
  <c r="T150" i="54"/>
  <c r="X150" i="54"/>
  <c r="Y150" i="54"/>
  <c r="V150" i="54"/>
  <c r="Z150" i="54"/>
  <c r="U150" i="54"/>
  <c r="S150" i="54"/>
  <c r="W150" i="54"/>
  <c r="R150" i="54"/>
  <c r="V42" i="54"/>
  <c r="S42" i="54"/>
  <c r="T42" i="54"/>
  <c r="X42" i="54"/>
  <c r="Z42" i="54"/>
  <c r="U42" i="54"/>
  <c r="Y42" i="54"/>
  <c r="W42" i="54"/>
  <c r="R42" i="54"/>
  <c r="X102" i="54"/>
  <c r="Z102" i="54"/>
  <c r="S102" i="54"/>
  <c r="R102" i="54"/>
  <c r="T102" i="54"/>
  <c r="V102" i="54"/>
  <c r="U102" i="54"/>
  <c r="Y102" i="54"/>
  <c r="W102" i="54"/>
  <c r="T91" i="54"/>
  <c r="V91" i="54"/>
  <c r="W91" i="54"/>
  <c r="Z91" i="54"/>
  <c r="X91" i="54"/>
  <c r="U91" i="54"/>
  <c r="R91" i="54"/>
  <c r="Y91" i="54"/>
  <c r="S91" i="54"/>
  <c r="M155" i="48"/>
  <c r="AL120" i="48"/>
  <c r="M80" i="48"/>
  <c r="T60" i="54"/>
  <c r="Z60" i="54"/>
  <c r="S60" i="54"/>
  <c r="X60" i="54"/>
  <c r="R60" i="54"/>
  <c r="Y60" i="54"/>
  <c r="W60" i="54"/>
  <c r="V60" i="54"/>
  <c r="U60" i="54"/>
  <c r="AL75" i="48"/>
  <c r="M35" i="48"/>
  <c r="AL98" i="48"/>
  <c r="M58" i="48"/>
  <c r="V165" i="54"/>
  <c r="Z165" i="54"/>
  <c r="U165" i="54"/>
  <c r="T165" i="54"/>
  <c r="X165" i="54"/>
  <c r="W165" i="54"/>
  <c r="R165" i="54"/>
  <c r="S165" i="54"/>
  <c r="Y165" i="54"/>
  <c r="AL57" i="48"/>
  <c r="M17" i="48"/>
  <c r="T86" i="54"/>
  <c r="W86" i="54"/>
  <c r="S86" i="54"/>
  <c r="V86" i="54"/>
  <c r="Y86" i="54"/>
  <c r="Z86" i="54"/>
  <c r="U86" i="54"/>
  <c r="X86" i="54"/>
  <c r="R86" i="54"/>
  <c r="AL107" i="48"/>
  <c r="M67" i="48"/>
  <c r="X89" i="54"/>
  <c r="T89" i="54"/>
  <c r="W89" i="54"/>
  <c r="S89" i="54"/>
  <c r="V89" i="54"/>
  <c r="Z89" i="54"/>
  <c r="U89" i="54"/>
  <c r="Y89" i="54"/>
  <c r="R89" i="54"/>
  <c r="AL66" i="48"/>
  <c r="M26" i="48"/>
  <c r="M105" i="48"/>
  <c r="R75" i="54"/>
  <c r="U75" i="54"/>
  <c r="T75" i="54"/>
  <c r="Y75" i="54"/>
  <c r="Z75" i="54"/>
  <c r="S75" i="54"/>
  <c r="W75" i="54"/>
  <c r="V75" i="54"/>
  <c r="X75" i="54"/>
  <c r="T35" i="54"/>
  <c r="X35" i="54"/>
  <c r="Z35" i="54"/>
  <c r="R35" i="54"/>
  <c r="V35" i="54"/>
  <c r="S35" i="54"/>
  <c r="Y35" i="54"/>
  <c r="U35" i="54"/>
  <c r="W35" i="54"/>
  <c r="W135" i="54"/>
  <c r="R135" i="54"/>
  <c r="Z135" i="54"/>
  <c r="Y135" i="54"/>
  <c r="V135" i="54"/>
  <c r="U135" i="54"/>
  <c r="X135" i="54"/>
  <c r="S135" i="54"/>
  <c r="T135" i="54"/>
  <c r="AL122" i="48"/>
  <c r="M82" i="48"/>
  <c r="V13" i="54"/>
  <c r="Z13" i="54"/>
  <c r="R13" i="54"/>
  <c r="T13" i="54"/>
  <c r="S13" i="54"/>
  <c r="U13" i="54"/>
  <c r="X13" i="54"/>
  <c r="W13" i="54"/>
  <c r="Y13" i="54"/>
  <c r="Y128" i="54"/>
  <c r="U128" i="54"/>
  <c r="S128" i="54"/>
  <c r="W128" i="54"/>
  <c r="V128" i="54"/>
  <c r="T128" i="54"/>
  <c r="R128" i="54"/>
  <c r="X128" i="54"/>
  <c r="Z128" i="54"/>
  <c r="M124" i="48"/>
  <c r="S127" i="54"/>
  <c r="T127" i="54"/>
  <c r="Y127" i="54"/>
  <c r="V127" i="54"/>
  <c r="R127" i="54"/>
  <c r="Z127" i="54"/>
  <c r="X127" i="54"/>
  <c r="W127" i="54"/>
  <c r="U127" i="54"/>
  <c r="AL99" i="48"/>
  <c r="M59" i="48"/>
  <c r="M161" i="48"/>
  <c r="V63" i="54"/>
  <c r="X63" i="54"/>
  <c r="Y63" i="54"/>
  <c r="W63" i="54"/>
  <c r="S63" i="54"/>
  <c r="Z63" i="54"/>
  <c r="U63" i="54"/>
  <c r="R63" i="54"/>
  <c r="T63" i="54"/>
  <c r="Y94" i="54"/>
  <c r="X94" i="54"/>
  <c r="S94" i="54"/>
  <c r="Z94" i="54"/>
  <c r="R94" i="54"/>
  <c r="V94" i="54"/>
  <c r="W94" i="54"/>
  <c r="U94" i="54"/>
  <c r="T94" i="54"/>
  <c r="M162" i="48"/>
  <c r="R157" i="54"/>
  <c r="Y157" i="54"/>
  <c r="S157" i="54"/>
  <c r="T157" i="54"/>
  <c r="W157" i="54"/>
  <c r="U157" i="54"/>
  <c r="V157" i="54"/>
  <c r="Z157" i="54"/>
  <c r="X157" i="54"/>
  <c r="Y160" i="54"/>
  <c r="Z160" i="54"/>
  <c r="S160" i="54"/>
  <c r="W160" i="54"/>
  <c r="T160" i="54"/>
  <c r="U160" i="54"/>
  <c r="V160" i="54"/>
  <c r="X160" i="54"/>
  <c r="R160" i="54"/>
  <c r="AL125" i="48"/>
  <c r="M85" i="48"/>
  <c r="V100" i="54"/>
  <c r="Z100" i="54"/>
  <c r="W100" i="54"/>
  <c r="X100" i="54"/>
  <c r="R100" i="54"/>
  <c r="S100" i="54"/>
  <c r="U100" i="54"/>
  <c r="T100" i="54"/>
  <c r="Y100" i="54"/>
  <c r="Y149" i="54"/>
  <c r="V149" i="54"/>
  <c r="R149" i="54"/>
  <c r="T149" i="54"/>
  <c r="S149" i="54"/>
  <c r="W149" i="54"/>
  <c r="X149" i="54"/>
  <c r="Z149" i="54"/>
  <c r="U149" i="54"/>
  <c r="Y48" i="54"/>
  <c r="S48" i="54"/>
  <c r="V48" i="54"/>
  <c r="R48" i="54"/>
  <c r="T48" i="54"/>
  <c r="Z48" i="54"/>
  <c r="X48" i="54"/>
  <c r="U48" i="54"/>
  <c r="W48" i="54"/>
  <c r="AL82" i="48"/>
  <c r="M42" i="48"/>
  <c r="X158" i="54"/>
  <c r="U158" i="54"/>
  <c r="Z158" i="54"/>
  <c r="T158" i="54"/>
  <c r="V158" i="54"/>
  <c r="Y158" i="54"/>
  <c r="W158" i="54"/>
  <c r="R158" i="54"/>
  <c r="S158" i="54"/>
  <c r="U85" i="54"/>
  <c r="R85" i="54"/>
  <c r="T85" i="54"/>
  <c r="X85" i="54"/>
  <c r="V85" i="54"/>
  <c r="S85" i="54"/>
  <c r="Z85" i="54"/>
  <c r="Y85" i="54"/>
  <c r="W85" i="54"/>
  <c r="M167" i="48"/>
  <c r="X167" i="54"/>
  <c r="V167" i="54"/>
  <c r="T167" i="54"/>
  <c r="S167" i="54"/>
  <c r="Y167" i="54"/>
  <c r="R167" i="54"/>
  <c r="Z167" i="54"/>
  <c r="W167" i="54"/>
  <c r="U167" i="54"/>
  <c r="W109" i="54"/>
  <c r="U109" i="54"/>
  <c r="S109" i="54"/>
  <c r="Z109" i="54"/>
  <c r="R109" i="54"/>
  <c r="Y109" i="54"/>
  <c r="V109" i="54"/>
  <c r="T109" i="54"/>
  <c r="X109" i="54"/>
  <c r="X151" i="54"/>
  <c r="W151" i="54"/>
  <c r="U151" i="54"/>
  <c r="Z151" i="54"/>
  <c r="V151" i="54"/>
  <c r="S151" i="54"/>
  <c r="Y151" i="54"/>
  <c r="R151" i="54"/>
  <c r="T151" i="54"/>
  <c r="R79" i="54"/>
  <c r="W79" i="54"/>
  <c r="Z79" i="54"/>
  <c r="U79" i="54"/>
  <c r="V79" i="54"/>
  <c r="T79" i="54"/>
  <c r="X79" i="54"/>
  <c r="Y79" i="54"/>
  <c r="S79" i="54"/>
  <c r="AL137" i="48"/>
  <c r="M97" i="48"/>
  <c r="Z113" i="54"/>
  <c r="V113" i="54"/>
  <c r="Y113" i="54"/>
  <c r="X113" i="54"/>
  <c r="W113" i="54"/>
  <c r="T113" i="54"/>
  <c r="R113" i="54"/>
  <c r="S113" i="54"/>
  <c r="U113" i="54"/>
  <c r="M123" i="48"/>
  <c r="S62" i="54"/>
  <c r="T62" i="54"/>
  <c r="Y62" i="54"/>
  <c r="U62" i="54"/>
  <c r="W62" i="54"/>
  <c r="X62" i="54"/>
  <c r="V62" i="54"/>
  <c r="R62" i="54"/>
  <c r="Z62" i="54"/>
  <c r="AL79" i="48"/>
  <c r="M39" i="48"/>
  <c r="Z118" i="54"/>
  <c r="V118" i="54"/>
  <c r="S118" i="54"/>
  <c r="U118" i="54"/>
  <c r="Y118" i="54"/>
  <c r="R118" i="54"/>
  <c r="T118" i="54"/>
  <c r="W118" i="54"/>
  <c r="X118" i="54"/>
  <c r="AL117" i="48"/>
  <c r="M77" i="48"/>
  <c r="W140" i="54"/>
  <c r="T140" i="54"/>
  <c r="S140" i="54"/>
  <c r="R140" i="54"/>
  <c r="V140" i="54"/>
  <c r="U140" i="54"/>
  <c r="Z140" i="54"/>
  <c r="Y140" i="54"/>
  <c r="X140" i="54"/>
  <c r="M146" i="48"/>
  <c r="M173" i="48"/>
  <c r="M168" i="48"/>
  <c r="Y148" i="54"/>
  <c r="S148" i="54"/>
  <c r="V148" i="54"/>
  <c r="W148" i="54"/>
  <c r="U148" i="54"/>
  <c r="Z148" i="54"/>
  <c r="X148" i="54"/>
  <c r="R148" i="54"/>
  <c r="T148" i="54"/>
  <c r="U103" i="54"/>
  <c r="T103" i="54"/>
  <c r="S103" i="54"/>
  <c r="Z103" i="54"/>
  <c r="V103" i="54"/>
  <c r="W103" i="54"/>
  <c r="R103" i="54"/>
  <c r="X103" i="54"/>
  <c r="Y103" i="54"/>
  <c r="AL128" i="48"/>
  <c r="M88" i="48"/>
  <c r="AL111" i="48"/>
  <c r="M71" i="48"/>
  <c r="AL108" i="48"/>
  <c r="M68" i="48"/>
  <c r="M171" i="48"/>
  <c r="AL86" i="48"/>
  <c r="M46" i="48"/>
  <c r="M170" i="48"/>
  <c r="S117" i="54"/>
  <c r="Z117" i="54"/>
  <c r="T117" i="54"/>
  <c r="U117" i="54"/>
  <c r="X117" i="54"/>
  <c r="V117" i="54"/>
  <c r="R117" i="54"/>
  <c r="Y117" i="54"/>
  <c r="W117" i="54"/>
  <c r="V32" i="54"/>
  <c r="T32" i="54"/>
  <c r="Z32" i="54"/>
  <c r="U32" i="54"/>
  <c r="W32" i="54"/>
  <c r="S32" i="54"/>
  <c r="R32" i="54"/>
  <c r="X32" i="54"/>
  <c r="Y32" i="54"/>
  <c r="AL74" i="48"/>
  <c r="M34" i="48"/>
  <c r="M73" i="48"/>
  <c r="AL113" i="48"/>
  <c r="U56" i="54"/>
  <c r="S56" i="54"/>
  <c r="R56" i="54"/>
  <c r="T56" i="54"/>
  <c r="W56" i="54"/>
  <c r="V56" i="54"/>
  <c r="Y56" i="54"/>
  <c r="Z56" i="54"/>
  <c r="X56" i="54"/>
  <c r="U6" i="54"/>
  <c r="R6" i="54"/>
  <c r="T6" i="54"/>
  <c r="V6" i="54"/>
  <c r="W6" i="54"/>
  <c r="Y6" i="54"/>
  <c r="S6" i="54"/>
  <c r="Z6" i="54"/>
  <c r="X6" i="54"/>
  <c r="U46" i="54"/>
  <c r="V46" i="54"/>
  <c r="S46" i="54"/>
  <c r="Y46" i="54"/>
  <c r="T46" i="54"/>
  <c r="Z46" i="54"/>
  <c r="R46" i="54"/>
  <c r="W46" i="54"/>
  <c r="X46" i="54"/>
  <c r="M109" i="48"/>
  <c r="AL59" i="48"/>
  <c r="M19" i="48"/>
  <c r="AL62" i="48"/>
  <c r="M22" i="48"/>
  <c r="X26" i="54"/>
  <c r="S26" i="54"/>
  <c r="W26" i="54"/>
  <c r="V26" i="54"/>
  <c r="R26" i="54"/>
  <c r="U26" i="54"/>
  <c r="Y26" i="54"/>
  <c r="T26" i="54"/>
  <c r="Z26" i="54"/>
  <c r="M121" i="48"/>
  <c r="M172" i="48"/>
  <c r="X132" i="54"/>
  <c r="W132" i="54"/>
  <c r="T132" i="54"/>
  <c r="Z132" i="54"/>
  <c r="U132" i="54"/>
  <c r="Y132" i="54"/>
  <c r="S132" i="54"/>
  <c r="R132" i="54"/>
  <c r="V132" i="54"/>
  <c r="S10" i="54"/>
  <c r="T10" i="54"/>
  <c r="Z10" i="54"/>
  <c r="V10" i="54"/>
  <c r="U10" i="54"/>
  <c r="X10" i="54"/>
  <c r="Y10" i="54"/>
  <c r="W10" i="54"/>
  <c r="R10" i="54"/>
  <c r="Z45" i="54"/>
  <c r="W45" i="54"/>
  <c r="X45" i="54"/>
  <c r="T45" i="54"/>
  <c r="Y45" i="54"/>
  <c r="R45" i="54"/>
  <c r="V45" i="54"/>
  <c r="S45" i="54"/>
  <c r="U45" i="54"/>
  <c r="X36" i="54"/>
  <c r="R36" i="54"/>
  <c r="Z36" i="54"/>
  <c r="T36" i="54"/>
  <c r="S36" i="54"/>
  <c r="U36" i="54"/>
  <c r="V36" i="54"/>
  <c r="W36" i="54"/>
  <c r="Y36" i="54"/>
  <c r="M137" i="48"/>
  <c r="T9" i="54"/>
  <c r="Y9" i="54"/>
  <c r="X9" i="54"/>
  <c r="S9" i="54"/>
  <c r="R9" i="54"/>
  <c r="Z9" i="54"/>
  <c r="W9" i="54"/>
  <c r="V9" i="54"/>
  <c r="U9" i="54"/>
  <c r="M111" i="48"/>
  <c r="S142" i="54"/>
  <c r="Z142" i="54"/>
  <c r="V142" i="54"/>
  <c r="U142" i="54"/>
  <c r="T142" i="54"/>
  <c r="Y142" i="54"/>
  <c r="W142" i="54"/>
  <c r="R142" i="54"/>
  <c r="X142" i="54"/>
  <c r="X2" i="54"/>
  <c r="Y2" i="54"/>
  <c r="Z2" i="54"/>
  <c r="U2" i="54"/>
  <c r="T2" i="54"/>
  <c r="S2" i="54"/>
  <c r="R2" i="54"/>
  <c r="V2" i="54"/>
  <c r="W2" i="54"/>
  <c r="AL138" i="48"/>
  <c r="M98" i="48"/>
  <c r="W47" i="54"/>
  <c r="T47" i="54"/>
  <c r="R47" i="54"/>
  <c r="V47" i="54"/>
  <c r="Y47" i="54"/>
  <c r="Z47" i="54"/>
  <c r="S47" i="54"/>
  <c r="X47" i="54"/>
  <c r="U47" i="54"/>
  <c r="AL81" i="48"/>
  <c r="M41" i="48"/>
  <c r="M149" i="48"/>
  <c r="S20" i="54"/>
  <c r="X20" i="54"/>
  <c r="U20" i="54"/>
  <c r="V20" i="54"/>
  <c r="Y20" i="54"/>
  <c r="T20" i="54"/>
  <c r="W20" i="54"/>
  <c r="R20" i="54"/>
  <c r="Z20" i="54"/>
  <c r="A23" i="35"/>
  <c r="A44" i="33" l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27" i="34"/>
  <c r="AM133" i="48"/>
  <c r="AM97" i="48"/>
  <c r="AM61" i="48"/>
  <c r="AM125" i="48"/>
  <c r="AM49" i="48"/>
  <c r="AM131" i="48"/>
  <c r="AM80" i="48"/>
  <c r="AM50" i="48"/>
  <c r="AM95" i="48"/>
  <c r="AM73" i="48"/>
  <c r="AM110" i="48"/>
  <c r="AM130" i="48"/>
  <c r="AM52" i="48"/>
  <c r="AM117" i="48"/>
  <c r="AM57" i="48"/>
  <c r="AM120" i="48"/>
  <c r="AM123" i="48"/>
  <c r="AM115" i="48"/>
  <c r="AM48" i="48"/>
  <c r="AM59" i="48"/>
  <c r="AM116" i="48"/>
  <c r="AM94" i="48"/>
  <c r="AM55" i="48"/>
  <c r="AM141" i="48"/>
  <c r="AM58" i="48"/>
  <c r="AM56" i="48"/>
  <c r="AM47" i="48"/>
  <c r="AM103" i="48"/>
  <c r="AM119" i="48"/>
  <c r="AM140" i="48"/>
  <c r="AM44" i="48"/>
  <c r="AM136" i="48"/>
  <c r="AM137" i="48"/>
  <c r="AM132" i="48"/>
  <c r="AM134" i="48"/>
  <c r="AM81" i="48"/>
  <c r="AM86" i="48"/>
  <c r="AM101" i="48"/>
  <c r="AM43" i="48"/>
  <c r="AM113" i="48"/>
  <c r="AM79" i="48"/>
  <c r="AM98" i="48"/>
  <c r="AM70" i="48"/>
  <c r="AM83" i="48"/>
  <c r="AM102" i="48"/>
  <c r="AM76" i="48"/>
  <c r="AM68" i="48"/>
  <c r="AM74" i="48"/>
  <c r="AM108" i="48"/>
  <c r="AM93" i="48"/>
  <c r="AM112" i="48"/>
  <c r="AM42" i="48"/>
  <c r="BF3" i="48"/>
  <c r="AM91" i="48"/>
  <c r="AM89" i="48"/>
  <c r="AM78" i="48"/>
  <c r="AM118" i="48"/>
  <c r="AM72" i="48"/>
  <c r="AM63" i="48"/>
  <c r="AM88" i="48"/>
  <c r="AM65" i="48"/>
  <c r="AM139" i="48"/>
  <c r="AM64" i="48"/>
  <c r="AM62" i="48"/>
  <c r="AM66" i="48"/>
  <c r="AM60" i="48"/>
  <c r="AM121" i="48"/>
  <c r="AM105" i="48"/>
  <c r="AM107" i="48"/>
  <c r="AM75" i="48"/>
  <c r="AM111" i="48"/>
  <c r="AM99" i="48"/>
  <c r="AM92" i="48"/>
  <c r="AM124" i="48"/>
  <c r="AM69" i="48"/>
  <c r="AM109" i="48"/>
  <c r="AM114" i="48"/>
  <c r="AM77" i="48"/>
  <c r="AM90" i="48"/>
  <c r="AM84" i="48"/>
  <c r="AM96" i="48"/>
  <c r="AM106" i="48"/>
  <c r="AM104" i="48"/>
  <c r="AM87" i="48"/>
  <c r="AM128" i="48"/>
  <c r="AM135" i="48"/>
  <c r="AM138" i="48"/>
  <c r="AM122" i="48"/>
  <c r="AM71" i="48"/>
  <c r="AM45" i="48"/>
  <c r="AM82" i="48"/>
  <c r="AM46" i="48"/>
  <c r="AM126" i="48"/>
  <c r="AM53" i="48"/>
  <c r="AM85" i="48"/>
  <c r="AM51" i="48"/>
  <c r="AM129" i="48"/>
  <c r="AM100" i="48"/>
  <c r="AM54" i="48"/>
  <c r="AM67" i="48"/>
  <c r="AM127" i="48"/>
  <c r="A24" i="35"/>
  <c r="A62" i="33" l="1"/>
  <c r="F56" i="47"/>
  <c r="AN23" i="47"/>
  <c r="A28" i="34"/>
  <c r="A25" i="35"/>
  <c r="A63" i="33" l="1"/>
  <c r="C57" i="47"/>
  <c r="C30" i="55" s="1"/>
  <c r="A29" i="34"/>
  <c r="A26" i="35"/>
  <c r="A64" i="33" l="1"/>
  <c r="C58" i="47"/>
  <c r="A30" i="34"/>
  <c r="A27" i="35"/>
  <c r="A65" i="33" l="1"/>
  <c r="E59" i="47"/>
  <c r="A31" i="34"/>
  <c r="A28" i="35"/>
  <c r="D29" i="57" l="1"/>
  <c r="D29" i="58"/>
  <c r="A66" i="33"/>
  <c r="F60" i="47"/>
  <c r="A32" i="34"/>
  <c r="A29" i="35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67" i="33" l="1"/>
  <c r="C61" i="47"/>
  <c r="X26" i="47"/>
  <c r="A33" i="34"/>
  <c r="A105" i="35"/>
  <c r="A106" i="35" s="1"/>
  <c r="A68" i="33" l="1"/>
  <c r="A69" i="33" s="1"/>
  <c r="C62" i="47"/>
  <c r="A34" i="34"/>
  <c r="A107" i="35"/>
  <c r="A108" i="35" s="1"/>
  <c r="A109" i="35" s="1"/>
  <c r="A110" i="35" s="1"/>
  <c r="A70" i="33" l="1"/>
  <c r="A71" i="33" s="1"/>
  <c r="A72" i="33" s="1"/>
  <c r="A73" i="33" s="1"/>
  <c r="A74" i="33" s="1"/>
  <c r="A75" i="33" s="1"/>
  <c r="E63" i="47"/>
  <c r="AO28" i="47"/>
  <c r="A35" i="34"/>
  <c r="A111" i="35"/>
  <c r="A76" i="33" l="1"/>
  <c r="A36" i="34"/>
  <c r="A112" i="35"/>
  <c r="F76" i="47" l="1"/>
  <c r="C76" i="47"/>
  <c r="D76" i="47"/>
  <c r="E76" i="47"/>
  <c r="C82" i="47"/>
  <c r="C67" i="47"/>
  <c r="C70" i="47"/>
  <c r="C85" i="47"/>
  <c r="D67" i="47"/>
  <c r="F68" i="47"/>
  <c r="F83" i="47"/>
  <c r="F100" i="47"/>
  <c r="C84" i="47"/>
  <c r="E68" i="47"/>
  <c r="E77" i="47"/>
  <c r="E87" i="47"/>
  <c r="C68" i="47"/>
  <c r="E101" i="47"/>
  <c r="E102" i="47"/>
  <c r="C97" i="47"/>
  <c r="F92" i="47"/>
  <c r="E90" i="47"/>
  <c r="D71" i="47"/>
  <c r="F97" i="47"/>
  <c r="D81" i="47"/>
  <c r="E73" i="47"/>
  <c r="E64" i="47"/>
  <c r="F87" i="47"/>
  <c r="E82" i="47"/>
  <c r="D78" i="47"/>
  <c r="E91" i="47"/>
  <c r="F101" i="47"/>
  <c r="F74" i="47"/>
  <c r="F93" i="47"/>
  <c r="C69" i="47"/>
  <c r="E85" i="47"/>
  <c r="C94" i="47"/>
  <c r="E83" i="47"/>
  <c r="E70" i="47"/>
  <c r="D80" i="47"/>
  <c r="E78" i="47"/>
  <c r="E86" i="47"/>
  <c r="F70" i="47"/>
  <c r="D66" i="47"/>
  <c r="E92" i="47"/>
  <c r="C87" i="47"/>
  <c r="C65" i="47"/>
  <c r="F64" i="47"/>
  <c r="E100" i="47"/>
  <c r="C98" i="47"/>
  <c r="E66" i="47"/>
  <c r="C74" i="47"/>
  <c r="C63" i="47"/>
  <c r="F84" i="47"/>
  <c r="D99" i="47"/>
  <c r="C75" i="47"/>
  <c r="E71" i="47"/>
  <c r="E96" i="47"/>
  <c r="C99" i="47"/>
  <c r="C92" i="47"/>
  <c r="F96" i="47"/>
  <c r="D72" i="47"/>
  <c r="F88" i="47"/>
  <c r="E65" i="47"/>
  <c r="C64" i="47"/>
  <c r="C96" i="47"/>
  <c r="D97" i="47"/>
  <c r="F94" i="47"/>
  <c r="D92" i="47"/>
  <c r="F77" i="47"/>
  <c r="E72" i="47"/>
  <c r="C89" i="47"/>
  <c r="C73" i="47"/>
  <c r="E74" i="47"/>
  <c r="E81" i="47"/>
  <c r="E75" i="47"/>
  <c r="D74" i="47"/>
  <c r="D77" i="47"/>
  <c r="D64" i="47"/>
  <c r="C101" i="47"/>
  <c r="D98" i="47"/>
  <c r="D86" i="47"/>
  <c r="E99" i="47"/>
  <c r="D68" i="47"/>
  <c r="E69" i="47"/>
  <c r="D82" i="47"/>
  <c r="E80" i="47"/>
  <c r="E95" i="47"/>
  <c r="F79" i="47"/>
  <c r="F75" i="47"/>
  <c r="C95" i="47"/>
  <c r="F66" i="47"/>
  <c r="F99" i="47"/>
  <c r="F98" i="47"/>
  <c r="C90" i="47"/>
  <c r="F63" i="47"/>
  <c r="F65" i="47"/>
  <c r="E84" i="47"/>
  <c r="C102" i="47"/>
  <c r="C100" i="47"/>
  <c r="D79" i="47"/>
  <c r="D88" i="47"/>
  <c r="C83" i="47"/>
  <c r="D84" i="47"/>
  <c r="D69" i="47"/>
  <c r="C72" i="47"/>
  <c r="D90" i="47"/>
  <c r="C86" i="47"/>
  <c r="D101" i="47"/>
  <c r="C91" i="47"/>
  <c r="C80" i="47"/>
  <c r="D83" i="47"/>
  <c r="F89" i="47"/>
  <c r="D93" i="47"/>
  <c r="C81" i="47"/>
  <c r="C71" i="47"/>
  <c r="D73" i="47"/>
  <c r="C88" i="47"/>
  <c r="D102" i="47"/>
  <c r="D91" i="47"/>
  <c r="F78" i="47"/>
  <c r="C79" i="47"/>
  <c r="D95" i="47"/>
  <c r="D94" i="47"/>
  <c r="D63" i="47"/>
  <c r="D75" i="47"/>
  <c r="C66" i="47"/>
  <c r="D70" i="47"/>
  <c r="E98" i="47"/>
  <c r="F86" i="47"/>
  <c r="C78" i="47"/>
  <c r="D65" i="47"/>
  <c r="F69" i="47"/>
  <c r="F67" i="47"/>
  <c r="E88" i="47"/>
  <c r="F80" i="47"/>
  <c r="D100" i="47"/>
  <c r="E79" i="47"/>
  <c r="F95" i="47"/>
  <c r="F72" i="47"/>
  <c r="D85" i="47"/>
  <c r="D87" i="47"/>
  <c r="E67" i="47"/>
  <c r="E94" i="47"/>
  <c r="F82" i="47"/>
  <c r="F73" i="47"/>
  <c r="F91" i="47"/>
  <c r="D96" i="47"/>
  <c r="E97" i="47"/>
  <c r="F85" i="47"/>
  <c r="F71" i="47"/>
  <c r="C93" i="47"/>
  <c r="F90" i="47"/>
  <c r="C77" i="47"/>
  <c r="D89" i="47"/>
  <c r="E89" i="47"/>
  <c r="F81" i="47"/>
  <c r="F102" i="47"/>
  <c r="E93" i="47"/>
  <c r="E62" i="47"/>
  <c r="D62" i="47"/>
  <c r="E61" i="47"/>
  <c r="F61" i="47"/>
  <c r="D61" i="47"/>
  <c r="F62" i="47"/>
  <c r="E60" i="47"/>
  <c r="D60" i="47"/>
  <c r="C60" i="47"/>
  <c r="F59" i="47"/>
  <c r="D59" i="47"/>
  <c r="C59" i="47"/>
  <c r="E57" i="47"/>
  <c r="E58" i="47"/>
  <c r="D58" i="47"/>
  <c r="E56" i="47"/>
  <c r="D57" i="47"/>
  <c r="C56" i="47"/>
  <c r="F55" i="47"/>
  <c r="D49" i="47"/>
  <c r="C52" i="47"/>
  <c r="D56" i="47"/>
  <c r="F57" i="47"/>
  <c r="F48" i="47"/>
  <c r="F38" i="47"/>
  <c r="F51" i="47"/>
  <c r="F42" i="47"/>
  <c r="C49" i="47"/>
  <c r="D51" i="47"/>
  <c r="E52" i="47"/>
  <c r="C54" i="47"/>
  <c r="E49" i="47"/>
  <c r="C51" i="47"/>
  <c r="D54" i="47"/>
  <c r="D50" i="47"/>
  <c r="E54" i="47"/>
  <c r="E50" i="47"/>
  <c r="C53" i="47"/>
  <c r="D48" i="47"/>
  <c r="D53" i="47"/>
  <c r="D52" i="47"/>
  <c r="F52" i="47"/>
  <c r="F53" i="47"/>
  <c r="F46" i="47"/>
  <c r="C48" i="47"/>
  <c r="F50" i="47"/>
  <c r="C35" i="47"/>
  <c r="C55" i="47"/>
  <c r="F37" i="47"/>
  <c r="E36" i="47"/>
  <c r="C50" i="47"/>
  <c r="F40" i="47"/>
  <c r="C34" i="47"/>
  <c r="E40" i="47"/>
  <c r="C46" i="47"/>
  <c r="E39" i="47"/>
  <c r="E48" i="47"/>
  <c r="E38" i="47"/>
  <c r="C41" i="47"/>
  <c r="C37" i="47"/>
  <c r="C36" i="47"/>
  <c r="F39" i="47"/>
  <c r="D55" i="47"/>
  <c r="E34" i="47"/>
  <c r="F36" i="47"/>
  <c r="F49" i="47"/>
  <c r="E41" i="47"/>
  <c r="D40" i="47"/>
  <c r="D43" i="47"/>
  <c r="D34" i="47"/>
  <c r="C40" i="47"/>
  <c r="D46" i="47"/>
  <c r="C39" i="47"/>
  <c r="E44" i="47"/>
  <c r="D37" i="47"/>
  <c r="F54" i="47"/>
  <c r="C43" i="47"/>
  <c r="C45" i="47"/>
  <c r="D42" i="47"/>
  <c r="E55" i="47"/>
  <c r="E51" i="47"/>
  <c r="F35" i="47"/>
  <c r="E45" i="47"/>
  <c r="D36" i="47"/>
  <c r="E37" i="47"/>
  <c r="E42" i="47"/>
  <c r="E53" i="47"/>
  <c r="D44" i="47"/>
  <c r="C33" i="47"/>
  <c r="D33" i="47"/>
  <c r="D39" i="47"/>
  <c r="F45" i="47"/>
  <c r="C44" i="47"/>
  <c r="F43" i="47"/>
  <c r="F44" i="47"/>
  <c r="E35" i="47"/>
  <c r="D38" i="47"/>
  <c r="E43" i="47"/>
  <c r="F41" i="47"/>
  <c r="D35" i="47"/>
  <c r="C47" i="47"/>
  <c r="D47" i="47"/>
  <c r="D45" i="47"/>
  <c r="C42" i="47"/>
  <c r="E47" i="47"/>
  <c r="E46" i="47"/>
  <c r="C38" i="47"/>
  <c r="F47" i="47"/>
  <c r="D41" i="47"/>
  <c r="F58" i="47"/>
  <c r="AA30" i="47"/>
  <c r="A37" i="34"/>
  <c r="A113" i="35"/>
  <c r="A114" i="35" s="1"/>
  <c r="D24" i="58" l="1"/>
  <c r="D24" i="57"/>
  <c r="D12" i="57"/>
  <c r="D12" i="58"/>
  <c r="D5" i="58"/>
  <c r="D5" i="57"/>
  <c r="D19" i="58"/>
  <c r="D19" i="57"/>
  <c r="D19" i="55"/>
  <c r="D39" i="57"/>
  <c r="D39" i="58"/>
  <c r="D26" i="55"/>
  <c r="D26" i="57"/>
  <c r="D26" i="58"/>
  <c r="D7" i="57"/>
  <c r="D7" i="58"/>
  <c r="D9" i="58"/>
  <c r="D9" i="57"/>
  <c r="D9" i="55"/>
  <c r="D21" i="58"/>
  <c r="D21" i="57"/>
  <c r="D31" i="57"/>
  <c r="D31" i="58"/>
  <c r="D31" i="55"/>
  <c r="D38" i="57"/>
  <c r="D38" i="58"/>
  <c r="D16" i="58"/>
  <c r="D16" i="57"/>
  <c r="D16" i="55"/>
  <c r="D33" i="58"/>
  <c r="D33" i="57"/>
  <c r="D17" i="58"/>
  <c r="D17" i="57"/>
  <c r="D17" i="55"/>
  <c r="D13" i="57"/>
  <c r="D13" i="58"/>
  <c r="D13" i="55"/>
  <c r="D35" i="58"/>
  <c r="D35" i="57"/>
  <c r="D14" i="58"/>
  <c r="D14" i="57"/>
  <c r="D20" i="57"/>
  <c r="D20" i="58"/>
  <c r="D3" i="58"/>
  <c r="D3" i="57"/>
  <c r="D41" i="58"/>
  <c r="D41" i="57"/>
  <c r="A96" i="47"/>
  <c r="A88" i="47"/>
  <c r="A77" i="47"/>
  <c r="A71" i="47"/>
  <c r="C10" i="55"/>
  <c r="D15" i="55"/>
  <c r="C18" i="55"/>
  <c r="D34" i="55"/>
  <c r="C28" i="55"/>
  <c r="D10" i="55"/>
  <c r="D20" i="55"/>
  <c r="D21" i="55"/>
  <c r="C20" i="55"/>
  <c r="D28" i="55"/>
  <c r="D18" i="55"/>
  <c r="C34" i="55"/>
  <c r="C21" i="55"/>
  <c r="D36" i="55"/>
  <c r="C15" i="55"/>
  <c r="A76" i="47"/>
  <c r="A60" i="47"/>
  <c r="A56" i="47"/>
  <c r="A15" i="47"/>
  <c r="A14" i="47"/>
  <c r="A21" i="47"/>
  <c r="A10" i="47"/>
  <c r="A29" i="47"/>
  <c r="A8" i="47"/>
  <c r="A32" i="47"/>
  <c r="A30" i="47"/>
  <c r="A27" i="47"/>
  <c r="A17" i="47"/>
  <c r="A4" i="47"/>
  <c r="A28" i="47"/>
  <c r="A25" i="47"/>
  <c r="A12" i="47"/>
  <c r="A34" i="47"/>
  <c r="A31" i="47"/>
  <c r="A3" i="47"/>
  <c r="A19" i="47"/>
  <c r="A5" i="47"/>
  <c r="A18" i="47"/>
  <c r="A26" i="47"/>
  <c r="A22" i="47"/>
  <c r="A16" i="47"/>
  <c r="A24" i="47"/>
  <c r="A13" i="47"/>
  <c r="A6" i="47"/>
  <c r="A11" i="47"/>
  <c r="A35" i="47"/>
  <c r="A9" i="47"/>
  <c r="A23" i="47"/>
  <c r="A33" i="47"/>
  <c r="A20" i="47"/>
  <c r="A7" i="47"/>
  <c r="C33" i="55"/>
  <c r="D7" i="55"/>
  <c r="C71" i="55"/>
  <c r="D45" i="55"/>
  <c r="C46" i="55"/>
  <c r="C67" i="55"/>
  <c r="D72" i="55"/>
  <c r="D53" i="55"/>
  <c r="D65" i="55"/>
  <c r="C56" i="55"/>
  <c r="C73" i="55"/>
  <c r="C48" i="55"/>
  <c r="D73" i="55"/>
  <c r="D71" i="55"/>
  <c r="C79" i="55"/>
  <c r="C44" i="55"/>
  <c r="C63" i="55"/>
  <c r="D61" i="55"/>
  <c r="D60" i="55"/>
  <c r="D47" i="55"/>
  <c r="C3" i="55"/>
  <c r="D48" i="55"/>
  <c r="C69" i="55"/>
  <c r="D76" i="55"/>
  <c r="C58" i="55"/>
  <c r="C45" i="55"/>
  <c r="C55" i="55"/>
  <c r="D59" i="55"/>
  <c r="C77" i="55"/>
  <c r="C23" i="55"/>
  <c r="D54" i="55"/>
  <c r="D3" i="55"/>
  <c r="C68" i="55"/>
  <c r="D56" i="55"/>
  <c r="C54" i="55"/>
  <c r="D51" i="55"/>
  <c r="C66" i="55"/>
  <c r="C43" i="55"/>
  <c r="D63" i="55"/>
  <c r="C74" i="55"/>
  <c r="D66" i="55"/>
  <c r="C61" i="55"/>
  <c r="D68" i="55"/>
  <c r="D42" i="55"/>
  <c r="C52" i="55"/>
  <c r="C14" i="55"/>
  <c r="C60" i="55"/>
  <c r="D78" i="55"/>
  <c r="C53" i="55"/>
  <c r="D23" i="55"/>
  <c r="D50" i="55"/>
  <c r="C75" i="55"/>
  <c r="C64" i="55"/>
  <c r="D75" i="55"/>
  <c r="D64" i="55"/>
  <c r="C59" i="55"/>
  <c r="D46" i="55"/>
  <c r="C47" i="55"/>
  <c r="C42" i="55"/>
  <c r="D74" i="55"/>
  <c r="D70" i="55"/>
  <c r="D49" i="55"/>
  <c r="D14" i="55"/>
  <c r="C78" i="55"/>
  <c r="D43" i="55"/>
  <c r="D52" i="55"/>
  <c r="D80" i="55"/>
  <c r="C76" i="55"/>
  <c r="D79" i="55"/>
  <c r="C49" i="55"/>
  <c r="C51" i="55"/>
  <c r="C72" i="55"/>
  <c r="C80" i="55"/>
  <c r="C65" i="55"/>
  <c r="D57" i="55"/>
  <c r="C62" i="55"/>
  <c r="D55" i="55"/>
  <c r="D69" i="55"/>
  <c r="D67" i="55"/>
  <c r="C70" i="55"/>
  <c r="C50" i="55"/>
  <c r="D62" i="55"/>
  <c r="C7" i="55"/>
  <c r="D77" i="55"/>
  <c r="D58" i="55"/>
  <c r="D44" i="55"/>
  <c r="C57" i="55"/>
  <c r="D12" i="55"/>
  <c r="C27" i="55"/>
  <c r="D27" i="55"/>
  <c r="C12" i="55"/>
  <c r="D33" i="55"/>
  <c r="C8" i="55"/>
  <c r="D8" i="55"/>
  <c r="C41" i="55"/>
  <c r="D41" i="55"/>
  <c r="D40" i="55"/>
  <c r="C40" i="55"/>
  <c r="D29" i="55"/>
  <c r="C39" i="55"/>
  <c r="C29" i="55"/>
  <c r="D39" i="55"/>
  <c r="D38" i="55"/>
  <c r="C38" i="55"/>
  <c r="D5" i="55"/>
  <c r="D24" i="55"/>
  <c r="C35" i="55"/>
  <c r="C5" i="55"/>
  <c r="C36" i="55"/>
  <c r="C24" i="55"/>
  <c r="D35" i="55"/>
  <c r="A87" i="47"/>
  <c r="A79" i="47"/>
  <c r="A75" i="47"/>
  <c r="A66" i="47"/>
  <c r="A99" i="47"/>
  <c r="A98" i="47"/>
  <c r="A72" i="47"/>
  <c r="A73" i="47"/>
  <c r="A90" i="47"/>
  <c r="A63" i="47"/>
  <c r="A65" i="47"/>
  <c r="A78" i="47"/>
  <c r="A86" i="47"/>
  <c r="A69" i="47"/>
  <c r="A80" i="47"/>
  <c r="A82" i="47"/>
  <c r="A102" i="47"/>
  <c r="A89" i="47"/>
  <c r="A67" i="47"/>
  <c r="A95" i="47"/>
  <c r="A91" i="47"/>
  <c r="A85" i="47"/>
  <c r="A81" i="47"/>
  <c r="A61" i="47"/>
  <c r="A62" i="47"/>
  <c r="A59" i="47"/>
  <c r="A53" i="47"/>
  <c r="A46" i="47"/>
  <c r="A49" i="47"/>
  <c r="A84" i="47"/>
  <c r="A55" i="47"/>
  <c r="A57" i="47"/>
  <c r="A54" i="47"/>
  <c r="A48" i="47"/>
  <c r="A38" i="47"/>
  <c r="A51" i="47"/>
  <c r="A42" i="47"/>
  <c r="A52" i="47"/>
  <c r="A45" i="47"/>
  <c r="A50" i="47"/>
  <c r="A37" i="47"/>
  <c r="A40" i="47"/>
  <c r="A39" i="47"/>
  <c r="A36" i="47"/>
  <c r="A64" i="47"/>
  <c r="A43" i="47"/>
  <c r="A44" i="47"/>
  <c r="A41" i="47"/>
  <c r="A68" i="47"/>
  <c r="A100" i="47"/>
  <c r="A97" i="47"/>
  <c r="A74" i="47"/>
  <c r="A70" i="47"/>
  <c r="A47" i="47"/>
  <c r="A58" i="47"/>
  <c r="A83" i="47"/>
  <c r="A92" i="47"/>
  <c r="A101" i="47"/>
  <c r="A93" i="47"/>
  <c r="A94" i="47"/>
  <c r="AN190" i="47"/>
  <c r="A38" i="34"/>
  <c r="A115" i="35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D21" i="44" l="1"/>
  <c r="E65" i="44"/>
  <c r="B13" i="44"/>
  <c r="E14" i="44"/>
  <c r="B76" i="44"/>
  <c r="B58" i="54"/>
  <c r="E65" i="48"/>
  <c r="M80" i="54"/>
  <c r="B77" i="54"/>
  <c r="B14" i="48"/>
  <c r="AI14" i="48" s="1"/>
  <c r="D57" i="44"/>
  <c r="D16" i="44"/>
  <c r="D6" i="44"/>
  <c r="B99" i="48"/>
  <c r="B62" i="48"/>
  <c r="B49" i="54"/>
  <c r="C54" i="48"/>
  <c r="B37" i="48"/>
  <c r="AI37" i="48" s="1"/>
  <c r="E87" i="48"/>
  <c r="D40" i="44"/>
  <c r="E17" i="44"/>
  <c r="E55" i="48"/>
  <c r="B3" i="54"/>
  <c r="B16" i="48"/>
  <c r="AI16" i="48" s="1"/>
  <c r="E21" i="44"/>
  <c r="E34" i="48"/>
  <c r="C90" i="48"/>
  <c r="B77" i="44"/>
  <c r="M71" i="54"/>
  <c r="B32" i="48"/>
  <c r="AI32" i="48" s="1"/>
  <c r="B41" i="48"/>
  <c r="AI41" i="48" s="1"/>
  <c r="E51" i="44"/>
  <c r="C17" i="44"/>
  <c r="D46" i="44"/>
  <c r="B78" i="44"/>
  <c r="B66" i="44"/>
  <c r="B40" i="54"/>
  <c r="C45" i="44"/>
  <c r="B34" i="54"/>
  <c r="D65" i="48"/>
  <c r="C2" i="44"/>
  <c r="C32" i="44"/>
  <c r="E29" i="44"/>
  <c r="E6" i="48"/>
  <c r="D26" i="48"/>
  <c r="AK26" i="48" s="1"/>
  <c r="E90" i="48"/>
  <c r="M4" i="54"/>
  <c r="C73" i="48"/>
  <c r="D24" i="48"/>
  <c r="AK24" i="48" s="1"/>
  <c r="B30" i="44"/>
  <c r="C89" i="48"/>
  <c r="D5" i="48"/>
  <c r="AK5" i="48" s="1"/>
  <c r="E51" i="48"/>
  <c r="D8" i="48"/>
  <c r="AK8" i="48" s="1"/>
  <c r="E81" i="48"/>
  <c r="D88" i="48"/>
  <c r="C51" i="48"/>
  <c r="D91" i="48"/>
  <c r="D17" i="48"/>
  <c r="AK17" i="48" s="1"/>
  <c r="D47" i="44"/>
  <c r="B95" i="48"/>
  <c r="E11" i="44"/>
  <c r="C80" i="48"/>
  <c r="B52" i="54"/>
  <c r="C5" i="44"/>
  <c r="B46" i="48"/>
  <c r="B45" i="48"/>
  <c r="B92" i="48"/>
  <c r="D69" i="44"/>
  <c r="E59" i="48"/>
  <c r="C15" i="44"/>
  <c r="C75" i="48"/>
  <c r="B2" i="44"/>
  <c r="M5" i="54"/>
  <c r="C25" i="44"/>
  <c r="C34" i="48"/>
  <c r="B56" i="54"/>
  <c r="C62" i="44"/>
  <c r="D47" i="48"/>
  <c r="B73" i="48"/>
  <c r="D74" i="48"/>
  <c r="B53" i="48"/>
  <c r="M58" i="54"/>
  <c r="C74" i="48"/>
  <c r="B100" i="48"/>
  <c r="C63" i="44"/>
  <c r="B4" i="48"/>
  <c r="AI4" i="48" s="1"/>
  <c r="M24" i="54"/>
  <c r="D67" i="48"/>
  <c r="C83" i="48"/>
  <c r="B25" i="54"/>
  <c r="E82" i="48"/>
  <c r="C56" i="48"/>
  <c r="E4" i="44"/>
  <c r="E33" i="48"/>
  <c r="B21" i="54"/>
  <c r="C33" i="44"/>
  <c r="D80" i="44"/>
  <c r="B5" i="48"/>
  <c r="AI5" i="48" s="1"/>
  <c r="E47" i="44"/>
  <c r="D2" i="48"/>
  <c r="AK2" i="48" s="1"/>
  <c r="B20" i="54"/>
  <c r="B38" i="54"/>
  <c r="C57" i="48"/>
  <c r="D39" i="44"/>
  <c r="B25" i="48"/>
  <c r="AI25" i="48" s="1"/>
  <c r="E6" i="44"/>
  <c r="E42" i="44"/>
  <c r="B21" i="48"/>
  <c r="AI21" i="48" s="1"/>
  <c r="B75" i="44"/>
  <c r="E76" i="44"/>
  <c r="E38" i="44"/>
  <c r="D49" i="48"/>
  <c r="C99" i="48"/>
  <c r="D98" i="48"/>
  <c r="C43" i="44"/>
  <c r="B48" i="44"/>
  <c r="E40" i="44"/>
  <c r="E83" i="48"/>
  <c r="D23" i="44"/>
  <c r="M41" i="54"/>
  <c r="E61" i="44"/>
  <c r="E86" i="48"/>
  <c r="C11" i="44"/>
  <c r="B7" i="48"/>
  <c r="AI7" i="48" s="1"/>
  <c r="C92" i="48"/>
  <c r="C44" i="44"/>
  <c r="B69" i="54"/>
  <c r="E88" i="48"/>
  <c r="D36" i="48"/>
  <c r="AK36" i="48" s="1"/>
  <c r="C71" i="44"/>
  <c r="C66" i="48"/>
  <c r="E66" i="44"/>
  <c r="M11" i="54"/>
  <c r="B8" i="48"/>
  <c r="AI8" i="48" s="1"/>
  <c r="E24" i="48"/>
  <c r="B69" i="48"/>
  <c r="E15" i="44"/>
  <c r="B76" i="54"/>
  <c r="M8" i="54"/>
  <c r="C39" i="48"/>
  <c r="C66" i="44"/>
  <c r="B23" i="44"/>
  <c r="E25" i="44"/>
  <c r="B36" i="54"/>
  <c r="B37" i="54"/>
  <c r="B19" i="48"/>
  <c r="AI19" i="48" s="1"/>
  <c r="E31" i="48"/>
  <c r="M68" i="54"/>
  <c r="D41" i="48"/>
  <c r="AK41" i="48" s="1"/>
  <c r="B77" i="48"/>
  <c r="C15" i="48"/>
  <c r="D57" i="48"/>
  <c r="D63" i="48"/>
  <c r="B78" i="48"/>
  <c r="D27" i="48"/>
  <c r="AK27" i="48" s="1"/>
  <c r="E79" i="48"/>
  <c r="E27" i="48"/>
  <c r="C86" i="48"/>
  <c r="D65" i="44"/>
  <c r="M60" i="54"/>
  <c r="M39" i="54"/>
  <c r="M63" i="54"/>
  <c r="B29" i="54"/>
  <c r="C47" i="48"/>
  <c r="B96" i="48"/>
  <c r="E73" i="48"/>
  <c r="C60" i="44"/>
  <c r="D16" i="48"/>
  <c r="AK16" i="48" s="1"/>
  <c r="C21" i="44"/>
  <c r="D54" i="48"/>
  <c r="C75" i="44"/>
  <c r="C67" i="44"/>
  <c r="E49" i="44"/>
  <c r="B36" i="48"/>
  <c r="AI36" i="48" s="1"/>
  <c r="E58" i="44"/>
  <c r="B97" i="48"/>
  <c r="C73" i="44"/>
  <c r="C35" i="44"/>
  <c r="E4" i="48"/>
  <c r="D12" i="44"/>
  <c r="M65" i="54"/>
  <c r="D59" i="44"/>
  <c r="D37" i="48"/>
  <c r="AK37" i="48" s="1"/>
  <c r="D18" i="48"/>
  <c r="AK18" i="48" s="1"/>
  <c r="C16" i="44"/>
  <c r="M14" i="54"/>
  <c r="D52" i="44"/>
  <c r="E69" i="48"/>
  <c r="B72" i="54"/>
  <c r="D29" i="48"/>
  <c r="AK29" i="48" s="1"/>
  <c r="E58" i="48"/>
  <c r="E28" i="48"/>
  <c r="M69" i="54"/>
  <c r="E96" i="48"/>
  <c r="E53" i="44"/>
  <c r="M31" i="54"/>
  <c r="D7" i="44"/>
  <c r="E20" i="48"/>
  <c r="C38" i="44"/>
  <c r="D9" i="48"/>
  <c r="AK9" i="48" s="1"/>
  <c r="D78" i="44"/>
  <c r="E27" i="44"/>
  <c r="B70" i="48"/>
  <c r="E24" i="44"/>
  <c r="B47" i="54"/>
  <c r="E13" i="44"/>
  <c r="D66" i="44"/>
  <c r="B8" i="54"/>
  <c r="E48" i="48"/>
  <c r="C85" i="48"/>
  <c r="C100" i="48"/>
  <c r="E54" i="44"/>
  <c r="E8" i="44"/>
  <c r="D26" i="44"/>
  <c r="B52" i="44"/>
  <c r="C64" i="48"/>
  <c r="D53" i="44"/>
  <c r="E91" i="48"/>
  <c r="B12" i="54"/>
  <c r="M12" i="54"/>
  <c r="E47" i="48"/>
  <c r="D30" i="48"/>
  <c r="AK30" i="48" s="1"/>
  <c r="E31" i="44"/>
  <c r="E18" i="44"/>
  <c r="C51" i="44"/>
  <c r="E42" i="48"/>
  <c r="D73" i="48"/>
  <c r="B83" i="48"/>
  <c r="D21" i="48"/>
  <c r="AK21" i="48" s="1"/>
  <c r="C6" i="44"/>
  <c r="B20" i="48"/>
  <c r="AI20" i="48" s="1"/>
  <c r="B3" i="48"/>
  <c r="AI3" i="48" s="1"/>
  <c r="B21" i="44"/>
  <c r="M79" i="54"/>
  <c r="M78" i="54"/>
  <c r="C13" i="44"/>
  <c r="C19" i="44"/>
  <c r="D69" i="48"/>
  <c r="B82" i="48"/>
  <c r="D62" i="48"/>
  <c r="E20" i="44"/>
  <c r="E46" i="44"/>
  <c r="B9" i="44"/>
  <c r="E43" i="48"/>
  <c r="E9" i="48"/>
  <c r="D96" i="48"/>
  <c r="E68" i="44"/>
  <c r="B13" i="48"/>
  <c r="AI13" i="48" s="1"/>
  <c r="C41" i="48"/>
  <c r="M9" i="54"/>
  <c r="C21" i="48"/>
  <c r="B58" i="48"/>
  <c r="D20" i="44"/>
  <c r="E17" i="48"/>
  <c r="B54" i="44"/>
  <c r="E63" i="44"/>
  <c r="D13" i="44"/>
  <c r="B50" i="54"/>
  <c r="B19" i="44"/>
  <c r="E101" i="48"/>
  <c r="M28" i="54"/>
  <c r="E74" i="48"/>
  <c r="B55" i="48"/>
  <c r="B10" i="44"/>
  <c r="C70" i="48"/>
  <c r="M51" i="54"/>
  <c r="B54" i="54"/>
  <c r="B35" i="54"/>
  <c r="D83" i="48"/>
  <c r="D93" i="48"/>
  <c r="B68" i="44"/>
  <c r="M46" i="54"/>
  <c r="M13" i="54"/>
  <c r="M18" i="54"/>
  <c r="E19" i="48"/>
  <c r="C64" i="44"/>
  <c r="B75" i="54"/>
  <c r="E69" i="44"/>
  <c r="C33" i="48"/>
  <c r="B63" i="44"/>
  <c r="B34" i="48"/>
  <c r="AI34" i="48" s="1"/>
  <c r="E23" i="48"/>
  <c r="B33" i="44"/>
  <c r="D68" i="48"/>
  <c r="M29" i="54"/>
  <c r="B53" i="44"/>
  <c r="C40" i="48"/>
  <c r="E29" i="48"/>
  <c r="E98" i="48"/>
  <c r="C32" i="48"/>
  <c r="E78" i="48"/>
  <c r="D61" i="48"/>
  <c r="C35" i="48"/>
  <c r="B45" i="44"/>
  <c r="C78" i="48"/>
  <c r="B71" i="44"/>
  <c r="C48" i="44"/>
  <c r="C58" i="44"/>
  <c r="E73" i="44"/>
  <c r="M6" i="54"/>
  <c r="C88" i="48"/>
  <c r="M54" i="54"/>
  <c r="B75" i="48"/>
  <c r="C79" i="44"/>
  <c r="B17" i="48"/>
  <c r="AI17" i="48" s="1"/>
  <c r="E16" i="44"/>
  <c r="B64" i="44"/>
  <c r="D27" i="44"/>
  <c r="B24" i="54"/>
  <c r="C71" i="48"/>
  <c r="B93" i="48"/>
  <c r="E84" i="48"/>
  <c r="M19" i="54"/>
  <c r="D15" i="48"/>
  <c r="AK15" i="48" s="1"/>
  <c r="B71" i="54"/>
  <c r="E67" i="44"/>
  <c r="D4" i="44"/>
  <c r="B79" i="44"/>
  <c r="B72" i="44"/>
  <c r="C50" i="44"/>
  <c r="E71" i="44"/>
  <c r="D79" i="44"/>
  <c r="B78" i="54"/>
  <c r="D33" i="44"/>
  <c r="E57" i="44"/>
  <c r="C61" i="48"/>
  <c r="C36" i="44"/>
  <c r="C65" i="48"/>
  <c r="D14" i="48"/>
  <c r="AK14" i="48" s="1"/>
  <c r="B79" i="48"/>
  <c r="M7" i="54"/>
  <c r="D97" i="48"/>
  <c r="D43" i="44"/>
  <c r="M3" i="54"/>
  <c r="C46" i="48"/>
  <c r="E13" i="48"/>
  <c r="D41" i="44"/>
  <c r="B67" i="54"/>
  <c r="B67" i="44"/>
  <c r="E80" i="48"/>
  <c r="D38" i="44"/>
  <c r="D89" i="48"/>
  <c r="B57" i="54"/>
  <c r="B26" i="54"/>
  <c r="C26" i="44"/>
  <c r="M15" i="54"/>
  <c r="C11" i="48"/>
  <c r="B11" i="44"/>
  <c r="C81" i="48"/>
  <c r="B101" i="48"/>
  <c r="E36" i="48"/>
  <c r="C23" i="44"/>
  <c r="E19" i="44"/>
  <c r="E100" i="48"/>
  <c r="E46" i="48"/>
  <c r="D30" i="44"/>
  <c r="B65" i="44"/>
  <c r="B39" i="44"/>
  <c r="C41" i="44"/>
  <c r="C61" i="44"/>
  <c r="C67" i="48"/>
  <c r="B14" i="44"/>
  <c r="B63" i="54"/>
  <c r="M50" i="54"/>
  <c r="E23" i="44"/>
  <c r="B22" i="54"/>
  <c r="E77" i="48"/>
  <c r="E93" i="48"/>
  <c r="B60" i="54"/>
  <c r="B41" i="54"/>
  <c r="E75" i="48"/>
  <c r="E66" i="48"/>
  <c r="C6" i="48"/>
  <c r="E74" i="44"/>
  <c r="E35" i="48"/>
  <c r="C29" i="48"/>
  <c r="B68" i="48"/>
  <c r="D66" i="48"/>
  <c r="M27" i="54"/>
  <c r="C77" i="44"/>
  <c r="B3" i="44"/>
  <c r="D94" i="48"/>
  <c r="B16" i="44"/>
  <c r="C9" i="48"/>
  <c r="D46" i="48"/>
  <c r="E2" i="44"/>
  <c r="B86" i="48"/>
  <c r="C42" i="48"/>
  <c r="E22" i="44"/>
  <c r="C3" i="44"/>
  <c r="C65" i="44"/>
  <c r="M55" i="54"/>
  <c r="B7" i="44"/>
  <c r="B40" i="44"/>
  <c r="B70" i="54"/>
  <c r="D50" i="44"/>
  <c r="E63" i="48"/>
  <c r="D77" i="44"/>
  <c r="B14" i="54"/>
  <c r="C57" i="44"/>
  <c r="B74" i="54"/>
  <c r="B24" i="48"/>
  <c r="AI24" i="48" s="1"/>
  <c r="D92" i="48"/>
  <c r="B31" i="54"/>
  <c r="B16" i="54"/>
  <c r="D58" i="44"/>
  <c r="B50" i="48"/>
  <c r="B44" i="54"/>
  <c r="M36" i="54"/>
  <c r="B62" i="44"/>
  <c r="C55" i="44"/>
  <c r="C5" i="48"/>
  <c r="D62" i="44"/>
  <c r="B49" i="44"/>
  <c r="C14" i="48"/>
  <c r="B29" i="44"/>
  <c r="D52" i="48"/>
  <c r="B38" i="48"/>
  <c r="AI38" i="48" s="1"/>
  <c r="D51" i="44"/>
  <c r="B23" i="48"/>
  <c r="AI23" i="48" s="1"/>
  <c r="B80" i="54"/>
  <c r="D70" i="44"/>
  <c r="B17" i="44"/>
  <c r="B43" i="54"/>
  <c r="B53" i="54"/>
  <c r="B56" i="44"/>
  <c r="M32" i="54"/>
  <c r="D90" i="48"/>
  <c r="E64" i="44"/>
  <c r="C12" i="44"/>
  <c r="E99" i="48"/>
  <c r="B50" i="44"/>
  <c r="C56" i="44"/>
  <c r="M76" i="54"/>
  <c r="B24" i="44"/>
  <c r="C22" i="44"/>
  <c r="E9" i="44"/>
  <c r="D85" i="48"/>
  <c r="B65" i="54"/>
  <c r="D11" i="44"/>
  <c r="D14" i="44"/>
  <c r="D63" i="44"/>
  <c r="E70" i="48"/>
  <c r="B17" i="54"/>
  <c r="M67" i="54"/>
  <c r="C27" i="44"/>
  <c r="C28" i="44"/>
  <c r="D99" i="48"/>
  <c r="C27" i="48"/>
  <c r="M47" i="54"/>
  <c r="C47" i="44"/>
  <c r="M75" i="54"/>
  <c r="B35" i="44"/>
  <c r="M52" i="54"/>
  <c r="D34" i="44"/>
  <c r="E50" i="48"/>
  <c r="B9" i="48"/>
  <c r="AI9" i="48" s="1"/>
  <c r="B19" i="54"/>
  <c r="E95" i="48"/>
  <c r="M45" i="54"/>
  <c r="E39" i="44"/>
  <c r="B51" i="48"/>
  <c r="M61" i="54"/>
  <c r="E45" i="44"/>
  <c r="E48" i="44"/>
  <c r="D48" i="48"/>
  <c r="D75" i="48"/>
  <c r="B73" i="54"/>
  <c r="E67" i="48"/>
  <c r="B71" i="48"/>
  <c r="B31" i="44"/>
  <c r="D42" i="48"/>
  <c r="C50" i="48"/>
  <c r="B67" i="48"/>
  <c r="D32" i="44"/>
  <c r="E78" i="44"/>
  <c r="D4" i="48"/>
  <c r="AK4" i="48" s="1"/>
  <c r="C31" i="48"/>
  <c r="M62" i="54"/>
  <c r="D86" i="48"/>
  <c r="C72" i="44"/>
  <c r="B61" i="54"/>
  <c r="E80" i="44"/>
  <c r="E89" i="48"/>
  <c r="D44" i="44"/>
  <c r="D43" i="48"/>
  <c r="D64" i="48"/>
  <c r="D11" i="48"/>
  <c r="AK11" i="48" s="1"/>
  <c r="B51" i="54"/>
  <c r="E57" i="48"/>
  <c r="B18" i="54"/>
  <c r="D76" i="44"/>
  <c r="B61" i="48"/>
  <c r="B68" i="54"/>
  <c r="C69" i="48"/>
  <c r="B28" i="44"/>
  <c r="B55" i="44"/>
  <c r="D31" i="48"/>
  <c r="AK31" i="48" s="1"/>
  <c r="B8" i="44"/>
  <c r="D84" i="48"/>
  <c r="C3" i="48"/>
  <c r="E72" i="48"/>
  <c r="B15" i="48"/>
  <c r="AI15" i="48" s="1"/>
  <c r="B38" i="44"/>
  <c r="M16" i="54"/>
  <c r="B27" i="54"/>
  <c r="C46" i="44"/>
  <c r="D23" i="48"/>
  <c r="AK23" i="48" s="1"/>
  <c r="E75" i="44"/>
  <c r="B57" i="44"/>
  <c r="B64" i="54"/>
  <c r="M42" i="54"/>
  <c r="C59" i="44"/>
  <c r="D68" i="44"/>
  <c r="C72" i="48"/>
  <c r="D5" i="44"/>
  <c r="E30" i="44"/>
  <c r="C31" i="44"/>
  <c r="E53" i="48"/>
  <c r="E54" i="48"/>
  <c r="E5" i="44"/>
  <c r="B79" i="54"/>
  <c r="D55" i="48"/>
  <c r="D39" i="48"/>
  <c r="AK39" i="48" s="1"/>
  <c r="D71" i="44"/>
  <c r="D28" i="48"/>
  <c r="AK28" i="48" s="1"/>
  <c r="D15" i="44"/>
  <c r="E52" i="44"/>
  <c r="E12" i="44"/>
  <c r="B46" i="54"/>
  <c r="E32" i="44"/>
  <c r="B80" i="48"/>
  <c r="C9" i="44"/>
  <c r="C52" i="44"/>
  <c r="M17" i="54"/>
  <c r="M48" i="54"/>
  <c r="C28" i="48"/>
  <c r="D80" i="48"/>
  <c r="D29" i="44"/>
  <c r="B48" i="48"/>
  <c r="B70" i="44"/>
  <c r="D19" i="44"/>
  <c r="B22" i="44"/>
  <c r="B90" i="48"/>
  <c r="B2" i="48"/>
  <c r="AI2" i="48" s="1"/>
  <c r="B47" i="48"/>
  <c r="M21" i="54"/>
  <c r="C13" i="48"/>
  <c r="E62" i="44"/>
  <c r="C37" i="44"/>
  <c r="B26" i="48"/>
  <c r="AI26" i="48" s="1"/>
  <c r="B84" i="48"/>
  <c r="C24" i="48"/>
  <c r="E39" i="48"/>
  <c r="B59" i="54"/>
  <c r="B73" i="44"/>
  <c r="D78" i="48"/>
  <c r="B81" i="48"/>
  <c r="M43" i="54"/>
  <c r="E41" i="48"/>
  <c r="D20" i="48"/>
  <c r="AK20" i="48" s="1"/>
  <c r="C7" i="44"/>
  <c r="E56" i="48"/>
  <c r="B66" i="48"/>
  <c r="D50" i="48"/>
  <c r="D35" i="48"/>
  <c r="AK35" i="48" s="1"/>
  <c r="E11" i="48"/>
  <c r="D76" i="48"/>
  <c r="C14" i="44"/>
  <c r="B85" i="48"/>
  <c r="B87" i="48"/>
  <c r="C55" i="48"/>
  <c r="C4" i="48"/>
  <c r="B11" i="54"/>
  <c r="C63" i="48"/>
  <c r="D32" i="48"/>
  <c r="AK32" i="48" s="1"/>
  <c r="C76" i="48"/>
  <c r="B28" i="48"/>
  <c r="AI28" i="48" s="1"/>
  <c r="C68" i="44"/>
  <c r="D37" i="44"/>
  <c r="B7" i="54"/>
  <c r="C39" i="44"/>
  <c r="C69" i="44"/>
  <c r="C79" i="48"/>
  <c r="E38" i="48"/>
  <c r="B47" i="44"/>
  <c r="E60" i="44"/>
  <c r="M33" i="54"/>
  <c r="D77" i="48"/>
  <c r="C70" i="44"/>
  <c r="D2" i="44"/>
  <c r="B31" i="48"/>
  <c r="AI31" i="48" s="1"/>
  <c r="D79" i="48"/>
  <c r="C77" i="48"/>
  <c r="E79" i="44"/>
  <c r="B34" i="44"/>
  <c r="C24" i="44"/>
  <c r="D60" i="48"/>
  <c r="M22" i="54"/>
  <c r="M40" i="54"/>
  <c r="D24" i="44"/>
  <c r="C20" i="44"/>
  <c r="D61" i="44"/>
  <c r="B98" i="48"/>
  <c r="E45" i="48"/>
  <c r="M66" i="54"/>
  <c r="B60" i="48"/>
  <c r="E43" i="44"/>
  <c r="C101" i="48"/>
  <c r="C53" i="44"/>
  <c r="E50" i="44"/>
  <c r="E16" i="48"/>
  <c r="B5" i="54"/>
  <c r="D72" i="44"/>
  <c r="B61" i="44"/>
  <c r="C18" i="48"/>
  <c r="B39" i="54"/>
  <c r="B11" i="48"/>
  <c r="AI11" i="48" s="1"/>
  <c r="E44" i="48"/>
  <c r="D17" i="44"/>
  <c r="B36" i="44"/>
  <c r="E35" i="44"/>
  <c r="B26" i="44"/>
  <c r="E32" i="48"/>
  <c r="D81" i="48"/>
  <c r="C19" i="48"/>
  <c r="D56" i="44"/>
  <c r="E60" i="48"/>
  <c r="E70" i="44"/>
  <c r="B32" i="44"/>
  <c r="D101" i="48"/>
  <c r="D12" i="48"/>
  <c r="AK12" i="48" s="1"/>
  <c r="B74" i="44"/>
  <c r="B48" i="54"/>
  <c r="B41" i="44"/>
  <c r="C53" i="48"/>
  <c r="D31" i="44"/>
  <c r="B94" i="48"/>
  <c r="E72" i="44"/>
  <c r="C18" i="44"/>
  <c r="D58" i="48"/>
  <c r="C54" i="44"/>
  <c r="M72" i="54"/>
  <c r="B27" i="44"/>
  <c r="B37" i="44"/>
  <c r="B42" i="44"/>
  <c r="M70" i="54"/>
  <c r="D18" i="44"/>
  <c r="B25" i="44"/>
  <c r="E59" i="44"/>
  <c r="B30" i="54"/>
  <c r="D7" i="48"/>
  <c r="AK7" i="48" s="1"/>
  <c r="D56" i="48"/>
  <c r="D64" i="44"/>
  <c r="E30" i="48"/>
  <c r="B15" i="54"/>
  <c r="D87" i="48"/>
  <c r="E26" i="44"/>
  <c r="B2" i="54"/>
  <c r="B28" i="54"/>
  <c r="E34" i="44"/>
  <c r="B33" i="54"/>
  <c r="D40" i="48"/>
  <c r="AK40" i="48" s="1"/>
  <c r="B18" i="44"/>
  <c r="C58" i="48"/>
  <c r="E41" i="44"/>
  <c r="D9" i="44"/>
  <c r="M10" i="54"/>
  <c r="D51" i="48"/>
  <c r="C49" i="48"/>
  <c r="B35" i="48"/>
  <c r="AI35" i="48" s="1"/>
  <c r="E52" i="48"/>
  <c r="C17" i="48"/>
  <c r="D55" i="44"/>
  <c r="D67" i="44"/>
  <c r="C49" i="44"/>
  <c r="E33" i="44"/>
  <c r="B20" i="44"/>
  <c r="D10" i="44"/>
  <c r="E76" i="48"/>
  <c r="D25" i="44"/>
  <c r="D3" i="44"/>
  <c r="E68" i="48"/>
  <c r="B4" i="54"/>
  <c r="B58" i="44"/>
  <c r="C87" i="48"/>
  <c r="M25" i="54"/>
  <c r="E97" i="48"/>
  <c r="E3" i="48"/>
  <c r="B42" i="48"/>
  <c r="D70" i="48"/>
  <c r="B55" i="54"/>
  <c r="E40" i="48"/>
  <c r="C30" i="44"/>
  <c r="M57" i="54"/>
  <c r="D73" i="44"/>
  <c r="D48" i="44"/>
  <c r="M53" i="54"/>
  <c r="C22" i="48"/>
  <c r="B88" i="48"/>
  <c r="C40" i="44"/>
  <c r="B74" i="48"/>
  <c r="B65" i="48"/>
  <c r="C59" i="48"/>
  <c r="E64" i="48"/>
  <c r="F64" i="48" s="1"/>
  <c r="C45" i="48"/>
  <c r="E77" i="44"/>
  <c r="B5" i="44"/>
  <c r="B40" i="48"/>
  <c r="AI40" i="48" s="1"/>
  <c r="E18" i="48"/>
  <c r="M30" i="54"/>
  <c r="D82" i="48"/>
  <c r="C2" i="48"/>
  <c r="M64" i="54"/>
  <c r="C76" i="44"/>
  <c r="B9" i="54"/>
  <c r="C93" i="48"/>
  <c r="E55" i="44"/>
  <c r="D60" i="44"/>
  <c r="B27" i="48"/>
  <c r="AI27" i="48" s="1"/>
  <c r="M74" i="54"/>
  <c r="B15" i="44"/>
  <c r="C52" i="48"/>
  <c r="E36" i="44"/>
  <c r="D53" i="48"/>
  <c r="C7" i="48"/>
  <c r="C12" i="48"/>
  <c r="B39" i="48"/>
  <c r="AI39" i="48" s="1"/>
  <c r="C30" i="48"/>
  <c r="M26" i="54"/>
  <c r="B59" i="44"/>
  <c r="M77" i="54"/>
  <c r="B57" i="48"/>
  <c r="D74" i="44"/>
  <c r="D42" i="44"/>
  <c r="B63" i="48"/>
  <c r="C91" i="48"/>
  <c r="M23" i="54"/>
  <c r="M59" i="54"/>
  <c r="C20" i="48"/>
  <c r="D22" i="48"/>
  <c r="AK22" i="48" s="1"/>
  <c r="B42" i="54"/>
  <c r="C38" i="48"/>
  <c r="C74" i="44"/>
  <c r="D35" i="44"/>
  <c r="C10" i="44"/>
  <c r="C95" i="48"/>
  <c r="C68" i="48"/>
  <c r="E15" i="48"/>
  <c r="D8" i="44"/>
  <c r="M49" i="54"/>
  <c r="B69" i="44"/>
  <c r="B23" i="54"/>
  <c r="M37" i="54"/>
  <c r="C43" i="48"/>
  <c r="C48" i="48"/>
  <c r="C78" i="44"/>
  <c r="D59" i="48"/>
  <c r="C8" i="44"/>
  <c r="C80" i="44"/>
  <c r="B59" i="48"/>
  <c r="D72" i="48"/>
  <c r="E28" i="44"/>
  <c r="B54" i="48"/>
  <c r="E12" i="48"/>
  <c r="C34" i="44"/>
  <c r="B62" i="54"/>
  <c r="B76" i="48"/>
  <c r="D28" i="44"/>
  <c r="D71" i="48"/>
  <c r="B6" i="48"/>
  <c r="AI6" i="48" s="1"/>
  <c r="B89" i="48"/>
  <c r="E3" i="44"/>
  <c r="E92" i="48"/>
  <c r="C36" i="48"/>
  <c r="C44" i="48"/>
  <c r="C8" i="48"/>
  <c r="B22" i="48"/>
  <c r="AI22" i="48" s="1"/>
  <c r="D38" i="48"/>
  <c r="AK38" i="48" s="1"/>
  <c r="E71" i="48"/>
  <c r="B29" i="48"/>
  <c r="AI29" i="48" s="1"/>
  <c r="B12" i="48"/>
  <c r="AI12" i="48" s="1"/>
  <c r="C97" i="48"/>
  <c r="C84" i="48"/>
  <c r="C23" i="48"/>
  <c r="E21" i="48"/>
  <c r="M56" i="54"/>
  <c r="E10" i="44"/>
  <c r="E37" i="48"/>
  <c r="E37" i="44"/>
  <c r="D6" i="48"/>
  <c r="AK6" i="48" s="1"/>
  <c r="D100" i="48"/>
  <c r="B33" i="48"/>
  <c r="AI33" i="48" s="1"/>
  <c r="D22" i="44"/>
  <c r="D44" i="48"/>
  <c r="D45" i="44"/>
  <c r="B64" i="48"/>
  <c r="C29" i="44"/>
  <c r="E61" i="48"/>
  <c r="B18" i="48"/>
  <c r="AI18" i="48" s="1"/>
  <c r="D33" i="48"/>
  <c r="AK33" i="48" s="1"/>
  <c r="M44" i="54"/>
  <c r="C4" i="44"/>
  <c r="B6" i="54"/>
  <c r="M34" i="54"/>
  <c r="E49" i="48"/>
  <c r="B10" i="48"/>
  <c r="AI10" i="48" s="1"/>
  <c r="C37" i="48"/>
  <c r="B30" i="48"/>
  <c r="AI30" i="48" s="1"/>
  <c r="B52" i="48"/>
  <c r="B66" i="54"/>
  <c r="B13" i="54"/>
  <c r="E56" i="44"/>
  <c r="E2" i="48"/>
  <c r="B45" i="54"/>
  <c r="D49" i="44"/>
  <c r="D34" i="48"/>
  <c r="AK34" i="48" s="1"/>
  <c r="C25" i="48"/>
  <c r="E94" i="48"/>
  <c r="D10" i="48"/>
  <c r="AK10" i="48" s="1"/>
  <c r="B43" i="44"/>
  <c r="E8" i="48"/>
  <c r="C60" i="48"/>
  <c r="C62" i="48"/>
  <c r="B72" i="48"/>
  <c r="D19" i="48"/>
  <c r="AK19" i="48" s="1"/>
  <c r="D13" i="48"/>
  <c r="AK13" i="48" s="1"/>
  <c r="B91" i="48"/>
  <c r="E25" i="48"/>
  <c r="B12" i="44"/>
  <c r="E22" i="48"/>
  <c r="B6" i="44"/>
  <c r="M2" i="54"/>
  <c r="E7" i="44"/>
  <c r="B4" i="44"/>
  <c r="C16" i="48"/>
  <c r="M73" i="54"/>
  <c r="D95" i="48"/>
  <c r="B44" i="44"/>
  <c r="B32" i="54"/>
  <c r="E7" i="48"/>
  <c r="B56" i="48"/>
  <c r="B46" i="44"/>
  <c r="M35" i="54"/>
  <c r="B51" i="44"/>
  <c r="D3" i="48"/>
  <c r="AK3" i="48" s="1"/>
  <c r="E5" i="48"/>
  <c r="C26" i="48"/>
  <c r="E10" i="48"/>
  <c r="C96" i="48"/>
  <c r="B43" i="48"/>
  <c r="D45" i="48"/>
  <c r="B44" i="48"/>
  <c r="E62" i="48"/>
  <c r="C42" i="44"/>
  <c r="E14" i="48"/>
  <c r="B80" i="44"/>
  <c r="C94" i="48"/>
  <c r="D75" i="44"/>
  <c r="B49" i="48"/>
  <c r="E26" i="48"/>
  <c r="C82" i="48"/>
  <c r="B60" i="44"/>
  <c r="E44" i="44"/>
  <c r="E85" i="48"/>
  <c r="M38" i="54"/>
  <c r="D54" i="44"/>
  <c r="C98" i="48"/>
  <c r="B10" i="54"/>
  <c r="M20" i="54"/>
  <c r="D36" i="44"/>
  <c r="C10" i="48"/>
  <c r="D25" i="48"/>
  <c r="AK25" i="48" s="1"/>
  <c r="AL192" i="47"/>
  <c r="A39" i="34"/>
  <c r="AL195" i="47"/>
  <c r="Q96" i="47"/>
  <c r="T97" i="47"/>
  <c r="AL199" i="47"/>
  <c r="AP204" i="47"/>
  <c r="S15" i="47"/>
  <c r="S36" i="47"/>
  <c r="AN163" i="47"/>
  <c r="R88" i="47"/>
  <c r="AN119" i="47"/>
  <c r="Q66" i="47"/>
  <c r="AO125" i="47"/>
  <c r="R47" i="47"/>
  <c r="R76" i="47"/>
  <c r="R13" i="47"/>
  <c r="AN128" i="47"/>
  <c r="R80" i="47"/>
  <c r="AO120" i="47"/>
  <c r="S49" i="47"/>
  <c r="R85" i="47"/>
  <c r="Q56" i="47"/>
  <c r="S55" i="47"/>
  <c r="AO176" i="47"/>
  <c r="Q41" i="47"/>
  <c r="AL132" i="47"/>
  <c r="AN129" i="47"/>
  <c r="R58" i="47"/>
  <c r="AO165" i="47"/>
  <c r="AN121" i="47"/>
  <c r="AN181" i="47"/>
  <c r="AL120" i="47"/>
  <c r="R73" i="47"/>
  <c r="AO123" i="47"/>
  <c r="S70" i="47"/>
  <c r="Q89" i="47"/>
  <c r="R37" i="47"/>
  <c r="Q80" i="47"/>
  <c r="R16" i="47"/>
  <c r="Q28" i="47"/>
  <c r="Q52" i="47"/>
  <c r="AO155" i="47"/>
  <c r="AO122" i="47"/>
  <c r="Q15" i="47"/>
  <c r="AN155" i="47"/>
  <c r="R19" i="47"/>
  <c r="AL118" i="47"/>
  <c r="Q60" i="47"/>
  <c r="AP146" i="47"/>
  <c r="AN113" i="47"/>
  <c r="S78" i="47"/>
  <c r="AN139" i="47"/>
  <c r="AO158" i="47"/>
  <c r="AN145" i="47"/>
  <c r="Q46" i="47"/>
  <c r="AO127" i="47"/>
  <c r="Q51" i="47"/>
  <c r="Q21" i="47"/>
  <c r="T26" i="47"/>
  <c r="AL184" i="47"/>
  <c r="AO178" i="47"/>
  <c r="AL115" i="47"/>
  <c r="AL190" i="47"/>
  <c r="Q70" i="47"/>
  <c r="AO117" i="47"/>
  <c r="AP160" i="47"/>
  <c r="R64" i="47"/>
  <c r="Q13" i="47"/>
  <c r="AL139" i="47"/>
  <c r="Q18" i="47"/>
  <c r="AN142" i="47"/>
  <c r="AO115" i="47"/>
  <c r="Q83" i="47"/>
  <c r="AL156" i="47"/>
  <c r="R86" i="47"/>
  <c r="R40" i="47"/>
  <c r="AO166" i="47"/>
  <c r="Q43" i="47"/>
  <c r="AN133" i="47"/>
  <c r="S39" i="47"/>
  <c r="AO145" i="47"/>
  <c r="R20" i="47"/>
  <c r="AO113" i="47"/>
  <c r="Q24" i="47"/>
  <c r="Q34" i="47"/>
  <c r="Q47" i="47"/>
  <c r="AN147" i="47"/>
  <c r="Q14" i="47"/>
  <c r="AL142" i="47"/>
  <c r="S40" i="47"/>
  <c r="R15" i="47"/>
  <c r="S51" i="47"/>
  <c r="S61" i="47"/>
  <c r="R77" i="47"/>
  <c r="AN154" i="47"/>
  <c r="Q65" i="47"/>
  <c r="AL174" i="47"/>
  <c r="AN135" i="47"/>
  <c r="Q78" i="47"/>
  <c r="AN170" i="47"/>
  <c r="AL187" i="47"/>
  <c r="AO143" i="47"/>
  <c r="AL141" i="47"/>
  <c r="AN171" i="47"/>
  <c r="S79" i="47"/>
  <c r="AN150" i="47"/>
  <c r="S20" i="47"/>
  <c r="R89" i="47"/>
  <c r="AO119" i="47"/>
  <c r="AL161" i="47"/>
  <c r="AL122" i="47"/>
  <c r="R35" i="47"/>
  <c r="AL157" i="47"/>
  <c r="R29" i="47"/>
  <c r="AO146" i="47"/>
  <c r="AO186" i="47"/>
  <c r="Q17" i="47"/>
  <c r="AN184" i="47"/>
  <c r="AN172" i="47"/>
  <c r="AN182" i="47"/>
  <c r="AO189" i="47"/>
  <c r="AL166" i="47"/>
  <c r="R69" i="47"/>
  <c r="AN157" i="47"/>
  <c r="S28" i="47"/>
  <c r="S89" i="47"/>
  <c r="S33" i="47"/>
  <c r="AL172" i="47"/>
  <c r="AO172" i="47"/>
  <c r="T87" i="47"/>
  <c r="AL123" i="47"/>
  <c r="S27" i="47"/>
  <c r="R14" i="47"/>
  <c r="AN136" i="47"/>
  <c r="AN120" i="47"/>
  <c r="AO167" i="47"/>
  <c r="AN164" i="47"/>
  <c r="Q59" i="47"/>
  <c r="AP147" i="47"/>
  <c r="S68" i="47"/>
  <c r="AL170" i="47"/>
  <c r="R57" i="47"/>
  <c r="S23" i="47"/>
  <c r="Q55" i="47"/>
  <c r="Q36" i="47"/>
  <c r="Q53" i="47"/>
  <c r="AO188" i="47"/>
  <c r="S74" i="47"/>
  <c r="AN186" i="47"/>
  <c r="S82" i="47"/>
  <c r="AO134" i="47"/>
  <c r="Q45" i="47"/>
  <c r="AO126" i="47"/>
  <c r="Q73" i="47"/>
  <c r="AN149" i="47"/>
  <c r="AO182" i="47"/>
  <c r="Q35" i="47"/>
  <c r="Q86" i="47"/>
  <c r="AL176" i="47"/>
  <c r="AO144" i="47"/>
  <c r="R42" i="47"/>
  <c r="AN169" i="47"/>
  <c r="S35" i="47"/>
  <c r="AL185" i="47"/>
  <c r="AO149" i="47"/>
  <c r="AN140" i="47"/>
  <c r="AP116" i="47"/>
  <c r="S58" i="47"/>
  <c r="AN156" i="47"/>
  <c r="S24" i="47"/>
  <c r="R43" i="47"/>
  <c r="AL126" i="47"/>
  <c r="Q25" i="47"/>
  <c r="R46" i="47"/>
  <c r="T50" i="47"/>
  <c r="AP162" i="47"/>
  <c r="AP154" i="47"/>
  <c r="AO181" i="47"/>
  <c r="AN177" i="47"/>
  <c r="R65" i="47"/>
  <c r="AP130" i="47"/>
  <c r="AO141" i="47"/>
  <c r="T88" i="47"/>
  <c r="AP155" i="47"/>
  <c r="AO184" i="47"/>
  <c r="Q69" i="47"/>
  <c r="AL138" i="47"/>
  <c r="R50" i="47"/>
  <c r="AL140" i="47"/>
  <c r="AO132" i="47"/>
  <c r="S67" i="47"/>
  <c r="T38" i="47"/>
  <c r="AO180" i="47"/>
  <c r="AN117" i="47"/>
  <c r="S73" i="47"/>
  <c r="R90" i="47"/>
  <c r="AO161" i="47"/>
  <c r="AO114" i="47"/>
  <c r="T86" i="47"/>
  <c r="AL163" i="47"/>
  <c r="S43" i="47"/>
  <c r="S62" i="47"/>
  <c r="AP118" i="47"/>
  <c r="Q31" i="47"/>
  <c r="Q29" i="47"/>
  <c r="Q67" i="47"/>
  <c r="R84" i="47"/>
  <c r="Q54" i="47"/>
  <c r="R68" i="47"/>
  <c r="T16" i="47"/>
  <c r="AL135" i="47"/>
  <c r="R82" i="47"/>
  <c r="S26" i="47"/>
  <c r="S19" i="47"/>
  <c r="R79" i="47"/>
  <c r="R55" i="47"/>
  <c r="Q57" i="47"/>
  <c r="AL149" i="47"/>
  <c r="AN166" i="47"/>
  <c r="AL121" i="47"/>
  <c r="AO129" i="47"/>
  <c r="S56" i="47"/>
  <c r="AL125" i="47"/>
  <c r="S50" i="47"/>
  <c r="R24" i="47"/>
  <c r="AN132" i="47"/>
  <c r="AO163" i="47"/>
  <c r="S42" i="47"/>
  <c r="AN148" i="47"/>
  <c r="S59" i="47"/>
  <c r="S52" i="47"/>
  <c r="R27" i="47"/>
  <c r="AN127" i="47"/>
  <c r="R22" i="47"/>
  <c r="AN152" i="47"/>
  <c r="S47" i="47"/>
  <c r="AO137" i="47"/>
  <c r="Q16" i="47"/>
  <c r="Q64" i="47"/>
  <c r="S22" i="47"/>
  <c r="AN162" i="47"/>
  <c r="R25" i="47"/>
  <c r="AL183" i="47"/>
  <c r="AO160" i="47"/>
  <c r="R30" i="47"/>
  <c r="AP149" i="47"/>
  <c r="AN188" i="47"/>
  <c r="R63" i="47"/>
  <c r="Q58" i="47"/>
  <c r="S16" i="47"/>
  <c r="AL177" i="47"/>
  <c r="AN130" i="47"/>
  <c r="Q26" i="47"/>
  <c r="R45" i="47"/>
  <c r="S41" i="47"/>
  <c r="R60" i="47"/>
  <c r="AO138" i="47"/>
  <c r="AL153" i="47"/>
  <c r="AN144" i="47"/>
  <c r="R26" i="47"/>
  <c r="R81" i="47"/>
  <c r="Q79" i="47"/>
  <c r="S85" i="47"/>
  <c r="R44" i="47"/>
  <c r="R38" i="47"/>
  <c r="T79" i="47"/>
  <c r="AL169" i="47"/>
  <c r="S30" i="47"/>
  <c r="Q50" i="47"/>
  <c r="S45" i="47"/>
  <c r="AL147" i="47"/>
  <c r="AO174" i="47"/>
  <c r="AO139" i="47"/>
  <c r="AL168" i="47"/>
  <c r="AN160" i="47"/>
  <c r="R32" i="47"/>
  <c r="Q84" i="47"/>
  <c r="R70" i="47"/>
  <c r="AL134" i="47"/>
  <c r="Q27" i="47"/>
  <c r="AL128" i="47"/>
  <c r="AL133" i="47"/>
  <c r="T17" i="47"/>
  <c r="AL189" i="47"/>
  <c r="Q42" i="47"/>
  <c r="S44" i="47"/>
  <c r="AO175" i="47"/>
  <c r="R62" i="47"/>
  <c r="AN187" i="47"/>
  <c r="AL144" i="47"/>
  <c r="AP143" i="47"/>
  <c r="AN122" i="47"/>
  <c r="AN189" i="47"/>
  <c r="R71" i="47"/>
  <c r="AL146" i="47"/>
  <c r="Q38" i="47"/>
  <c r="Q68" i="47"/>
  <c r="AL167" i="47"/>
  <c r="S53" i="47"/>
  <c r="S21" i="47"/>
  <c r="R53" i="47"/>
  <c r="R67" i="47"/>
  <c r="T55" i="47"/>
  <c r="S25" i="47"/>
  <c r="Q74" i="47"/>
  <c r="R21" i="47"/>
  <c r="T69" i="47"/>
  <c r="AN167" i="47"/>
  <c r="AO162" i="47"/>
  <c r="S38" i="47"/>
  <c r="R75" i="47"/>
  <c r="AO183" i="47"/>
  <c r="S65" i="47"/>
  <c r="T54" i="47"/>
  <c r="AL116" i="47"/>
  <c r="S69" i="47"/>
  <c r="AO157" i="47"/>
  <c r="S57" i="47"/>
  <c r="Q39" i="47"/>
  <c r="AO135" i="47"/>
  <c r="S63" i="47"/>
  <c r="AN159" i="47"/>
  <c r="AL136" i="47"/>
  <c r="R74" i="47"/>
  <c r="AL158" i="47"/>
  <c r="S54" i="47"/>
  <c r="AL145" i="47"/>
  <c r="Q37" i="47"/>
  <c r="AN174" i="47"/>
  <c r="R33" i="47"/>
  <c r="AN137" i="47"/>
  <c r="AO128" i="47"/>
  <c r="S86" i="47"/>
  <c r="AO164" i="47"/>
  <c r="R52" i="47"/>
  <c r="Q61" i="47"/>
  <c r="AO142" i="47"/>
  <c r="R87" i="47"/>
  <c r="AO118" i="47"/>
  <c r="AL165" i="47"/>
  <c r="Q40" i="47"/>
  <c r="AO153" i="47"/>
  <c r="AN178" i="47"/>
  <c r="AL160" i="47"/>
  <c r="AP131" i="47"/>
  <c r="S64" i="47"/>
  <c r="AO173" i="47"/>
  <c r="Q44" i="47"/>
  <c r="S48" i="47"/>
  <c r="R83" i="47"/>
  <c r="T58" i="47"/>
  <c r="S29" i="47"/>
  <c r="AP190" i="47"/>
  <c r="Q49" i="47"/>
  <c r="AO152" i="47"/>
  <c r="AO136" i="47"/>
  <c r="AL180" i="47"/>
  <c r="AN114" i="47"/>
  <c r="AP148" i="47"/>
  <c r="AL154" i="47"/>
  <c r="S71" i="47"/>
  <c r="AP121" i="47"/>
  <c r="AN175" i="47"/>
  <c r="AO151" i="47"/>
  <c r="AN115" i="47"/>
  <c r="AL119" i="47"/>
  <c r="AN151" i="47"/>
  <c r="T27" i="47"/>
  <c r="AO121" i="47"/>
  <c r="Q19" i="47"/>
  <c r="T72" i="47"/>
  <c r="R56" i="47"/>
  <c r="Q22" i="47"/>
  <c r="Q62" i="47"/>
  <c r="Q75" i="47"/>
  <c r="S46" i="47"/>
  <c r="S75" i="47"/>
  <c r="AO130" i="47"/>
  <c r="AO177" i="47"/>
  <c r="AL137" i="47"/>
  <c r="AL159" i="47"/>
  <c r="Q23" i="47"/>
  <c r="AL186" i="47"/>
  <c r="S37" i="47"/>
  <c r="AO133" i="47"/>
  <c r="AN131" i="47"/>
  <c r="S72" i="47"/>
  <c r="AL127" i="47"/>
  <c r="AP181" i="47"/>
  <c r="AL182" i="47"/>
  <c r="AP172" i="47"/>
  <c r="AN138" i="47"/>
  <c r="AN183" i="47"/>
  <c r="AL155" i="47"/>
  <c r="Q81" i="47"/>
  <c r="AN134" i="47"/>
  <c r="T80" i="47"/>
  <c r="S84" i="47"/>
  <c r="S88" i="47"/>
  <c r="AL152" i="47"/>
  <c r="S66" i="47"/>
  <c r="R36" i="47"/>
  <c r="AN118" i="47"/>
  <c r="S31" i="47"/>
  <c r="AN143" i="47"/>
  <c r="AO168" i="47"/>
  <c r="AO185" i="47"/>
  <c r="R34" i="47"/>
  <c r="R41" i="47"/>
  <c r="AP170" i="47"/>
  <c r="S60" i="47"/>
  <c r="AN185" i="47"/>
  <c r="AL171" i="47"/>
  <c r="R66" i="47"/>
  <c r="AL181" i="47"/>
  <c r="AN158" i="47"/>
  <c r="AP192" i="47"/>
  <c r="Q87" i="47"/>
  <c r="S17" i="47"/>
  <c r="R48" i="47"/>
  <c r="S80" i="47"/>
  <c r="AN153" i="47"/>
  <c r="AL129" i="47"/>
  <c r="AO170" i="47"/>
  <c r="T31" i="47"/>
  <c r="AN191" i="47"/>
  <c r="S83" i="47"/>
  <c r="AO140" i="47"/>
  <c r="Q85" i="47"/>
  <c r="AL151" i="47"/>
  <c r="AP122" i="47"/>
  <c r="Q48" i="47"/>
  <c r="AL124" i="47"/>
  <c r="R91" i="47"/>
  <c r="AL164" i="47"/>
  <c r="S14" i="47"/>
  <c r="AO154" i="47"/>
  <c r="AL131" i="47"/>
  <c r="AN126" i="47"/>
  <c r="T51" i="47"/>
  <c r="S81" i="47"/>
  <c r="AL188" i="47"/>
  <c r="AO190" i="47"/>
  <c r="AN176" i="47"/>
  <c r="AL148" i="47"/>
  <c r="T39" i="47"/>
  <c r="R59" i="47"/>
  <c r="R61" i="47"/>
  <c r="AO131" i="47"/>
  <c r="S32" i="47"/>
  <c r="Q63" i="47"/>
  <c r="T20" i="47"/>
  <c r="S77" i="47"/>
  <c r="T32" i="47"/>
  <c r="Q88" i="47"/>
  <c r="S87" i="47"/>
  <c r="S76" i="47"/>
  <c r="Q71" i="47"/>
  <c r="AP145" i="47"/>
  <c r="AL162" i="47"/>
  <c r="AN141" i="47"/>
  <c r="Q72" i="47"/>
  <c r="AO116" i="47"/>
  <c r="AO169" i="47"/>
  <c r="AL143" i="47"/>
  <c r="AP114" i="47"/>
  <c r="AN125" i="47"/>
  <c r="AN116" i="47"/>
  <c r="AN173" i="47"/>
  <c r="AL130" i="47"/>
  <c r="AO150" i="47"/>
  <c r="AP139" i="47"/>
  <c r="AO124" i="47"/>
  <c r="AO148" i="47"/>
  <c r="R51" i="47"/>
  <c r="R28" i="47"/>
  <c r="AN146" i="47"/>
  <c r="Q82" i="47"/>
  <c r="AO171" i="47"/>
  <c r="AN161" i="47"/>
  <c r="R31" i="47"/>
  <c r="Q33" i="47"/>
  <c r="AO179" i="47"/>
  <c r="AN168" i="47"/>
  <c r="AN180" i="47"/>
  <c r="AN179" i="47"/>
  <c r="AL173" i="47"/>
  <c r="AP125" i="47"/>
  <c r="S34" i="47"/>
  <c r="T78" i="47"/>
  <c r="AO159" i="47"/>
  <c r="R78" i="47"/>
  <c r="Q77" i="47"/>
  <c r="AN124" i="47"/>
  <c r="R18" i="47"/>
  <c r="AP165" i="47"/>
  <c r="AP123" i="47"/>
  <c r="T44" i="47"/>
  <c r="R39" i="47"/>
  <c r="T46" i="47"/>
  <c r="T22" i="47"/>
  <c r="T42" i="47"/>
  <c r="AP163" i="47"/>
  <c r="Q90" i="47"/>
  <c r="Q76" i="47"/>
  <c r="Q32" i="47"/>
  <c r="R54" i="47"/>
  <c r="T62" i="47"/>
  <c r="AO191" i="47"/>
  <c r="AP153" i="47"/>
  <c r="T40" i="47"/>
  <c r="AL117" i="47"/>
  <c r="AP182" i="47"/>
  <c r="T53" i="47"/>
  <c r="AP187" i="47"/>
  <c r="T66" i="47"/>
  <c r="S91" i="47"/>
  <c r="T37" i="47"/>
  <c r="AP134" i="47"/>
  <c r="AP169" i="47"/>
  <c r="AP133" i="47"/>
  <c r="AL191" i="47"/>
  <c r="AO187" i="47"/>
  <c r="AP158" i="47"/>
  <c r="AP129" i="47"/>
  <c r="T35" i="47"/>
  <c r="T77" i="47"/>
  <c r="AP157" i="47"/>
  <c r="T74" i="47"/>
  <c r="AO147" i="47"/>
  <c r="T56" i="47"/>
  <c r="AP161" i="47"/>
  <c r="AP191" i="47"/>
  <c r="AN123" i="47"/>
  <c r="AP132" i="47"/>
  <c r="R17" i="47"/>
  <c r="R92" i="47"/>
  <c r="AN193" i="47"/>
  <c r="AP124" i="47"/>
  <c r="AP127" i="47"/>
  <c r="T23" i="47"/>
  <c r="AP171" i="47"/>
  <c r="T91" i="47"/>
  <c r="AP173" i="47"/>
  <c r="T65" i="47"/>
  <c r="T85" i="47"/>
  <c r="T60" i="47"/>
  <c r="AP137" i="47"/>
  <c r="AP115" i="47"/>
  <c r="AL179" i="47"/>
  <c r="AO156" i="47"/>
  <c r="T34" i="47"/>
  <c r="AO192" i="47"/>
  <c r="R93" i="47"/>
  <c r="AP119" i="47"/>
  <c r="T89" i="47"/>
  <c r="AP151" i="47"/>
  <c r="AP141" i="47"/>
  <c r="AP144" i="47"/>
  <c r="AN192" i="47"/>
  <c r="AL175" i="47"/>
  <c r="T83" i="47"/>
  <c r="AP168" i="47"/>
  <c r="T75" i="47"/>
  <c r="S18" i="47"/>
  <c r="T24" i="47"/>
  <c r="AP142" i="47"/>
  <c r="AP177" i="47"/>
  <c r="T33" i="47"/>
  <c r="AP166" i="47"/>
  <c r="Q30" i="47"/>
  <c r="Q91" i="47"/>
  <c r="R72" i="47"/>
  <c r="AP164" i="47"/>
  <c r="AP152" i="47"/>
  <c r="Q20" i="47"/>
  <c r="T90" i="47"/>
  <c r="AP184" i="47"/>
  <c r="T73" i="47"/>
  <c r="T63" i="47"/>
  <c r="S90" i="47"/>
  <c r="R49" i="47"/>
  <c r="T68" i="47"/>
  <c r="T70" i="47"/>
  <c r="AP174" i="47"/>
  <c r="T64" i="47"/>
  <c r="AL150" i="47"/>
  <c r="R23" i="47"/>
  <c r="T29" i="47"/>
  <c r="AP150" i="47"/>
  <c r="AP117" i="47"/>
  <c r="AP135" i="47"/>
  <c r="AP183" i="47"/>
  <c r="T41" i="47"/>
  <c r="T48" i="47"/>
  <c r="AP167" i="47"/>
  <c r="T49" i="47"/>
  <c r="AP126" i="47"/>
  <c r="T71" i="47"/>
  <c r="AL178" i="47"/>
  <c r="AP179" i="47"/>
  <c r="T43" i="47"/>
  <c r="AN165" i="47"/>
  <c r="AP156" i="47"/>
  <c r="AP185" i="47"/>
  <c r="AP186" i="47"/>
  <c r="AP175" i="47"/>
  <c r="T82" i="47"/>
  <c r="Q94" i="47"/>
  <c r="Q93" i="47"/>
  <c r="S95" i="47"/>
  <c r="AP159" i="47"/>
  <c r="T92" i="47"/>
  <c r="T59" i="47"/>
  <c r="T25" i="47"/>
  <c r="AP128" i="47"/>
  <c r="AP180" i="47"/>
  <c r="T30" i="47"/>
  <c r="S94" i="47"/>
  <c r="T84" i="47"/>
  <c r="AP140" i="47"/>
  <c r="AP189" i="47"/>
  <c r="Q92" i="47"/>
  <c r="T45" i="47"/>
  <c r="S92" i="47"/>
  <c r="T67" i="47"/>
  <c r="T36" i="47"/>
  <c r="AO193" i="47"/>
  <c r="T18" i="47"/>
  <c r="AP178" i="47"/>
  <c r="AP176" i="47"/>
  <c r="T57" i="47"/>
  <c r="T61" i="47"/>
  <c r="AP138" i="47"/>
  <c r="S93" i="47"/>
  <c r="T19" i="47"/>
  <c r="T52" i="47"/>
  <c r="T81" i="47"/>
  <c r="T28" i="47"/>
  <c r="T47" i="47"/>
  <c r="T21" i="47"/>
  <c r="AP188" i="47"/>
  <c r="AP120" i="47"/>
  <c r="AO194" i="47"/>
  <c r="AN194" i="47"/>
  <c r="AP194" i="47"/>
  <c r="AL193" i="47"/>
  <c r="T93" i="47"/>
  <c r="AP193" i="47"/>
  <c r="AP195" i="47"/>
  <c r="AP136" i="47"/>
  <c r="AL194" i="47"/>
  <c r="T76" i="47"/>
  <c r="R94" i="47"/>
  <c r="AN195" i="47"/>
  <c r="AL196" i="47"/>
  <c r="R96" i="47"/>
  <c r="T96" i="47"/>
  <c r="T94" i="47"/>
  <c r="AO195" i="47"/>
  <c r="R95" i="47"/>
  <c r="AN198" i="47"/>
  <c r="T95" i="47"/>
  <c r="AP197" i="47"/>
  <c r="AO196" i="47"/>
  <c r="AO197" i="47"/>
  <c r="S96" i="47"/>
  <c r="Q95" i="47"/>
  <c r="AP196" i="47"/>
  <c r="S98" i="47"/>
  <c r="Q97" i="47"/>
  <c r="AP198" i="47"/>
  <c r="T99" i="47"/>
  <c r="R223" i="47"/>
  <c r="AO198" i="47"/>
  <c r="AL198" i="47"/>
  <c r="Q98" i="47"/>
  <c r="S136" i="47"/>
  <c r="AN249" i="47"/>
  <c r="AP322" i="47"/>
  <c r="AL322" i="47"/>
  <c r="AN262" i="47"/>
  <c r="AO252" i="47"/>
  <c r="AN282" i="47"/>
  <c r="R98" i="47"/>
  <c r="AO251" i="47"/>
  <c r="AP267" i="47"/>
  <c r="AN268" i="47"/>
  <c r="AP257" i="47"/>
  <c r="S212" i="47"/>
  <c r="AP264" i="47"/>
  <c r="AP276" i="47"/>
  <c r="S132" i="47"/>
  <c r="Q213" i="47"/>
  <c r="AL240" i="47"/>
  <c r="R214" i="47"/>
  <c r="Q123" i="47"/>
  <c r="Q121" i="47"/>
  <c r="AN261" i="47"/>
  <c r="S141" i="47"/>
  <c r="T145" i="47"/>
  <c r="AN266" i="47"/>
  <c r="S174" i="47"/>
  <c r="AN272" i="47"/>
  <c r="Q126" i="47"/>
  <c r="AP227" i="47"/>
  <c r="AN289" i="47"/>
  <c r="AO323" i="47"/>
  <c r="T138" i="47"/>
  <c r="AP309" i="47"/>
  <c r="R136" i="47"/>
  <c r="R179" i="47"/>
  <c r="AL294" i="47"/>
  <c r="Q111" i="47"/>
  <c r="AP287" i="47"/>
  <c r="AN242" i="47"/>
  <c r="T132" i="47"/>
  <c r="R101" i="47"/>
  <c r="T126" i="47"/>
  <c r="R154" i="47"/>
  <c r="T211" i="47"/>
  <c r="AN243" i="47"/>
  <c r="AN304" i="47"/>
  <c r="T203" i="47"/>
  <c r="AO300" i="47"/>
  <c r="Q144" i="47"/>
  <c r="T148" i="47"/>
  <c r="T183" i="47"/>
  <c r="AP212" i="47"/>
  <c r="AL207" i="47"/>
  <c r="AL266" i="47"/>
  <c r="AO231" i="47"/>
  <c r="AN325" i="47"/>
  <c r="AO295" i="47"/>
  <c r="R194" i="47"/>
  <c r="Q226" i="47"/>
  <c r="AN319" i="47"/>
  <c r="R169" i="47"/>
  <c r="AO202" i="47"/>
  <c r="Q161" i="47"/>
  <c r="Q155" i="47"/>
  <c r="AP225" i="47"/>
  <c r="R159" i="47"/>
  <c r="AN222" i="47"/>
  <c r="T151" i="47"/>
  <c r="Q146" i="47"/>
  <c r="Q142" i="47"/>
  <c r="S149" i="47"/>
  <c r="AN310" i="47"/>
  <c r="AL256" i="47"/>
  <c r="R158" i="47"/>
  <c r="AL297" i="47"/>
  <c r="S165" i="47"/>
  <c r="T124" i="47"/>
  <c r="Q132" i="47"/>
  <c r="AO209" i="47"/>
  <c r="AP201" i="47"/>
  <c r="AL283" i="47"/>
  <c r="AO243" i="47"/>
  <c r="AN256" i="47"/>
  <c r="AO249" i="47"/>
  <c r="Q191" i="47"/>
  <c r="R105" i="47"/>
  <c r="AL234" i="47"/>
  <c r="AP285" i="47"/>
  <c r="AN258" i="47"/>
  <c r="T175" i="47"/>
  <c r="AL205" i="47"/>
  <c r="AO213" i="47"/>
  <c r="R110" i="47"/>
  <c r="AN274" i="47"/>
  <c r="R121" i="47"/>
  <c r="AP290" i="47"/>
  <c r="T154" i="47"/>
  <c r="T207" i="47"/>
  <c r="AP202" i="47"/>
  <c r="AL209" i="47"/>
  <c r="T217" i="47"/>
  <c r="AN223" i="47"/>
  <c r="T143" i="47"/>
  <c r="T177" i="47"/>
  <c r="AL270" i="47"/>
  <c r="Q217" i="47"/>
  <c r="AO280" i="47"/>
  <c r="AO275" i="47"/>
  <c r="AL219" i="47"/>
  <c r="S182" i="47"/>
  <c r="AO237" i="47"/>
  <c r="T187" i="47"/>
  <c r="S208" i="47"/>
  <c r="AP302" i="47"/>
  <c r="AO204" i="47"/>
  <c r="AL302" i="47"/>
  <c r="AP221" i="47"/>
  <c r="R166" i="47"/>
  <c r="AO266" i="47"/>
  <c r="AP258" i="47"/>
  <c r="AN294" i="47"/>
  <c r="AL317" i="47"/>
  <c r="T120" i="47"/>
  <c r="AN254" i="47"/>
  <c r="T150" i="47"/>
  <c r="R175" i="47"/>
  <c r="AL275" i="47"/>
  <c r="AP250" i="47"/>
  <c r="Q136" i="47"/>
  <c r="R135" i="47"/>
  <c r="AN213" i="47"/>
  <c r="AN307" i="47"/>
  <c r="T147" i="47"/>
  <c r="AN264" i="47"/>
  <c r="AN320" i="47"/>
  <c r="T167" i="47"/>
  <c r="T157" i="47"/>
  <c r="R104" i="47"/>
  <c r="S171" i="47"/>
  <c r="AO244" i="47"/>
  <c r="T152" i="47"/>
  <c r="AP275" i="47"/>
  <c r="AN212" i="47"/>
  <c r="AP289" i="47"/>
  <c r="AP220" i="47"/>
  <c r="S144" i="47"/>
  <c r="AO326" i="47"/>
  <c r="AN302" i="47"/>
  <c r="S129" i="47"/>
  <c r="AN225" i="47"/>
  <c r="T159" i="47"/>
  <c r="AP235" i="47"/>
  <c r="AL224" i="47"/>
  <c r="T105" i="47"/>
  <c r="R173" i="47"/>
  <c r="AL238" i="47"/>
  <c r="AO228" i="47"/>
  <c r="AL277" i="47"/>
  <c r="T110" i="47"/>
  <c r="AL319" i="47"/>
  <c r="AN251" i="47"/>
  <c r="T213" i="47"/>
  <c r="S124" i="47"/>
  <c r="AL300" i="47"/>
  <c r="AL324" i="47"/>
  <c r="S185" i="47"/>
  <c r="AP243" i="47"/>
  <c r="Q214" i="47"/>
  <c r="AO216" i="47"/>
  <c r="Q220" i="47"/>
  <c r="S172" i="47"/>
  <c r="AO284" i="47"/>
  <c r="AP234" i="47"/>
  <c r="AN288" i="47"/>
  <c r="AN267" i="47"/>
  <c r="AP251" i="47"/>
  <c r="R207" i="47"/>
  <c r="R227" i="47"/>
  <c r="AP295" i="47"/>
  <c r="R112" i="47"/>
  <c r="AO317" i="47"/>
  <c r="AL276" i="47"/>
  <c r="AL211" i="47"/>
  <c r="AP263" i="47"/>
  <c r="AO307" i="47"/>
  <c r="AN290" i="47"/>
  <c r="AP273" i="47"/>
  <c r="AL232" i="47"/>
  <c r="AL248" i="47"/>
  <c r="S221" i="47"/>
  <c r="AP236" i="47"/>
  <c r="AO260" i="47"/>
  <c r="Q149" i="47"/>
  <c r="AN245" i="47"/>
  <c r="T136" i="47"/>
  <c r="AL292" i="47"/>
  <c r="R120" i="47"/>
  <c r="T198" i="47"/>
  <c r="S191" i="47"/>
  <c r="AP312" i="47"/>
  <c r="T215" i="47"/>
  <c r="T117" i="47"/>
  <c r="S189" i="47"/>
  <c r="R186" i="47"/>
  <c r="S142" i="47"/>
  <c r="AN200" i="47"/>
  <c r="R192" i="47"/>
  <c r="AN217" i="47"/>
  <c r="AL315" i="47"/>
  <c r="AP270" i="47"/>
  <c r="AO271" i="47"/>
  <c r="AP233" i="47"/>
  <c r="S140" i="47"/>
  <c r="T128" i="47"/>
  <c r="R143" i="47"/>
  <c r="AL288" i="47"/>
  <c r="AN240" i="47"/>
  <c r="R128" i="47"/>
  <c r="AO259" i="47"/>
  <c r="S99" i="47"/>
  <c r="S187" i="47"/>
  <c r="AP229" i="47"/>
  <c r="S116" i="47"/>
  <c r="AL204" i="47"/>
  <c r="AL242" i="47"/>
  <c r="Q177" i="47"/>
  <c r="AP239" i="47"/>
  <c r="R152" i="47"/>
  <c r="R177" i="47"/>
  <c r="AL327" i="47"/>
  <c r="AL326" i="47"/>
  <c r="AL206" i="47"/>
  <c r="S180" i="47"/>
  <c r="AO205" i="47"/>
  <c r="AL312" i="47"/>
  <c r="S107" i="47"/>
  <c r="AN303" i="47"/>
  <c r="R220" i="47"/>
  <c r="S127" i="47"/>
  <c r="S164" i="47"/>
  <c r="S196" i="47"/>
  <c r="S167" i="47"/>
  <c r="Q119" i="47"/>
  <c r="R97" i="47"/>
  <c r="AP284" i="47"/>
  <c r="AL282" i="47"/>
  <c r="S151" i="47"/>
  <c r="S113" i="47"/>
  <c r="T144" i="47"/>
  <c r="R183" i="47"/>
  <c r="T108" i="47"/>
  <c r="S128" i="47"/>
  <c r="S145" i="47"/>
  <c r="S143" i="47"/>
  <c r="AO278" i="47"/>
  <c r="S156" i="47"/>
  <c r="AN283" i="47"/>
  <c r="R138" i="47"/>
  <c r="AP323" i="47"/>
  <c r="S139" i="47"/>
  <c r="T199" i="47"/>
  <c r="Q160" i="47"/>
  <c r="AL274" i="47"/>
  <c r="AL272" i="47"/>
  <c r="T200" i="47"/>
  <c r="AP261" i="47"/>
  <c r="R116" i="47"/>
  <c r="AN203" i="47"/>
  <c r="AP209" i="47"/>
  <c r="AN322" i="47"/>
  <c r="AP272" i="47"/>
  <c r="AP274" i="47"/>
  <c r="Q224" i="47"/>
  <c r="T106" i="47"/>
  <c r="R222" i="47"/>
  <c r="AP206" i="47"/>
  <c r="T109" i="47"/>
  <c r="T165" i="47"/>
  <c r="T180" i="47"/>
  <c r="Q109" i="47"/>
  <c r="AN312" i="47"/>
  <c r="R126" i="47"/>
  <c r="Q147" i="47"/>
  <c r="Q106" i="47"/>
  <c r="AL221" i="47"/>
  <c r="T166" i="47"/>
  <c r="AO325" i="47"/>
  <c r="S153" i="47"/>
  <c r="AL213" i="47"/>
  <c r="AL273" i="47"/>
  <c r="AO262" i="47"/>
  <c r="Q152" i="47"/>
  <c r="S188" i="47"/>
  <c r="Q158" i="47"/>
  <c r="AN237" i="47"/>
  <c r="AN197" i="47"/>
  <c r="AL202" i="47"/>
  <c r="T202" i="47"/>
  <c r="AO229" i="47"/>
  <c r="S214" i="47"/>
  <c r="T173" i="47"/>
  <c r="R117" i="47"/>
  <c r="T191" i="47"/>
  <c r="T170" i="47"/>
  <c r="AP318" i="47"/>
  <c r="AP296" i="47"/>
  <c r="AN279" i="47"/>
  <c r="T225" i="47"/>
  <c r="R201" i="47"/>
  <c r="AP313" i="47"/>
  <c r="AN205" i="47"/>
  <c r="Q153" i="47"/>
  <c r="S173" i="47"/>
  <c r="R167" i="47"/>
  <c r="AP304" i="47"/>
  <c r="S137" i="47"/>
  <c r="R210" i="47"/>
  <c r="Q193" i="47"/>
  <c r="AP300" i="47"/>
  <c r="AO322" i="47"/>
  <c r="AO296" i="47"/>
  <c r="R225" i="47"/>
  <c r="AO258" i="47"/>
  <c r="Q199" i="47"/>
  <c r="T140" i="47"/>
  <c r="AL296" i="47"/>
  <c r="R127" i="47"/>
  <c r="AO245" i="47"/>
  <c r="AO291" i="47"/>
  <c r="AO257" i="47"/>
  <c r="R107" i="47"/>
  <c r="AN253" i="47"/>
  <c r="R161" i="47"/>
  <c r="T134" i="47"/>
  <c r="AP256" i="47"/>
  <c r="S216" i="47"/>
  <c r="AN308" i="47"/>
  <c r="AN321" i="47"/>
  <c r="AL263" i="47"/>
  <c r="AL314" i="47"/>
  <c r="R124" i="47"/>
  <c r="S169" i="47"/>
  <c r="AL235" i="47"/>
  <c r="Q138" i="47"/>
  <c r="AL281" i="47"/>
  <c r="AL215" i="47"/>
  <c r="AN239" i="47"/>
  <c r="R102" i="47"/>
  <c r="AP253" i="47"/>
  <c r="AN314" i="47"/>
  <c r="AO241" i="47"/>
  <c r="R108" i="47"/>
  <c r="AN219" i="47"/>
  <c r="Q104" i="47"/>
  <c r="R125" i="47"/>
  <c r="S201" i="47"/>
  <c r="S157" i="47"/>
  <c r="T130" i="47"/>
  <c r="R197" i="47"/>
  <c r="AP301" i="47"/>
  <c r="T216" i="47"/>
  <c r="T162" i="47"/>
  <c r="AO314" i="47"/>
  <c r="T139" i="47"/>
  <c r="AO321" i="47"/>
  <c r="S110" i="47"/>
  <c r="S121" i="47"/>
  <c r="AP325" i="47"/>
  <c r="AO299" i="47"/>
  <c r="AL301" i="47"/>
  <c r="R213" i="47"/>
  <c r="AP292" i="47"/>
  <c r="S205" i="47"/>
  <c r="T168" i="47"/>
  <c r="AP306" i="47"/>
  <c r="Q189" i="47"/>
  <c r="AL208" i="47"/>
  <c r="S207" i="47"/>
  <c r="AO297" i="47"/>
  <c r="S193" i="47"/>
  <c r="S138" i="47"/>
  <c r="S158" i="47"/>
  <c r="R211" i="47"/>
  <c r="AO254" i="47"/>
  <c r="AP288" i="47"/>
  <c r="Q221" i="47"/>
  <c r="Q183" i="47"/>
  <c r="AN221" i="47"/>
  <c r="AL265" i="47"/>
  <c r="R224" i="47"/>
  <c r="AN305" i="47"/>
  <c r="S126" i="47"/>
  <c r="Q186" i="47"/>
  <c r="R155" i="47"/>
  <c r="AL220" i="47"/>
  <c r="AL286" i="47"/>
  <c r="T172" i="47"/>
  <c r="T186" i="47"/>
  <c r="Q163" i="47"/>
  <c r="S213" i="47"/>
  <c r="Q165" i="47"/>
  <c r="R206" i="47"/>
  <c r="AL236" i="47"/>
  <c r="AL228" i="47"/>
  <c r="AO309" i="47"/>
  <c r="T142" i="47"/>
  <c r="R129" i="47"/>
  <c r="T194" i="47"/>
  <c r="AP238" i="47"/>
  <c r="S203" i="47"/>
  <c r="AP297" i="47"/>
  <c r="AL197" i="47"/>
  <c r="R221" i="47"/>
  <c r="Q114" i="47"/>
  <c r="AO236" i="47"/>
  <c r="R171" i="47"/>
  <c r="AO327" i="47"/>
  <c r="T102" i="47"/>
  <c r="AO215" i="47"/>
  <c r="AN311" i="47"/>
  <c r="R217" i="47"/>
  <c r="Q101" i="47"/>
  <c r="R226" i="47"/>
  <c r="Q175" i="47"/>
  <c r="AP293" i="47"/>
  <c r="Q171" i="47"/>
  <c r="AP326" i="47"/>
  <c r="AL321" i="47"/>
  <c r="AN218" i="47"/>
  <c r="Q115" i="47"/>
  <c r="T193" i="47"/>
  <c r="T164" i="47"/>
  <c r="R151" i="47"/>
  <c r="AN323" i="47"/>
  <c r="AO264" i="47"/>
  <c r="AO248" i="47"/>
  <c r="T208" i="47"/>
  <c r="AN292" i="47"/>
  <c r="Q211" i="47"/>
  <c r="S210" i="47"/>
  <c r="AN281" i="47"/>
  <c r="AO303" i="47"/>
  <c r="AO319" i="47"/>
  <c r="AO282" i="47"/>
  <c r="AO292" i="47"/>
  <c r="S150" i="47"/>
  <c r="S195" i="47"/>
  <c r="S148" i="47"/>
  <c r="R193" i="47"/>
  <c r="AN260" i="47"/>
  <c r="AO301" i="47"/>
  <c r="T119" i="47"/>
  <c r="Q205" i="47"/>
  <c r="T201" i="47"/>
  <c r="AO263" i="47"/>
  <c r="T181" i="47"/>
  <c r="AN201" i="47"/>
  <c r="R146" i="47"/>
  <c r="R203" i="47"/>
  <c r="AP228" i="47"/>
  <c r="AO242" i="47"/>
  <c r="AO250" i="47"/>
  <c r="AO316" i="47"/>
  <c r="S190" i="47"/>
  <c r="Q112" i="47"/>
  <c r="R148" i="47"/>
  <c r="AL223" i="47"/>
  <c r="T107" i="47"/>
  <c r="Q107" i="47"/>
  <c r="R212" i="47"/>
  <c r="AO219" i="47"/>
  <c r="T179" i="47"/>
  <c r="T178" i="47"/>
  <c r="AN216" i="47"/>
  <c r="T204" i="47"/>
  <c r="S106" i="47"/>
  <c r="Q157" i="47"/>
  <c r="AL258" i="47"/>
  <c r="T220" i="47"/>
  <c r="AN255" i="47"/>
  <c r="T209" i="47"/>
  <c r="AL200" i="47"/>
  <c r="AP262" i="47"/>
  <c r="T160" i="47"/>
  <c r="R168" i="47"/>
  <c r="AN215" i="47"/>
  <c r="T189" i="47"/>
  <c r="Q156" i="47"/>
  <c r="AN231" i="47"/>
  <c r="AP298" i="47"/>
  <c r="S102" i="47"/>
  <c r="AN326" i="47"/>
  <c r="AO224" i="47"/>
  <c r="R204" i="47"/>
  <c r="AP210" i="47"/>
  <c r="R200" i="47"/>
  <c r="AL278" i="47"/>
  <c r="T135" i="47"/>
  <c r="T206" i="47"/>
  <c r="AO223" i="47"/>
  <c r="T219" i="47"/>
  <c r="Q145" i="47"/>
  <c r="AP277" i="47"/>
  <c r="T104" i="47"/>
  <c r="S147" i="47"/>
  <c r="AP308" i="47"/>
  <c r="S166" i="47"/>
  <c r="AO305" i="47"/>
  <c r="Q159" i="47"/>
  <c r="AN315" i="47"/>
  <c r="Q127" i="47"/>
  <c r="S103" i="47"/>
  <c r="AP254" i="47"/>
  <c r="R199" i="47"/>
  <c r="AN273" i="47"/>
  <c r="AL250" i="47"/>
  <c r="Q150" i="47"/>
  <c r="AN301" i="47"/>
  <c r="AN284" i="47"/>
  <c r="AN248" i="47"/>
  <c r="S131" i="47"/>
  <c r="AO290" i="47"/>
  <c r="AO203" i="47"/>
  <c r="AN271" i="47"/>
  <c r="S211" i="47"/>
  <c r="AN327" i="47"/>
  <c r="S117" i="47"/>
  <c r="T129" i="47"/>
  <c r="T141" i="47"/>
  <c r="AL325" i="47"/>
  <c r="Q179" i="47"/>
  <c r="T111" i="47"/>
  <c r="AO206" i="47"/>
  <c r="Q135" i="47"/>
  <c r="S146" i="47"/>
  <c r="Q164" i="47"/>
  <c r="Q203" i="47"/>
  <c r="AO255" i="47"/>
  <c r="R131" i="47"/>
  <c r="AN247" i="47"/>
  <c r="AL323" i="47"/>
  <c r="AL262" i="47"/>
  <c r="R142" i="47"/>
  <c r="Q227" i="47"/>
  <c r="AO211" i="47"/>
  <c r="AL227" i="47"/>
  <c r="AP319" i="47"/>
  <c r="R113" i="47"/>
  <c r="AO274" i="47"/>
  <c r="AN278" i="47"/>
  <c r="Q131" i="47"/>
  <c r="AL241" i="47"/>
  <c r="T112" i="47"/>
  <c r="S181" i="47"/>
  <c r="AP219" i="47"/>
  <c r="AO199" i="47"/>
  <c r="T153" i="47"/>
  <c r="AO201" i="47"/>
  <c r="S199" i="47"/>
  <c r="S192" i="47"/>
  <c r="S220" i="47"/>
  <c r="AO286" i="47"/>
  <c r="AP271" i="47"/>
  <c r="AN207" i="47"/>
  <c r="AL298" i="47"/>
  <c r="T156" i="47"/>
  <c r="AP315" i="47"/>
  <c r="T101" i="47"/>
  <c r="AL247" i="47"/>
  <c r="AP311" i="47"/>
  <c r="AL216" i="47"/>
  <c r="AO318" i="47"/>
  <c r="AN298" i="47"/>
  <c r="Q117" i="47"/>
  <c r="AO279" i="47"/>
  <c r="T224" i="47"/>
  <c r="AP237" i="47"/>
  <c r="R115" i="47"/>
  <c r="T158" i="47"/>
  <c r="AL214" i="47"/>
  <c r="S134" i="47"/>
  <c r="AP232" i="47"/>
  <c r="Q201" i="47"/>
  <c r="S222" i="47"/>
  <c r="Q143" i="47"/>
  <c r="AN208" i="47"/>
  <c r="T118" i="47"/>
  <c r="AO315" i="47"/>
  <c r="AN252" i="47"/>
  <c r="AL217" i="47"/>
  <c r="R216" i="47"/>
  <c r="AO253" i="47"/>
  <c r="R198" i="47"/>
  <c r="Q197" i="47"/>
  <c r="R178" i="47"/>
  <c r="S206" i="47"/>
  <c r="Q110" i="47"/>
  <c r="AP215" i="47"/>
  <c r="S198" i="47"/>
  <c r="AP294" i="47"/>
  <c r="AN297" i="47"/>
  <c r="AO293" i="47"/>
  <c r="AO270" i="47"/>
  <c r="S105" i="47"/>
  <c r="AO233" i="47"/>
  <c r="AL318" i="47"/>
  <c r="AO265" i="47"/>
  <c r="S204" i="47"/>
  <c r="AN259" i="47"/>
  <c r="AP223" i="47"/>
  <c r="AL246" i="47"/>
  <c r="R122" i="47"/>
  <c r="S122" i="47"/>
  <c r="AN226" i="47"/>
  <c r="AP244" i="47"/>
  <c r="AP307" i="47"/>
  <c r="AO272" i="47"/>
  <c r="AO311" i="47"/>
  <c r="T218" i="47"/>
  <c r="AP266" i="47"/>
  <c r="Q167" i="47"/>
  <c r="AN265" i="47"/>
  <c r="Q219" i="47"/>
  <c r="Q103" i="47"/>
  <c r="Q222" i="47"/>
  <c r="AN269" i="47"/>
  <c r="AL290" i="47"/>
  <c r="AP207" i="47"/>
  <c r="Q176" i="47"/>
  <c r="AP280" i="47"/>
  <c r="T195" i="47"/>
  <c r="AN299" i="47"/>
  <c r="AN286" i="47"/>
  <c r="AP281" i="47"/>
  <c r="T137" i="47"/>
  <c r="AN276" i="47"/>
  <c r="AP320" i="47"/>
  <c r="Q190" i="47"/>
  <c r="AP283" i="47"/>
  <c r="AN295" i="47"/>
  <c r="AN230" i="47"/>
  <c r="R172" i="47"/>
  <c r="R191" i="47"/>
  <c r="AL311" i="47"/>
  <c r="AP200" i="47"/>
  <c r="AO289" i="47"/>
  <c r="R170" i="47"/>
  <c r="AO320" i="47"/>
  <c r="AO302" i="47"/>
  <c r="AO283" i="47"/>
  <c r="AL306" i="47"/>
  <c r="AN211" i="47"/>
  <c r="R144" i="47"/>
  <c r="AL268" i="47"/>
  <c r="Q198" i="47"/>
  <c r="AO276" i="47"/>
  <c r="AN236" i="47"/>
  <c r="S97" i="47"/>
  <c r="T174" i="47"/>
  <c r="R134" i="47"/>
  <c r="AL255" i="47"/>
  <c r="AN209" i="47"/>
  <c r="AO222" i="47"/>
  <c r="S215" i="47"/>
  <c r="AO226" i="47"/>
  <c r="AP321" i="47"/>
  <c r="Q99" i="47"/>
  <c r="AP324" i="47"/>
  <c r="AL231" i="47"/>
  <c r="R123" i="47"/>
  <c r="R205" i="47"/>
  <c r="Q148" i="47"/>
  <c r="T182" i="47"/>
  <c r="Q122" i="47"/>
  <c r="AO304" i="47"/>
  <c r="AL267" i="47"/>
  <c r="AL210" i="47"/>
  <c r="R208" i="47"/>
  <c r="AO240" i="47"/>
  <c r="AP282" i="47"/>
  <c r="AN241" i="47"/>
  <c r="AN257" i="47"/>
  <c r="AP260" i="47"/>
  <c r="S184" i="47"/>
  <c r="AO234" i="47"/>
  <c r="AO230" i="47"/>
  <c r="S179" i="47"/>
  <c r="AP213" i="47"/>
  <c r="AN277" i="47"/>
  <c r="Q212" i="47"/>
  <c r="R202" i="47"/>
  <c r="AP226" i="47"/>
  <c r="AN204" i="47"/>
  <c r="AP305" i="47"/>
  <c r="R164" i="47"/>
  <c r="AP241" i="47"/>
  <c r="AL285" i="47"/>
  <c r="AN309" i="47"/>
  <c r="Q181" i="47"/>
  <c r="Q116" i="47"/>
  <c r="Q105" i="47"/>
  <c r="AN234" i="47"/>
  <c r="AL257" i="47"/>
  <c r="AP259" i="47"/>
  <c r="AL305" i="47"/>
  <c r="AO239" i="47"/>
  <c r="AL226" i="47"/>
  <c r="AL261" i="47"/>
  <c r="Q208" i="47"/>
  <c r="Q124" i="47"/>
  <c r="AP317" i="47"/>
  <c r="R165" i="47"/>
  <c r="Q108" i="47"/>
  <c r="T226" i="47"/>
  <c r="S183" i="47"/>
  <c r="T188" i="47"/>
  <c r="AN275" i="47"/>
  <c r="Q154" i="47"/>
  <c r="Q216" i="47"/>
  <c r="AO306" i="47"/>
  <c r="R181" i="47"/>
  <c r="S227" i="47"/>
  <c r="AL239" i="47"/>
  <c r="R132" i="47"/>
  <c r="Q209" i="47"/>
  <c r="S115" i="47"/>
  <c r="AN228" i="47"/>
  <c r="Q180" i="47"/>
  <c r="AO217" i="47"/>
  <c r="AP224" i="47"/>
  <c r="S130" i="47"/>
  <c r="R215" i="47"/>
  <c r="S194" i="47"/>
  <c r="AP310" i="47"/>
  <c r="Q178" i="47"/>
  <c r="T163" i="47"/>
  <c r="R153" i="47"/>
  <c r="AL279" i="47"/>
  <c r="S176" i="47"/>
  <c r="Q210" i="47"/>
  <c r="AO313" i="47"/>
  <c r="AO277" i="47"/>
  <c r="AL299" i="47"/>
  <c r="Q202" i="47"/>
  <c r="AL243" i="47"/>
  <c r="Q125" i="47"/>
  <c r="R141" i="47"/>
  <c r="AO200" i="47"/>
  <c r="Q172" i="47"/>
  <c r="R162" i="47"/>
  <c r="AL295" i="47"/>
  <c r="AL259" i="47"/>
  <c r="T114" i="47"/>
  <c r="AL230" i="47"/>
  <c r="R137" i="47"/>
  <c r="T127" i="47"/>
  <c r="Q195" i="47"/>
  <c r="T190" i="47"/>
  <c r="AO212" i="47"/>
  <c r="AO269" i="47"/>
  <c r="AL304" i="47"/>
  <c r="AN316" i="47"/>
  <c r="AP252" i="47"/>
  <c r="AO298" i="47"/>
  <c r="AO207" i="47"/>
  <c r="AN244" i="47"/>
  <c r="R119" i="47"/>
  <c r="AO235" i="47"/>
  <c r="AN291" i="47"/>
  <c r="AP303" i="47"/>
  <c r="S217" i="47"/>
  <c r="S219" i="47"/>
  <c r="S218" i="47"/>
  <c r="T184" i="47"/>
  <c r="AN293" i="47"/>
  <c r="AP249" i="47"/>
  <c r="R160" i="47"/>
  <c r="R106" i="47"/>
  <c r="AL212" i="47"/>
  <c r="AO256" i="47"/>
  <c r="T131" i="47"/>
  <c r="S120" i="47"/>
  <c r="Q140" i="47"/>
  <c r="S152" i="47"/>
  <c r="T98" i="47"/>
  <c r="AO324" i="47"/>
  <c r="T146" i="47"/>
  <c r="AN224" i="47"/>
  <c r="Q206" i="47"/>
  <c r="AL264" i="47"/>
  <c r="Q113" i="47"/>
  <c r="S162" i="47"/>
  <c r="AN238" i="47"/>
  <c r="AL293" i="47"/>
  <c r="S186" i="47"/>
  <c r="R176" i="47"/>
  <c r="T115" i="47"/>
  <c r="AL253" i="47"/>
  <c r="AP231" i="47"/>
  <c r="AL254" i="47"/>
  <c r="AO232" i="47"/>
  <c r="AL225" i="47"/>
  <c r="AO285" i="47"/>
  <c r="AO267" i="47"/>
  <c r="AO310" i="47"/>
  <c r="AP316" i="47"/>
  <c r="AL313" i="47"/>
  <c r="AO246" i="47"/>
  <c r="AL229" i="47"/>
  <c r="Q204" i="47"/>
  <c r="T192" i="47"/>
  <c r="AN296" i="47"/>
  <c r="AN270" i="47"/>
  <c r="Q215" i="47"/>
  <c r="Q218" i="47"/>
  <c r="AP269" i="47"/>
  <c r="S160" i="47"/>
  <c r="Q168" i="47"/>
  <c r="AL244" i="47"/>
  <c r="S135" i="47"/>
  <c r="R150" i="47"/>
  <c r="AP199" i="47"/>
  <c r="AN300" i="47"/>
  <c r="AO261" i="47"/>
  <c r="T214" i="47"/>
  <c r="Q139" i="47"/>
  <c r="T113" i="47"/>
  <c r="AO220" i="47"/>
  <c r="Q162" i="47"/>
  <c r="AN313" i="47"/>
  <c r="Q194" i="47"/>
  <c r="T221" i="47"/>
  <c r="R219" i="47"/>
  <c r="S125" i="47"/>
  <c r="AL280" i="47"/>
  <c r="R180" i="47"/>
  <c r="S111" i="47"/>
  <c r="AL245" i="47"/>
  <c r="AP286" i="47"/>
  <c r="S175" i="47"/>
  <c r="R209" i="47"/>
  <c r="T155" i="47"/>
  <c r="AP246" i="47"/>
  <c r="R156" i="47"/>
  <c r="S177" i="47"/>
  <c r="S109" i="47"/>
  <c r="Q134" i="47"/>
  <c r="Q137" i="47"/>
  <c r="R103" i="47"/>
  <c r="Q130" i="47"/>
  <c r="AP218" i="47"/>
  <c r="T161" i="47"/>
  <c r="S224" i="47"/>
  <c r="AL289" i="47"/>
  <c r="AP208" i="47"/>
  <c r="S101" i="47"/>
  <c r="AN233" i="47"/>
  <c r="T133" i="47"/>
  <c r="Q166" i="47"/>
  <c r="AP327" i="47"/>
  <c r="AP255" i="47"/>
  <c r="AP314" i="47"/>
  <c r="AL203" i="47"/>
  <c r="R196" i="47"/>
  <c r="Q141" i="47"/>
  <c r="S226" i="47"/>
  <c r="S118" i="47"/>
  <c r="AP203" i="47"/>
  <c r="AL287" i="47"/>
  <c r="T212" i="47"/>
  <c r="R130" i="47"/>
  <c r="R190" i="47"/>
  <c r="T122" i="47"/>
  <c r="AO312" i="47"/>
  <c r="T123" i="47"/>
  <c r="T227" i="47"/>
  <c r="AO287" i="47"/>
  <c r="AL260" i="47"/>
  <c r="R195" i="47"/>
  <c r="T222" i="47"/>
  <c r="R182" i="47"/>
  <c r="Q174" i="47"/>
  <c r="R140" i="47"/>
  <c r="AN287" i="47"/>
  <c r="AO221" i="47"/>
  <c r="R139" i="47"/>
  <c r="AO247" i="47"/>
  <c r="Q184" i="47"/>
  <c r="T176" i="47"/>
  <c r="R157" i="47"/>
  <c r="R149" i="47"/>
  <c r="S178" i="47"/>
  <c r="AO294" i="47"/>
  <c r="R118" i="47"/>
  <c r="AN250" i="47"/>
  <c r="AP211" i="47"/>
  <c r="AL316" i="47"/>
  <c r="AN210" i="47"/>
  <c r="R163" i="47"/>
  <c r="AP245" i="47"/>
  <c r="R218" i="47"/>
  <c r="S163" i="47"/>
  <c r="AO238" i="47"/>
  <c r="AN285" i="47"/>
  <c r="AP278" i="47"/>
  <c r="AL218" i="47"/>
  <c r="AP205" i="47"/>
  <c r="R100" i="47"/>
  <c r="T100" i="47"/>
  <c r="Q100" i="47"/>
  <c r="S133" i="47"/>
  <c r="AN324" i="47"/>
  <c r="R189" i="47"/>
  <c r="Q129" i="47"/>
  <c r="AN202" i="47"/>
  <c r="Q173" i="47"/>
  <c r="Q169" i="47"/>
  <c r="AN263" i="47"/>
  <c r="S112" i="47"/>
  <c r="AL222" i="47"/>
  <c r="AP217" i="47"/>
  <c r="T223" i="47"/>
  <c r="S108" i="47"/>
  <c r="AP216" i="47"/>
  <c r="AN306" i="47"/>
  <c r="AP214" i="47"/>
  <c r="Q223" i="47"/>
  <c r="Q196" i="47"/>
  <c r="AO208" i="47"/>
  <c r="AL252" i="47"/>
  <c r="T210" i="47"/>
  <c r="Q182" i="47"/>
  <c r="AP279" i="47"/>
  <c r="AL310" i="47"/>
  <c r="AN232" i="47"/>
  <c r="T196" i="47"/>
  <c r="AL251" i="47"/>
  <c r="T125" i="47"/>
  <c r="S209" i="47"/>
  <c r="T205" i="47"/>
  <c r="AN235" i="47"/>
  <c r="AP248" i="47"/>
  <c r="S225" i="47"/>
  <c r="S123" i="47"/>
  <c r="R147" i="47"/>
  <c r="AP222" i="47"/>
  <c r="R145" i="47"/>
  <c r="AP230" i="47"/>
  <c r="S170" i="47"/>
  <c r="Q207" i="47"/>
  <c r="Q225" i="47"/>
  <c r="AL269" i="47"/>
  <c r="AP299" i="47"/>
  <c r="Q151" i="47"/>
  <c r="Q170" i="47"/>
  <c r="AN196" i="47"/>
  <c r="T121" i="47"/>
  <c r="AO268" i="47"/>
  <c r="AL249" i="47"/>
  <c r="Q120" i="47"/>
  <c r="S202" i="47"/>
  <c r="AO225" i="47"/>
  <c r="T197" i="47"/>
  <c r="T116" i="47"/>
  <c r="S114" i="47"/>
  <c r="AL233" i="47"/>
  <c r="R188" i="47"/>
  <c r="Q188" i="47"/>
  <c r="S119" i="47"/>
  <c r="Q200" i="47"/>
  <c r="S154" i="47"/>
  <c r="Q192" i="47"/>
  <c r="AN206" i="47"/>
  <c r="AL201" i="47"/>
  <c r="AO288" i="47"/>
  <c r="AL320" i="47"/>
  <c r="AL309" i="47"/>
  <c r="S197" i="47"/>
  <c r="AO308" i="47"/>
  <c r="R174" i="47"/>
  <c r="AN317" i="47"/>
  <c r="AL307" i="47"/>
  <c r="AL308" i="47"/>
  <c r="S223" i="47"/>
  <c r="R99" i="47"/>
  <c r="S104" i="47"/>
  <c r="T171" i="47"/>
  <c r="Q102" i="47"/>
  <c r="AP265" i="47"/>
  <c r="AL303" i="47"/>
  <c r="Q185" i="47"/>
  <c r="T103" i="47"/>
  <c r="AN199" i="47"/>
  <c r="AN318" i="47"/>
  <c r="S155" i="47"/>
  <c r="AN214" i="47"/>
  <c r="AP247" i="47"/>
  <c r="AO214" i="47"/>
  <c r="AN227" i="47"/>
  <c r="S200" i="47"/>
  <c r="T185" i="47"/>
  <c r="AP291" i="47"/>
  <c r="AN280" i="47"/>
  <c r="S100" i="47"/>
  <c r="AN229" i="47"/>
  <c r="Q187" i="47"/>
  <c r="AO273" i="47"/>
  <c r="R114" i="47"/>
  <c r="T149" i="47"/>
  <c r="R133" i="47"/>
  <c r="R187" i="47"/>
  <c r="R111" i="47"/>
  <c r="S161" i="47"/>
  <c r="S168" i="47"/>
  <c r="AP240" i="47"/>
  <c r="R109" i="47"/>
  <c r="R184" i="47"/>
  <c r="AO281" i="47"/>
  <c r="AN220" i="47"/>
  <c r="Q118" i="47"/>
  <c r="S159" i="47"/>
  <c r="AL271" i="47"/>
  <c r="AO227" i="47"/>
  <c r="Q128" i="47"/>
  <c r="T169" i="47"/>
  <c r="AO218" i="47"/>
  <c r="AP242" i="47"/>
  <c r="AO210" i="47"/>
  <c r="R185" i="47"/>
  <c r="AL291" i="47"/>
  <c r="AL284" i="47"/>
  <c r="AP268" i="47"/>
  <c r="Q133" i="47"/>
  <c r="AN246" i="47"/>
  <c r="AL237" i="47"/>
  <c r="AF107" i="57" l="1"/>
  <c r="AG107" i="57"/>
  <c r="AF7" i="55"/>
  <c r="AF115" i="58"/>
  <c r="AG115" i="58"/>
  <c r="AG7" i="55"/>
  <c r="AG7" i="57"/>
  <c r="AG7" i="58"/>
  <c r="AF99" i="58"/>
  <c r="AF97" i="57"/>
  <c r="AG118" i="58"/>
  <c r="AF7" i="58"/>
  <c r="AF7" i="57"/>
  <c r="AG99" i="58"/>
  <c r="AG97" i="57"/>
  <c r="AG45" i="58"/>
  <c r="AF30" i="57"/>
  <c r="AG30" i="58"/>
  <c r="AG44" i="57"/>
  <c r="AF44" i="57"/>
  <c r="AF30" i="58"/>
  <c r="AF45" i="58"/>
  <c r="AG30" i="57"/>
  <c r="AF81" i="57"/>
  <c r="AG143" i="58"/>
  <c r="AF142" i="58"/>
  <c r="AF141" i="58"/>
  <c r="AG10" i="58"/>
  <c r="AF79" i="58"/>
  <c r="AF124" i="57"/>
  <c r="AG120" i="57"/>
  <c r="AF118" i="57"/>
  <c r="AG84" i="57"/>
  <c r="AG80" i="57"/>
  <c r="AF79" i="57"/>
  <c r="AF37" i="58"/>
  <c r="AG11" i="58"/>
  <c r="AG128" i="57"/>
  <c r="AF85" i="57"/>
  <c r="AG81" i="57"/>
  <c r="AF38" i="58"/>
  <c r="AF143" i="58"/>
  <c r="AG174" i="57"/>
  <c r="AG180" i="58"/>
  <c r="AF74" i="58"/>
  <c r="AF182" i="58"/>
  <c r="AF120" i="57"/>
  <c r="AF117" i="58"/>
  <c r="AG48" i="57"/>
  <c r="AG89" i="57"/>
  <c r="AF37" i="57"/>
  <c r="AG154" i="58"/>
  <c r="AF87" i="57"/>
  <c r="AF48" i="57"/>
  <c r="AF134" i="57"/>
  <c r="AF86" i="58"/>
  <c r="AG140" i="57"/>
  <c r="AG62" i="58"/>
  <c r="AF16" i="58"/>
  <c r="AF34" i="58"/>
  <c r="AG67" i="58"/>
  <c r="AG6" i="58"/>
  <c r="AG12" i="58"/>
  <c r="AF136" i="58"/>
  <c r="AG76" i="58"/>
  <c r="AG106" i="58"/>
  <c r="AF91" i="58"/>
  <c r="AG83" i="58"/>
  <c r="AF131" i="57"/>
  <c r="AG45" i="57"/>
  <c r="AF5" i="58"/>
  <c r="AF180" i="58"/>
  <c r="AF84" i="57"/>
  <c r="AF83" i="57"/>
  <c r="AG109" i="58"/>
  <c r="AF130" i="58"/>
  <c r="AG83" i="57"/>
  <c r="AF78" i="57"/>
  <c r="AG66" i="58"/>
  <c r="AF138" i="58"/>
  <c r="AG121" i="57"/>
  <c r="AG118" i="57"/>
  <c r="AF119" i="57"/>
  <c r="AG117" i="57"/>
  <c r="AF132" i="58"/>
  <c r="AF13" i="58"/>
  <c r="AF95" i="58"/>
  <c r="AF71" i="57"/>
  <c r="AF149" i="58"/>
  <c r="AG75" i="58"/>
  <c r="AF139" i="58"/>
  <c r="AF69" i="57"/>
  <c r="AF131" i="58"/>
  <c r="AF80" i="58"/>
  <c r="AG173" i="57"/>
  <c r="AF19" i="58"/>
  <c r="AG90" i="57"/>
  <c r="AF40" i="57"/>
  <c r="AF81" i="58"/>
  <c r="AF137" i="58"/>
  <c r="AG90" i="58"/>
  <c r="AF157" i="58"/>
  <c r="AF68" i="57"/>
  <c r="AG2" i="58"/>
  <c r="AF95" i="57"/>
  <c r="AG35" i="57"/>
  <c r="AG136" i="57"/>
  <c r="AG55" i="58"/>
  <c r="AG100" i="58"/>
  <c r="AG73" i="58"/>
  <c r="AG57" i="57"/>
  <c r="AF2" i="58"/>
  <c r="AF186" i="58"/>
  <c r="AF173" i="57"/>
  <c r="AG66" i="57"/>
  <c r="AG39" i="57"/>
  <c r="AF39" i="57"/>
  <c r="AF20" i="58"/>
  <c r="AF35" i="58"/>
  <c r="AG33" i="58"/>
  <c r="AF23" i="58"/>
  <c r="AG183" i="58"/>
  <c r="AF94" i="57"/>
  <c r="AF47" i="57"/>
  <c r="AG139" i="58"/>
  <c r="AG126" i="57"/>
  <c r="AG58" i="57"/>
  <c r="AG79" i="58"/>
  <c r="AF129" i="58"/>
  <c r="AG123" i="57"/>
  <c r="AF35" i="57"/>
  <c r="AG65" i="57"/>
  <c r="AF61" i="58"/>
  <c r="AG101" i="58"/>
  <c r="AG49" i="57"/>
  <c r="AF52" i="57"/>
  <c r="AG170" i="58"/>
  <c r="AG136" i="58"/>
  <c r="AG138" i="58"/>
  <c r="AG148" i="57"/>
  <c r="AF66" i="57"/>
  <c r="AF58" i="57"/>
  <c r="AG108" i="58"/>
  <c r="AG184" i="58"/>
  <c r="AF27" i="58"/>
  <c r="AF84" i="58"/>
  <c r="AG123" i="58"/>
  <c r="AF123" i="57"/>
  <c r="AG80" i="58"/>
  <c r="AF9" i="58"/>
  <c r="AF59" i="57"/>
  <c r="AG181" i="58"/>
  <c r="AF82" i="58"/>
  <c r="AF11" i="58"/>
  <c r="AF55" i="57"/>
  <c r="AG155" i="58"/>
  <c r="AF75" i="58"/>
  <c r="AF94" i="58"/>
  <c r="AF6" i="58"/>
  <c r="AF96" i="57"/>
  <c r="AF77" i="57"/>
  <c r="AG46" i="57"/>
  <c r="AF92" i="58"/>
  <c r="AG94" i="57"/>
  <c r="AF56" i="57"/>
  <c r="AG47" i="57"/>
  <c r="AF130" i="57"/>
  <c r="AG86" i="58"/>
  <c r="AG36" i="57"/>
  <c r="AG114" i="58"/>
  <c r="AF71" i="58"/>
  <c r="AF101" i="58"/>
  <c r="AF70" i="57"/>
  <c r="AF140" i="57"/>
  <c r="AF145" i="58"/>
  <c r="AG86" i="57"/>
  <c r="AF125" i="57"/>
  <c r="AG91" i="58"/>
  <c r="AG102" i="58"/>
  <c r="AG93" i="57"/>
  <c r="AF91" i="57"/>
  <c r="AF68" i="58"/>
  <c r="AG182" i="58"/>
  <c r="AG176" i="57"/>
  <c r="AF133" i="57"/>
  <c r="AF53" i="57"/>
  <c r="AF184" i="58"/>
  <c r="AF62" i="57"/>
  <c r="AF135" i="57"/>
  <c r="AG87" i="58"/>
  <c r="AG175" i="58"/>
  <c r="AF36" i="57"/>
  <c r="AG98" i="57"/>
  <c r="AG50" i="57"/>
  <c r="AF50" i="57"/>
  <c r="AF86" i="57"/>
  <c r="AF90" i="57"/>
  <c r="AG129" i="57"/>
  <c r="AF51" i="57"/>
  <c r="AF69" i="58"/>
  <c r="AF22" i="58"/>
  <c r="AG131" i="58"/>
  <c r="AG14" i="58"/>
  <c r="AG85" i="58"/>
  <c r="AG56" i="57"/>
  <c r="AF46" i="57"/>
  <c r="AF183" i="58"/>
  <c r="AG96" i="58"/>
  <c r="AF185" i="58"/>
  <c r="AG147" i="58"/>
  <c r="AG77" i="57"/>
  <c r="AF93" i="57"/>
  <c r="AF56" i="58"/>
  <c r="AG17" i="58"/>
  <c r="AF92" i="57"/>
  <c r="AG29" i="58"/>
  <c r="AG105" i="58"/>
  <c r="AG119" i="58"/>
  <c r="AF176" i="58"/>
  <c r="AF156" i="58"/>
  <c r="AG130" i="58"/>
  <c r="AG112" i="58"/>
  <c r="AG59" i="57"/>
  <c r="AF179" i="57"/>
  <c r="AF108" i="58"/>
  <c r="AF62" i="58"/>
  <c r="AG71" i="57"/>
  <c r="AF125" i="58"/>
  <c r="AG26" i="58"/>
  <c r="AG8" i="58"/>
  <c r="AG178" i="58"/>
  <c r="AG98" i="58"/>
  <c r="AG37" i="57"/>
  <c r="AF96" i="58"/>
  <c r="AF38" i="57"/>
  <c r="AF57" i="58"/>
  <c r="AF109" i="58"/>
  <c r="AG77" i="58"/>
  <c r="AG186" i="58"/>
  <c r="AF100" i="58"/>
  <c r="AG91" i="57"/>
  <c r="AG87" i="57"/>
  <c r="AF64" i="57"/>
  <c r="AF111" i="58"/>
  <c r="AG122" i="58"/>
  <c r="AG133" i="57"/>
  <c r="AG60" i="58"/>
  <c r="AF175" i="58"/>
  <c r="AF179" i="58"/>
  <c r="AF135" i="58"/>
  <c r="AG122" i="57"/>
  <c r="AG95" i="57"/>
  <c r="AG9" i="58"/>
  <c r="AG129" i="58"/>
  <c r="AF89" i="57"/>
  <c r="AF112" i="58"/>
  <c r="AF128" i="58"/>
  <c r="AF10" i="58"/>
  <c r="AG134" i="58"/>
  <c r="AF129" i="57"/>
  <c r="AF78" i="58"/>
  <c r="AG121" i="58"/>
  <c r="AG185" i="58"/>
  <c r="AG120" i="58"/>
  <c r="AF175" i="57"/>
  <c r="AF88" i="58"/>
  <c r="AG93" i="58"/>
  <c r="AG135" i="57"/>
  <c r="AF67" i="58"/>
  <c r="AF45" i="57"/>
  <c r="AG113" i="58"/>
  <c r="AG61" i="58"/>
  <c r="AF171" i="58"/>
  <c r="AF151" i="58"/>
  <c r="AG137" i="58"/>
  <c r="AG73" i="57"/>
  <c r="AF177" i="58"/>
  <c r="AF139" i="57"/>
  <c r="AF178" i="58"/>
  <c r="AG19" i="58"/>
  <c r="AF133" i="58"/>
  <c r="AF98" i="57"/>
  <c r="AG132" i="57"/>
  <c r="AF70" i="58"/>
  <c r="AF75" i="57"/>
  <c r="AG64" i="58"/>
  <c r="AG74" i="57"/>
  <c r="AF26" i="58"/>
  <c r="AG70" i="57"/>
  <c r="AG75" i="57"/>
  <c r="AG176" i="58"/>
  <c r="AF176" i="57"/>
  <c r="AG133" i="58"/>
  <c r="AF77" i="58"/>
  <c r="AG51" i="57"/>
  <c r="AG5" i="58"/>
  <c r="AF60" i="57"/>
  <c r="AG16" i="58"/>
  <c r="AG57" i="58"/>
  <c r="AG95" i="58"/>
  <c r="AG63" i="58"/>
  <c r="AF116" i="58"/>
  <c r="AF87" i="58"/>
  <c r="AF107" i="58"/>
  <c r="AG132" i="58"/>
  <c r="AF137" i="57"/>
  <c r="AF61" i="57"/>
  <c r="AF102" i="58"/>
  <c r="AF120" i="58"/>
  <c r="AG79" i="57"/>
  <c r="AF122" i="57"/>
  <c r="AG140" i="58"/>
  <c r="AF36" i="58"/>
  <c r="AG141" i="58"/>
  <c r="AG81" i="58"/>
  <c r="AF12" i="58"/>
  <c r="AG137" i="57"/>
  <c r="AG172" i="58"/>
  <c r="AG40" i="57"/>
  <c r="AG69" i="57"/>
  <c r="AG177" i="58"/>
  <c r="AG20" i="58"/>
  <c r="AF121" i="57"/>
  <c r="AF8" i="58"/>
  <c r="AG54" i="57"/>
  <c r="AG60" i="57"/>
  <c r="AF180" i="57"/>
  <c r="AG78" i="58"/>
  <c r="AG53" i="57"/>
  <c r="AF76" i="57"/>
  <c r="AG104" i="58"/>
  <c r="AG92" i="57"/>
  <c r="AG69" i="58"/>
  <c r="AG70" i="58"/>
  <c r="AF72" i="57"/>
  <c r="AF90" i="58"/>
  <c r="AG97" i="58"/>
  <c r="AG138" i="57"/>
  <c r="AF63" i="58"/>
  <c r="AF41" i="57"/>
  <c r="AG52" i="57"/>
  <c r="AG177" i="57"/>
  <c r="AF65" i="57"/>
  <c r="AG61" i="57"/>
  <c r="AG85" i="57"/>
  <c r="AF73" i="57"/>
  <c r="AG124" i="57"/>
  <c r="AG127" i="57"/>
  <c r="AF15" i="58"/>
  <c r="AF134" i="58"/>
  <c r="AF128" i="57"/>
  <c r="AF126" i="58"/>
  <c r="AG94" i="58"/>
  <c r="AG31" i="58"/>
  <c r="AF72" i="58"/>
  <c r="AG38" i="57"/>
  <c r="AF124" i="58"/>
  <c r="AG59" i="58"/>
  <c r="AF54" i="57"/>
  <c r="AF93" i="58"/>
  <c r="AG71" i="58"/>
  <c r="AF43" i="57"/>
  <c r="AF181" i="57"/>
  <c r="AF110" i="58"/>
  <c r="AG88" i="58"/>
  <c r="AG4" i="58"/>
  <c r="AG92" i="58"/>
  <c r="AG135" i="58"/>
  <c r="AG157" i="58"/>
  <c r="AF155" i="58"/>
  <c r="AG37" i="58"/>
  <c r="AG82" i="57"/>
  <c r="AG142" i="58"/>
  <c r="AF82" i="57"/>
  <c r="AG78" i="57"/>
  <c r="AF76" i="58"/>
  <c r="AF63" i="57"/>
  <c r="AG63" i="57"/>
  <c r="AG18" i="58"/>
  <c r="AG179" i="58"/>
  <c r="AG58" i="58"/>
  <c r="AG174" i="58"/>
  <c r="AG173" i="58"/>
  <c r="AG74" i="58"/>
  <c r="AG64" i="57"/>
  <c r="AG96" i="57"/>
  <c r="AG34" i="58"/>
  <c r="AF60" i="58"/>
  <c r="AF132" i="57"/>
  <c r="AG68" i="57"/>
  <c r="AF98" i="58"/>
  <c r="AF97" i="58"/>
  <c r="AF136" i="57"/>
  <c r="AF122" i="58"/>
  <c r="AG55" i="57"/>
  <c r="AG103" i="58"/>
  <c r="AF123" i="58"/>
  <c r="AG128" i="58"/>
  <c r="AF126" i="57"/>
  <c r="AG84" i="58"/>
  <c r="AG72" i="57"/>
  <c r="AF57" i="57"/>
  <c r="AG62" i="57"/>
  <c r="AF74" i="57"/>
  <c r="AF153" i="58"/>
  <c r="AG119" i="57"/>
  <c r="AG67" i="57"/>
  <c r="AF80" i="57"/>
  <c r="AG111" i="58"/>
  <c r="AF140" i="58"/>
  <c r="AG139" i="57"/>
  <c r="AF127" i="57"/>
  <c r="AG76" i="57"/>
  <c r="AG117" i="58"/>
  <c r="AF65" i="58"/>
  <c r="AG65" i="58"/>
  <c r="AG13" i="58"/>
  <c r="AF58" i="58"/>
  <c r="AG134" i="57"/>
  <c r="AF118" i="58"/>
  <c r="AF67" i="57"/>
  <c r="AF104" i="58"/>
  <c r="AG88" i="57"/>
  <c r="AF49" i="57"/>
  <c r="AG156" i="58"/>
  <c r="AG130" i="57"/>
  <c r="AG15" i="58"/>
  <c r="AF59" i="58"/>
  <c r="AF88" i="57"/>
  <c r="AF89" i="58"/>
  <c r="AG131" i="57"/>
  <c r="AF138" i="57"/>
  <c r="AG125" i="57"/>
  <c r="AG152" i="57"/>
  <c r="AF41" i="58"/>
  <c r="AG154" i="57"/>
  <c r="AF8" i="57"/>
  <c r="AG46" i="58"/>
  <c r="AG23" i="58"/>
  <c r="AF169" i="57"/>
  <c r="AG142" i="57"/>
  <c r="AF101" i="57"/>
  <c r="AF17" i="57"/>
  <c r="AF50" i="58"/>
  <c r="AF119" i="58"/>
  <c r="AG161" i="57"/>
  <c r="AF19" i="57"/>
  <c r="AF49" i="58"/>
  <c r="AG166" i="57"/>
  <c r="AF25" i="57"/>
  <c r="AG148" i="58"/>
  <c r="AG169" i="57"/>
  <c r="AF147" i="57"/>
  <c r="AF177" i="57"/>
  <c r="AG15" i="57"/>
  <c r="AF66" i="58"/>
  <c r="AG43" i="57"/>
  <c r="AF44" i="58"/>
  <c r="AF111" i="57"/>
  <c r="AF24" i="58"/>
  <c r="AF102" i="57"/>
  <c r="AG164" i="57"/>
  <c r="AG161" i="58"/>
  <c r="AF21" i="58"/>
  <c r="AG32" i="58"/>
  <c r="AF109" i="57"/>
  <c r="AF55" i="58"/>
  <c r="AF148" i="57"/>
  <c r="AF154" i="58"/>
  <c r="AG166" i="58"/>
  <c r="AF43" i="58"/>
  <c r="AG21" i="57"/>
  <c r="AG43" i="58"/>
  <c r="AF158" i="58"/>
  <c r="AG168" i="57"/>
  <c r="AF165" i="58"/>
  <c r="AG36" i="58"/>
  <c r="AG48" i="58"/>
  <c r="AG2" i="57"/>
  <c r="AF164" i="57"/>
  <c r="AG100" i="57"/>
  <c r="AG49" i="58"/>
  <c r="AF171" i="57"/>
  <c r="AG112" i="57"/>
  <c r="AF114" i="58"/>
  <c r="AF116" i="57"/>
  <c r="AG72" i="58"/>
  <c r="AF40" i="58"/>
  <c r="AG145" i="57"/>
  <c r="AF146" i="58"/>
  <c r="AG186" i="57"/>
  <c r="AF183" i="57"/>
  <c r="AG17" i="57"/>
  <c r="AF33" i="57"/>
  <c r="AF99" i="57"/>
  <c r="AF105" i="57"/>
  <c r="AF46" i="58"/>
  <c r="AG14" i="57"/>
  <c r="AF29" i="58"/>
  <c r="AF112" i="57"/>
  <c r="AF121" i="58"/>
  <c r="AG158" i="57"/>
  <c r="AG20" i="57"/>
  <c r="AG68" i="58"/>
  <c r="AF114" i="57"/>
  <c r="AF170" i="57"/>
  <c r="AF12" i="57"/>
  <c r="AF159" i="57"/>
  <c r="AG149" i="58"/>
  <c r="AG104" i="57"/>
  <c r="AF141" i="57"/>
  <c r="AF3" i="57"/>
  <c r="AF25" i="58"/>
  <c r="AG147" i="57"/>
  <c r="AF159" i="58"/>
  <c r="AF172" i="57"/>
  <c r="AF108" i="57"/>
  <c r="AF5" i="57"/>
  <c r="AF163" i="57"/>
  <c r="AG141" i="57"/>
  <c r="AF10" i="57"/>
  <c r="AG25" i="58"/>
  <c r="AG82" i="58"/>
  <c r="AG29" i="57"/>
  <c r="AG168" i="58"/>
  <c r="AG184" i="57"/>
  <c r="AF4" i="57"/>
  <c r="AF165" i="57"/>
  <c r="AG150" i="57"/>
  <c r="AF28" i="58"/>
  <c r="AG6" i="57"/>
  <c r="AG56" i="58"/>
  <c r="AF32" i="58"/>
  <c r="AG41" i="57"/>
  <c r="AG179" i="57"/>
  <c r="AF167" i="58"/>
  <c r="AF83" i="58"/>
  <c r="AF163" i="58"/>
  <c r="AF147" i="58"/>
  <c r="AG42" i="57"/>
  <c r="AG155" i="57"/>
  <c r="AG40" i="58"/>
  <c r="AF142" i="57"/>
  <c r="AF166" i="58"/>
  <c r="AG182" i="57"/>
  <c r="AG152" i="58"/>
  <c r="AF144" i="57"/>
  <c r="AF173" i="58"/>
  <c r="AG24" i="58"/>
  <c r="AF42" i="58"/>
  <c r="AF167" i="57"/>
  <c r="AG163" i="57"/>
  <c r="AF158" i="57"/>
  <c r="AF151" i="57"/>
  <c r="AG146" i="57"/>
  <c r="AG143" i="57"/>
  <c r="AF113" i="57"/>
  <c r="AF110" i="57"/>
  <c r="AG105" i="57"/>
  <c r="AG18" i="57"/>
  <c r="AG162" i="58"/>
  <c r="AF27" i="57"/>
  <c r="AG54" i="58"/>
  <c r="AG165" i="57"/>
  <c r="AF64" i="58"/>
  <c r="AF150" i="57"/>
  <c r="AG151" i="57"/>
  <c r="AG31" i="57"/>
  <c r="AG163" i="58"/>
  <c r="AF161" i="58"/>
  <c r="AF143" i="57"/>
  <c r="AG169" i="58"/>
  <c r="AG115" i="57"/>
  <c r="AF115" i="57"/>
  <c r="AF18" i="58"/>
  <c r="AF4" i="58"/>
  <c r="AF169" i="58"/>
  <c r="AF117" i="57"/>
  <c r="AF2" i="57"/>
  <c r="AF104" i="57"/>
  <c r="AF42" i="57"/>
  <c r="AG22" i="57"/>
  <c r="AF18" i="57"/>
  <c r="AG12" i="57"/>
  <c r="AF9" i="57"/>
  <c r="AG127" i="58"/>
  <c r="AG110" i="58"/>
  <c r="AG5" i="57"/>
  <c r="AG159" i="58"/>
  <c r="AF53" i="58"/>
  <c r="AF48" i="58"/>
  <c r="AF51" i="58"/>
  <c r="AG9" i="57"/>
  <c r="AF160" i="58"/>
  <c r="AF20" i="57"/>
  <c r="AG107" i="58"/>
  <c r="AG167" i="58"/>
  <c r="AF103" i="58"/>
  <c r="AF161" i="57"/>
  <c r="AF127" i="58"/>
  <c r="AF145" i="57"/>
  <c r="AF24" i="57"/>
  <c r="AG8" i="57"/>
  <c r="AG144" i="58"/>
  <c r="AG126" i="58"/>
  <c r="AG113" i="57"/>
  <c r="AG146" i="58"/>
  <c r="AG11" i="57"/>
  <c r="AG114" i="57"/>
  <c r="AF34" i="57"/>
  <c r="AF178" i="57"/>
  <c r="AF106" i="58"/>
  <c r="AG103" i="57"/>
  <c r="AG109" i="57"/>
  <c r="AG149" i="57"/>
  <c r="AG102" i="57"/>
  <c r="AG181" i="57"/>
  <c r="AF103" i="57"/>
  <c r="AF52" i="58"/>
  <c r="AF106" i="57"/>
  <c r="AF182" i="57"/>
  <c r="AF32" i="57"/>
  <c r="AG25" i="57"/>
  <c r="AG164" i="58"/>
  <c r="AF164" i="58"/>
  <c r="AF85" i="58"/>
  <c r="AG160" i="57"/>
  <c r="AG42" i="58"/>
  <c r="AF144" i="58"/>
  <c r="AF23" i="57"/>
  <c r="AG180" i="57"/>
  <c r="AG116" i="57"/>
  <c r="AG145" i="58"/>
  <c r="AF160" i="57"/>
  <c r="AF152" i="57"/>
  <c r="AG153" i="57"/>
  <c r="AG159" i="57"/>
  <c r="AG110" i="57"/>
  <c r="AF6" i="57"/>
  <c r="AG27" i="58"/>
  <c r="AG16" i="57"/>
  <c r="AF31" i="58"/>
  <c r="AF17" i="58"/>
  <c r="AG35" i="58"/>
  <c r="AF14" i="58"/>
  <c r="AF185" i="57"/>
  <c r="AG33" i="57"/>
  <c r="AF170" i="58"/>
  <c r="AG10" i="57"/>
  <c r="AG28" i="57"/>
  <c r="AG89" i="58"/>
  <c r="AG178" i="57"/>
  <c r="AF166" i="57"/>
  <c r="AF15" i="57"/>
  <c r="AF22" i="57"/>
  <c r="AG124" i="58"/>
  <c r="AG144" i="57"/>
  <c r="AF11" i="57"/>
  <c r="AG167" i="57"/>
  <c r="AG125" i="58"/>
  <c r="AF174" i="57"/>
  <c r="AF181" i="58"/>
  <c r="AF100" i="57"/>
  <c r="AG171" i="58"/>
  <c r="AF148" i="58"/>
  <c r="AF150" i="58"/>
  <c r="AG24" i="57"/>
  <c r="AF155" i="57"/>
  <c r="AF16" i="57"/>
  <c r="AF153" i="57"/>
  <c r="AF47" i="58"/>
  <c r="AF156" i="57"/>
  <c r="AG22" i="58"/>
  <c r="AF149" i="57"/>
  <c r="AG13" i="57"/>
  <c r="AG111" i="57"/>
  <c r="AF154" i="57"/>
  <c r="AF14" i="57"/>
  <c r="AG44" i="58"/>
  <c r="AG47" i="58"/>
  <c r="AG156" i="57"/>
  <c r="AG19" i="57"/>
  <c r="AF172" i="58"/>
  <c r="AF162" i="57"/>
  <c r="AF73" i="58"/>
  <c r="AG170" i="57"/>
  <c r="AG41" i="58"/>
  <c r="AG108" i="57"/>
  <c r="AG171" i="57"/>
  <c r="AG50" i="58"/>
  <c r="AG151" i="58"/>
  <c r="AG53" i="58"/>
  <c r="AG157" i="57"/>
  <c r="AF105" i="58"/>
  <c r="AG23" i="57"/>
  <c r="AG116" i="58"/>
  <c r="AF152" i="58"/>
  <c r="AF186" i="57"/>
  <c r="AG175" i="57"/>
  <c r="AG172" i="57"/>
  <c r="AF113" i="58"/>
  <c r="AG26" i="57"/>
  <c r="AG165" i="58"/>
  <c r="AF31" i="57"/>
  <c r="AG52" i="58"/>
  <c r="AF33" i="58"/>
  <c r="AF157" i="57"/>
  <c r="AG28" i="58"/>
  <c r="AG106" i="57"/>
  <c r="AG39" i="58"/>
  <c r="AG183" i="57"/>
  <c r="AG34" i="57"/>
  <c r="AG150" i="58"/>
  <c r="AF162" i="58"/>
  <c r="AG3" i="57"/>
  <c r="AG4" i="57"/>
  <c r="AG21" i="58"/>
  <c r="AF13" i="57"/>
  <c r="AG153" i="58"/>
  <c r="AF26" i="57"/>
  <c r="AG3" i="58"/>
  <c r="AF29" i="57"/>
  <c r="AG160" i="58"/>
  <c r="AF21" i="57"/>
  <c r="AF174" i="58"/>
  <c r="AF3" i="58"/>
  <c r="AF168" i="57"/>
  <c r="AG158" i="58"/>
  <c r="AF28" i="57"/>
  <c r="AG99" i="57"/>
  <c r="AG185" i="57"/>
  <c r="AF184" i="57"/>
  <c r="AG32" i="57"/>
  <c r="AF168" i="58"/>
  <c r="AG51" i="58"/>
  <c r="AF39" i="58"/>
  <c r="AG101" i="57"/>
  <c r="AG27" i="57"/>
  <c r="AF54" i="58"/>
  <c r="AG38" i="58"/>
  <c r="AF146" i="57"/>
  <c r="AG162" i="57"/>
  <c r="N64" i="58"/>
  <c r="N44" i="58"/>
  <c r="N72" i="58"/>
  <c r="N63" i="58"/>
  <c r="N61" i="58"/>
  <c r="N58" i="58"/>
  <c r="N57" i="58"/>
  <c r="N56" i="58"/>
  <c r="N54" i="58"/>
  <c r="N67" i="58"/>
  <c r="N65" i="58"/>
  <c r="N52" i="58"/>
  <c r="N51" i="58"/>
  <c r="N50" i="58"/>
  <c r="N49" i="58"/>
  <c r="N48" i="58"/>
  <c r="N47" i="58"/>
  <c r="N46" i="58"/>
  <c r="N45" i="58"/>
  <c r="N43" i="58"/>
  <c r="N42" i="58"/>
  <c r="N76" i="58"/>
  <c r="N69" i="58"/>
  <c r="N68" i="58"/>
  <c r="N79" i="58"/>
  <c r="N53" i="58"/>
  <c r="N77" i="58"/>
  <c r="N66" i="58"/>
  <c r="N75" i="58"/>
  <c r="N80" i="58"/>
  <c r="N70" i="58"/>
  <c r="N73" i="58"/>
  <c r="N78" i="58"/>
  <c r="N74" i="58"/>
  <c r="N60" i="58"/>
  <c r="N62" i="58"/>
  <c r="N59" i="58"/>
  <c r="N55" i="58"/>
  <c r="N71" i="58"/>
  <c r="N47" i="57"/>
  <c r="N53" i="57"/>
  <c r="N42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54" i="57"/>
  <c r="N52" i="57"/>
  <c r="N51" i="57"/>
  <c r="N50" i="57"/>
  <c r="N49" i="57"/>
  <c r="N48" i="57"/>
  <c r="N46" i="57"/>
  <c r="N45" i="57"/>
  <c r="N44" i="57"/>
  <c r="N80" i="57"/>
  <c r="N79" i="57"/>
  <c r="N78" i="57"/>
  <c r="N64" i="57"/>
  <c r="N63" i="57"/>
  <c r="N62" i="57"/>
  <c r="N61" i="57"/>
  <c r="N60" i="57"/>
  <c r="N59" i="57"/>
  <c r="N58" i="57"/>
  <c r="N57" i="57"/>
  <c r="N56" i="57"/>
  <c r="N55" i="57"/>
  <c r="N43" i="57"/>
  <c r="F97" i="48"/>
  <c r="F61" i="48"/>
  <c r="F49" i="48"/>
  <c r="F85" i="48"/>
  <c r="F92" i="48"/>
  <c r="F71" i="48"/>
  <c r="F94" i="48"/>
  <c r="F62" i="48"/>
  <c r="F76" i="48"/>
  <c r="F58" i="54"/>
  <c r="G58" i="54"/>
  <c r="H58" i="54"/>
  <c r="K58" i="54"/>
  <c r="J58" i="54"/>
  <c r="D58" i="54"/>
  <c r="E58" i="54"/>
  <c r="L58" i="54"/>
  <c r="I58" i="54"/>
  <c r="C58" i="54"/>
  <c r="I77" i="54"/>
  <c r="J77" i="54"/>
  <c r="L77" i="54"/>
  <c r="F77" i="54"/>
  <c r="H77" i="54"/>
  <c r="G77" i="54"/>
  <c r="K77" i="54"/>
  <c r="E77" i="54"/>
  <c r="C77" i="54"/>
  <c r="D77" i="54"/>
  <c r="L49" i="54"/>
  <c r="C49" i="54"/>
  <c r="E49" i="54"/>
  <c r="F49" i="54"/>
  <c r="K49" i="54"/>
  <c r="J49" i="54"/>
  <c r="I49" i="54"/>
  <c r="D49" i="54"/>
  <c r="G49" i="54"/>
  <c r="H49" i="54"/>
  <c r="K3" i="54"/>
  <c r="H3" i="54"/>
  <c r="I3" i="54"/>
  <c r="D3" i="54"/>
  <c r="F3" i="54"/>
  <c r="E3" i="54"/>
  <c r="J3" i="54"/>
  <c r="C3" i="54"/>
  <c r="G3" i="54"/>
  <c r="L3" i="54"/>
  <c r="F34" i="48"/>
  <c r="AM34" i="48" s="1"/>
  <c r="AL34" i="48"/>
  <c r="J40" i="54"/>
  <c r="I40" i="54"/>
  <c r="C40" i="54"/>
  <c r="G40" i="54"/>
  <c r="E40" i="54"/>
  <c r="F40" i="54"/>
  <c r="K40" i="54"/>
  <c r="H40" i="54"/>
  <c r="L40" i="54"/>
  <c r="D40" i="54"/>
  <c r="G34" i="54"/>
  <c r="K34" i="54"/>
  <c r="F34" i="54"/>
  <c r="C34" i="54"/>
  <c r="E34" i="54"/>
  <c r="H34" i="54"/>
  <c r="D34" i="54"/>
  <c r="I34" i="54"/>
  <c r="L34" i="54"/>
  <c r="J34" i="54"/>
  <c r="F6" i="48"/>
  <c r="AM6" i="48" s="1"/>
  <c r="AL6" i="48"/>
  <c r="E52" i="54"/>
  <c r="D52" i="54"/>
  <c r="L52" i="54"/>
  <c r="J52" i="54"/>
  <c r="K52" i="54"/>
  <c r="F52" i="54"/>
  <c r="H52" i="54"/>
  <c r="I52" i="54"/>
  <c r="G52" i="54"/>
  <c r="C52" i="54"/>
  <c r="E56" i="54"/>
  <c r="D56" i="54"/>
  <c r="L56" i="54"/>
  <c r="F56" i="54"/>
  <c r="J56" i="54"/>
  <c r="I56" i="54"/>
  <c r="K56" i="54"/>
  <c r="G56" i="54"/>
  <c r="C56" i="54"/>
  <c r="H56" i="54"/>
  <c r="F25" i="54"/>
  <c r="G25" i="54"/>
  <c r="I25" i="54"/>
  <c r="J25" i="54"/>
  <c r="H25" i="54"/>
  <c r="L25" i="54"/>
  <c r="D25" i="54"/>
  <c r="C25" i="54"/>
  <c r="E25" i="54"/>
  <c r="K25" i="54"/>
  <c r="F33" i="48"/>
  <c r="AM33" i="48" s="1"/>
  <c r="AL33" i="48"/>
  <c r="L21" i="54"/>
  <c r="H21" i="54"/>
  <c r="C21" i="54"/>
  <c r="D21" i="54"/>
  <c r="I21" i="54"/>
  <c r="J21" i="54"/>
  <c r="E21" i="54"/>
  <c r="K21" i="54"/>
  <c r="G21" i="54"/>
  <c r="F21" i="54"/>
  <c r="F20" i="54"/>
  <c r="J20" i="54"/>
  <c r="D20" i="54"/>
  <c r="L20" i="54"/>
  <c r="C20" i="54"/>
  <c r="I20" i="54"/>
  <c r="G20" i="54"/>
  <c r="H20" i="54"/>
  <c r="E20" i="54"/>
  <c r="K20" i="54"/>
  <c r="G38" i="54"/>
  <c r="K38" i="54"/>
  <c r="D38" i="54"/>
  <c r="J38" i="54"/>
  <c r="H38" i="54"/>
  <c r="C38" i="54"/>
  <c r="E38" i="54"/>
  <c r="I38" i="54"/>
  <c r="F38" i="54"/>
  <c r="L38" i="54"/>
  <c r="K69" i="54"/>
  <c r="C69" i="54"/>
  <c r="I69" i="54"/>
  <c r="F69" i="54"/>
  <c r="H69" i="54"/>
  <c r="E69" i="54"/>
  <c r="J69" i="54"/>
  <c r="D69" i="54"/>
  <c r="G69" i="54"/>
  <c r="L69" i="54"/>
  <c r="F24" i="48"/>
  <c r="AM24" i="48" s="1"/>
  <c r="AL24" i="48"/>
  <c r="I76" i="54"/>
  <c r="F76" i="54"/>
  <c r="D76" i="54"/>
  <c r="C76" i="54"/>
  <c r="E76" i="54"/>
  <c r="K76" i="54"/>
  <c r="J76" i="54"/>
  <c r="G76" i="54"/>
  <c r="L76" i="54"/>
  <c r="H76" i="54"/>
  <c r="J36" i="54"/>
  <c r="D36" i="54"/>
  <c r="K36" i="54"/>
  <c r="C36" i="54"/>
  <c r="G36" i="54"/>
  <c r="F36" i="54"/>
  <c r="L36" i="54"/>
  <c r="I36" i="54"/>
  <c r="H36" i="54"/>
  <c r="E36" i="54"/>
  <c r="K37" i="54"/>
  <c r="E37" i="54"/>
  <c r="L37" i="54"/>
  <c r="J37" i="54"/>
  <c r="H37" i="54"/>
  <c r="F37" i="54"/>
  <c r="C37" i="54"/>
  <c r="I37" i="54"/>
  <c r="G37" i="54"/>
  <c r="D37" i="54"/>
  <c r="F31" i="48"/>
  <c r="AM31" i="48" s="1"/>
  <c r="AL31" i="48"/>
  <c r="F27" i="48"/>
  <c r="AM27" i="48" s="1"/>
  <c r="AL27" i="48"/>
  <c r="I29" i="54"/>
  <c r="C29" i="54"/>
  <c r="L29" i="54"/>
  <c r="G29" i="54"/>
  <c r="J29" i="54"/>
  <c r="E29" i="54"/>
  <c r="F29" i="54"/>
  <c r="K29" i="54"/>
  <c r="D29" i="54"/>
  <c r="H29" i="54"/>
  <c r="F4" i="48"/>
  <c r="AM4" i="48" s="1"/>
  <c r="AL4" i="48"/>
  <c r="H72" i="54"/>
  <c r="J72" i="54"/>
  <c r="L72" i="54"/>
  <c r="E72" i="54"/>
  <c r="D72" i="54"/>
  <c r="G72" i="54"/>
  <c r="C72" i="54"/>
  <c r="F72" i="54"/>
  <c r="K72" i="54"/>
  <c r="I72" i="54"/>
  <c r="F28" i="48"/>
  <c r="AM28" i="48" s="1"/>
  <c r="AL28" i="48"/>
  <c r="F20" i="48"/>
  <c r="AM20" i="48" s="1"/>
  <c r="AL20" i="48"/>
  <c r="F47" i="54"/>
  <c r="G47" i="54"/>
  <c r="K47" i="54"/>
  <c r="C47" i="54"/>
  <c r="I47" i="54"/>
  <c r="H47" i="54"/>
  <c r="E47" i="54"/>
  <c r="D47" i="54"/>
  <c r="L47" i="54"/>
  <c r="J47" i="54"/>
  <c r="I8" i="54"/>
  <c r="L8" i="54"/>
  <c r="H8" i="54"/>
  <c r="J8" i="54"/>
  <c r="F8" i="54"/>
  <c r="K8" i="54"/>
  <c r="D8" i="54"/>
  <c r="C8" i="54"/>
  <c r="G8" i="54"/>
  <c r="E8" i="54"/>
  <c r="E12" i="54"/>
  <c r="J12" i="54"/>
  <c r="K12" i="54"/>
  <c r="H12" i="54"/>
  <c r="F12" i="54"/>
  <c r="I12" i="54"/>
  <c r="L12" i="54"/>
  <c r="G12" i="54"/>
  <c r="D12" i="54"/>
  <c r="C12" i="54"/>
  <c r="F9" i="48"/>
  <c r="AM9" i="48" s="1"/>
  <c r="AL9" i="48"/>
  <c r="F17" i="48"/>
  <c r="AM17" i="48" s="1"/>
  <c r="AL17" i="48"/>
  <c r="H50" i="54"/>
  <c r="K50" i="54"/>
  <c r="F50" i="54"/>
  <c r="D50" i="54"/>
  <c r="G50" i="54"/>
  <c r="C50" i="54"/>
  <c r="L50" i="54"/>
  <c r="I50" i="54"/>
  <c r="J50" i="54"/>
  <c r="E50" i="54"/>
  <c r="G54" i="54"/>
  <c r="J54" i="54"/>
  <c r="I54" i="54"/>
  <c r="D54" i="54"/>
  <c r="C54" i="54"/>
  <c r="E54" i="54"/>
  <c r="K54" i="54"/>
  <c r="H54" i="54"/>
  <c r="L54" i="54"/>
  <c r="F54" i="54"/>
  <c r="E35" i="54"/>
  <c r="J35" i="54"/>
  <c r="D35" i="54"/>
  <c r="L35" i="54"/>
  <c r="H35" i="54"/>
  <c r="G35" i="54"/>
  <c r="I35" i="54"/>
  <c r="F35" i="54"/>
  <c r="C35" i="54"/>
  <c r="K35" i="54"/>
  <c r="F19" i="48"/>
  <c r="AM19" i="48" s="1"/>
  <c r="AL19" i="48"/>
  <c r="K75" i="54"/>
  <c r="L75" i="54"/>
  <c r="F75" i="54"/>
  <c r="D75" i="54"/>
  <c r="H75" i="54"/>
  <c r="E75" i="54"/>
  <c r="G75" i="54"/>
  <c r="J75" i="54"/>
  <c r="C75" i="54"/>
  <c r="I75" i="54"/>
  <c r="F23" i="48"/>
  <c r="AM23" i="48" s="1"/>
  <c r="AL23" i="48"/>
  <c r="F29" i="48"/>
  <c r="AM29" i="48" s="1"/>
  <c r="AL29" i="48"/>
  <c r="K24" i="54"/>
  <c r="F24" i="54"/>
  <c r="G24" i="54"/>
  <c r="C24" i="54"/>
  <c r="D24" i="54"/>
  <c r="H24" i="54"/>
  <c r="J24" i="54"/>
  <c r="E24" i="54"/>
  <c r="I24" i="54"/>
  <c r="L24" i="54"/>
  <c r="H71" i="54"/>
  <c r="L71" i="54"/>
  <c r="I71" i="54"/>
  <c r="K71" i="54"/>
  <c r="C71" i="54"/>
  <c r="F71" i="54"/>
  <c r="E71" i="54"/>
  <c r="J71" i="54"/>
  <c r="G71" i="54"/>
  <c r="D71" i="54"/>
  <c r="E78" i="54"/>
  <c r="I78" i="54"/>
  <c r="L78" i="54"/>
  <c r="H78" i="54"/>
  <c r="F78" i="54"/>
  <c r="J78" i="54"/>
  <c r="C78" i="54"/>
  <c r="D78" i="54"/>
  <c r="G78" i="54"/>
  <c r="K78" i="54"/>
  <c r="F13" i="48"/>
  <c r="AM13" i="48" s="1"/>
  <c r="AL13" i="48"/>
  <c r="G67" i="54"/>
  <c r="D67" i="54"/>
  <c r="I67" i="54"/>
  <c r="K67" i="54"/>
  <c r="E67" i="54"/>
  <c r="C67" i="54"/>
  <c r="J67" i="54"/>
  <c r="L67" i="54"/>
  <c r="F67" i="54"/>
  <c r="H67" i="54"/>
  <c r="K57" i="54"/>
  <c r="G57" i="54"/>
  <c r="I57" i="54"/>
  <c r="H57" i="54"/>
  <c r="D57" i="54"/>
  <c r="L57" i="54"/>
  <c r="J57" i="54"/>
  <c r="C57" i="54"/>
  <c r="E57" i="54"/>
  <c r="F57" i="54"/>
  <c r="H26" i="54"/>
  <c r="D26" i="54"/>
  <c r="K26" i="54"/>
  <c r="G26" i="54"/>
  <c r="J26" i="54"/>
  <c r="L26" i="54"/>
  <c r="E26" i="54"/>
  <c r="I26" i="54"/>
  <c r="C26" i="54"/>
  <c r="F26" i="54"/>
  <c r="F36" i="48"/>
  <c r="AM36" i="48" s="1"/>
  <c r="AL36" i="48"/>
  <c r="D63" i="54"/>
  <c r="G63" i="54"/>
  <c r="I63" i="54"/>
  <c r="C63" i="54"/>
  <c r="K63" i="54"/>
  <c r="H63" i="54"/>
  <c r="J63" i="54"/>
  <c r="F63" i="54"/>
  <c r="E63" i="54"/>
  <c r="L63" i="54"/>
  <c r="I22" i="54"/>
  <c r="C22" i="54"/>
  <c r="F22" i="54"/>
  <c r="E22" i="54"/>
  <c r="H22" i="54"/>
  <c r="K22" i="54"/>
  <c r="G22" i="54"/>
  <c r="J22" i="54"/>
  <c r="D22" i="54"/>
  <c r="L22" i="54"/>
  <c r="K60" i="54"/>
  <c r="D60" i="54"/>
  <c r="E60" i="54"/>
  <c r="J60" i="54"/>
  <c r="F60" i="54"/>
  <c r="I60" i="54"/>
  <c r="H60" i="54"/>
  <c r="C60" i="54"/>
  <c r="L60" i="54"/>
  <c r="G60" i="54"/>
  <c r="I41" i="54"/>
  <c r="F41" i="54"/>
  <c r="C41" i="54"/>
  <c r="K41" i="54"/>
  <c r="E41" i="54"/>
  <c r="G41" i="54"/>
  <c r="J41" i="54"/>
  <c r="L41" i="54"/>
  <c r="H41" i="54"/>
  <c r="D41" i="54"/>
  <c r="F35" i="48"/>
  <c r="AM35" i="48" s="1"/>
  <c r="AL35" i="48"/>
  <c r="G70" i="54"/>
  <c r="F70" i="54"/>
  <c r="H70" i="54"/>
  <c r="E70" i="54"/>
  <c r="C70" i="54"/>
  <c r="K70" i="54"/>
  <c r="I70" i="54"/>
  <c r="L70" i="54"/>
  <c r="J70" i="54"/>
  <c r="D70" i="54"/>
  <c r="C14" i="54"/>
  <c r="I14" i="54"/>
  <c r="E14" i="54"/>
  <c r="F14" i="54"/>
  <c r="G14" i="54"/>
  <c r="K14" i="54"/>
  <c r="J14" i="54"/>
  <c r="H14" i="54"/>
  <c r="L14" i="54"/>
  <c r="D14" i="54"/>
  <c r="F74" i="54"/>
  <c r="J74" i="54"/>
  <c r="H74" i="54"/>
  <c r="G74" i="54"/>
  <c r="D74" i="54"/>
  <c r="C74" i="54"/>
  <c r="L74" i="54"/>
  <c r="I74" i="54"/>
  <c r="E74" i="54"/>
  <c r="K74" i="54"/>
  <c r="J31" i="54"/>
  <c r="G31" i="54"/>
  <c r="K31" i="54"/>
  <c r="D31" i="54"/>
  <c r="E31" i="54"/>
  <c r="H31" i="54"/>
  <c r="L31" i="54"/>
  <c r="F31" i="54"/>
  <c r="I31" i="54"/>
  <c r="C31" i="54"/>
  <c r="J16" i="54"/>
  <c r="G16" i="54"/>
  <c r="F16" i="54"/>
  <c r="E16" i="54"/>
  <c r="H16" i="54"/>
  <c r="D16" i="54"/>
  <c r="C16" i="54"/>
  <c r="I16" i="54"/>
  <c r="K16" i="54"/>
  <c r="L16" i="54"/>
  <c r="D44" i="54"/>
  <c r="E44" i="54"/>
  <c r="J44" i="54"/>
  <c r="I44" i="54"/>
  <c r="G44" i="54"/>
  <c r="K44" i="54"/>
  <c r="F44" i="54"/>
  <c r="L44" i="54"/>
  <c r="C44" i="54"/>
  <c r="H44" i="54"/>
  <c r="L80" i="54"/>
  <c r="H80" i="54"/>
  <c r="C80" i="54"/>
  <c r="D80" i="54"/>
  <c r="E80" i="54"/>
  <c r="I80" i="54"/>
  <c r="G80" i="54"/>
  <c r="J80" i="54"/>
  <c r="K80" i="54"/>
  <c r="F80" i="54"/>
  <c r="D43" i="54"/>
  <c r="E43" i="54"/>
  <c r="L43" i="54"/>
  <c r="G43" i="54"/>
  <c r="F43" i="54"/>
  <c r="C43" i="54"/>
  <c r="I43" i="54"/>
  <c r="K43" i="54"/>
  <c r="J43" i="54"/>
  <c r="H43" i="54"/>
  <c r="K53" i="54"/>
  <c r="D53" i="54"/>
  <c r="H53" i="54"/>
  <c r="C53" i="54"/>
  <c r="G53" i="54"/>
  <c r="F53" i="54"/>
  <c r="E53" i="54"/>
  <c r="L53" i="54"/>
  <c r="I53" i="54"/>
  <c r="J53" i="54"/>
  <c r="K65" i="54"/>
  <c r="H65" i="54"/>
  <c r="G65" i="54"/>
  <c r="L65" i="54"/>
  <c r="J65" i="54"/>
  <c r="I65" i="54"/>
  <c r="C65" i="54"/>
  <c r="D65" i="54"/>
  <c r="F65" i="54"/>
  <c r="E65" i="54"/>
  <c r="F17" i="54"/>
  <c r="D17" i="54"/>
  <c r="K17" i="54"/>
  <c r="H17" i="54"/>
  <c r="J17" i="54"/>
  <c r="I17" i="54"/>
  <c r="L17" i="54"/>
  <c r="G17" i="54"/>
  <c r="E17" i="54"/>
  <c r="C17" i="54"/>
  <c r="G19" i="54"/>
  <c r="I19" i="54"/>
  <c r="C19" i="54"/>
  <c r="D19" i="54"/>
  <c r="L19" i="54"/>
  <c r="K19" i="54"/>
  <c r="H19" i="54"/>
  <c r="F19" i="54"/>
  <c r="J19" i="54"/>
  <c r="E19" i="54"/>
  <c r="D73" i="54"/>
  <c r="E73" i="54"/>
  <c r="C73" i="54"/>
  <c r="L73" i="54"/>
  <c r="H73" i="54"/>
  <c r="J73" i="54"/>
  <c r="F73" i="54"/>
  <c r="G73" i="54"/>
  <c r="K73" i="54"/>
  <c r="I73" i="54"/>
  <c r="J61" i="54"/>
  <c r="K61" i="54"/>
  <c r="H61" i="54"/>
  <c r="G61" i="54"/>
  <c r="L61" i="54"/>
  <c r="C61" i="54"/>
  <c r="F61" i="54"/>
  <c r="I61" i="54"/>
  <c r="D61" i="54"/>
  <c r="E61" i="54"/>
  <c r="C51" i="54"/>
  <c r="F51" i="54"/>
  <c r="K51" i="54"/>
  <c r="I51" i="54"/>
  <c r="D51" i="54"/>
  <c r="J51" i="54"/>
  <c r="L51" i="54"/>
  <c r="H51" i="54"/>
  <c r="E51" i="54"/>
  <c r="G51" i="54"/>
  <c r="L18" i="54"/>
  <c r="K18" i="54"/>
  <c r="D18" i="54"/>
  <c r="I18" i="54"/>
  <c r="H18" i="54"/>
  <c r="C18" i="54"/>
  <c r="E18" i="54"/>
  <c r="G18" i="54"/>
  <c r="J18" i="54"/>
  <c r="F18" i="54"/>
  <c r="J68" i="54"/>
  <c r="L68" i="54"/>
  <c r="C68" i="54"/>
  <c r="D68" i="54"/>
  <c r="I68" i="54"/>
  <c r="F68" i="54"/>
  <c r="E68" i="54"/>
  <c r="K68" i="54"/>
  <c r="G68" i="54"/>
  <c r="H68" i="54"/>
  <c r="J27" i="54"/>
  <c r="E27" i="54"/>
  <c r="I27" i="54"/>
  <c r="K27" i="54"/>
  <c r="G27" i="54"/>
  <c r="F27" i="54"/>
  <c r="H27" i="54"/>
  <c r="D27" i="54"/>
  <c r="L27" i="54"/>
  <c r="C27" i="54"/>
  <c r="E64" i="54"/>
  <c r="H64" i="54"/>
  <c r="L64" i="54"/>
  <c r="I64" i="54"/>
  <c r="F64" i="54"/>
  <c r="K64" i="54"/>
  <c r="C64" i="54"/>
  <c r="G64" i="54"/>
  <c r="D64" i="54"/>
  <c r="J64" i="54"/>
  <c r="E79" i="54"/>
  <c r="J79" i="54"/>
  <c r="F79" i="54"/>
  <c r="H79" i="54"/>
  <c r="G79" i="54"/>
  <c r="I79" i="54"/>
  <c r="L79" i="54"/>
  <c r="D79" i="54"/>
  <c r="C79" i="54"/>
  <c r="K79" i="54"/>
  <c r="C46" i="54"/>
  <c r="F46" i="54"/>
  <c r="G46" i="54"/>
  <c r="I46" i="54"/>
  <c r="H46" i="54"/>
  <c r="E46" i="54"/>
  <c r="D46" i="54"/>
  <c r="K46" i="54"/>
  <c r="J46" i="54"/>
  <c r="L46" i="54"/>
  <c r="F39" i="48"/>
  <c r="AM39" i="48" s="1"/>
  <c r="AL39" i="48"/>
  <c r="C59" i="54"/>
  <c r="J59" i="54"/>
  <c r="D59" i="54"/>
  <c r="E59" i="54"/>
  <c r="H59" i="54"/>
  <c r="I59" i="54"/>
  <c r="K59" i="54"/>
  <c r="G59" i="54"/>
  <c r="F59" i="54"/>
  <c r="L59" i="54"/>
  <c r="F41" i="48"/>
  <c r="AM41" i="48" s="1"/>
  <c r="AL41" i="48"/>
  <c r="F11" i="48"/>
  <c r="AM11" i="48" s="1"/>
  <c r="AL11" i="48"/>
  <c r="E11" i="54"/>
  <c r="I11" i="54"/>
  <c r="H11" i="54"/>
  <c r="D11" i="54"/>
  <c r="J11" i="54"/>
  <c r="L11" i="54"/>
  <c r="C11" i="54"/>
  <c r="F11" i="54"/>
  <c r="K11" i="54"/>
  <c r="G11" i="54"/>
  <c r="E7" i="54"/>
  <c r="L7" i="54"/>
  <c r="H7" i="54"/>
  <c r="K7" i="54"/>
  <c r="F7" i="54"/>
  <c r="C7" i="54"/>
  <c r="G7" i="54"/>
  <c r="D7" i="54"/>
  <c r="J7" i="54"/>
  <c r="I7" i="54"/>
  <c r="F38" i="48"/>
  <c r="AM38" i="48" s="1"/>
  <c r="AL38" i="48"/>
  <c r="F16" i="48"/>
  <c r="AM16" i="48" s="1"/>
  <c r="AL16" i="48"/>
  <c r="C5" i="54"/>
  <c r="K5" i="54"/>
  <c r="J5" i="54"/>
  <c r="F5" i="54"/>
  <c r="D5" i="54"/>
  <c r="H5" i="54"/>
  <c r="E5" i="54"/>
  <c r="I5" i="54"/>
  <c r="L5" i="54"/>
  <c r="G5" i="54"/>
  <c r="F39" i="54"/>
  <c r="K39" i="54"/>
  <c r="G39" i="54"/>
  <c r="E39" i="54"/>
  <c r="D39" i="54"/>
  <c r="L39" i="54"/>
  <c r="H39" i="54"/>
  <c r="J39" i="54"/>
  <c r="C39" i="54"/>
  <c r="I39" i="54"/>
  <c r="F32" i="48"/>
  <c r="AM32" i="48" s="1"/>
  <c r="AL32" i="48"/>
  <c r="L48" i="54"/>
  <c r="I48" i="54"/>
  <c r="C48" i="54"/>
  <c r="F48" i="54"/>
  <c r="D48" i="54"/>
  <c r="G48" i="54"/>
  <c r="E48" i="54"/>
  <c r="J48" i="54"/>
  <c r="K48" i="54"/>
  <c r="H48" i="54"/>
  <c r="J30" i="54"/>
  <c r="L30" i="54"/>
  <c r="C30" i="54"/>
  <c r="K30" i="54"/>
  <c r="H30" i="54"/>
  <c r="I30" i="54"/>
  <c r="G30" i="54"/>
  <c r="D30" i="54"/>
  <c r="F30" i="54"/>
  <c r="E30" i="54"/>
  <c r="F30" i="48"/>
  <c r="AM30" i="48" s="1"/>
  <c r="AL30" i="48"/>
  <c r="J15" i="54"/>
  <c r="C15" i="54"/>
  <c r="H15" i="54"/>
  <c r="D15" i="54"/>
  <c r="G15" i="54"/>
  <c r="L15" i="54"/>
  <c r="E15" i="54"/>
  <c r="K15" i="54"/>
  <c r="I15" i="54"/>
  <c r="F15" i="54"/>
  <c r="N55" i="55"/>
  <c r="N50" i="55"/>
  <c r="N68" i="55"/>
  <c r="N44" i="55"/>
  <c r="N56" i="55"/>
  <c r="N79" i="55"/>
  <c r="N73" i="55"/>
  <c r="N66" i="55"/>
  <c r="N67" i="55"/>
  <c r="N42" i="55"/>
  <c r="N74" i="55"/>
  <c r="N57" i="55"/>
  <c r="J2" i="54"/>
  <c r="K2" i="54"/>
  <c r="L2" i="54"/>
  <c r="E2" i="54"/>
  <c r="I2" i="54"/>
  <c r="H2" i="54"/>
  <c r="G2" i="54"/>
  <c r="D2" i="54"/>
  <c r="F2" i="54"/>
  <c r="C2" i="54"/>
  <c r="N60" i="55"/>
  <c r="N45" i="55"/>
  <c r="N51" i="55"/>
  <c r="N61" i="55"/>
  <c r="N69" i="55"/>
  <c r="N59" i="55"/>
  <c r="N75" i="55"/>
  <c r="N46" i="55"/>
  <c r="N47" i="55"/>
  <c r="N53" i="55"/>
  <c r="N71" i="55"/>
  <c r="N77" i="55"/>
  <c r="N70" i="55"/>
  <c r="N62" i="55"/>
  <c r="N63" i="55"/>
  <c r="N64" i="55"/>
  <c r="N48" i="55"/>
  <c r="N76" i="55"/>
  <c r="N54" i="55"/>
  <c r="N72" i="55"/>
  <c r="N52" i="55"/>
  <c r="N78" i="55"/>
  <c r="N65" i="55"/>
  <c r="N49" i="55"/>
  <c r="N80" i="55"/>
  <c r="N43" i="55"/>
  <c r="N58" i="55"/>
  <c r="G28" i="54"/>
  <c r="F28" i="54"/>
  <c r="I28" i="54"/>
  <c r="C28" i="54"/>
  <c r="H28" i="54"/>
  <c r="K28" i="54"/>
  <c r="D28" i="54"/>
  <c r="L28" i="54"/>
  <c r="E28" i="54"/>
  <c r="J28" i="54"/>
  <c r="C33" i="54"/>
  <c r="G33" i="54"/>
  <c r="J33" i="54"/>
  <c r="K33" i="54"/>
  <c r="D33" i="54"/>
  <c r="H33" i="54"/>
  <c r="L33" i="54"/>
  <c r="E33" i="54"/>
  <c r="F33" i="54"/>
  <c r="I33" i="54"/>
  <c r="H4" i="54"/>
  <c r="C4" i="54"/>
  <c r="G4" i="54"/>
  <c r="J4" i="54"/>
  <c r="F4" i="54"/>
  <c r="I4" i="54"/>
  <c r="D4" i="54"/>
  <c r="K4" i="54"/>
  <c r="E4" i="54"/>
  <c r="L4" i="54"/>
  <c r="F3" i="48"/>
  <c r="AM3" i="48" s="1"/>
  <c r="AL3" i="48"/>
  <c r="C55" i="54"/>
  <c r="G55" i="54"/>
  <c r="K55" i="54"/>
  <c r="I55" i="54"/>
  <c r="F55" i="54"/>
  <c r="J55" i="54"/>
  <c r="D55" i="54"/>
  <c r="E55" i="54"/>
  <c r="H55" i="54"/>
  <c r="L55" i="54"/>
  <c r="F40" i="48"/>
  <c r="AM40" i="48" s="1"/>
  <c r="AL40" i="48"/>
  <c r="F18" i="48"/>
  <c r="AM18" i="48" s="1"/>
  <c r="AL18" i="48"/>
  <c r="H9" i="54"/>
  <c r="K9" i="54"/>
  <c r="C9" i="54"/>
  <c r="J9" i="54"/>
  <c r="D9" i="54"/>
  <c r="F9" i="54"/>
  <c r="G9" i="54"/>
  <c r="L9" i="54"/>
  <c r="E9" i="54"/>
  <c r="I9" i="54"/>
  <c r="E42" i="54"/>
  <c r="D42" i="54"/>
  <c r="K42" i="54"/>
  <c r="C42" i="54"/>
  <c r="L42" i="54"/>
  <c r="G42" i="54"/>
  <c r="H42" i="54"/>
  <c r="J42" i="54"/>
  <c r="F42" i="54"/>
  <c r="I42" i="54"/>
  <c r="F15" i="48"/>
  <c r="AM15" i="48" s="1"/>
  <c r="AL15" i="48"/>
  <c r="L23" i="54"/>
  <c r="E23" i="54"/>
  <c r="K23" i="54"/>
  <c r="I23" i="54"/>
  <c r="H23" i="54"/>
  <c r="G23" i="54"/>
  <c r="F23" i="54"/>
  <c r="D23" i="54"/>
  <c r="C23" i="54"/>
  <c r="J23" i="54"/>
  <c r="F12" i="48"/>
  <c r="AM12" i="48" s="1"/>
  <c r="AL12" i="48"/>
  <c r="E62" i="54"/>
  <c r="L62" i="54"/>
  <c r="I62" i="54"/>
  <c r="H62" i="54"/>
  <c r="G62" i="54"/>
  <c r="D62" i="54"/>
  <c r="J62" i="54"/>
  <c r="F62" i="54"/>
  <c r="K62" i="54"/>
  <c r="C62" i="54"/>
  <c r="F21" i="48"/>
  <c r="AM21" i="48" s="1"/>
  <c r="AL21" i="48"/>
  <c r="F37" i="48"/>
  <c r="AM37" i="48" s="1"/>
  <c r="AL37" i="48"/>
  <c r="K6" i="54"/>
  <c r="L6" i="54"/>
  <c r="G6" i="54"/>
  <c r="H6" i="54"/>
  <c r="E6" i="54"/>
  <c r="C6" i="54"/>
  <c r="F6" i="54"/>
  <c r="J6" i="54"/>
  <c r="D6" i="54"/>
  <c r="I6" i="54"/>
  <c r="K66" i="54"/>
  <c r="E66" i="54"/>
  <c r="L66" i="54"/>
  <c r="H66" i="54"/>
  <c r="G66" i="54"/>
  <c r="J66" i="54"/>
  <c r="D66" i="54"/>
  <c r="C66" i="54"/>
  <c r="I66" i="54"/>
  <c r="F66" i="54"/>
  <c r="K13" i="54"/>
  <c r="D13" i="54"/>
  <c r="F13" i="54"/>
  <c r="J13" i="54"/>
  <c r="G13" i="54"/>
  <c r="E13" i="54"/>
  <c r="L13" i="54"/>
  <c r="H13" i="54"/>
  <c r="I13" i="54"/>
  <c r="C13" i="54"/>
  <c r="F2" i="48"/>
  <c r="AL2" i="48"/>
  <c r="I45" i="54"/>
  <c r="L45" i="54"/>
  <c r="D45" i="54"/>
  <c r="K45" i="54"/>
  <c r="E45" i="54"/>
  <c r="J45" i="54"/>
  <c r="G45" i="54"/>
  <c r="H45" i="54"/>
  <c r="F45" i="54"/>
  <c r="C45" i="54"/>
  <c r="F8" i="48"/>
  <c r="AM8" i="48" s="1"/>
  <c r="AL8" i="48"/>
  <c r="F25" i="48"/>
  <c r="AM25" i="48" s="1"/>
  <c r="AL25" i="48"/>
  <c r="F22" i="48"/>
  <c r="AM22" i="48" s="1"/>
  <c r="AL22" i="48"/>
  <c r="J32" i="54"/>
  <c r="D32" i="54"/>
  <c r="G32" i="54"/>
  <c r="K32" i="54"/>
  <c r="F32" i="54"/>
  <c r="C32" i="54"/>
  <c r="E32" i="54"/>
  <c r="L32" i="54"/>
  <c r="I32" i="54"/>
  <c r="H32" i="54"/>
  <c r="F7" i="48"/>
  <c r="AM7" i="48" s="1"/>
  <c r="AL7" i="48"/>
  <c r="F5" i="48"/>
  <c r="AM5" i="48" s="1"/>
  <c r="AL5" i="48"/>
  <c r="F10" i="48"/>
  <c r="AM10" i="48" s="1"/>
  <c r="AL10" i="48"/>
  <c r="F14" i="48"/>
  <c r="AM14" i="48" s="1"/>
  <c r="AL14" i="48"/>
  <c r="F26" i="48"/>
  <c r="AM26" i="48" s="1"/>
  <c r="AL26" i="48"/>
  <c r="J10" i="54"/>
  <c r="H10" i="54"/>
  <c r="C10" i="54"/>
  <c r="D10" i="54"/>
  <c r="L10" i="54"/>
  <c r="K10" i="54"/>
  <c r="F10" i="54"/>
  <c r="G10" i="54"/>
  <c r="I10" i="54"/>
  <c r="E10" i="54"/>
  <c r="F75" i="48"/>
  <c r="F56" i="48"/>
  <c r="F58" i="48"/>
  <c r="F96" i="48"/>
  <c r="F48" i="48"/>
  <c r="F91" i="48"/>
  <c r="F47" i="48"/>
  <c r="F42" i="48"/>
  <c r="F43" i="48"/>
  <c r="F101" i="48"/>
  <c r="F46" i="48"/>
  <c r="F72" i="48"/>
  <c r="F52" i="48"/>
  <c r="F98" i="48"/>
  <c r="F78" i="48"/>
  <c r="F84" i="48"/>
  <c r="F80" i="48"/>
  <c r="F93" i="48"/>
  <c r="F67" i="48"/>
  <c r="F53" i="48"/>
  <c r="F63" i="48"/>
  <c r="F99" i="48"/>
  <c r="F95" i="48"/>
  <c r="F89" i="48"/>
  <c r="F68" i="48"/>
  <c r="F79" i="48"/>
  <c r="F77" i="48"/>
  <c r="F70" i="48"/>
  <c r="F54" i="48"/>
  <c r="F45" i="48"/>
  <c r="F87" i="48"/>
  <c r="F90" i="48"/>
  <c r="F82" i="48"/>
  <c r="F50" i="48"/>
  <c r="F60" i="48"/>
  <c r="F65" i="48"/>
  <c r="F55" i="48"/>
  <c r="F59" i="48"/>
  <c r="F86" i="48"/>
  <c r="F88" i="48"/>
  <c r="F73" i="48"/>
  <c r="F74" i="48"/>
  <c r="F81" i="48"/>
  <c r="F100" i="48"/>
  <c r="F57" i="48"/>
  <c r="F44" i="48"/>
  <c r="F51" i="48"/>
  <c r="F83" i="48"/>
  <c r="F69" i="48"/>
  <c r="F66" i="48"/>
  <c r="A40" i="34"/>
  <c r="AF85" i="55"/>
  <c r="AG85" i="55"/>
  <c r="AG114" i="55"/>
  <c r="AF114" i="55"/>
  <c r="AF49" i="55"/>
  <c r="AG49" i="55"/>
  <c r="AF81" i="55"/>
  <c r="AG81" i="55"/>
  <c r="AG110" i="55"/>
  <c r="AF110" i="55"/>
  <c r="AG24" i="55"/>
  <c r="AF24" i="55"/>
  <c r="O181" i="47"/>
  <c r="O194" i="47"/>
  <c r="O224" i="47"/>
  <c r="O196" i="47"/>
  <c r="O129" i="47"/>
  <c r="O145" i="47"/>
  <c r="O121" i="47"/>
  <c r="O100" i="47"/>
  <c r="O219" i="47"/>
  <c r="O199" i="47"/>
  <c r="O152" i="47"/>
  <c r="O67" i="47"/>
  <c r="O43" i="47"/>
  <c r="O54" i="47"/>
  <c r="O79" i="47"/>
  <c r="O18" i="47"/>
  <c r="O166" i="47"/>
  <c r="O188" i="47"/>
  <c r="O119" i="47"/>
  <c r="O225" i="47"/>
  <c r="O151" i="47"/>
  <c r="O211" i="47"/>
  <c r="O99" i="47"/>
  <c r="O90" i="47"/>
  <c r="O74" i="47"/>
  <c r="O130" i="47"/>
  <c r="O210" i="47"/>
  <c r="O192" i="47"/>
  <c r="O146" i="47"/>
  <c r="O218" i="47"/>
  <c r="O206" i="47"/>
  <c r="O204" i="47"/>
  <c r="O93" i="47"/>
  <c r="O45" i="47"/>
  <c r="O34" i="47"/>
  <c r="O38" i="47"/>
  <c r="O164" i="47"/>
  <c r="O128" i="47"/>
  <c r="O36" i="47"/>
  <c r="O133" i="47"/>
  <c r="O226" i="47"/>
  <c r="O135" i="47"/>
  <c r="O213" i="47"/>
  <c r="O175" i="47"/>
  <c r="O126" i="47"/>
  <c r="O71" i="47"/>
  <c r="O77" i="47"/>
  <c r="AG30" i="55"/>
  <c r="O201" i="47"/>
  <c r="O169" i="47"/>
  <c r="O185" i="47"/>
  <c r="O98" i="47"/>
  <c r="O178" i="47"/>
  <c r="O157" i="47"/>
  <c r="O35" i="47"/>
  <c r="O42" i="47"/>
  <c r="O32" i="47"/>
  <c r="O76" i="47"/>
  <c r="O222" i="47"/>
  <c r="O221" i="47"/>
  <c r="O163" i="47"/>
  <c r="O101" i="47"/>
  <c r="AG2" i="55"/>
  <c r="AG66" i="55"/>
  <c r="AF16" i="55"/>
  <c r="AF70" i="55"/>
  <c r="AF111" i="55"/>
  <c r="AF33" i="55"/>
  <c r="AF61" i="55"/>
  <c r="AG80" i="55"/>
  <c r="O179" i="47"/>
  <c r="O170" i="47"/>
  <c r="O167" i="47"/>
  <c r="O187" i="47"/>
  <c r="O132" i="47"/>
  <c r="O49" i="47"/>
  <c r="O22" i="47"/>
  <c r="O134" i="47"/>
  <c r="O191" i="47"/>
  <c r="O180" i="47"/>
  <c r="O110" i="47"/>
  <c r="O84" i="47"/>
  <c r="O46" i="47"/>
  <c r="O20" i="47"/>
  <c r="AG69" i="55"/>
  <c r="AG97" i="55"/>
  <c r="AF30" i="55"/>
  <c r="AF25" i="55"/>
  <c r="AG35" i="55"/>
  <c r="AG26" i="55"/>
  <c r="AF97" i="55"/>
  <c r="AG70" i="55"/>
  <c r="AF2" i="55"/>
  <c r="AG62" i="55"/>
  <c r="AG21" i="55"/>
  <c r="AF93" i="55"/>
  <c r="AF6" i="55"/>
  <c r="AG95" i="55"/>
  <c r="AF44" i="55"/>
  <c r="AG22" i="55"/>
  <c r="AF69" i="55"/>
  <c r="AF15" i="55"/>
  <c r="AF8" i="55"/>
  <c r="AF68" i="55"/>
  <c r="AG93" i="55"/>
  <c r="AG15" i="55"/>
  <c r="AG75" i="55"/>
  <c r="AF67" i="55"/>
  <c r="AG78" i="55"/>
  <c r="AG54" i="55"/>
  <c r="AF10" i="55"/>
  <c r="AF22" i="55"/>
  <c r="AF75" i="55"/>
  <c r="AF21" i="55"/>
  <c r="AG36" i="55"/>
  <c r="AF35" i="55"/>
  <c r="AF86" i="55"/>
  <c r="AF34" i="55"/>
  <c r="AF102" i="55"/>
  <c r="AF46" i="55"/>
  <c r="AF53" i="55"/>
  <c r="AF37" i="55"/>
  <c r="AF36" i="55"/>
  <c r="AF95" i="55"/>
  <c r="AF5" i="55"/>
  <c r="AG16" i="55"/>
  <c r="AG102" i="55"/>
  <c r="AG46" i="55"/>
  <c r="AG61" i="55"/>
  <c r="AG5" i="55"/>
  <c r="AG47" i="55"/>
  <c r="AF80" i="55"/>
  <c r="AF89" i="55"/>
  <c r="AG34" i="55"/>
  <c r="AF54" i="55"/>
  <c r="AG44" i="55"/>
  <c r="AF26" i="55"/>
  <c r="AG86" i="55"/>
  <c r="AG67" i="55"/>
  <c r="AF66" i="55"/>
  <c r="AG53" i="55"/>
  <c r="AG37" i="55"/>
  <c r="AG82" i="55"/>
  <c r="AG33" i="55"/>
  <c r="AF3" i="55"/>
  <c r="AG25" i="55"/>
  <c r="AG111" i="55"/>
  <c r="AF78" i="55"/>
  <c r="AF60" i="55"/>
  <c r="AG60" i="55"/>
  <c r="AG8" i="55"/>
  <c r="AG68" i="55"/>
  <c r="AG89" i="55"/>
  <c r="AF47" i="55"/>
  <c r="AF82" i="55"/>
  <c r="AG10" i="55"/>
  <c r="AG3" i="55"/>
  <c r="AG98" i="55"/>
  <c r="AF48" i="55"/>
  <c r="AF72" i="55"/>
  <c r="AF11" i="55"/>
  <c r="AG169" i="55"/>
  <c r="AF145" i="55"/>
  <c r="AF123" i="55"/>
  <c r="AF169" i="55"/>
  <c r="AF73" i="55"/>
  <c r="AF175" i="55"/>
  <c r="AF184" i="55"/>
  <c r="AF158" i="55"/>
  <c r="AG42" i="55"/>
  <c r="AF173" i="55"/>
  <c r="AG177" i="55"/>
  <c r="AF106" i="55"/>
  <c r="AF107" i="55"/>
  <c r="AG132" i="55"/>
  <c r="AG127" i="55"/>
  <c r="AF131" i="55"/>
  <c r="AF166" i="55"/>
  <c r="AF171" i="55"/>
  <c r="AG112" i="55"/>
  <c r="AG116" i="55"/>
  <c r="AG109" i="55"/>
  <c r="AF42" i="55"/>
  <c r="AF128" i="55"/>
  <c r="AF126" i="55"/>
  <c r="AF58" i="55"/>
  <c r="AF186" i="55"/>
  <c r="AG182" i="55"/>
  <c r="AF56" i="55"/>
  <c r="AF51" i="55"/>
  <c r="AF125" i="55"/>
  <c r="AG134" i="55"/>
  <c r="AG138" i="55"/>
  <c r="AG186" i="55"/>
  <c r="AG94" i="55"/>
  <c r="AF117" i="55"/>
  <c r="AG121" i="55"/>
  <c r="AF96" i="55"/>
  <c r="AF160" i="55"/>
  <c r="AF92" i="55"/>
  <c r="AF140" i="55"/>
  <c r="AG150" i="55"/>
  <c r="AF14" i="55"/>
  <c r="AG117" i="55"/>
  <c r="AF105" i="55"/>
  <c r="AF98" i="55"/>
  <c r="AG183" i="55"/>
  <c r="AG87" i="55"/>
  <c r="AF129" i="55"/>
  <c r="AF139" i="55"/>
  <c r="AF137" i="55"/>
  <c r="AG130" i="55"/>
  <c r="AF155" i="55"/>
  <c r="AG74" i="55"/>
  <c r="AG103" i="55"/>
  <c r="AF115" i="55"/>
  <c r="AG71" i="55"/>
  <c r="AF162" i="55"/>
  <c r="AF108" i="55"/>
  <c r="AF178" i="55"/>
  <c r="AF120" i="55"/>
  <c r="AF148" i="55"/>
  <c r="AG12" i="55"/>
  <c r="AG123" i="55"/>
  <c r="AF13" i="55"/>
  <c r="AG124" i="55"/>
  <c r="AF103" i="55"/>
  <c r="AG122" i="55"/>
  <c r="AF59" i="55"/>
  <c r="AG57" i="55"/>
  <c r="AF9" i="55"/>
  <c r="AF83" i="55"/>
  <c r="AG179" i="55"/>
  <c r="AF41" i="55"/>
  <c r="AF116" i="55"/>
  <c r="AF167" i="55"/>
  <c r="AG120" i="55"/>
  <c r="AF63" i="55"/>
  <c r="AF182" i="55"/>
  <c r="AF121" i="55"/>
  <c r="AF122" i="55"/>
  <c r="AG133" i="55"/>
  <c r="AF109" i="55"/>
  <c r="AG32" i="55"/>
  <c r="AF130" i="55"/>
  <c r="AF100" i="55"/>
  <c r="AF57" i="55"/>
  <c r="AG55" i="55"/>
  <c r="AG92" i="55"/>
  <c r="AG63" i="55"/>
  <c r="AG118" i="55"/>
  <c r="AF29" i="55"/>
  <c r="AG156" i="55"/>
  <c r="AF144" i="55"/>
  <c r="AG50" i="55"/>
  <c r="AG115" i="55"/>
  <c r="AG4" i="55"/>
  <c r="AF132" i="55"/>
  <c r="AG149" i="55"/>
  <c r="AG162" i="55"/>
  <c r="AG65" i="55"/>
  <c r="AF45" i="55"/>
  <c r="AG13" i="55"/>
  <c r="AG175" i="55"/>
  <c r="AF159" i="55"/>
  <c r="AG31" i="55"/>
  <c r="AG137" i="55"/>
  <c r="AF141" i="55"/>
  <c r="AF17" i="55"/>
  <c r="AF101" i="55"/>
  <c r="AF119" i="55"/>
  <c r="AF127" i="55"/>
  <c r="AG147" i="55"/>
  <c r="AG158" i="55"/>
  <c r="AG181" i="55"/>
  <c r="AG99" i="55"/>
  <c r="AF65" i="55"/>
  <c r="AG39" i="55"/>
  <c r="AG77" i="55"/>
  <c r="AG20" i="55"/>
  <c r="AG105" i="55"/>
  <c r="AF143" i="55"/>
  <c r="AG126" i="55"/>
  <c r="AG72" i="55"/>
  <c r="AF151" i="55"/>
  <c r="AG28" i="55"/>
  <c r="AF31" i="55"/>
  <c r="AG41" i="55"/>
  <c r="AG165" i="55"/>
  <c r="AG59" i="55"/>
  <c r="AG83" i="55"/>
  <c r="AG101" i="55"/>
  <c r="AF183" i="55"/>
  <c r="AG29" i="55"/>
  <c r="AG51" i="55"/>
  <c r="AG170" i="55"/>
  <c r="AG91" i="55"/>
  <c r="AF170" i="55"/>
  <c r="AF185" i="55"/>
  <c r="AG11" i="55"/>
  <c r="AG142" i="55"/>
  <c r="AF76" i="55"/>
  <c r="AF52" i="55"/>
  <c r="AG146" i="55"/>
  <c r="AG125" i="55"/>
  <c r="AG153" i="55"/>
  <c r="AF165" i="55"/>
  <c r="AF161" i="55"/>
  <c r="AG40" i="55"/>
  <c r="AF4" i="55"/>
  <c r="AG131" i="55"/>
  <c r="AG27" i="55"/>
  <c r="AG166" i="55"/>
  <c r="AF99" i="55"/>
  <c r="AF38" i="55"/>
  <c r="AF113" i="55"/>
  <c r="AG151" i="55"/>
  <c r="AF74" i="55"/>
  <c r="AG155" i="55"/>
  <c r="AG172" i="55"/>
  <c r="AG100" i="55"/>
  <c r="AF153" i="55"/>
  <c r="AG168" i="55"/>
  <c r="AF157" i="55"/>
  <c r="AG135" i="55"/>
  <c r="AF164" i="55"/>
  <c r="AF79" i="55"/>
  <c r="AG113" i="55"/>
  <c r="AG174" i="55"/>
  <c r="AF28" i="55"/>
  <c r="AG161" i="55"/>
  <c r="AG19" i="55"/>
  <c r="AF19" i="55"/>
  <c r="AG45" i="55"/>
  <c r="AF149" i="55"/>
  <c r="AF181" i="55"/>
  <c r="AG73" i="55"/>
  <c r="AG173" i="55"/>
  <c r="AF71" i="55"/>
  <c r="AF87" i="55"/>
  <c r="AF20" i="55"/>
  <c r="AG164" i="55"/>
  <c r="AG76" i="55"/>
  <c r="AF133" i="55"/>
  <c r="AF18" i="55"/>
  <c r="AG14" i="55"/>
  <c r="AF177" i="55"/>
  <c r="AG84" i="55"/>
  <c r="AG88" i="55"/>
  <c r="AG119" i="55"/>
  <c r="AG171" i="55"/>
  <c r="AF43" i="55"/>
  <c r="AF163" i="55"/>
  <c r="AG176" i="55"/>
  <c r="AG96" i="55"/>
  <c r="AF168" i="55"/>
  <c r="AG167" i="55"/>
  <c r="AF150" i="55"/>
  <c r="AG145" i="55"/>
  <c r="AG129" i="55"/>
  <c r="AG107" i="55"/>
  <c r="AG106" i="55"/>
  <c r="AF152" i="55"/>
  <c r="AG90" i="55"/>
  <c r="AF136" i="55"/>
  <c r="AG43" i="55"/>
  <c r="AF174" i="55"/>
  <c r="AF176" i="55"/>
  <c r="AF118" i="55"/>
  <c r="AF55" i="55"/>
  <c r="AG58" i="55"/>
  <c r="AF156" i="55"/>
  <c r="AG48" i="55"/>
  <c r="AG38" i="55"/>
  <c r="AG157" i="55"/>
  <c r="AG180" i="55"/>
  <c r="AF146" i="55"/>
  <c r="AF179" i="55"/>
  <c r="AG178" i="55"/>
  <c r="AG64" i="55"/>
  <c r="AG136" i="55"/>
  <c r="AG17" i="55"/>
  <c r="AF91" i="55"/>
  <c r="AG154" i="55"/>
  <c r="AG128" i="55"/>
  <c r="AF27" i="55"/>
  <c r="AG23" i="55"/>
  <c r="AF88" i="55"/>
  <c r="AF77" i="55"/>
  <c r="AF40" i="55"/>
  <c r="AF94" i="55"/>
  <c r="AF135" i="55"/>
  <c r="AG160" i="55"/>
  <c r="AF154" i="55"/>
  <c r="AF138" i="55"/>
  <c r="AG143" i="55"/>
  <c r="AF104" i="55"/>
  <c r="AG139" i="55"/>
  <c r="AF112" i="55"/>
  <c r="AG79" i="55"/>
  <c r="AG52" i="55"/>
  <c r="AF32" i="55"/>
  <c r="AG148" i="55"/>
  <c r="AF124" i="55"/>
  <c r="AF134" i="55"/>
  <c r="AG152" i="55"/>
  <c r="AG185" i="55"/>
  <c r="AG108" i="55"/>
  <c r="AG140" i="55"/>
  <c r="AG9" i="55"/>
  <c r="AF142" i="55"/>
  <c r="AF23" i="55"/>
  <c r="AF90" i="55"/>
  <c r="AG159" i="55"/>
  <c r="AG144" i="55"/>
  <c r="AF180" i="55"/>
  <c r="AG18" i="55"/>
  <c r="AG56" i="55"/>
  <c r="AF39" i="55"/>
  <c r="AF172" i="55"/>
  <c r="AG163" i="55"/>
  <c r="AF50" i="55"/>
  <c r="AF12" i="55"/>
  <c r="AF84" i="55"/>
  <c r="AF147" i="55"/>
  <c r="AG184" i="55"/>
  <c r="AF64" i="55"/>
  <c r="AG104" i="55"/>
  <c r="AG141" i="55"/>
  <c r="O156" i="47"/>
  <c r="O186" i="47"/>
  <c r="O168" i="47"/>
  <c r="O165" i="47"/>
  <c r="AG6" i="55"/>
  <c r="O48" i="47"/>
  <c r="O60" i="47"/>
  <c r="O69" i="47"/>
  <c r="O17" i="47"/>
  <c r="O220" i="47"/>
  <c r="O172" i="47"/>
  <c r="O140" i="47"/>
  <c r="O173" i="47"/>
  <c r="O109" i="47"/>
  <c r="O147" i="47"/>
  <c r="O30" i="47"/>
  <c r="O41" i="47"/>
  <c r="O85" i="47"/>
  <c r="O44" i="47"/>
  <c r="O4" i="47"/>
  <c r="O15" i="47"/>
  <c r="O14" i="47"/>
  <c r="O7" i="47"/>
  <c r="O12" i="47"/>
  <c r="O5" i="47"/>
  <c r="O16" i="47"/>
  <c r="O9" i="47"/>
  <c r="O11" i="47"/>
  <c r="O10" i="47"/>
  <c r="O8" i="47"/>
  <c r="O13" i="47"/>
  <c r="O6" i="47"/>
  <c r="O3" i="47"/>
  <c r="O97" i="47"/>
  <c r="O107" i="47"/>
  <c r="O21" i="47"/>
  <c r="O33" i="47"/>
  <c r="O65" i="47"/>
  <c r="O31" i="47"/>
  <c r="O174" i="47"/>
  <c r="O137" i="47"/>
  <c r="O118" i="47"/>
  <c r="O108" i="47"/>
  <c r="O47" i="47"/>
  <c r="O63" i="47"/>
  <c r="O227" i="47"/>
  <c r="O223" i="47"/>
  <c r="O102" i="47"/>
  <c r="O202" i="47"/>
  <c r="O106" i="47"/>
  <c r="O117" i="47"/>
  <c r="O105" i="47"/>
  <c r="O95" i="47"/>
  <c r="O28" i="47"/>
  <c r="O25" i="47"/>
  <c r="O91" i="47"/>
  <c r="O58" i="47"/>
  <c r="O55" i="47"/>
  <c r="O88" i="47"/>
  <c r="O56" i="47"/>
  <c r="O190" i="47"/>
  <c r="O123" i="47"/>
  <c r="O144" i="47"/>
  <c r="O215" i="47"/>
  <c r="O81" i="47"/>
  <c r="O59" i="47"/>
  <c r="O24" i="47"/>
  <c r="O37" i="47"/>
  <c r="O39" i="47"/>
  <c r="O89" i="47"/>
  <c r="O114" i="47"/>
  <c r="O177" i="47"/>
  <c r="O138" i="47"/>
  <c r="O52" i="47"/>
  <c r="O92" i="47"/>
  <c r="O29" i="47"/>
  <c r="O23" i="47"/>
  <c r="O80" i="47"/>
  <c r="O122" i="47"/>
  <c r="O159" i="47"/>
  <c r="O143" i="47"/>
  <c r="O19" i="47"/>
  <c r="O75" i="47"/>
  <c r="O66" i="47"/>
  <c r="O161" i="47"/>
  <c r="O198" i="47"/>
  <c r="O94" i="47"/>
  <c r="O72" i="47"/>
  <c r="O26" i="47"/>
  <c r="O203" i="47"/>
  <c r="O142" i="47"/>
  <c r="O208" i="47"/>
  <c r="O150" i="47"/>
  <c r="O217" i="47"/>
  <c r="O124" i="47"/>
  <c r="O96" i="47"/>
  <c r="O64" i="47"/>
  <c r="O83" i="47"/>
  <c r="O53" i="47"/>
  <c r="O78" i="47"/>
  <c r="O87" i="47"/>
  <c r="O131" i="47"/>
  <c r="O113" i="47"/>
  <c r="O214" i="47"/>
  <c r="O189" i="47"/>
  <c r="O115" i="47"/>
  <c r="O153" i="47"/>
  <c r="O116" i="47"/>
  <c r="O205" i="47"/>
  <c r="O111" i="47"/>
  <c r="O160" i="47"/>
  <c r="O139" i="47"/>
  <c r="O61" i="47"/>
  <c r="AF62" i="55"/>
  <c r="O104" i="47"/>
  <c r="O103" i="47"/>
  <c r="O195" i="47"/>
  <c r="O212" i="47"/>
  <c r="O184" i="47"/>
  <c r="O171" i="47"/>
  <c r="O197" i="47"/>
  <c r="O158" i="47"/>
  <c r="O136" i="47"/>
  <c r="O120" i="47"/>
  <c r="O183" i="47"/>
  <c r="O57" i="47"/>
  <c r="O82" i="47"/>
  <c r="O70" i="47"/>
  <c r="O51" i="47"/>
  <c r="O27" i="47"/>
  <c r="O193" i="47"/>
  <c r="O73" i="47"/>
  <c r="O127" i="47"/>
  <c r="O125" i="47"/>
  <c r="O155" i="47"/>
  <c r="O162" i="47"/>
  <c r="O207" i="47"/>
  <c r="O148" i="47"/>
  <c r="O68" i="47"/>
  <c r="O40" i="47"/>
  <c r="O86" i="47"/>
  <c r="O50" i="47"/>
  <c r="O62" i="47"/>
  <c r="O149" i="47"/>
  <c r="O176" i="47"/>
  <c r="O182" i="47"/>
  <c r="O112" i="47"/>
  <c r="O141" i="47"/>
  <c r="O209" i="47"/>
  <c r="O216" i="47"/>
  <c r="O200" i="47"/>
  <c r="O154" i="47"/>
  <c r="BF2" i="48" l="1"/>
  <c r="AM2" i="48"/>
  <c r="A41" i="34"/>
  <c r="R128" i="48"/>
  <c r="Q12" i="48"/>
  <c r="P49" i="44"/>
  <c r="AN176" i="54"/>
  <c r="AE206" i="54"/>
  <c r="R43" i="44"/>
  <c r="AN151" i="54"/>
  <c r="R154" i="44"/>
  <c r="R15" i="44"/>
  <c r="Q116" i="48"/>
  <c r="AN13" i="54"/>
  <c r="Q37" i="48"/>
  <c r="S145" i="48"/>
  <c r="AN181" i="54"/>
  <c r="P100" i="48"/>
  <c r="R69" i="48"/>
  <c r="AN8" i="54"/>
  <c r="S119" i="44"/>
  <c r="S82" i="44"/>
  <c r="AE79" i="54"/>
  <c r="P191" i="48"/>
  <c r="R52" i="48"/>
  <c r="R168" i="48"/>
  <c r="AN124" i="54"/>
  <c r="P98" i="48"/>
  <c r="Q184" i="44"/>
  <c r="S56" i="44"/>
  <c r="S118" i="44"/>
  <c r="R49" i="48"/>
  <c r="P152" i="48"/>
  <c r="AE11" i="54"/>
  <c r="P66" i="44"/>
  <c r="P54" i="48"/>
  <c r="S5" i="44"/>
  <c r="P155" i="48"/>
  <c r="Q25" i="44"/>
  <c r="P107" i="48"/>
  <c r="S152" i="44"/>
  <c r="S153" i="44"/>
  <c r="S117" i="48"/>
  <c r="AN119" i="54"/>
  <c r="P94" i="48"/>
  <c r="R92" i="44"/>
  <c r="Q90" i="44"/>
  <c r="R22" i="44"/>
  <c r="S15" i="48"/>
  <c r="R31" i="44"/>
  <c r="AN44" i="54"/>
  <c r="R41" i="48"/>
  <c r="AN11" i="54"/>
  <c r="AN161" i="54"/>
  <c r="S111" i="44"/>
  <c r="AE9" i="54"/>
  <c r="P2" i="44"/>
  <c r="Q159" i="48"/>
  <c r="S203" i="48"/>
  <c r="S80" i="48"/>
  <c r="AE154" i="54"/>
  <c r="S216" i="48"/>
  <c r="P172" i="44"/>
  <c r="S28" i="44"/>
  <c r="R28" i="44"/>
  <c r="AE133" i="54"/>
  <c r="AN154" i="54"/>
  <c r="P4" i="48"/>
  <c r="S64" i="48"/>
  <c r="R75" i="44"/>
  <c r="S195" i="48"/>
  <c r="Q158" i="48"/>
  <c r="P55" i="44"/>
  <c r="S180" i="44"/>
  <c r="P61" i="44"/>
  <c r="S121" i="44"/>
  <c r="P29" i="48"/>
  <c r="R188" i="48"/>
  <c r="Q191" i="44"/>
  <c r="S165" i="48"/>
  <c r="R58" i="44"/>
  <c r="R59" i="48"/>
  <c r="R86" i="48"/>
  <c r="AN132" i="54"/>
  <c r="Q76" i="44"/>
  <c r="S26" i="48"/>
  <c r="R153" i="44"/>
  <c r="P31" i="44"/>
  <c r="P139" i="48"/>
  <c r="Q174" i="44"/>
  <c r="R161" i="48"/>
  <c r="Q31" i="48"/>
  <c r="Q97" i="48"/>
  <c r="P127" i="48"/>
  <c r="P88" i="48"/>
  <c r="Q109" i="44"/>
  <c r="S168" i="48"/>
  <c r="P152" i="44"/>
  <c r="S141" i="44"/>
  <c r="AN171" i="54"/>
  <c r="Q133" i="44"/>
  <c r="AE145" i="54"/>
  <c r="P125" i="44"/>
  <c r="AE104" i="54"/>
  <c r="P42" i="48"/>
  <c r="P90" i="48"/>
  <c r="AN148" i="54"/>
  <c r="P38" i="48"/>
  <c r="S173" i="48"/>
  <c r="AE102" i="54"/>
  <c r="Q13" i="48"/>
  <c r="P6" i="44"/>
  <c r="R17" i="48"/>
  <c r="S98" i="44"/>
  <c r="R80" i="44"/>
  <c r="S122" i="44"/>
  <c r="P67" i="44"/>
  <c r="S104" i="44"/>
  <c r="S186" i="44"/>
  <c r="AN147" i="54"/>
  <c r="R105" i="48"/>
  <c r="R22" i="48"/>
  <c r="AN163" i="54"/>
  <c r="R45" i="44"/>
  <c r="Q56" i="44"/>
  <c r="Q4" i="44"/>
  <c r="R127" i="44"/>
  <c r="P36" i="48"/>
  <c r="Q192" i="48"/>
  <c r="Q105" i="44"/>
  <c r="R223" i="48"/>
  <c r="AE139" i="54"/>
  <c r="Q126" i="44"/>
  <c r="Q167" i="44"/>
  <c r="Q99" i="44"/>
  <c r="R161" i="44"/>
  <c r="R90" i="44"/>
  <c r="Q74" i="48"/>
  <c r="AN32" i="54"/>
  <c r="R48" i="48"/>
  <c r="Q138" i="48"/>
  <c r="P76" i="44"/>
  <c r="S185" i="44"/>
  <c r="Q209" i="44"/>
  <c r="Q62" i="48"/>
  <c r="S40" i="48"/>
  <c r="P132" i="48"/>
  <c r="S86" i="48"/>
  <c r="R45" i="48"/>
  <c r="AN62" i="54"/>
  <c r="AE144" i="54"/>
  <c r="R122" i="48"/>
  <c r="R108" i="44"/>
  <c r="AE94" i="54"/>
  <c r="R116" i="44"/>
  <c r="R101" i="48"/>
  <c r="AN217" i="54"/>
  <c r="P178" i="48"/>
  <c r="S99" i="44"/>
  <c r="AN88" i="54"/>
  <c r="Q85" i="48"/>
  <c r="S127" i="48"/>
  <c r="AN12" i="54"/>
  <c r="S39" i="48"/>
  <c r="R177" i="44"/>
  <c r="R189" i="44"/>
  <c r="P140" i="44"/>
  <c r="R19" i="48"/>
  <c r="P58" i="48"/>
  <c r="R97" i="48"/>
  <c r="P173" i="44"/>
  <c r="R68" i="44"/>
  <c r="P159" i="48"/>
  <c r="S6" i="44"/>
  <c r="R146" i="44"/>
  <c r="Q171" i="48"/>
  <c r="Q106" i="44"/>
  <c r="R196" i="48"/>
  <c r="P192" i="44"/>
  <c r="R133" i="48"/>
  <c r="AE45" i="54"/>
  <c r="P81" i="44"/>
  <c r="R57" i="48"/>
  <c r="Q124" i="48"/>
  <c r="S25" i="44"/>
  <c r="P64" i="44"/>
  <c r="Q41" i="44"/>
  <c r="P162" i="44"/>
  <c r="S85" i="44"/>
  <c r="AN208" i="54"/>
  <c r="S146" i="44"/>
  <c r="R112" i="48"/>
  <c r="P182" i="44"/>
  <c r="S177" i="44"/>
  <c r="Q62" i="44"/>
  <c r="AN207" i="54"/>
  <c r="Q223" i="48"/>
  <c r="R149" i="48"/>
  <c r="S49" i="48"/>
  <c r="AN104" i="54"/>
  <c r="Q96" i="44"/>
  <c r="Q185" i="44"/>
  <c r="AE24" i="54"/>
  <c r="AE201" i="54"/>
  <c r="S145" i="44"/>
  <c r="S209" i="44"/>
  <c r="R17" i="44"/>
  <c r="S152" i="48"/>
  <c r="P226" i="48"/>
  <c r="Q213" i="44"/>
  <c r="R27" i="44"/>
  <c r="S69" i="48"/>
  <c r="R130" i="48"/>
  <c r="Q142" i="44"/>
  <c r="S17" i="44"/>
  <c r="R32" i="44"/>
  <c r="S55" i="48"/>
  <c r="P136" i="44"/>
  <c r="Q91" i="48"/>
  <c r="AE148" i="54"/>
  <c r="Q131" i="48"/>
  <c r="AN103" i="54"/>
  <c r="AN67" i="54"/>
  <c r="AE59" i="54"/>
  <c r="Q116" i="44"/>
  <c r="P204" i="48"/>
  <c r="Q160" i="44"/>
  <c r="Q25" i="48"/>
  <c r="P3" i="48"/>
  <c r="Q200" i="48"/>
  <c r="AN39" i="54"/>
  <c r="R193" i="44"/>
  <c r="P15" i="44"/>
  <c r="S134" i="48"/>
  <c r="AE173" i="54"/>
  <c r="R38" i="48"/>
  <c r="Q101" i="48"/>
  <c r="S184" i="48"/>
  <c r="R85" i="44"/>
  <c r="P43" i="48"/>
  <c r="P134" i="48"/>
  <c r="R164" i="44"/>
  <c r="AE171" i="54"/>
  <c r="S90" i="44"/>
  <c r="R163" i="44"/>
  <c r="P20" i="48"/>
  <c r="AN30" i="54"/>
  <c r="AN141" i="54"/>
  <c r="AE182" i="54"/>
  <c r="AE5" i="54"/>
  <c r="AN71" i="54"/>
  <c r="S33" i="48"/>
  <c r="R88" i="48"/>
  <c r="Q6" i="44"/>
  <c r="Q179" i="44"/>
  <c r="P2" i="48"/>
  <c r="R84" i="44"/>
  <c r="P215" i="48"/>
  <c r="Q121" i="44"/>
  <c r="S23" i="48"/>
  <c r="R166" i="48"/>
  <c r="S52" i="48"/>
  <c r="Q112" i="48"/>
  <c r="AE4" i="54"/>
  <c r="AE2" i="54"/>
  <c r="Q47" i="48"/>
  <c r="P118" i="48"/>
  <c r="S177" i="48"/>
  <c r="R143" i="44"/>
  <c r="Q5" i="44"/>
  <c r="S135" i="48"/>
  <c r="R113" i="44"/>
  <c r="AE198" i="54"/>
  <c r="R149" i="44"/>
  <c r="AN95" i="54"/>
  <c r="P88" i="44"/>
  <c r="S125" i="48"/>
  <c r="R49" i="44"/>
  <c r="AE138" i="54"/>
  <c r="P220" i="48"/>
  <c r="Q196" i="48"/>
  <c r="P99" i="44"/>
  <c r="AE155" i="54"/>
  <c r="Q212" i="48"/>
  <c r="Q24" i="48"/>
  <c r="S132" i="44"/>
  <c r="P125" i="48"/>
  <c r="AE47" i="54"/>
  <c r="R151" i="48"/>
  <c r="S197" i="48"/>
  <c r="Q136" i="44"/>
  <c r="S16" i="44"/>
  <c r="S3" i="48"/>
  <c r="R91" i="48"/>
  <c r="P112" i="44"/>
  <c r="S26" i="44"/>
  <c r="P95" i="48"/>
  <c r="Q90" i="48"/>
  <c r="Q59" i="44"/>
  <c r="S30" i="48"/>
  <c r="AN144" i="54"/>
  <c r="AN53" i="54"/>
  <c r="S48" i="48"/>
  <c r="AE33" i="54"/>
  <c r="Q114" i="48"/>
  <c r="AE112" i="54"/>
  <c r="P70" i="44"/>
  <c r="R140" i="44"/>
  <c r="R50" i="48"/>
  <c r="R82" i="44"/>
  <c r="S89" i="48"/>
  <c r="P89" i="48"/>
  <c r="S58" i="48"/>
  <c r="S72" i="44"/>
  <c r="Q15" i="44"/>
  <c r="P134" i="44"/>
  <c r="Q158" i="44"/>
  <c r="Q85" i="44"/>
  <c r="P99" i="48"/>
  <c r="P166" i="48"/>
  <c r="Q147" i="48"/>
  <c r="Q82" i="48"/>
  <c r="S135" i="44"/>
  <c r="Q38" i="44"/>
  <c r="P80" i="48"/>
  <c r="P35" i="44"/>
  <c r="S61" i="48"/>
  <c r="P188" i="48"/>
  <c r="S101" i="44"/>
  <c r="S2" i="44"/>
  <c r="AN9" i="54"/>
  <c r="S14" i="48"/>
  <c r="AE95" i="54"/>
  <c r="R153" i="48"/>
  <c r="P139" i="44"/>
  <c r="S61" i="44"/>
  <c r="P145" i="48"/>
  <c r="AN114" i="54"/>
  <c r="Q4" i="48"/>
  <c r="S208" i="48"/>
  <c r="P175" i="48"/>
  <c r="AN78" i="54"/>
  <c r="Q163" i="48"/>
  <c r="R81" i="44"/>
  <c r="R25" i="48"/>
  <c r="AE151" i="54"/>
  <c r="S24" i="48"/>
  <c r="S98" i="48"/>
  <c r="Q140" i="48"/>
  <c r="S183" i="44"/>
  <c r="P52" i="44"/>
  <c r="Q66" i="48"/>
  <c r="R105" i="44"/>
  <c r="S221" i="44"/>
  <c r="AE212" i="54"/>
  <c r="P59" i="44"/>
  <c r="S129" i="48"/>
  <c r="S196" i="48"/>
  <c r="R188" i="44"/>
  <c r="P72" i="48"/>
  <c r="AE108" i="54"/>
  <c r="S22" i="48"/>
  <c r="R59" i="44"/>
  <c r="S45" i="44"/>
  <c r="Q100" i="44"/>
  <c r="S172" i="48"/>
  <c r="R170" i="44"/>
  <c r="S205" i="48"/>
  <c r="R202" i="48"/>
  <c r="S136" i="44"/>
  <c r="AN125" i="54"/>
  <c r="Q46" i="44"/>
  <c r="P106" i="48"/>
  <c r="P110" i="48"/>
  <c r="AN150" i="54"/>
  <c r="R75" i="48"/>
  <c r="AE114" i="54"/>
  <c r="S64" i="44"/>
  <c r="AE175" i="54"/>
  <c r="S36" i="44"/>
  <c r="P156" i="44"/>
  <c r="S103" i="44"/>
  <c r="AN120" i="54"/>
  <c r="Q125" i="48"/>
  <c r="S63" i="48"/>
  <c r="S123" i="44"/>
  <c r="R48" i="44"/>
  <c r="S111" i="48"/>
  <c r="AN77" i="54"/>
  <c r="Q22" i="44"/>
  <c r="S211" i="48"/>
  <c r="Q19" i="48"/>
  <c r="P157" i="48"/>
  <c r="P137" i="48"/>
  <c r="R26" i="48"/>
  <c r="R10" i="44"/>
  <c r="R126" i="48"/>
  <c r="P123" i="48"/>
  <c r="S43" i="44"/>
  <c r="S78" i="48"/>
  <c r="AN173" i="54"/>
  <c r="R162" i="48"/>
  <c r="S12" i="44"/>
  <c r="Q103" i="48"/>
  <c r="S67" i="48"/>
  <c r="AN128" i="54"/>
  <c r="AN198" i="54"/>
  <c r="AN221" i="54"/>
  <c r="S133" i="48"/>
  <c r="Q155" i="44"/>
  <c r="S160" i="48"/>
  <c r="S102" i="48"/>
  <c r="P74" i="48"/>
  <c r="R183" i="48"/>
  <c r="AE107" i="54"/>
  <c r="P149" i="44"/>
  <c r="R14" i="48"/>
  <c r="P83" i="48"/>
  <c r="S109" i="44"/>
  <c r="P144" i="48"/>
  <c r="Q19" i="44"/>
  <c r="P93" i="44"/>
  <c r="Q6" i="48"/>
  <c r="S18" i="44"/>
  <c r="P53" i="44"/>
  <c r="Q152" i="48"/>
  <c r="Q93" i="48"/>
  <c r="Q161" i="44"/>
  <c r="AE96" i="54"/>
  <c r="R196" i="44"/>
  <c r="R122" i="44"/>
  <c r="R74" i="44"/>
  <c r="P200" i="48"/>
  <c r="R208" i="48"/>
  <c r="AN34" i="54"/>
  <c r="R39" i="44"/>
  <c r="R150" i="44"/>
  <c r="AE164" i="54"/>
  <c r="Q127" i="44"/>
  <c r="S158" i="44"/>
  <c r="R114" i="48"/>
  <c r="Q2" i="48"/>
  <c r="Q145" i="48"/>
  <c r="R41" i="44"/>
  <c r="S162" i="44"/>
  <c r="Q66" i="44"/>
  <c r="AN179" i="54"/>
  <c r="AE67" i="54"/>
  <c r="Q130" i="48"/>
  <c r="Q94" i="44"/>
  <c r="AN204" i="54"/>
  <c r="P28" i="48"/>
  <c r="AE168" i="54"/>
  <c r="R118" i="44"/>
  <c r="Q127" i="48"/>
  <c r="Q93" i="44"/>
  <c r="AN100" i="54"/>
  <c r="R112" i="44"/>
  <c r="S117" i="44"/>
  <c r="Q178" i="44"/>
  <c r="P148" i="48"/>
  <c r="P102" i="48"/>
  <c r="AN55" i="54"/>
  <c r="Q69" i="44"/>
  <c r="Q110" i="48"/>
  <c r="S53" i="48"/>
  <c r="S126" i="48"/>
  <c r="S91" i="48"/>
  <c r="R147" i="48"/>
  <c r="Q111" i="44"/>
  <c r="AE149" i="54"/>
  <c r="AN130" i="54"/>
  <c r="S8" i="44"/>
  <c r="AE30" i="54"/>
  <c r="Q190" i="48"/>
  <c r="Q16" i="44"/>
  <c r="S199" i="48"/>
  <c r="Q107" i="44"/>
  <c r="P111" i="48"/>
  <c r="R66" i="48"/>
  <c r="Q136" i="48"/>
  <c r="AN60" i="54"/>
  <c r="Q74" i="44"/>
  <c r="R107" i="44"/>
  <c r="AE61" i="54"/>
  <c r="R27" i="48"/>
  <c r="Q218" i="44"/>
  <c r="R187" i="44"/>
  <c r="P126" i="44"/>
  <c r="Q169" i="48"/>
  <c r="AE134" i="54"/>
  <c r="S19" i="48"/>
  <c r="Q40" i="44"/>
  <c r="P84" i="44"/>
  <c r="R197" i="44"/>
  <c r="S21" i="48"/>
  <c r="R169" i="44"/>
  <c r="AN110" i="54"/>
  <c r="P92" i="48"/>
  <c r="R67" i="48"/>
  <c r="Q47" i="44"/>
  <c r="S62" i="48"/>
  <c r="R123" i="48"/>
  <c r="Q64" i="44"/>
  <c r="Q38" i="48"/>
  <c r="AE159" i="54"/>
  <c r="AE10" i="54"/>
  <c r="S176" i="44"/>
  <c r="S106" i="44"/>
  <c r="R141" i="48"/>
  <c r="P33" i="44"/>
  <c r="R88" i="44"/>
  <c r="S157" i="48"/>
  <c r="P124" i="48"/>
  <c r="R157" i="48"/>
  <c r="P23" i="44"/>
  <c r="S91" i="44"/>
  <c r="AE113" i="54"/>
  <c r="AE92" i="54"/>
  <c r="AN19" i="54"/>
  <c r="S118" i="48"/>
  <c r="R134" i="44"/>
  <c r="AN183" i="54"/>
  <c r="S28" i="48"/>
  <c r="S137" i="44"/>
  <c r="S67" i="44"/>
  <c r="P144" i="44"/>
  <c r="S16" i="48"/>
  <c r="Q139" i="44"/>
  <c r="S154" i="44"/>
  <c r="P48" i="48"/>
  <c r="AN170" i="54"/>
  <c r="AE195" i="54"/>
  <c r="S138" i="48"/>
  <c r="S142" i="48"/>
  <c r="AE136" i="54"/>
  <c r="Q205" i="44"/>
  <c r="S149" i="48"/>
  <c r="Q14" i="44"/>
  <c r="AN56" i="54"/>
  <c r="AE152" i="54"/>
  <c r="S66" i="44"/>
  <c r="P181" i="44"/>
  <c r="AE174" i="54"/>
  <c r="R33" i="48"/>
  <c r="Q137" i="48"/>
  <c r="AE208" i="54"/>
  <c r="Q83" i="48"/>
  <c r="S44" i="44"/>
  <c r="P56" i="44"/>
  <c r="P79" i="48"/>
  <c r="Q179" i="48"/>
  <c r="Q104" i="48"/>
  <c r="P143" i="44"/>
  <c r="R62" i="48"/>
  <c r="P138" i="44"/>
  <c r="S154" i="48"/>
  <c r="R128" i="44"/>
  <c r="Q147" i="44"/>
  <c r="P33" i="48"/>
  <c r="Q140" i="44"/>
  <c r="R137" i="44"/>
  <c r="R72" i="44"/>
  <c r="R56" i="48"/>
  <c r="AN174" i="54"/>
  <c r="R225" i="48"/>
  <c r="Q215" i="48"/>
  <c r="S192" i="44"/>
  <c r="Q77" i="44"/>
  <c r="AE158" i="54"/>
  <c r="R8" i="48"/>
  <c r="S148" i="44"/>
  <c r="AN65" i="54"/>
  <c r="R144" i="48"/>
  <c r="Q154" i="48"/>
  <c r="AN82" i="54"/>
  <c r="Q115" i="48"/>
  <c r="P51" i="48"/>
  <c r="S80" i="44"/>
  <c r="AN5" i="54"/>
  <c r="P87" i="44"/>
  <c r="R203" i="44"/>
  <c r="S184" i="44"/>
  <c r="P37" i="48"/>
  <c r="S77" i="48"/>
  <c r="S107" i="44"/>
  <c r="AN28" i="54"/>
  <c r="R194" i="48"/>
  <c r="P85" i="44"/>
  <c r="P128" i="48"/>
  <c r="R173" i="44"/>
  <c r="R216" i="48"/>
  <c r="AN153" i="54"/>
  <c r="AE122" i="54"/>
  <c r="S201" i="48"/>
  <c r="R179" i="44"/>
  <c r="S82" i="48"/>
  <c r="S156" i="48"/>
  <c r="AN102" i="54"/>
  <c r="Q88" i="48"/>
  <c r="Q68" i="48"/>
  <c r="AN137" i="54"/>
  <c r="R159" i="48"/>
  <c r="Q88" i="44"/>
  <c r="Q9" i="44"/>
  <c r="P4" i="44"/>
  <c r="R51" i="44"/>
  <c r="S206" i="44"/>
  <c r="Q135" i="48"/>
  <c r="Q33" i="44"/>
  <c r="R156" i="44"/>
  <c r="R91" i="44"/>
  <c r="AN194" i="54"/>
  <c r="R47" i="48"/>
  <c r="R219" i="44"/>
  <c r="AN213" i="54"/>
  <c r="S194" i="48"/>
  <c r="P40" i="44"/>
  <c r="P77" i="44"/>
  <c r="Q216" i="48"/>
  <c r="P77" i="48"/>
  <c r="P45" i="44"/>
  <c r="AN50" i="54"/>
  <c r="P131" i="48"/>
  <c r="S31" i="48"/>
  <c r="R40" i="44"/>
  <c r="R63" i="48"/>
  <c r="P212" i="48"/>
  <c r="Q71" i="48"/>
  <c r="P155" i="44"/>
  <c r="AN72" i="54"/>
  <c r="P14" i="48"/>
  <c r="P64" i="48"/>
  <c r="AN168" i="54"/>
  <c r="AN145" i="54"/>
  <c r="S210" i="48"/>
  <c r="P87" i="48"/>
  <c r="Q141" i="48"/>
  <c r="Q60" i="48"/>
  <c r="P170" i="48"/>
  <c r="R214" i="44"/>
  <c r="AE189" i="54"/>
  <c r="P108" i="44"/>
  <c r="Q105" i="48"/>
  <c r="P26" i="44"/>
  <c r="P189" i="44"/>
  <c r="AN172" i="54"/>
  <c r="S180" i="48"/>
  <c r="R99" i="48"/>
  <c r="AN134" i="54"/>
  <c r="R205" i="48"/>
  <c r="Q39" i="48"/>
  <c r="S181" i="44"/>
  <c r="AE162" i="54"/>
  <c r="R141" i="44"/>
  <c r="R124" i="48"/>
  <c r="AE26" i="54"/>
  <c r="Q42" i="48"/>
  <c r="AN133" i="54"/>
  <c r="P104" i="44"/>
  <c r="Q14" i="48"/>
  <c r="P61" i="48"/>
  <c r="S190" i="48"/>
  <c r="S147" i="48"/>
  <c r="P22" i="44"/>
  <c r="Q17" i="44"/>
  <c r="AN85" i="54"/>
  <c r="S78" i="44"/>
  <c r="Q45" i="48"/>
  <c r="S188" i="48"/>
  <c r="AN18" i="54"/>
  <c r="P98" i="44"/>
  <c r="AE204" i="54"/>
  <c r="P7" i="44"/>
  <c r="S104" i="48"/>
  <c r="Q42" i="44"/>
  <c r="S139" i="44"/>
  <c r="AN215" i="54"/>
  <c r="P40" i="48"/>
  <c r="R145" i="48"/>
  <c r="P175" i="44"/>
  <c r="P101" i="48"/>
  <c r="AE65" i="54"/>
  <c r="P101" i="44"/>
  <c r="P11" i="48"/>
  <c r="S141" i="48"/>
  <c r="P109" i="44"/>
  <c r="R26" i="44"/>
  <c r="P44" i="44"/>
  <c r="S36" i="48"/>
  <c r="AN157" i="54"/>
  <c r="Q63" i="48"/>
  <c r="S164" i="48"/>
  <c r="R178" i="48"/>
  <c r="P51" i="44"/>
  <c r="Q173" i="44"/>
  <c r="R152" i="44"/>
  <c r="R5" i="48"/>
  <c r="S171" i="44"/>
  <c r="AN80" i="54"/>
  <c r="S84" i="44"/>
  <c r="R31" i="48"/>
  <c r="R102" i="48"/>
  <c r="S162" i="48"/>
  <c r="S116" i="44"/>
  <c r="Q68" i="44"/>
  <c r="Q98" i="44"/>
  <c r="S24" i="44"/>
  <c r="R23" i="48"/>
  <c r="Q159" i="44"/>
  <c r="R46" i="44"/>
  <c r="AN152" i="54"/>
  <c r="Q199" i="44"/>
  <c r="P117" i="44"/>
  <c r="AE21" i="54"/>
  <c r="AN42" i="54"/>
  <c r="Q27" i="48"/>
  <c r="AN97" i="54"/>
  <c r="S14" i="44"/>
  <c r="AN187" i="54"/>
  <c r="P10" i="44"/>
  <c r="Q59" i="48"/>
  <c r="S83" i="44"/>
  <c r="Q78" i="48"/>
  <c r="S167" i="44"/>
  <c r="Q174" i="48"/>
  <c r="Q10" i="44"/>
  <c r="AN3" i="54"/>
  <c r="R110" i="48"/>
  <c r="AE199" i="54"/>
  <c r="AE127" i="54"/>
  <c r="Q114" i="44"/>
  <c r="P79" i="44"/>
  <c r="Q167" i="48"/>
  <c r="R65" i="44"/>
  <c r="AE100" i="54"/>
  <c r="R46" i="48"/>
  <c r="P15" i="48"/>
  <c r="R58" i="48"/>
  <c r="R103" i="44"/>
  <c r="R157" i="44"/>
  <c r="P5" i="48"/>
  <c r="AE194" i="54"/>
  <c r="Q128" i="48"/>
  <c r="AE29" i="54"/>
  <c r="P17" i="48"/>
  <c r="AN118" i="54"/>
  <c r="AN61" i="54"/>
  <c r="P110" i="44"/>
  <c r="P213" i="48"/>
  <c r="S33" i="44"/>
  <c r="P12" i="44"/>
  <c r="AE167" i="54"/>
  <c r="AE200" i="54"/>
  <c r="S29" i="44"/>
  <c r="AN216" i="54"/>
  <c r="P212" i="44"/>
  <c r="AE115" i="54"/>
  <c r="P168" i="48"/>
  <c r="Q214" i="44"/>
  <c r="P68" i="48"/>
  <c r="S172" i="44"/>
  <c r="P161" i="48"/>
  <c r="R131" i="48"/>
  <c r="P117" i="48"/>
  <c r="AN109" i="54"/>
  <c r="AN47" i="54"/>
  <c r="Q135" i="44"/>
  <c r="S77" i="44"/>
  <c r="R18" i="48"/>
  <c r="S151" i="44"/>
  <c r="P187" i="44"/>
  <c r="P23" i="48"/>
  <c r="P31" i="48"/>
  <c r="S2" i="48"/>
  <c r="R162" i="44"/>
  <c r="R98" i="44"/>
  <c r="P185" i="48"/>
  <c r="AE85" i="54"/>
  <c r="Q81" i="48"/>
  <c r="P71" i="44"/>
  <c r="S134" i="44"/>
  <c r="R135" i="48"/>
  <c r="P129" i="44"/>
  <c r="AN193" i="54"/>
  <c r="AE101" i="54"/>
  <c r="R82" i="48"/>
  <c r="R107" i="48"/>
  <c r="R126" i="44"/>
  <c r="AN197" i="54"/>
  <c r="Q141" i="44"/>
  <c r="AN26" i="54"/>
  <c r="Q170" i="44"/>
  <c r="AN199" i="54"/>
  <c r="AN7" i="54"/>
  <c r="AN211" i="54"/>
  <c r="S159" i="48"/>
  <c r="Q102" i="48"/>
  <c r="Q24" i="44"/>
  <c r="R109" i="44"/>
  <c r="S63" i="44"/>
  <c r="Q113" i="48"/>
  <c r="P104" i="48"/>
  <c r="Q146" i="44"/>
  <c r="AE70" i="54"/>
  <c r="R7" i="44"/>
  <c r="Q156" i="44"/>
  <c r="R132" i="44"/>
  <c r="P177" i="44"/>
  <c r="P164" i="48"/>
  <c r="AN203" i="54"/>
  <c r="R78" i="44"/>
  <c r="P27" i="48"/>
  <c r="S170" i="48"/>
  <c r="AE55" i="54"/>
  <c r="P122" i="48"/>
  <c r="P85" i="48"/>
  <c r="AN54" i="54"/>
  <c r="Q186" i="48"/>
  <c r="R202" i="44"/>
  <c r="AN64" i="54"/>
  <c r="R144" i="44"/>
  <c r="AE13" i="54"/>
  <c r="P190" i="44"/>
  <c r="R191" i="48"/>
  <c r="AE111" i="54"/>
  <c r="S85" i="48"/>
  <c r="AE64" i="54"/>
  <c r="P41" i="48"/>
  <c r="AE71" i="54"/>
  <c r="R78" i="48"/>
  <c r="P114" i="44"/>
  <c r="P119" i="48"/>
  <c r="S50" i="44"/>
  <c r="S114" i="44"/>
  <c r="P168" i="44"/>
  <c r="Q121" i="48"/>
  <c r="S25" i="48"/>
  <c r="R102" i="44"/>
  <c r="P14" i="44"/>
  <c r="R211" i="48"/>
  <c r="R218" i="44"/>
  <c r="S69" i="44"/>
  <c r="Q109" i="48"/>
  <c r="Q180" i="44"/>
  <c r="Q195" i="44"/>
  <c r="AE12" i="54"/>
  <c r="Q148" i="44"/>
  <c r="AE89" i="54"/>
  <c r="P24" i="48"/>
  <c r="R42" i="48"/>
  <c r="Q157" i="44"/>
  <c r="R42" i="44"/>
  <c r="Q45" i="44"/>
  <c r="Q11" i="44"/>
  <c r="Q205" i="48"/>
  <c r="AE166" i="54"/>
  <c r="S214" i="44"/>
  <c r="AN10" i="54"/>
  <c r="Q132" i="48"/>
  <c r="P160" i="44"/>
  <c r="AN159" i="54"/>
  <c r="P26" i="48"/>
  <c r="S130" i="44"/>
  <c r="S17" i="48"/>
  <c r="P20" i="44"/>
  <c r="Q86" i="48"/>
  <c r="P16" i="44"/>
  <c r="AN121" i="54"/>
  <c r="S142" i="44"/>
  <c r="R13" i="44"/>
  <c r="S149" i="44"/>
  <c r="S48" i="44"/>
  <c r="R129" i="44"/>
  <c r="Q181" i="48"/>
  <c r="P28" i="44"/>
  <c r="AE160" i="54"/>
  <c r="AN143" i="54"/>
  <c r="AN112" i="54"/>
  <c r="P193" i="44"/>
  <c r="AN27" i="54"/>
  <c r="Q156" i="48"/>
  <c r="AN169" i="54"/>
  <c r="R89" i="44"/>
  <c r="P174" i="48"/>
  <c r="Q61" i="44"/>
  <c r="AN40" i="54"/>
  <c r="AE28" i="54"/>
  <c r="S68" i="44"/>
  <c r="S65" i="48"/>
  <c r="S40" i="44"/>
  <c r="AE86" i="54"/>
  <c r="AE87" i="54"/>
  <c r="P120" i="48"/>
  <c r="P39" i="48"/>
  <c r="AN122" i="54"/>
  <c r="S214" i="48"/>
  <c r="Q143" i="48"/>
  <c r="AE191" i="54"/>
  <c r="S191" i="44"/>
  <c r="AE32" i="54"/>
  <c r="S220" i="44"/>
  <c r="S200" i="44"/>
  <c r="Q219" i="48"/>
  <c r="P126" i="48"/>
  <c r="S93" i="44"/>
  <c r="AN196" i="54"/>
  <c r="Q184" i="48"/>
  <c r="Q73" i="44"/>
  <c r="R145" i="44"/>
  <c r="S73" i="48"/>
  <c r="S96" i="44"/>
  <c r="Q36" i="48"/>
  <c r="AE217" i="54"/>
  <c r="AN4" i="54"/>
  <c r="AN205" i="54"/>
  <c r="P35" i="48"/>
  <c r="R69" i="44"/>
  <c r="Q39" i="44"/>
  <c r="R204" i="44"/>
  <c r="S144" i="44"/>
  <c r="Q54" i="48"/>
  <c r="AE103" i="54"/>
  <c r="R36" i="48"/>
  <c r="Q175" i="44"/>
  <c r="R212" i="44"/>
  <c r="Q197" i="48"/>
  <c r="S194" i="44"/>
  <c r="R173" i="48"/>
  <c r="R110" i="44"/>
  <c r="P150" i="44"/>
  <c r="S219" i="48"/>
  <c r="Q94" i="48"/>
  <c r="Q44" i="48"/>
  <c r="R121" i="48"/>
  <c r="AE16" i="54"/>
  <c r="P116" i="48"/>
  <c r="S120" i="44"/>
  <c r="P25" i="44"/>
  <c r="S155" i="48"/>
  <c r="R142" i="44"/>
  <c r="R9" i="44"/>
  <c r="R96" i="48"/>
  <c r="AE109" i="54"/>
  <c r="R167" i="48"/>
  <c r="R80" i="48"/>
  <c r="AN117" i="54"/>
  <c r="R33" i="44"/>
  <c r="AN113" i="54"/>
  <c r="Q86" i="44"/>
  <c r="Q3" i="44"/>
  <c r="AE99" i="54"/>
  <c r="S207" i="48"/>
  <c r="AE120" i="54"/>
  <c r="P60" i="48"/>
  <c r="Q95" i="48"/>
  <c r="S15" i="44"/>
  <c r="Q89" i="48"/>
  <c r="R72" i="48"/>
  <c r="P173" i="48"/>
  <c r="P7" i="48"/>
  <c r="Q122" i="44"/>
  <c r="AE15" i="54"/>
  <c r="P121" i="44"/>
  <c r="AN123" i="54"/>
  <c r="Q112" i="44"/>
  <c r="P59" i="48"/>
  <c r="AN155" i="54"/>
  <c r="S20" i="48"/>
  <c r="P205" i="48"/>
  <c r="AN51" i="54"/>
  <c r="R79" i="44"/>
  <c r="Q202" i="44"/>
  <c r="R37" i="44"/>
  <c r="R174" i="48"/>
  <c r="Q120" i="48"/>
  <c r="Q172" i="44"/>
  <c r="Q41" i="48"/>
  <c r="P181" i="48"/>
  <c r="AN86" i="54"/>
  <c r="Q76" i="48"/>
  <c r="AE97" i="54"/>
  <c r="P68" i="44"/>
  <c r="R131" i="44"/>
  <c r="P121" i="48"/>
  <c r="Q27" i="44"/>
  <c r="R55" i="44"/>
  <c r="S120" i="48"/>
  <c r="S71" i="44"/>
  <c r="R160" i="48"/>
  <c r="AN201" i="54"/>
  <c r="AE215" i="54"/>
  <c r="P103" i="44"/>
  <c r="Q152" i="44"/>
  <c r="AN24" i="54"/>
  <c r="P21" i="48"/>
  <c r="S75" i="44"/>
  <c r="S41" i="48"/>
  <c r="S7" i="48"/>
  <c r="Q29" i="44"/>
  <c r="S130" i="48"/>
  <c r="Q123" i="48"/>
  <c r="Q75" i="48"/>
  <c r="P44" i="48"/>
  <c r="AN149" i="54"/>
  <c r="S29" i="48"/>
  <c r="Q5" i="48"/>
  <c r="R209" i="48"/>
  <c r="AN74" i="54"/>
  <c r="P30" i="48"/>
  <c r="S6" i="48"/>
  <c r="P75" i="48"/>
  <c r="S171" i="48"/>
  <c r="R190" i="44"/>
  <c r="R92" i="48"/>
  <c r="AE192" i="54"/>
  <c r="R79" i="48"/>
  <c r="P150" i="48"/>
  <c r="R137" i="48"/>
  <c r="R207" i="48"/>
  <c r="Q115" i="44"/>
  <c r="AN164" i="54"/>
  <c r="P57" i="44"/>
  <c r="R163" i="48"/>
  <c r="P199" i="44"/>
  <c r="AE68" i="54"/>
  <c r="S204" i="44"/>
  <c r="AE193" i="54"/>
  <c r="AE35" i="54"/>
  <c r="R44" i="44"/>
  <c r="S196" i="44"/>
  <c r="S11" i="48"/>
  <c r="AE140" i="54"/>
  <c r="S47" i="44"/>
  <c r="P163" i="44"/>
  <c r="Q170" i="48"/>
  <c r="AN52" i="54"/>
  <c r="S198" i="48"/>
  <c r="R120" i="48"/>
  <c r="S76" i="44"/>
  <c r="AE58" i="54"/>
  <c r="Q7" i="48"/>
  <c r="AE216" i="54"/>
  <c r="Q139" i="48"/>
  <c r="Q82" i="44"/>
  <c r="R29" i="48"/>
  <c r="P45" i="48"/>
  <c r="S103" i="48"/>
  <c r="P158" i="48"/>
  <c r="S37" i="48"/>
  <c r="S13" i="48"/>
  <c r="S107" i="48"/>
  <c r="Q32" i="48"/>
  <c r="Q7" i="44"/>
  <c r="AE3" i="54"/>
  <c r="S131" i="44"/>
  <c r="Q165" i="44"/>
  <c r="P8" i="48"/>
  <c r="AE46" i="54"/>
  <c r="S204" i="48"/>
  <c r="R172" i="48"/>
  <c r="R150" i="48"/>
  <c r="P183" i="44"/>
  <c r="P115" i="44"/>
  <c r="P133" i="44"/>
  <c r="S37" i="44"/>
  <c r="AE141" i="54"/>
  <c r="AN139" i="54"/>
  <c r="AN2" i="54"/>
  <c r="S187" i="48"/>
  <c r="Q134" i="48"/>
  <c r="AN49" i="54"/>
  <c r="AN115" i="54"/>
  <c r="Q214" i="48"/>
  <c r="R24" i="48"/>
  <c r="Q16" i="48"/>
  <c r="P97" i="44"/>
  <c r="S12" i="48"/>
  <c r="AE169" i="54"/>
  <c r="R99" i="44"/>
  <c r="Q129" i="44"/>
  <c r="Q67" i="48"/>
  <c r="AE38" i="54"/>
  <c r="R16" i="48"/>
  <c r="R181" i="44"/>
  <c r="R120" i="44"/>
  <c r="P147" i="48"/>
  <c r="R10" i="48"/>
  <c r="S97" i="44"/>
  <c r="P116" i="44"/>
  <c r="R129" i="48"/>
  <c r="AN111" i="54"/>
  <c r="Q79" i="48"/>
  <c r="R53" i="44"/>
  <c r="P202" i="48"/>
  <c r="Q72" i="48"/>
  <c r="Q58" i="48"/>
  <c r="P96" i="48"/>
  <c r="P145" i="44"/>
  <c r="AE37" i="54"/>
  <c r="P148" i="44"/>
  <c r="P48" i="44"/>
  <c r="Q91" i="44"/>
  <c r="Q22" i="48"/>
  <c r="S56" i="48"/>
  <c r="Q97" i="44"/>
  <c r="S178" i="44"/>
  <c r="AE53" i="54"/>
  <c r="AE49" i="54"/>
  <c r="Q160" i="48"/>
  <c r="S112" i="48"/>
  <c r="P52" i="48"/>
  <c r="Q49" i="48"/>
  <c r="S95" i="48"/>
  <c r="Q194" i="44"/>
  <c r="AE161" i="54"/>
  <c r="S83" i="48"/>
  <c r="P17" i="44"/>
  <c r="Q3" i="48"/>
  <c r="P49" i="48"/>
  <c r="Q8" i="44"/>
  <c r="AE210" i="54"/>
  <c r="R44" i="48"/>
  <c r="P135" i="48"/>
  <c r="AE50" i="54"/>
  <c r="AE220" i="54"/>
  <c r="Q144" i="44"/>
  <c r="AE6" i="54"/>
  <c r="S125" i="44"/>
  <c r="R180" i="44"/>
  <c r="AE105" i="54"/>
  <c r="S88" i="44"/>
  <c r="R139" i="48"/>
  <c r="R73" i="48"/>
  <c r="P19" i="48"/>
  <c r="Q10" i="48"/>
  <c r="Q129" i="48"/>
  <c r="S92" i="44"/>
  <c r="S97" i="48"/>
  <c r="AE88" i="54"/>
  <c r="P122" i="44"/>
  <c r="R210" i="44"/>
  <c r="AE125" i="54"/>
  <c r="P210" i="48"/>
  <c r="Q81" i="44"/>
  <c r="R52" i="44"/>
  <c r="S53" i="44"/>
  <c r="Q178" i="48"/>
  <c r="AE131" i="54"/>
  <c r="AN127" i="54"/>
  <c r="P92" i="44"/>
  <c r="S133" i="44"/>
  <c r="P32" i="44"/>
  <c r="P123" i="44"/>
  <c r="S100" i="44"/>
  <c r="AN206" i="54"/>
  <c r="AE172" i="54"/>
  <c r="R132" i="48"/>
  <c r="P159" i="44"/>
  <c r="R152" i="48"/>
  <c r="P164" i="44"/>
  <c r="S113" i="48"/>
  <c r="P166" i="44"/>
  <c r="S70" i="48"/>
  <c r="P86" i="44"/>
  <c r="P128" i="44"/>
  <c r="P163" i="48"/>
  <c r="P202" i="44"/>
  <c r="Q183" i="44"/>
  <c r="AN79" i="54"/>
  <c r="S198" i="44"/>
  <c r="S223" i="48"/>
  <c r="R66" i="44"/>
  <c r="R24" i="44"/>
  <c r="S176" i="48"/>
  <c r="AE205" i="54"/>
  <c r="P216" i="48"/>
  <c r="Q119" i="44"/>
  <c r="R117" i="44"/>
  <c r="Q46" i="48"/>
  <c r="P193" i="48"/>
  <c r="P209" i="48"/>
  <c r="P191" i="44"/>
  <c r="AN212" i="54"/>
  <c r="Q209" i="48"/>
  <c r="P199" i="48"/>
  <c r="R70" i="48"/>
  <c r="AE77" i="54"/>
  <c r="Q21" i="44"/>
  <c r="R50" i="44"/>
  <c r="Q201" i="48"/>
  <c r="S42" i="48"/>
  <c r="AE135" i="54"/>
  <c r="R114" i="44"/>
  <c r="R29" i="44"/>
  <c r="P78" i="44"/>
  <c r="R12" i="48"/>
  <c r="R35" i="44"/>
  <c r="AE211" i="54"/>
  <c r="AN36" i="54"/>
  <c r="R51" i="48"/>
  <c r="Q153" i="48"/>
  <c r="Q87" i="44"/>
  <c r="P96" i="44"/>
  <c r="S161" i="44"/>
  <c r="AE73" i="54"/>
  <c r="S3" i="44"/>
  <c r="AE90" i="54"/>
  <c r="R7" i="48"/>
  <c r="R63" i="44"/>
  <c r="Q101" i="44"/>
  <c r="S87" i="44"/>
  <c r="S66" i="48"/>
  <c r="S193" i="48"/>
  <c r="AE209" i="54"/>
  <c r="R81" i="48"/>
  <c r="S62" i="44"/>
  <c r="AN38" i="54"/>
  <c r="P29" i="44"/>
  <c r="Q35" i="44"/>
  <c r="R28" i="48"/>
  <c r="R93" i="44"/>
  <c r="S153" i="48"/>
  <c r="S202" i="44"/>
  <c r="S151" i="48"/>
  <c r="S137" i="48"/>
  <c r="R100" i="44"/>
  <c r="Q67" i="44"/>
  <c r="Q106" i="48"/>
  <c r="AN142" i="54"/>
  <c r="P135" i="44"/>
  <c r="AE60" i="54"/>
  <c r="Q171" i="44"/>
  <c r="S217" i="44"/>
  <c r="S150" i="44"/>
  <c r="S136" i="48"/>
  <c r="Q201" i="44"/>
  <c r="AE176" i="54"/>
  <c r="Q70" i="44"/>
  <c r="AN66" i="54"/>
  <c r="S86" i="44"/>
  <c r="AN90" i="54"/>
  <c r="R165" i="48"/>
  <c r="Q108" i="48"/>
  <c r="R85" i="48"/>
  <c r="AE202" i="54"/>
  <c r="R215" i="44"/>
  <c r="AE91" i="54"/>
  <c r="AE74" i="54"/>
  <c r="Q9" i="48"/>
  <c r="Q65" i="44"/>
  <c r="P89" i="44"/>
  <c r="Q149" i="48"/>
  <c r="R94" i="48"/>
  <c r="R220" i="48"/>
  <c r="P37" i="44"/>
  <c r="Q100" i="48"/>
  <c r="Q189" i="48"/>
  <c r="Q144" i="48"/>
  <c r="Q53" i="48"/>
  <c r="P103" i="48"/>
  <c r="S166" i="44"/>
  <c r="R174" i="44"/>
  <c r="P195" i="44"/>
  <c r="AE157" i="54"/>
  <c r="R121" i="44"/>
  <c r="R175" i="44"/>
  <c r="Q169" i="44"/>
  <c r="S139" i="48"/>
  <c r="P86" i="48"/>
  <c r="Q164" i="48"/>
  <c r="R37" i="48"/>
  <c r="S4" i="44"/>
  <c r="Q71" i="44"/>
  <c r="R124" i="44"/>
  <c r="R166" i="44"/>
  <c r="Q28" i="48"/>
  <c r="P167" i="44"/>
  <c r="Q57" i="44"/>
  <c r="Q175" i="48"/>
  <c r="R56" i="44"/>
  <c r="AN218" i="54"/>
  <c r="Q132" i="44"/>
  <c r="P109" i="48"/>
  <c r="R123" i="44"/>
  <c r="AN160" i="54"/>
  <c r="P73" i="44"/>
  <c r="S101" i="48"/>
  <c r="Q80" i="44"/>
  <c r="Q48" i="48"/>
  <c r="P153" i="48"/>
  <c r="Q78" i="44"/>
  <c r="S38" i="44"/>
  <c r="P13" i="44"/>
  <c r="P180" i="44"/>
  <c r="AN189" i="54"/>
  <c r="S147" i="44"/>
  <c r="R11" i="44"/>
  <c r="Q120" i="44"/>
  <c r="S8" i="48"/>
  <c r="R198" i="48"/>
  <c r="Q28" i="44"/>
  <c r="AN31" i="54"/>
  <c r="AN190" i="54"/>
  <c r="P171" i="48"/>
  <c r="AN33" i="54"/>
  <c r="R30" i="48"/>
  <c r="R21" i="44"/>
  <c r="AE106" i="54"/>
  <c r="AN81" i="54"/>
  <c r="Q104" i="44"/>
  <c r="R159" i="44"/>
  <c r="R83" i="48"/>
  <c r="S124" i="44"/>
  <c r="AN135" i="54"/>
  <c r="R86" i="44"/>
  <c r="P93" i="48"/>
  <c r="R198" i="44"/>
  <c r="P94" i="44"/>
  <c r="Q33" i="48"/>
  <c r="P111" i="44"/>
  <c r="P137" i="44"/>
  <c r="AE42" i="54"/>
  <c r="Q192" i="44"/>
  <c r="S158" i="48"/>
  <c r="AN17" i="54"/>
  <c r="S50" i="48"/>
  <c r="S22" i="44"/>
  <c r="R119" i="48"/>
  <c r="Q34" i="44"/>
  <c r="Q146" i="48"/>
  <c r="S200" i="48"/>
  <c r="P73" i="48"/>
  <c r="Q20" i="44"/>
  <c r="R134" i="48"/>
  <c r="S102" i="44"/>
  <c r="AN75" i="54"/>
  <c r="R61" i="44"/>
  <c r="R8" i="44"/>
  <c r="AE8" i="54"/>
  <c r="AN105" i="54"/>
  <c r="AE17" i="54"/>
  <c r="R39" i="48"/>
  <c r="R106" i="44"/>
  <c r="R197" i="48"/>
  <c r="Q155" i="48"/>
  <c r="S170" i="44"/>
  <c r="R130" i="44"/>
  <c r="P176" i="48"/>
  <c r="S182" i="44"/>
  <c r="R16" i="44"/>
  <c r="S222" i="48"/>
  <c r="P185" i="44"/>
  <c r="AE76" i="54"/>
  <c r="Q177" i="44"/>
  <c r="Q15" i="48"/>
  <c r="AE80" i="54"/>
  <c r="P41" i="44"/>
  <c r="P70" i="48"/>
  <c r="Q187" i="48"/>
  <c r="S27" i="48"/>
  <c r="P62" i="44"/>
  <c r="AE180" i="54"/>
  <c r="P143" i="48"/>
  <c r="AE142" i="54"/>
  <c r="AE187" i="54"/>
  <c r="S57" i="48"/>
  <c r="Q57" i="48"/>
  <c r="R194" i="44"/>
  <c r="AE31" i="54"/>
  <c r="R201" i="48"/>
  <c r="S110" i="44"/>
  <c r="P198" i="48"/>
  <c r="Q150" i="48"/>
  <c r="Q49" i="44"/>
  <c r="P196" i="44"/>
  <c r="AN166" i="54"/>
  <c r="P63" i="44"/>
  <c r="Q107" i="48"/>
  <c r="R217" i="44"/>
  <c r="R160" i="44"/>
  <c r="R83" i="44"/>
  <c r="R76" i="44"/>
  <c r="S159" i="44"/>
  <c r="AN210" i="54"/>
  <c r="R64" i="48"/>
  <c r="R125" i="48"/>
  <c r="P177" i="48"/>
  <c r="R155" i="48"/>
  <c r="Q157" i="48"/>
  <c r="R135" i="44"/>
  <c r="AE207" i="54"/>
  <c r="R96" i="44"/>
  <c r="R221" i="44"/>
  <c r="S209" i="48"/>
  <c r="R172" i="44"/>
  <c r="AE179" i="54"/>
  <c r="S54" i="44"/>
  <c r="Q18" i="48"/>
  <c r="AN6" i="54"/>
  <c r="P210" i="44"/>
  <c r="Q113" i="44"/>
  <c r="AE184" i="54"/>
  <c r="Q188" i="44"/>
  <c r="Q211" i="44"/>
  <c r="S213" i="44"/>
  <c r="Q198" i="48"/>
  <c r="AN158" i="54"/>
  <c r="Q92" i="48"/>
  <c r="S199" i="44"/>
  <c r="S32" i="48"/>
  <c r="Q103" i="44"/>
  <c r="AN178" i="54"/>
  <c r="P46" i="48"/>
  <c r="Q194" i="48"/>
  <c r="P196" i="48"/>
  <c r="S21" i="44"/>
  <c r="P171" i="44"/>
  <c r="S100" i="48"/>
  <c r="Q176" i="48"/>
  <c r="AE20" i="54"/>
  <c r="S129" i="44"/>
  <c r="S47" i="48"/>
  <c r="Q150" i="44"/>
  <c r="Q163" i="44"/>
  <c r="P55" i="48"/>
  <c r="Q207" i="44"/>
  <c r="Q73" i="48"/>
  <c r="P182" i="48"/>
  <c r="S38" i="48"/>
  <c r="R182" i="44"/>
  <c r="P112" i="48"/>
  <c r="S216" i="44"/>
  <c r="Q17" i="48"/>
  <c r="Q199" i="48"/>
  <c r="R176" i="44"/>
  <c r="S115" i="44"/>
  <c r="R95" i="44"/>
  <c r="AE22" i="54"/>
  <c r="AE116" i="54"/>
  <c r="P198" i="44"/>
  <c r="Q166" i="44"/>
  <c r="R40" i="48"/>
  <c r="S108" i="48"/>
  <c r="P146" i="44"/>
  <c r="P50" i="48"/>
  <c r="AN126" i="54"/>
  <c r="S109" i="48"/>
  <c r="AN186" i="54"/>
  <c r="AN98" i="54"/>
  <c r="P184" i="48"/>
  <c r="R193" i="48"/>
  <c r="AN21" i="54"/>
  <c r="AN195" i="54"/>
  <c r="R213" i="48"/>
  <c r="P165" i="44"/>
  <c r="P67" i="48"/>
  <c r="P91" i="44"/>
  <c r="R195" i="48"/>
  <c r="P221" i="48"/>
  <c r="Q213" i="48"/>
  <c r="P69" i="48"/>
  <c r="R186" i="44"/>
  <c r="AE44" i="54"/>
  <c r="R211" i="44"/>
  <c r="Q31" i="44"/>
  <c r="R11" i="48"/>
  <c r="R104" i="44"/>
  <c r="S207" i="44"/>
  <c r="R9" i="48"/>
  <c r="S10" i="44"/>
  <c r="S150" i="48"/>
  <c r="S93" i="48"/>
  <c r="Q84" i="44"/>
  <c r="AN219" i="54"/>
  <c r="AE54" i="54"/>
  <c r="AE188" i="54"/>
  <c r="R77" i="48"/>
  <c r="AE213" i="54"/>
  <c r="S11" i="44"/>
  <c r="P217" i="44"/>
  <c r="AE130" i="54"/>
  <c r="P69" i="44"/>
  <c r="P58" i="44"/>
  <c r="Q40" i="48"/>
  <c r="R103" i="48"/>
  <c r="AN138" i="54"/>
  <c r="S79" i="48"/>
  <c r="R109" i="48"/>
  <c r="AN23" i="54"/>
  <c r="AE170" i="54"/>
  <c r="S167" i="48"/>
  <c r="R101" i="44"/>
  <c r="R210" i="48"/>
  <c r="Q208" i="44"/>
  <c r="R67" i="44"/>
  <c r="S95" i="44"/>
  <c r="AE128" i="54"/>
  <c r="S60" i="44"/>
  <c r="P194" i="44"/>
  <c r="Q225" i="48"/>
  <c r="S68" i="48"/>
  <c r="S169" i="44"/>
  <c r="R146" i="48"/>
  <c r="S163" i="44"/>
  <c r="AE185" i="54"/>
  <c r="R156" i="48"/>
  <c r="S32" i="44"/>
  <c r="S189" i="48"/>
  <c r="S121" i="48"/>
  <c r="AE117" i="54"/>
  <c r="S23" i="44"/>
  <c r="P38" i="44"/>
  <c r="P157" i="44"/>
  <c r="Q35" i="48"/>
  <c r="P43" i="44"/>
  <c r="S52" i="44"/>
  <c r="R34" i="48"/>
  <c r="R206" i="48"/>
  <c r="AE146" i="54"/>
  <c r="Q162" i="48"/>
  <c r="AE124" i="54"/>
  <c r="P211" i="48"/>
  <c r="Q151" i="44"/>
  <c r="S35" i="48"/>
  <c r="Q95" i="44"/>
  <c r="AN92" i="54"/>
  <c r="S185" i="48"/>
  <c r="R216" i="44"/>
  <c r="Q51" i="48"/>
  <c r="P91" i="48"/>
  <c r="S220" i="48"/>
  <c r="P90" i="44"/>
  <c r="P83" i="44"/>
  <c r="Q221" i="48"/>
  <c r="P224" i="48"/>
  <c r="S65" i="44"/>
  <c r="AN48" i="54"/>
  <c r="AE197" i="54"/>
  <c r="AE98" i="54"/>
  <c r="P130" i="44"/>
  <c r="P39" i="44"/>
  <c r="Q212" i="44"/>
  <c r="P80" i="44"/>
  <c r="R184" i="48"/>
  <c r="P82" i="44"/>
  <c r="P105" i="48"/>
  <c r="Q197" i="44"/>
  <c r="Q130" i="44"/>
  <c r="AN140" i="54"/>
  <c r="P13" i="48"/>
  <c r="AE25" i="54"/>
  <c r="Q84" i="48"/>
  <c r="R199" i="48"/>
  <c r="R183" i="44"/>
  <c r="S54" i="48"/>
  <c r="R20" i="48"/>
  <c r="Q80" i="48"/>
  <c r="Q111" i="48"/>
  <c r="S192" i="48"/>
  <c r="S70" i="44"/>
  <c r="Q172" i="48"/>
  <c r="Q2" i="44"/>
  <c r="R30" i="44"/>
  <c r="S49" i="44"/>
  <c r="Q70" i="48"/>
  <c r="Q168" i="44"/>
  <c r="Q133" i="48"/>
  <c r="P78" i="48"/>
  <c r="AE51" i="54"/>
  <c r="R169" i="48"/>
  <c r="S211" i="44"/>
  <c r="R53" i="48"/>
  <c r="Q211" i="48"/>
  <c r="AE178" i="54"/>
  <c r="R195" i="44"/>
  <c r="AE137" i="54"/>
  <c r="S81" i="48"/>
  <c r="S90" i="48"/>
  <c r="P57" i="48"/>
  <c r="AN182" i="54"/>
  <c r="S45" i="48"/>
  <c r="Q217" i="48"/>
  <c r="Q145" i="44"/>
  <c r="AN202" i="54"/>
  <c r="Q220" i="44"/>
  <c r="R136" i="48"/>
  <c r="S87" i="48"/>
  <c r="R220" i="44"/>
  <c r="Q123" i="44"/>
  <c r="AE69" i="54"/>
  <c r="R154" i="48"/>
  <c r="Q26" i="44"/>
  <c r="AE43" i="54"/>
  <c r="R185" i="44"/>
  <c r="R15" i="48"/>
  <c r="AE19" i="54"/>
  <c r="AN107" i="54"/>
  <c r="R185" i="48"/>
  <c r="S5" i="48"/>
  <c r="R104" i="48"/>
  <c r="Q12" i="44"/>
  <c r="Q102" i="44"/>
  <c r="S88" i="48"/>
  <c r="Q203" i="44"/>
  <c r="S75" i="48"/>
  <c r="Q154" i="44"/>
  <c r="AN43" i="54"/>
  <c r="R143" i="48"/>
  <c r="S164" i="44"/>
  <c r="Q131" i="44"/>
  <c r="P158" i="44"/>
  <c r="P22" i="48"/>
  <c r="AN37" i="54"/>
  <c r="P165" i="48"/>
  <c r="R98" i="48"/>
  <c r="S20" i="44"/>
  <c r="S197" i="44"/>
  <c r="S186" i="48"/>
  <c r="AE83" i="54"/>
  <c r="Q98" i="48"/>
  <c r="S114" i="48"/>
  <c r="S108" i="44"/>
  <c r="P169" i="44"/>
  <c r="AN22" i="54"/>
  <c r="P32" i="48"/>
  <c r="P209" i="44"/>
  <c r="P214" i="48"/>
  <c r="S155" i="44"/>
  <c r="P183" i="48"/>
  <c r="S81" i="44"/>
  <c r="AE84" i="54"/>
  <c r="Q183" i="48"/>
  <c r="Q21" i="48"/>
  <c r="Q56" i="48"/>
  <c r="Q198" i="44"/>
  <c r="R178" i="44"/>
  <c r="Q36" i="44"/>
  <c r="R90" i="48"/>
  <c r="P200" i="44"/>
  <c r="S9" i="48"/>
  <c r="R113" i="48"/>
  <c r="AN20" i="54"/>
  <c r="AE219" i="54"/>
  <c r="P25" i="48"/>
  <c r="S18" i="48"/>
  <c r="Q177" i="48"/>
  <c r="Q207" i="48"/>
  <c r="S35" i="44"/>
  <c r="Q187" i="44"/>
  <c r="AE147" i="54"/>
  <c r="P62" i="48"/>
  <c r="S30" i="44"/>
  <c r="R94" i="44"/>
  <c r="R209" i="44"/>
  <c r="P10" i="48"/>
  <c r="P50" i="44"/>
  <c r="Q61" i="48"/>
  <c r="R4" i="48"/>
  <c r="S131" i="48"/>
  <c r="P197" i="44"/>
  <c r="AN73" i="54"/>
  <c r="R215" i="48"/>
  <c r="P195" i="48"/>
  <c r="AN131" i="54"/>
  <c r="AE156" i="54"/>
  <c r="S128" i="44"/>
  <c r="P9" i="48"/>
  <c r="Q220" i="48"/>
  <c r="R118" i="48"/>
  <c r="P142" i="44"/>
  <c r="R12" i="44"/>
  <c r="R148" i="44"/>
  <c r="P176" i="44"/>
  <c r="P60" i="44"/>
  <c r="R147" i="44"/>
  <c r="R199" i="44"/>
  <c r="P203" i="48"/>
  <c r="R191" i="44"/>
  <c r="S132" i="48"/>
  <c r="S74" i="44"/>
  <c r="S138" i="44"/>
  <c r="R213" i="44"/>
  <c r="R219" i="48"/>
  <c r="AN108" i="54"/>
  <c r="P72" i="44"/>
  <c r="S143" i="44"/>
  <c r="P161" i="44"/>
  <c r="S46" i="48"/>
  <c r="Q43" i="44"/>
  <c r="P219" i="48"/>
  <c r="Q52" i="48"/>
  <c r="S143" i="48"/>
  <c r="S39" i="44"/>
  <c r="R57" i="44"/>
  <c r="S123" i="48"/>
  <c r="S115" i="48"/>
  <c r="Q224" i="48"/>
  <c r="P146" i="48"/>
  <c r="S51" i="48"/>
  <c r="S168" i="44"/>
  <c r="AN146" i="54"/>
  <c r="S178" i="48"/>
  <c r="AE221" i="54"/>
  <c r="AN63" i="54"/>
  <c r="Q50" i="44"/>
  <c r="P47" i="44"/>
  <c r="R151" i="44"/>
  <c r="S215" i="48"/>
  <c r="AN99" i="54"/>
  <c r="S9" i="44"/>
  <c r="S94" i="44"/>
  <c r="Q166" i="48"/>
  <c r="R71" i="48"/>
  <c r="R136" i="44"/>
  <c r="P27" i="44"/>
  <c r="R205" i="44"/>
  <c r="AE40" i="54"/>
  <c r="R20" i="44"/>
  <c r="R226" i="48"/>
  <c r="S183" i="48"/>
  <c r="P106" i="44"/>
  <c r="P222" i="48"/>
  <c r="P119" i="44"/>
  <c r="AE214" i="54"/>
  <c r="AE196" i="54"/>
  <c r="R164" i="48"/>
  <c r="AN57" i="54"/>
  <c r="P140" i="48"/>
  <c r="R21" i="48"/>
  <c r="AE62" i="54"/>
  <c r="S116" i="48"/>
  <c r="S27" i="44"/>
  <c r="P208" i="44"/>
  <c r="AE123" i="54"/>
  <c r="AN69" i="54"/>
  <c r="P178" i="44"/>
  <c r="AE165" i="54"/>
  <c r="S94" i="48"/>
  <c r="S99" i="48"/>
  <c r="P216" i="44"/>
  <c r="Q189" i="44"/>
  <c r="R95" i="48"/>
  <c r="Q164" i="44"/>
  <c r="R155" i="44"/>
  <c r="Q137" i="44"/>
  <c r="S144" i="48"/>
  <c r="Q151" i="48"/>
  <c r="Q215" i="44"/>
  <c r="S148" i="48"/>
  <c r="S202" i="48"/>
  <c r="Q65" i="48"/>
  <c r="R200" i="44"/>
  <c r="S163" i="48"/>
  <c r="AN136" i="54"/>
  <c r="AN35" i="54"/>
  <c r="R117" i="48"/>
  <c r="S189" i="44"/>
  <c r="R54" i="48"/>
  <c r="R2" i="48"/>
  <c r="S201" i="44"/>
  <c r="P133" i="48"/>
  <c r="AE36" i="54"/>
  <c r="Q186" i="44"/>
  <c r="R179" i="48"/>
  <c r="S166" i="48"/>
  <c r="R55" i="48"/>
  <c r="AE81" i="54"/>
  <c r="AN200" i="54"/>
  <c r="Q203" i="48"/>
  <c r="S174" i="48"/>
  <c r="R65" i="48"/>
  <c r="Q13" i="44"/>
  <c r="P6" i="48"/>
  <c r="Q43" i="48"/>
  <c r="R34" i="44"/>
  <c r="Q181" i="44"/>
  <c r="AN59" i="54"/>
  <c r="Q142" i="48"/>
  <c r="Q69" i="48"/>
  <c r="R181" i="48"/>
  <c r="R70" i="44"/>
  <c r="P188" i="44"/>
  <c r="AE126" i="54"/>
  <c r="P21" i="44"/>
  <c r="P205" i="44"/>
  <c r="P160" i="48"/>
  <c r="P217" i="48"/>
  <c r="S59" i="44"/>
  <c r="S84" i="48"/>
  <c r="P105" i="44"/>
  <c r="R221" i="48"/>
  <c r="R19" i="44"/>
  <c r="S175" i="44"/>
  <c r="S128" i="48"/>
  <c r="R133" i="44"/>
  <c r="P169" i="48"/>
  <c r="AE203" i="54"/>
  <c r="P75" i="44"/>
  <c r="R158" i="44"/>
  <c r="AE41" i="54"/>
  <c r="P56" i="48"/>
  <c r="P187" i="48"/>
  <c r="Q118" i="44"/>
  <c r="R170" i="48"/>
  <c r="AE190" i="54"/>
  <c r="R138" i="48"/>
  <c r="R89" i="48"/>
  <c r="P113" i="48"/>
  <c r="S187" i="44"/>
  <c r="R208" i="44"/>
  <c r="AN16" i="54"/>
  <c r="AE93" i="54"/>
  <c r="P120" i="44"/>
  <c r="AN87" i="54"/>
  <c r="R167" i="44"/>
  <c r="AN96" i="54"/>
  <c r="S58" i="44"/>
  <c r="P42" i="44"/>
  <c r="Q117" i="44"/>
  <c r="P151" i="44"/>
  <c r="Q72" i="44"/>
  <c r="Q124" i="44"/>
  <c r="R127" i="48"/>
  <c r="S10" i="48"/>
  <c r="Q126" i="48"/>
  <c r="R4" i="44"/>
  <c r="R175" i="48"/>
  <c r="AN83" i="54"/>
  <c r="P65" i="48"/>
  <c r="R106" i="48"/>
  <c r="Q89" i="44"/>
  <c r="AE52" i="54"/>
  <c r="AN209" i="54"/>
  <c r="S113" i="44"/>
  <c r="P192" i="48"/>
  <c r="AN177" i="54"/>
  <c r="P76" i="48"/>
  <c r="R111" i="44"/>
  <c r="P81" i="48"/>
  <c r="R177" i="48"/>
  <c r="Q99" i="48"/>
  <c r="Q200" i="44"/>
  <c r="R93" i="48"/>
  <c r="S174" i="44"/>
  <c r="P223" i="48"/>
  <c r="AE39" i="54"/>
  <c r="Q54" i="44"/>
  <c r="AE23" i="54"/>
  <c r="AE78" i="54"/>
  <c r="AN184" i="54"/>
  <c r="AE119" i="54"/>
  <c r="Q216" i="44"/>
  <c r="AN165" i="54"/>
  <c r="R47" i="44"/>
  <c r="AE177" i="54"/>
  <c r="Q77" i="48"/>
  <c r="R6" i="44"/>
  <c r="R97" i="44"/>
  <c r="R71" i="44"/>
  <c r="AN106" i="54"/>
  <c r="P132" i="44"/>
  <c r="R43" i="48"/>
  <c r="AE150" i="54"/>
  <c r="AN116" i="54"/>
  <c r="R171" i="44"/>
  <c r="P34" i="44"/>
  <c r="R180" i="48"/>
  <c r="P127" i="44"/>
  <c r="AE14" i="54"/>
  <c r="S13" i="44"/>
  <c r="P207" i="44"/>
  <c r="P220" i="44"/>
  <c r="S72" i="48"/>
  <c r="Q226" i="48"/>
  <c r="AN41" i="54"/>
  <c r="Q30" i="44"/>
  <c r="P97" i="48"/>
  <c r="S7" i="44"/>
  <c r="Q153" i="44"/>
  <c r="P154" i="48"/>
  <c r="AN84" i="54"/>
  <c r="Q44" i="44"/>
  <c r="R36" i="44"/>
  <c r="AN94" i="54"/>
  <c r="P66" i="48"/>
  <c r="Q50" i="48"/>
  <c r="S205" i="44"/>
  <c r="R176" i="48"/>
  <c r="Q20" i="48"/>
  <c r="R119" i="44"/>
  <c r="AN76" i="54"/>
  <c r="AN129" i="54"/>
  <c r="Q34" i="48"/>
  <c r="R13" i="48"/>
  <c r="Q51" i="44"/>
  <c r="AN220" i="54"/>
  <c r="P138" i="48"/>
  <c r="AN70" i="54"/>
  <c r="S169" i="48"/>
  <c r="R189" i="48"/>
  <c r="P215" i="44"/>
  <c r="P102" i="44"/>
  <c r="Q26" i="48"/>
  <c r="R203" i="48"/>
  <c r="AE163" i="54"/>
  <c r="R2" i="44"/>
  <c r="S31" i="44"/>
  <c r="P114" i="48"/>
  <c r="Q161" i="48"/>
  <c r="P65" i="44"/>
  <c r="P162" i="48"/>
  <c r="R217" i="48"/>
  <c r="S46" i="44"/>
  <c r="R142" i="48"/>
  <c r="R3" i="44"/>
  <c r="P189" i="48"/>
  <c r="P197" i="48"/>
  <c r="Q219" i="44"/>
  <c r="S206" i="48"/>
  <c r="S165" i="44"/>
  <c r="Q117" i="48"/>
  <c r="S96" i="48"/>
  <c r="R138" i="44"/>
  <c r="P180" i="48"/>
  <c r="S212" i="44"/>
  <c r="Q64" i="48"/>
  <c r="Q96" i="48"/>
  <c r="Q196" i="44"/>
  <c r="Q60" i="44"/>
  <c r="R116" i="48"/>
  <c r="P225" i="48"/>
  <c r="R158" i="48"/>
  <c r="AE18" i="54"/>
  <c r="AE63" i="54"/>
  <c r="R38" i="44"/>
  <c r="AN101" i="54"/>
  <c r="Q176" i="44"/>
  <c r="Q37" i="44"/>
  <c r="Q110" i="44"/>
  <c r="P170" i="44"/>
  <c r="Q134" i="44"/>
  <c r="S71" i="48"/>
  <c r="S124" i="48"/>
  <c r="Q210" i="48"/>
  <c r="P124" i="44"/>
  <c r="Q138" i="44"/>
  <c r="Q204" i="44"/>
  <c r="S218" i="48"/>
  <c r="P82" i="48"/>
  <c r="Q143" i="44"/>
  <c r="P18" i="48"/>
  <c r="S59" i="48"/>
  <c r="P19" i="44"/>
  <c r="S126" i="44"/>
  <c r="P53" i="48"/>
  <c r="AN89" i="54"/>
  <c r="S110" i="48"/>
  <c r="S226" i="48"/>
  <c r="S225" i="48"/>
  <c r="AE186" i="54"/>
  <c r="Q168" i="48"/>
  <c r="S157" i="44"/>
  <c r="S79" i="44"/>
  <c r="P24" i="44"/>
  <c r="S208" i="44"/>
  <c r="P213" i="44"/>
  <c r="P218" i="48"/>
  <c r="Q75" i="44"/>
  <c r="AN185" i="54"/>
  <c r="Q217" i="44"/>
  <c r="R182" i="48"/>
  <c r="S193" i="44"/>
  <c r="Q165" i="48"/>
  <c r="P47" i="48"/>
  <c r="R100" i="48"/>
  <c r="S89" i="44"/>
  <c r="Q193" i="48"/>
  <c r="R168" i="44"/>
  <c r="R35" i="48"/>
  <c r="P136" i="48"/>
  <c r="AN58" i="54"/>
  <c r="Q118" i="48"/>
  <c r="AN162" i="54"/>
  <c r="R115" i="44"/>
  <c r="P9" i="44"/>
  <c r="R54" i="44"/>
  <c r="R87" i="48"/>
  <c r="P172" i="48"/>
  <c r="S140" i="48"/>
  <c r="S106" i="48"/>
  <c r="R125" i="44"/>
  <c r="Q218" i="48"/>
  <c r="Q149" i="44"/>
  <c r="R76" i="48"/>
  <c r="P190" i="48"/>
  <c r="P18" i="44"/>
  <c r="P211" i="44"/>
  <c r="P204" i="44"/>
  <c r="Q83" i="44"/>
  <c r="AN175" i="54"/>
  <c r="P194" i="48"/>
  <c r="Q185" i="48"/>
  <c r="R148" i="48"/>
  <c r="R214" i="48"/>
  <c r="AN156" i="54"/>
  <c r="P130" i="48"/>
  <c r="Q29" i="48"/>
  <c r="R14" i="44"/>
  <c r="R18" i="44"/>
  <c r="R212" i="48"/>
  <c r="Q23" i="48"/>
  <c r="S219" i="44"/>
  <c r="AE82" i="54"/>
  <c r="R207" i="44"/>
  <c r="R32" i="48"/>
  <c r="AN29" i="54"/>
  <c r="P201" i="48"/>
  <c r="P30" i="44"/>
  <c r="R192" i="48"/>
  <c r="AE57" i="54"/>
  <c r="Q18" i="44"/>
  <c r="AE218" i="54"/>
  <c r="R6" i="48"/>
  <c r="Q148" i="48"/>
  <c r="S210" i="44"/>
  <c r="AN45" i="54"/>
  <c r="R61" i="48"/>
  <c r="AE48" i="54"/>
  <c r="Q193" i="44"/>
  <c r="R204" i="48"/>
  <c r="R115" i="48"/>
  <c r="P3" i="44"/>
  <c r="AE7" i="54"/>
  <c r="R77" i="44"/>
  <c r="Q63" i="44"/>
  <c r="R165" i="44"/>
  <c r="AE34" i="54"/>
  <c r="Q173" i="48"/>
  <c r="P63" i="48"/>
  <c r="Q122" i="48"/>
  <c r="AN15" i="54"/>
  <c r="AN191" i="54"/>
  <c r="S60" i="48"/>
  <c r="P115" i="48"/>
  <c r="Q55" i="44"/>
  <c r="P221" i="44"/>
  <c r="P219" i="44"/>
  <c r="S224" i="48"/>
  <c r="Q23" i="44"/>
  <c r="S179" i="48"/>
  <c r="P129" i="48"/>
  <c r="R108" i="48"/>
  <c r="Q162" i="44"/>
  <c r="Q119" i="48"/>
  <c r="Q128" i="44"/>
  <c r="AN214" i="54"/>
  <c r="AE183" i="54"/>
  <c r="AE181" i="54"/>
  <c r="Q188" i="48"/>
  <c r="Q191" i="48"/>
  <c r="AE129" i="54"/>
  <c r="R60" i="44"/>
  <c r="S212" i="48"/>
  <c r="Q79" i="44"/>
  <c r="R224" i="48"/>
  <c r="P141" i="44"/>
  <c r="S179" i="44"/>
  <c r="S76" i="48"/>
  <c r="Q53" i="44"/>
  <c r="AE75" i="54"/>
  <c r="S19" i="44"/>
  <c r="P186" i="48"/>
  <c r="Q125" i="44"/>
  <c r="R140" i="48"/>
  <c r="R111" i="48"/>
  <c r="P151" i="48"/>
  <c r="AE110" i="54"/>
  <c r="Q206" i="44"/>
  <c r="S42" i="44"/>
  <c r="S160" i="44"/>
  <c r="AE66" i="54"/>
  <c r="Q32" i="44"/>
  <c r="AE56" i="54"/>
  <c r="P46" i="44"/>
  <c r="R201" i="44"/>
  <c r="S190" i="44"/>
  <c r="P167" i="48"/>
  <c r="AE143" i="54"/>
  <c r="P208" i="48"/>
  <c r="AN68" i="54"/>
  <c r="S218" i="44"/>
  <c r="Q204" i="48"/>
  <c r="Q202" i="48"/>
  <c r="AN167" i="54"/>
  <c r="AE118" i="54"/>
  <c r="R62" i="44"/>
  <c r="S203" i="44"/>
  <c r="P206" i="44"/>
  <c r="S119" i="48"/>
  <c r="S55" i="44"/>
  <c r="P108" i="48"/>
  <c r="Q195" i="48"/>
  <c r="S92" i="48"/>
  <c r="P34" i="48"/>
  <c r="P141" i="48"/>
  <c r="R68" i="48"/>
  <c r="P131" i="44"/>
  <c r="S105" i="44"/>
  <c r="P5" i="44"/>
  <c r="S181" i="48"/>
  <c r="R187" i="48"/>
  <c r="P16" i="48"/>
  <c r="R222" i="48"/>
  <c r="Q210" i="44"/>
  <c r="Q8" i="48"/>
  <c r="R139" i="44"/>
  <c r="S122" i="48"/>
  <c r="P207" i="48"/>
  <c r="R190" i="48"/>
  <c r="P113" i="44"/>
  <c r="AN93" i="54"/>
  <c r="Q58" i="44"/>
  <c r="S213" i="48"/>
  <c r="S182" i="48"/>
  <c r="S188" i="44"/>
  <c r="S73" i="44"/>
  <c r="P218" i="44"/>
  <c r="S140" i="44"/>
  <c r="Q55" i="48"/>
  <c r="Q182" i="48"/>
  <c r="Q11" i="48"/>
  <c r="P71" i="48"/>
  <c r="P11" i="44"/>
  <c r="S156" i="44"/>
  <c r="P8" i="44"/>
  <c r="S34" i="48"/>
  <c r="AN192" i="54"/>
  <c r="R87" i="44"/>
  <c r="R200" i="48"/>
  <c r="P147" i="44"/>
  <c r="P186" i="44"/>
  <c r="R186" i="48"/>
  <c r="P184" i="44"/>
  <c r="P12" i="48"/>
  <c r="S43" i="48"/>
  <c r="AN180" i="54"/>
  <c r="S34" i="44"/>
  <c r="S105" i="48"/>
  <c r="AE121" i="54"/>
  <c r="S112" i="44"/>
  <c r="R60" i="48"/>
  <c r="P107" i="44"/>
  <c r="S221" i="48"/>
  <c r="S191" i="48"/>
  <c r="AE153" i="54"/>
  <c r="P153" i="44"/>
  <c r="S217" i="48"/>
  <c r="R64" i="44"/>
  <c r="Q87" i="48"/>
  <c r="R184" i="44"/>
  <c r="Q221" i="44"/>
  <c r="Q92" i="44"/>
  <c r="P206" i="48"/>
  <c r="P95" i="44"/>
  <c r="S146" i="48"/>
  <c r="Q208" i="48"/>
  <c r="R5" i="44"/>
  <c r="S173" i="44"/>
  <c r="S127" i="44"/>
  <c r="Q30" i="48"/>
  <c r="Q180" i="48"/>
  <c r="R25" i="44"/>
  <c r="AN46" i="54"/>
  <c r="P179" i="44"/>
  <c r="P214" i="44"/>
  <c r="R192" i="44"/>
  <c r="P149" i="48"/>
  <c r="P154" i="44"/>
  <c r="AE27" i="54"/>
  <c r="S44" i="48"/>
  <c r="S161" i="48"/>
  <c r="S51" i="44"/>
  <c r="P100" i="44"/>
  <c r="Q48" i="44"/>
  <c r="S175" i="48"/>
  <c r="S41" i="44"/>
  <c r="P54" i="44"/>
  <c r="R23" i="44"/>
  <c r="P142" i="48"/>
  <c r="P36" i="44"/>
  <c r="P74" i="44"/>
  <c r="R73" i="44"/>
  <c r="R3" i="48"/>
  <c r="S74" i="48"/>
  <c r="Q52" i="44"/>
  <c r="P84" i="48"/>
  <c r="Q206" i="48"/>
  <c r="Q222" i="48"/>
  <c r="AN188" i="54"/>
  <c r="AN14" i="54"/>
  <c r="P201" i="44"/>
  <c r="R206" i="44"/>
  <c r="P156" i="48"/>
  <c r="P179" i="48"/>
  <c r="S4" i="48"/>
  <c r="P118" i="44"/>
  <c r="AN25" i="54"/>
  <c r="S195" i="44"/>
  <c r="P174" i="44"/>
  <c r="S57" i="44"/>
  <c r="Q182" i="44"/>
  <c r="AE72" i="54"/>
  <c r="Q108" i="44"/>
  <c r="R171" i="48"/>
  <c r="P203" i="44"/>
  <c r="Q190" i="44"/>
  <c r="R74" i="48"/>
  <c r="AE132" i="54"/>
  <c r="R84" i="48"/>
  <c r="R218" i="48"/>
  <c r="AN91" i="54"/>
  <c r="S215" i="44"/>
  <c r="A42" i="34" l="1"/>
  <c r="AO144" i="55"/>
  <c r="AO154" i="55"/>
  <c r="AO179" i="55"/>
  <c r="AO152" i="55"/>
  <c r="AO149" i="55"/>
  <c r="AO164" i="55"/>
  <c r="AO158" i="55"/>
  <c r="AO184" i="55"/>
  <c r="AO176" i="55"/>
  <c r="AO171" i="55"/>
  <c r="AO185" i="55"/>
  <c r="AO160" i="55"/>
  <c r="AO177" i="55"/>
  <c r="AO147" i="55"/>
  <c r="AO161" i="55"/>
  <c r="AO181" i="55"/>
  <c r="AO153" i="55"/>
  <c r="AO169" i="55"/>
  <c r="AO145" i="55"/>
  <c r="AO182" i="55"/>
  <c r="AO166" i="55"/>
  <c r="AO150" i="55"/>
  <c r="AO142" i="55"/>
  <c r="AO186" i="55"/>
  <c r="AO175" i="55"/>
  <c r="AO162" i="55"/>
  <c r="AO151" i="55"/>
  <c r="AO172" i="55"/>
  <c r="AO174" i="55"/>
  <c r="AO148" i="55"/>
  <c r="AO165" i="55"/>
  <c r="AO157" i="55"/>
  <c r="AO180" i="55"/>
  <c r="AO178" i="55"/>
  <c r="AO170" i="55"/>
  <c r="AO146" i="55"/>
  <c r="AO183" i="55"/>
  <c r="AO156" i="55"/>
  <c r="AO159" i="55"/>
  <c r="AO167" i="55"/>
  <c r="AO163" i="55"/>
  <c r="AO155" i="55"/>
  <c r="AO143" i="55"/>
  <c r="AO168" i="55"/>
  <c r="AO173" i="55"/>
  <c r="T218" i="48"/>
  <c r="AI197" i="54"/>
  <c r="AL197" i="54"/>
  <c r="AK197" i="54"/>
  <c r="AM197" i="54"/>
  <c r="AG197" i="54"/>
  <c r="AF197" i="54"/>
  <c r="AH197" i="54"/>
  <c r="AJ197" i="54"/>
  <c r="AM170" i="54"/>
  <c r="AL170" i="54"/>
  <c r="AF170" i="54"/>
  <c r="AI170" i="54"/>
  <c r="AH170" i="54"/>
  <c r="AK170" i="54"/>
  <c r="AJ170" i="54"/>
  <c r="AG170" i="54"/>
  <c r="AK180" i="48"/>
  <c r="T100" i="48"/>
  <c r="AL240" i="48"/>
  <c r="T209" i="48"/>
  <c r="AG42" i="54"/>
  <c r="AF42" i="54"/>
  <c r="AH42" i="54"/>
  <c r="AM42" i="54"/>
  <c r="AL42" i="54"/>
  <c r="AK42" i="54"/>
  <c r="AI42" i="54"/>
  <c r="AJ42" i="54"/>
  <c r="AL105" i="54"/>
  <c r="AG105" i="54"/>
  <c r="AJ105" i="54"/>
  <c r="AH105" i="54"/>
  <c r="AI105" i="54"/>
  <c r="AM105" i="54"/>
  <c r="AK105" i="54"/>
  <c r="AF105" i="54"/>
  <c r="AF38" i="54"/>
  <c r="AH38" i="54"/>
  <c r="AL38" i="54"/>
  <c r="AM38" i="54"/>
  <c r="AI38" i="54"/>
  <c r="AK38" i="54"/>
  <c r="AG38" i="54"/>
  <c r="AJ38" i="54"/>
  <c r="AJ46" i="54"/>
  <c r="AK46" i="54"/>
  <c r="AM46" i="54"/>
  <c r="AG46" i="54"/>
  <c r="AI46" i="54"/>
  <c r="AH46" i="54"/>
  <c r="AL46" i="54"/>
  <c r="AF46" i="54"/>
  <c r="AL146" i="48"/>
  <c r="T6" i="48"/>
  <c r="AK15" i="54"/>
  <c r="AH15" i="54"/>
  <c r="AG15" i="54"/>
  <c r="AF15" i="54"/>
  <c r="AM15" i="54"/>
  <c r="AJ15" i="54"/>
  <c r="AI15" i="54"/>
  <c r="AL15" i="54"/>
  <c r="AL244" i="48"/>
  <c r="T104" i="48"/>
  <c r="AK203" i="48"/>
  <c r="AK202" i="48"/>
  <c r="AI188" i="48"/>
  <c r="AL10" i="54"/>
  <c r="AM10" i="54"/>
  <c r="AF10" i="54"/>
  <c r="AH10" i="54"/>
  <c r="AI10" i="54"/>
  <c r="AK10" i="54"/>
  <c r="AG10" i="54"/>
  <c r="AJ10" i="54"/>
  <c r="T160" i="48"/>
  <c r="AM171" i="54"/>
  <c r="AJ171" i="54"/>
  <c r="AG171" i="54"/>
  <c r="AL171" i="54"/>
  <c r="AI171" i="54"/>
  <c r="AH171" i="54"/>
  <c r="AF171" i="54"/>
  <c r="AK171" i="54"/>
  <c r="AI49" i="54"/>
  <c r="AK49" i="54"/>
  <c r="AL49" i="54"/>
  <c r="AJ49" i="54"/>
  <c r="AH49" i="54"/>
  <c r="AG49" i="54"/>
  <c r="AM49" i="54"/>
  <c r="AF49" i="54"/>
  <c r="AL119" i="54"/>
  <c r="AK119" i="54"/>
  <c r="AH119" i="54"/>
  <c r="AM119" i="54"/>
  <c r="AJ119" i="54"/>
  <c r="AF119" i="54"/>
  <c r="AI119" i="54"/>
  <c r="AG119" i="54"/>
  <c r="T96" i="48"/>
  <c r="AL236" i="48"/>
  <c r="AJ62" i="54"/>
  <c r="AK62" i="54"/>
  <c r="AG62" i="54"/>
  <c r="AI62" i="54"/>
  <c r="AL62" i="54"/>
  <c r="AH62" i="54"/>
  <c r="AM62" i="54"/>
  <c r="AF62" i="54"/>
  <c r="AK151" i="48"/>
  <c r="T72" i="48"/>
  <c r="AL212" i="48"/>
  <c r="T163" i="48"/>
  <c r="AK161" i="48"/>
  <c r="AI31" i="54"/>
  <c r="AF31" i="54"/>
  <c r="AG31" i="54"/>
  <c r="AH31" i="54"/>
  <c r="AL31" i="54"/>
  <c r="AK31" i="54"/>
  <c r="AM31" i="54"/>
  <c r="AJ31" i="54"/>
  <c r="T137" i="48"/>
  <c r="AI148" i="48"/>
  <c r="AI170" i="48"/>
  <c r="AG217" i="54"/>
  <c r="AL217" i="54"/>
  <c r="AI217" i="54"/>
  <c r="AF217" i="54"/>
  <c r="AH217" i="54"/>
  <c r="AM217" i="54"/>
  <c r="AJ217" i="54"/>
  <c r="AK217" i="54"/>
  <c r="AL205" i="48"/>
  <c r="T65" i="48"/>
  <c r="AK158" i="48"/>
  <c r="AI157" i="48"/>
  <c r="AK145" i="48"/>
  <c r="AI191" i="48"/>
  <c r="AF159" i="54"/>
  <c r="AH159" i="54"/>
  <c r="AK159" i="54"/>
  <c r="AL159" i="54"/>
  <c r="AJ159" i="54"/>
  <c r="AM159" i="54"/>
  <c r="AG159" i="54"/>
  <c r="AI159" i="54"/>
  <c r="T22" i="48"/>
  <c r="AL162" i="48"/>
  <c r="T197" i="48"/>
  <c r="AK237" i="48"/>
  <c r="AL180" i="48"/>
  <c r="T40" i="48"/>
  <c r="AK162" i="48"/>
  <c r="AK216" i="48"/>
  <c r="AK144" i="48"/>
  <c r="T175" i="48"/>
  <c r="AJ78" i="54"/>
  <c r="AF78" i="54"/>
  <c r="AK78" i="54"/>
  <c r="AH78" i="54"/>
  <c r="AI78" i="54"/>
  <c r="AL78" i="54"/>
  <c r="AG78" i="54"/>
  <c r="AM78" i="54"/>
  <c r="AI196" i="48"/>
  <c r="T34" i="48"/>
  <c r="AL174" i="48"/>
  <c r="AI156" i="48"/>
  <c r="AI143" i="54"/>
  <c r="AJ143" i="54"/>
  <c r="AK143" i="54"/>
  <c r="AF143" i="54"/>
  <c r="AG143" i="54"/>
  <c r="AH143" i="54"/>
  <c r="AL143" i="54"/>
  <c r="AM143" i="54"/>
  <c r="AM23" i="54"/>
  <c r="AH23" i="54"/>
  <c r="AF23" i="54"/>
  <c r="AG23" i="54"/>
  <c r="AJ23" i="54"/>
  <c r="AI23" i="54"/>
  <c r="AK23" i="54"/>
  <c r="AL23" i="54"/>
  <c r="AL150" i="48"/>
  <c r="T10" i="48"/>
  <c r="AL41" i="54"/>
  <c r="AK41" i="54"/>
  <c r="AM41" i="54"/>
  <c r="AF41" i="54"/>
  <c r="AJ41" i="54"/>
  <c r="AH41" i="54"/>
  <c r="AG41" i="54"/>
  <c r="AI41" i="54"/>
  <c r="AK249" i="48"/>
  <c r="AK74" i="54"/>
  <c r="AH74" i="54"/>
  <c r="AJ74" i="54"/>
  <c r="AI74" i="54"/>
  <c r="AM74" i="54"/>
  <c r="AG74" i="54"/>
  <c r="AL74" i="54"/>
  <c r="AF74" i="54"/>
  <c r="T151" i="48"/>
  <c r="AK191" i="48"/>
  <c r="AL196" i="48"/>
  <c r="T56" i="48"/>
  <c r="AG140" i="54"/>
  <c r="AK140" i="54"/>
  <c r="AM140" i="54"/>
  <c r="AI140" i="54"/>
  <c r="AH140" i="54"/>
  <c r="AF140" i="54"/>
  <c r="AL140" i="54"/>
  <c r="AJ140" i="54"/>
  <c r="AI147" i="48"/>
  <c r="AL157" i="48"/>
  <c r="T17" i="48"/>
  <c r="AI225" i="48"/>
  <c r="AK29" i="54"/>
  <c r="AF29" i="54"/>
  <c r="AJ29" i="54"/>
  <c r="AG29" i="54"/>
  <c r="AL29" i="54"/>
  <c r="AI29" i="54"/>
  <c r="AH29" i="54"/>
  <c r="AM29" i="54"/>
  <c r="AF204" i="54"/>
  <c r="AL204" i="54"/>
  <c r="AM204" i="54"/>
  <c r="AH204" i="54"/>
  <c r="AG204" i="54"/>
  <c r="AI204" i="54"/>
  <c r="AJ204" i="54"/>
  <c r="AK204" i="54"/>
  <c r="AK239" i="48"/>
  <c r="AL171" i="48"/>
  <c r="T31" i="48"/>
  <c r="T133" i="48"/>
  <c r="T63" i="48"/>
  <c r="AL203" i="48"/>
  <c r="AM108" i="54"/>
  <c r="AF108" i="54"/>
  <c r="AG108" i="54"/>
  <c r="AJ108" i="54"/>
  <c r="AH108" i="54"/>
  <c r="AI108" i="54"/>
  <c r="AL108" i="54"/>
  <c r="AK108" i="54"/>
  <c r="T58" i="48"/>
  <c r="AL198" i="48"/>
  <c r="AG2" i="54"/>
  <c r="AL2" i="54"/>
  <c r="AF2" i="54"/>
  <c r="AK2" i="54"/>
  <c r="AJ2" i="54"/>
  <c r="AH2" i="54"/>
  <c r="AI2" i="54"/>
  <c r="AM2" i="54"/>
  <c r="AL195" i="48"/>
  <c r="T55" i="48"/>
  <c r="AI198" i="48"/>
  <c r="AK245" i="48"/>
  <c r="T168" i="48"/>
  <c r="AL155" i="48"/>
  <c r="T15" i="48"/>
  <c r="AK192" i="48"/>
  <c r="AH172" i="54"/>
  <c r="AG172" i="54"/>
  <c r="AK172" i="54"/>
  <c r="AJ172" i="54"/>
  <c r="AF172" i="54"/>
  <c r="AI172" i="54"/>
  <c r="AM172" i="54"/>
  <c r="AL172" i="54"/>
  <c r="AK172" i="48"/>
  <c r="T132" i="48"/>
  <c r="AK177" i="48"/>
  <c r="AI91" i="54"/>
  <c r="AJ91" i="54"/>
  <c r="AL91" i="54"/>
  <c r="AM91" i="54"/>
  <c r="AH91" i="54"/>
  <c r="AG91" i="54"/>
  <c r="AK91" i="54"/>
  <c r="AF91" i="54"/>
  <c r="AG28" i="54"/>
  <c r="AH28" i="54"/>
  <c r="AL28" i="54"/>
  <c r="AM28" i="54"/>
  <c r="AI28" i="54"/>
  <c r="AK28" i="54"/>
  <c r="AF28" i="54"/>
  <c r="AJ28" i="54"/>
  <c r="T180" i="48"/>
  <c r="T16" i="48"/>
  <c r="AL156" i="48"/>
  <c r="AK206" i="48"/>
  <c r="AI212" i="48"/>
  <c r="AI229" i="48"/>
  <c r="AF47" i="54"/>
  <c r="AM47" i="54"/>
  <c r="AK47" i="54"/>
  <c r="AI47" i="54"/>
  <c r="AJ47" i="54"/>
  <c r="AL47" i="54"/>
  <c r="AH47" i="54"/>
  <c r="AG47" i="54"/>
  <c r="AF4" i="54"/>
  <c r="AJ4" i="54"/>
  <c r="AM4" i="54"/>
  <c r="AG4" i="54"/>
  <c r="AH4" i="54"/>
  <c r="AK4" i="54"/>
  <c r="AI4" i="54"/>
  <c r="AL4" i="54"/>
  <c r="AI183" i="48"/>
  <c r="AK159" i="48"/>
  <c r="T206" i="48"/>
  <c r="AF221" i="54"/>
  <c r="AK221" i="54"/>
  <c r="AM221" i="54"/>
  <c r="AI221" i="54"/>
  <c r="AL221" i="54"/>
  <c r="AJ221" i="54"/>
  <c r="AH221" i="54"/>
  <c r="AG221" i="54"/>
  <c r="AM44" i="54"/>
  <c r="AG44" i="54"/>
  <c r="AI44" i="54"/>
  <c r="AJ44" i="54"/>
  <c r="AH44" i="54"/>
  <c r="AF44" i="54"/>
  <c r="AK44" i="54"/>
  <c r="AL44" i="54"/>
  <c r="AH205" i="54"/>
  <c r="AK205" i="54"/>
  <c r="AG205" i="54"/>
  <c r="AM205" i="54"/>
  <c r="AJ205" i="54"/>
  <c r="AF205" i="54"/>
  <c r="AL205" i="54"/>
  <c r="AI205" i="54"/>
  <c r="AJ6" i="54"/>
  <c r="AM6" i="54"/>
  <c r="AK6" i="54"/>
  <c r="AH6" i="54"/>
  <c r="AI6" i="54"/>
  <c r="AG6" i="54"/>
  <c r="AF6" i="54"/>
  <c r="AL6" i="54"/>
  <c r="AL151" i="48"/>
  <c r="T11" i="48"/>
  <c r="AM16" i="54"/>
  <c r="AF16" i="54"/>
  <c r="AH16" i="54"/>
  <c r="AL16" i="54"/>
  <c r="AG16" i="54"/>
  <c r="AI16" i="54"/>
  <c r="AK16" i="54"/>
  <c r="AJ16" i="54"/>
  <c r="T181" i="48"/>
  <c r="AL246" i="48"/>
  <c r="T106" i="48"/>
  <c r="AL211" i="48"/>
  <c r="T71" i="48"/>
  <c r="AK153" i="48"/>
  <c r="AM39" i="54"/>
  <c r="AH39" i="54"/>
  <c r="AF39" i="54"/>
  <c r="AK39" i="54"/>
  <c r="AI39" i="54"/>
  <c r="AJ39" i="54"/>
  <c r="AG39" i="54"/>
  <c r="AL39" i="54"/>
  <c r="T202" i="48"/>
  <c r="T178" i="48"/>
  <c r="AK117" i="54"/>
  <c r="AL117" i="54"/>
  <c r="AG117" i="54"/>
  <c r="AF117" i="54"/>
  <c r="AM117" i="54"/>
  <c r="AH117" i="54"/>
  <c r="AI117" i="54"/>
  <c r="AJ117" i="54"/>
  <c r="AG22" i="54"/>
  <c r="AI22" i="54"/>
  <c r="AM22" i="54"/>
  <c r="AL22" i="54"/>
  <c r="AH22" i="54"/>
  <c r="AK22" i="54"/>
  <c r="AJ22" i="54"/>
  <c r="AF22" i="54"/>
  <c r="T57" i="48"/>
  <c r="AL197" i="48"/>
  <c r="AK179" i="48"/>
  <c r="T153" i="48"/>
  <c r="AM211" i="54"/>
  <c r="AK211" i="54"/>
  <c r="AI211" i="54"/>
  <c r="AF211" i="54"/>
  <c r="AL211" i="54"/>
  <c r="AH211" i="54"/>
  <c r="AJ211" i="54"/>
  <c r="AG211" i="54"/>
  <c r="T176" i="48"/>
  <c r="AK169" i="54"/>
  <c r="AF169" i="54"/>
  <c r="AH169" i="54"/>
  <c r="AJ169" i="54"/>
  <c r="AM169" i="54"/>
  <c r="AI169" i="54"/>
  <c r="AG169" i="54"/>
  <c r="AL169" i="54"/>
  <c r="AG3" i="54"/>
  <c r="AJ3" i="54"/>
  <c r="AF3" i="54"/>
  <c r="AM3" i="54"/>
  <c r="AI3" i="54"/>
  <c r="AH3" i="54"/>
  <c r="AK3" i="54"/>
  <c r="AL3" i="54"/>
  <c r="AK212" i="48"/>
  <c r="T73" i="48"/>
  <c r="AL213" i="48"/>
  <c r="AI166" i="48"/>
  <c r="AH55" i="54"/>
  <c r="AG55" i="54"/>
  <c r="AF55" i="54"/>
  <c r="AL55" i="54"/>
  <c r="AI55" i="54"/>
  <c r="AM55" i="54"/>
  <c r="AJ55" i="54"/>
  <c r="AK55" i="54"/>
  <c r="AI194" i="54"/>
  <c r="AH194" i="54"/>
  <c r="AK194" i="54"/>
  <c r="AG194" i="54"/>
  <c r="AM194" i="54"/>
  <c r="AL194" i="54"/>
  <c r="AJ194" i="54"/>
  <c r="AF194" i="54"/>
  <c r="AI219" i="48"/>
  <c r="AI251" i="48"/>
  <c r="AL229" i="48"/>
  <c r="T89" i="48"/>
  <c r="AI228" i="48"/>
  <c r="T195" i="48"/>
  <c r="AK79" i="54"/>
  <c r="AL79" i="54"/>
  <c r="AI79" i="54"/>
  <c r="AJ79" i="54"/>
  <c r="AH79" i="54"/>
  <c r="AG79" i="54"/>
  <c r="AM79" i="54"/>
  <c r="AF79" i="54"/>
  <c r="T76" i="48"/>
  <c r="AL216" i="48"/>
  <c r="AL179" i="54"/>
  <c r="AG179" i="54"/>
  <c r="AH179" i="54"/>
  <c r="AI179" i="54"/>
  <c r="AJ179" i="54"/>
  <c r="AM179" i="54"/>
  <c r="AF179" i="54"/>
  <c r="AK179" i="54"/>
  <c r="T212" i="48"/>
  <c r="AM84" i="54"/>
  <c r="AH84" i="54"/>
  <c r="AL84" i="54"/>
  <c r="AK84" i="54"/>
  <c r="AG84" i="54"/>
  <c r="AF84" i="54"/>
  <c r="AJ84" i="54"/>
  <c r="AI84" i="54"/>
  <c r="AI146" i="48"/>
  <c r="T121" i="48"/>
  <c r="AI209" i="48"/>
  <c r="AF187" i="54"/>
  <c r="AH187" i="54"/>
  <c r="AI187" i="54"/>
  <c r="AK187" i="54"/>
  <c r="AJ187" i="54"/>
  <c r="AL187" i="54"/>
  <c r="AM187" i="54"/>
  <c r="AG187" i="54"/>
  <c r="AG17" i="54"/>
  <c r="AM17" i="54"/>
  <c r="AH17" i="54"/>
  <c r="AJ17" i="54"/>
  <c r="AK17" i="54"/>
  <c r="AL17" i="54"/>
  <c r="AI17" i="54"/>
  <c r="AF17" i="54"/>
  <c r="AI226" i="48"/>
  <c r="AI202" i="54"/>
  <c r="AF202" i="54"/>
  <c r="AH202" i="54"/>
  <c r="AL202" i="54"/>
  <c r="AM202" i="54"/>
  <c r="AG202" i="54"/>
  <c r="AJ202" i="54"/>
  <c r="AK202" i="54"/>
  <c r="AG220" i="54"/>
  <c r="AK220" i="54"/>
  <c r="AL220" i="54"/>
  <c r="AJ220" i="54"/>
  <c r="AF220" i="54"/>
  <c r="AI220" i="54"/>
  <c r="AH220" i="54"/>
  <c r="AM220" i="54"/>
  <c r="AL152" i="48"/>
  <c r="T12" i="48"/>
  <c r="AL169" i="48"/>
  <c r="T29" i="48"/>
  <c r="AK97" i="54"/>
  <c r="AF97" i="54"/>
  <c r="AI97" i="54"/>
  <c r="AG97" i="54"/>
  <c r="AL97" i="54"/>
  <c r="AM97" i="54"/>
  <c r="AH97" i="54"/>
  <c r="AJ97" i="54"/>
  <c r="T25" i="48"/>
  <c r="AL165" i="48"/>
  <c r="T170" i="48"/>
  <c r="AI145" i="48"/>
  <c r="T188" i="48"/>
  <c r="T156" i="48"/>
  <c r="T62" i="48"/>
  <c r="AL202" i="48"/>
  <c r="T196" i="48"/>
  <c r="AL192" i="48"/>
  <c r="T52" i="48"/>
  <c r="T184" i="48"/>
  <c r="AI237" i="48"/>
  <c r="T215" i="48"/>
  <c r="AI203" i="48"/>
  <c r="T161" i="48"/>
  <c r="AG82" i="54"/>
  <c r="AM82" i="54"/>
  <c r="AK82" i="54"/>
  <c r="AJ82" i="54"/>
  <c r="AF82" i="54"/>
  <c r="AL82" i="54"/>
  <c r="AH82" i="54"/>
  <c r="AI82" i="54"/>
  <c r="AL184" i="48"/>
  <c r="T44" i="48"/>
  <c r="AI211" i="48"/>
  <c r="AG214" i="54"/>
  <c r="AI214" i="54"/>
  <c r="AJ214" i="54"/>
  <c r="AL214" i="54"/>
  <c r="AK214" i="54"/>
  <c r="AF214" i="54"/>
  <c r="AM214" i="54"/>
  <c r="AH214" i="54"/>
  <c r="AK160" i="48"/>
  <c r="T189" i="48"/>
  <c r="AG142" i="54"/>
  <c r="AJ142" i="54"/>
  <c r="AH142" i="54"/>
  <c r="AK142" i="54"/>
  <c r="AF142" i="54"/>
  <c r="AL142" i="54"/>
  <c r="AI142" i="54"/>
  <c r="AM142" i="54"/>
  <c r="AI233" i="48"/>
  <c r="T139" i="48"/>
  <c r="AK225" i="48"/>
  <c r="AK168" i="48"/>
  <c r="AK152" i="48"/>
  <c r="AF131" i="54"/>
  <c r="AH131" i="54"/>
  <c r="AL131" i="54"/>
  <c r="AK131" i="54"/>
  <c r="AI131" i="54"/>
  <c r="AG131" i="54"/>
  <c r="AM131" i="54"/>
  <c r="AJ131" i="54"/>
  <c r="AI50" i="54"/>
  <c r="AM50" i="54"/>
  <c r="AG50" i="54"/>
  <c r="AL50" i="54"/>
  <c r="AH50" i="54"/>
  <c r="AJ50" i="54"/>
  <c r="AF50" i="54"/>
  <c r="AK50" i="54"/>
  <c r="AK35" i="54"/>
  <c r="AM35" i="54"/>
  <c r="AJ35" i="54"/>
  <c r="AI35" i="54"/>
  <c r="AF35" i="54"/>
  <c r="AL35" i="54"/>
  <c r="AH35" i="54"/>
  <c r="AG35" i="54"/>
  <c r="AI167" i="48"/>
  <c r="T164" i="48"/>
  <c r="AI217" i="48"/>
  <c r="T82" i="48"/>
  <c r="AL222" i="48"/>
  <c r="T199" i="48"/>
  <c r="AI168" i="54"/>
  <c r="AM168" i="54"/>
  <c r="AL168" i="54"/>
  <c r="AH168" i="54"/>
  <c r="AG168" i="54"/>
  <c r="AF168" i="54"/>
  <c r="AK168" i="54"/>
  <c r="AJ168" i="54"/>
  <c r="AJ96" i="54"/>
  <c r="AK96" i="54"/>
  <c r="AF96" i="54"/>
  <c r="AM96" i="54"/>
  <c r="AG96" i="54"/>
  <c r="AL96" i="54"/>
  <c r="AH96" i="54"/>
  <c r="AI96" i="54"/>
  <c r="AL207" i="48"/>
  <c r="T67" i="48"/>
  <c r="T129" i="48"/>
  <c r="AI95" i="54"/>
  <c r="AF95" i="54"/>
  <c r="AM95" i="54"/>
  <c r="AH95" i="54"/>
  <c r="AG95" i="54"/>
  <c r="AK95" i="54"/>
  <c r="AL95" i="54"/>
  <c r="AJ95" i="54"/>
  <c r="AK190" i="48"/>
  <c r="AL204" i="48"/>
  <c r="T64" i="48"/>
  <c r="AI234" i="48"/>
  <c r="AI222" i="48"/>
  <c r="AI162" i="48"/>
  <c r="T158" i="48"/>
  <c r="AH207" i="54"/>
  <c r="AI207" i="54"/>
  <c r="AL207" i="54"/>
  <c r="AJ207" i="54"/>
  <c r="AF207" i="54"/>
  <c r="AM207" i="54"/>
  <c r="AK207" i="54"/>
  <c r="AG207" i="54"/>
  <c r="T217" i="48"/>
  <c r="AF34" i="54"/>
  <c r="AJ34" i="54"/>
  <c r="AH34" i="54"/>
  <c r="AG34" i="54"/>
  <c r="AK34" i="54"/>
  <c r="AL34" i="54"/>
  <c r="AI34" i="54"/>
  <c r="AM34" i="54"/>
  <c r="AL14" i="54"/>
  <c r="AK14" i="54"/>
  <c r="AG14" i="54"/>
  <c r="AJ14" i="54"/>
  <c r="AM14" i="54"/>
  <c r="AF14" i="54"/>
  <c r="AI14" i="54"/>
  <c r="AH14" i="54"/>
  <c r="AM203" i="54"/>
  <c r="AL203" i="54"/>
  <c r="AG203" i="54"/>
  <c r="AH203" i="54"/>
  <c r="AK203" i="54"/>
  <c r="AI203" i="54"/>
  <c r="AF203" i="54"/>
  <c r="AJ203" i="54"/>
  <c r="T148" i="48"/>
  <c r="T45" i="48"/>
  <c r="AL185" i="48"/>
  <c r="AI186" i="48"/>
  <c r="AL27" i="54"/>
  <c r="AM27" i="54"/>
  <c r="AI27" i="54"/>
  <c r="AK27" i="54"/>
  <c r="AF27" i="54"/>
  <c r="AH27" i="54"/>
  <c r="AG27" i="54"/>
  <c r="AJ27" i="54"/>
  <c r="AJ153" i="54"/>
  <c r="AF153" i="54"/>
  <c r="AL153" i="54"/>
  <c r="AI153" i="54"/>
  <c r="AM153" i="54"/>
  <c r="AG153" i="54"/>
  <c r="AK153" i="54"/>
  <c r="AH153" i="54"/>
  <c r="AI56" i="54"/>
  <c r="AJ56" i="54"/>
  <c r="AG56" i="54"/>
  <c r="AL56" i="54"/>
  <c r="AF56" i="54"/>
  <c r="AM56" i="54"/>
  <c r="AH56" i="54"/>
  <c r="AK56" i="54"/>
  <c r="AK227" i="48"/>
  <c r="AK233" i="48"/>
  <c r="AK205" i="48"/>
  <c r="AL191" i="48"/>
  <c r="T51" i="48"/>
  <c r="AI202" i="48"/>
  <c r="AL228" i="48"/>
  <c r="T88" i="48"/>
  <c r="AI197" i="48"/>
  <c r="T54" i="48"/>
  <c r="AL194" i="48"/>
  <c r="T220" i="48"/>
  <c r="AJ8" i="54"/>
  <c r="AI8" i="54"/>
  <c r="AM8" i="54"/>
  <c r="AK8" i="54"/>
  <c r="AF8" i="54"/>
  <c r="AL8" i="54"/>
  <c r="AH8" i="54"/>
  <c r="AG8" i="54"/>
  <c r="T223" i="48"/>
  <c r="AI37" i="54"/>
  <c r="AM37" i="54"/>
  <c r="AL37" i="54"/>
  <c r="AG37" i="54"/>
  <c r="AK37" i="54"/>
  <c r="AJ37" i="54"/>
  <c r="AH37" i="54"/>
  <c r="AF37" i="54"/>
  <c r="AL247" i="48"/>
  <c r="T107" i="48"/>
  <c r="AJ193" i="54"/>
  <c r="AL193" i="54"/>
  <c r="AI193" i="54"/>
  <c r="AG193" i="54"/>
  <c r="AM193" i="54"/>
  <c r="AF193" i="54"/>
  <c r="AK193" i="54"/>
  <c r="AH193" i="54"/>
  <c r="AI184" i="48"/>
  <c r="T219" i="48"/>
  <c r="AK247" i="48"/>
  <c r="AL168" i="48"/>
  <c r="T28" i="48"/>
  <c r="AK207" i="48"/>
  <c r="AI168" i="48"/>
  <c r="AL154" i="48"/>
  <c r="T14" i="48"/>
  <c r="AL163" i="48"/>
  <c r="T23" i="48"/>
  <c r="AK178" i="48"/>
  <c r="AL209" i="48"/>
  <c r="T69" i="48"/>
  <c r="T39" i="48"/>
  <c r="AL179" i="48"/>
  <c r="AK188" i="48"/>
  <c r="AI144" i="48"/>
  <c r="AL144" i="48"/>
  <c r="T4" i="48"/>
  <c r="AF129" i="54"/>
  <c r="AI129" i="54"/>
  <c r="AL129" i="54"/>
  <c r="AH129" i="54"/>
  <c r="AK129" i="54"/>
  <c r="AG129" i="54"/>
  <c r="AM129" i="54"/>
  <c r="AJ129" i="54"/>
  <c r="T140" i="48"/>
  <c r="AH196" i="54"/>
  <c r="AM196" i="54"/>
  <c r="AG196" i="54"/>
  <c r="AK196" i="54"/>
  <c r="AI196" i="54"/>
  <c r="AF196" i="54"/>
  <c r="AL196" i="54"/>
  <c r="AJ196" i="54"/>
  <c r="AL215" i="48"/>
  <c r="T75" i="48"/>
  <c r="AK243" i="48"/>
  <c r="T191" i="48"/>
  <c r="AK208" i="48"/>
  <c r="AL181" i="54"/>
  <c r="AJ181" i="54"/>
  <c r="AI181" i="54"/>
  <c r="AM181" i="54"/>
  <c r="AF181" i="54"/>
  <c r="AH181" i="54"/>
  <c r="AK181" i="54"/>
  <c r="AG181" i="54"/>
  <c r="T128" i="48"/>
  <c r="T174" i="48"/>
  <c r="T144" i="48"/>
  <c r="AF147" i="54"/>
  <c r="AG147" i="54"/>
  <c r="AL147" i="54"/>
  <c r="AI147" i="54"/>
  <c r="AH147" i="54"/>
  <c r="AM147" i="54"/>
  <c r="AJ147" i="54"/>
  <c r="AK147" i="54"/>
  <c r="AL230" i="48"/>
  <c r="T90" i="48"/>
  <c r="AI231" i="48"/>
  <c r="AL172" i="48"/>
  <c r="T32" i="48"/>
  <c r="AJ180" i="54"/>
  <c r="AG180" i="54"/>
  <c r="AM180" i="54"/>
  <c r="AI180" i="54"/>
  <c r="AH180" i="54"/>
  <c r="AL180" i="54"/>
  <c r="AF180" i="54"/>
  <c r="AK180" i="54"/>
  <c r="AK184" i="48"/>
  <c r="AK164" i="48"/>
  <c r="AL153" i="48"/>
  <c r="T13" i="48"/>
  <c r="AI200" i="48"/>
  <c r="AK222" i="48"/>
  <c r="AK198" i="48"/>
  <c r="AF21" i="54"/>
  <c r="AG21" i="54"/>
  <c r="AK21" i="54"/>
  <c r="AI21" i="54"/>
  <c r="AM21" i="54"/>
  <c r="AH21" i="54"/>
  <c r="AL21" i="54"/>
  <c r="AJ21" i="54"/>
  <c r="T201" i="48"/>
  <c r="AK148" i="48"/>
  <c r="AL208" i="54"/>
  <c r="AJ208" i="54"/>
  <c r="AH208" i="54"/>
  <c r="AM208" i="54"/>
  <c r="AG208" i="54"/>
  <c r="AI208" i="54"/>
  <c r="AF208" i="54"/>
  <c r="AK208" i="54"/>
  <c r="AI232" i="48"/>
  <c r="AM175" i="54"/>
  <c r="AL175" i="54"/>
  <c r="AG175" i="54"/>
  <c r="AI175" i="54"/>
  <c r="AF175" i="54"/>
  <c r="AH175" i="54"/>
  <c r="AJ175" i="54"/>
  <c r="AK175" i="54"/>
  <c r="AK212" i="54"/>
  <c r="AG212" i="54"/>
  <c r="AF212" i="54"/>
  <c r="AI212" i="54"/>
  <c r="AM212" i="54"/>
  <c r="AH212" i="54"/>
  <c r="AL212" i="54"/>
  <c r="AJ212" i="54"/>
  <c r="AL155" i="54"/>
  <c r="AJ155" i="54"/>
  <c r="AM155" i="54"/>
  <c r="AK155" i="54"/>
  <c r="AF155" i="54"/>
  <c r="AG155" i="54"/>
  <c r="AI155" i="54"/>
  <c r="AH155" i="54"/>
  <c r="AF173" i="54"/>
  <c r="AI173" i="54"/>
  <c r="AJ173" i="54"/>
  <c r="AL173" i="54"/>
  <c r="AK173" i="54"/>
  <c r="AG173" i="54"/>
  <c r="AH173" i="54"/>
  <c r="AM173" i="54"/>
  <c r="T117" i="48"/>
  <c r="AK209" i="48"/>
  <c r="AK72" i="54"/>
  <c r="AJ72" i="54"/>
  <c r="AI72" i="54"/>
  <c r="AL72" i="54"/>
  <c r="AH72" i="54"/>
  <c r="AM72" i="54"/>
  <c r="AG72" i="54"/>
  <c r="AF72" i="54"/>
  <c r="T169" i="48"/>
  <c r="AL219" i="48"/>
  <c r="T79" i="48"/>
  <c r="T221" i="48"/>
  <c r="AM66" i="54"/>
  <c r="AL66" i="54"/>
  <c r="AF66" i="54"/>
  <c r="AI66" i="54"/>
  <c r="AJ66" i="54"/>
  <c r="AH66" i="54"/>
  <c r="AK66" i="54"/>
  <c r="AG66" i="54"/>
  <c r="AF183" i="54"/>
  <c r="AI183" i="54"/>
  <c r="AG183" i="54"/>
  <c r="AM183" i="54"/>
  <c r="AH183" i="54"/>
  <c r="AL183" i="54"/>
  <c r="AJ183" i="54"/>
  <c r="AK183" i="54"/>
  <c r="AI172" i="48"/>
  <c r="AL221" i="48"/>
  <c r="T81" i="48"/>
  <c r="AI185" i="54"/>
  <c r="AJ185" i="54"/>
  <c r="AH185" i="54"/>
  <c r="AL185" i="54"/>
  <c r="AK185" i="54"/>
  <c r="AF185" i="54"/>
  <c r="AM185" i="54"/>
  <c r="AG185" i="54"/>
  <c r="AG130" i="54"/>
  <c r="AF130" i="54"/>
  <c r="AL130" i="54"/>
  <c r="AI130" i="54"/>
  <c r="AK130" i="54"/>
  <c r="AM130" i="54"/>
  <c r="AH130" i="54"/>
  <c r="AJ130" i="54"/>
  <c r="AK204" i="48"/>
  <c r="AJ210" i="54"/>
  <c r="AK210" i="54"/>
  <c r="AI210" i="54"/>
  <c r="AL210" i="54"/>
  <c r="AM210" i="54"/>
  <c r="AG210" i="54"/>
  <c r="AH210" i="54"/>
  <c r="AF210" i="54"/>
  <c r="AI236" i="48"/>
  <c r="AL177" i="48"/>
  <c r="T37" i="48"/>
  <c r="AF68" i="54"/>
  <c r="AH68" i="54"/>
  <c r="AJ68" i="54"/>
  <c r="AK68" i="54"/>
  <c r="AI68" i="54"/>
  <c r="AL68" i="54"/>
  <c r="AG68" i="54"/>
  <c r="AM68" i="54"/>
  <c r="AM120" i="54"/>
  <c r="AK120" i="54"/>
  <c r="AI120" i="54"/>
  <c r="AG120" i="54"/>
  <c r="AL120" i="54"/>
  <c r="AH120" i="54"/>
  <c r="AJ120" i="54"/>
  <c r="AF120" i="54"/>
  <c r="AG101" i="54"/>
  <c r="AM101" i="54"/>
  <c r="AI101" i="54"/>
  <c r="AF101" i="54"/>
  <c r="AK101" i="54"/>
  <c r="AJ101" i="54"/>
  <c r="AL101" i="54"/>
  <c r="AH101" i="54"/>
  <c r="AI155" i="48"/>
  <c r="AL176" i="48"/>
  <c r="T36" i="48"/>
  <c r="AI189" i="54"/>
  <c r="AK189" i="54"/>
  <c r="AM189" i="54"/>
  <c r="AL189" i="54"/>
  <c r="AF189" i="54"/>
  <c r="AJ189" i="54"/>
  <c r="AG189" i="54"/>
  <c r="AH189" i="54"/>
  <c r="AK122" i="54"/>
  <c r="AI122" i="54"/>
  <c r="AH122" i="54"/>
  <c r="AJ122" i="54"/>
  <c r="AF122" i="54"/>
  <c r="AM122" i="54"/>
  <c r="AL122" i="54"/>
  <c r="AG122" i="54"/>
  <c r="AF158" i="54"/>
  <c r="AM158" i="54"/>
  <c r="AK158" i="54"/>
  <c r="AJ158" i="54"/>
  <c r="AG158" i="54"/>
  <c r="AI158" i="54"/>
  <c r="AH158" i="54"/>
  <c r="AL158" i="54"/>
  <c r="AK30" i="54"/>
  <c r="AG30" i="54"/>
  <c r="AF30" i="54"/>
  <c r="AI30" i="54"/>
  <c r="AH30" i="54"/>
  <c r="AJ30" i="54"/>
  <c r="AL30" i="54"/>
  <c r="AM30" i="54"/>
  <c r="AM112" i="54"/>
  <c r="AF112" i="54"/>
  <c r="AJ112" i="54"/>
  <c r="AI112" i="54"/>
  <c r="AK112" i="54"/>
  <c r="AH112" i="54"/>
  <c r="AL112" i="54"/>
  <c r="AG112" i="54"/>
  <c r="T134" i="48"/>
  <c r="T127" i="48"/>
  <c r="AH133" i="54"/>
  <c r="AG133" i="54"/>
  <c r="AI133" i="54"/>
  <c r="AJ133" i="54"/>
  <c r="AL133" i="54"/>
  <c r="AK133" i="54"/>
  <c r="AM133" i="54"/>
  <c r="AF133" i="54"/>
  <c r="AI240" i="48"/>
  <c r="T116" i="48"/>
  <c r="T124" i="48"/>
  <c r="T192" i="48"/>
  <c r="AJ7" i="54"/>
  <c r="AL7" i="54"/>
  <c r="AH7" i="54"/>
  <c r="AF7" i="54"/>
  <c r="AK7" i="54"/>
  <c r="AG7" i="54"/>
  <c r="AM7" i="54"/>
  <c r="AI7" i="54"/>
  <c r="AI174" i="48"/>
  <c r="AG186" i="54"/>
  <c r="AJ186" i="54"/>
  <c r="AM186" i="54"/>
  <c r="AK186" i="54"/>
  <c r="AF186" i="54"/>
  <c r="AI186" i="54"/>
  <c r="AL186" i="54"/>
  <c r="AH186" i="54"/>
  <c r="T183" i="48"/>
  <c r="T115" i="48"/>
  <c r="AK244" i="48"/>
  <c r="AL137" i="54"/>
  <c r="AK137" i="54"/>
  <c r="AJ137" i="54"/>
  <c r="AH137" i="54"/>
  <c r="AG137" i="54"/>
  <c r="AF137" i="54"/>
  <c r="AI137" i="54"/>
  <c r="AM137" i="54"/>
  <c r="AI207" i="48"/>
  <c r="AL167" i="48"/>
  <c r="T27" i="48"/>
  <c r="AK223" i="48"/>
  <c r="AF157" i="54"/>
  <c r="AH157" i="54"/>
  <c r="AL157" i="54"/>
  <c r="AG157" i="54"/>
  <c r="AI157" i="54"/>
  <c r="AJ157" i="54"/>
  <c r="AK157" i="54"/>
  <c r="AM157" i="54"/>
  <c r="AL135" i="54"/>
  <c r="AG135" i="54"/>
  <c r="AJ135" i="54"/>
  <c r="AH135" i="54"/>
  <c r="AM135" i="54"/>
  <c r="AK135" i="54"/>
  <c r="AI135" i="54"/>
  <c r="AF135" i="54"/>
  <c r="T130" i="48"/>
  <c r="T207" i="48"/>
  <c r="AG166" i="54"/>
  <c r="AK166" i="54"/>
  <c r="AI166" i="54"/>
  <c r="AJ166" i="54"/>
  <c r="AL166" i="54"/>
  <c r="AH166" i="54"/>
  <c r="AF166" i="54"/>
  <c r="AM166" i="54"/>
  <c r="AI208" i="48"/>
  <c r="AK186" i="48"/>
  <c r="T194" i="48"/>
  <c r="AK173" i="48"/>
  <c r="T118" i="48"/>
  <c r="AK114" i="54"/>
  <c r="AH114" i="54"/>
  <c r="AG114" i="54"/>
  <c r="AF114" i="54"/>
  <c r="AJ114" i="54"/>
  <c r="AL114" i="54"/>
  <c r="AM114" i="54"/>
  <c r="AI114" i="54"/>
  <c r="AK157" i="48"/>
  <c r="AK20" i="54"/>
  <c r="AI20" i="54"/>
  <c r="AJ20" i="54"/>
  <c r="AL20" i="54"/>
  <c r="AH20" i="54"/>
  <c r="AM20" i="54"/>
  <c r="AG20" i="54"/>
  <c r="AF20" i="54"/>
  <c r="AI221" i="48"/>
  <c r="AH81" i="54"/>
  <c r="AL81" i="54"/>
  <c r="AI81" i="54"/>
  <c r="AG81" i="54"/>
  <c r="AM81" i="54"/>
  <c r="AF81" i="54"/>
  <c r="AK81" i="54"/>
  <c r="AJ81" i="54"/>
  <c r="T123" i="48"/>
  <c r="AL145" i="48"/>
  <c r="T5" i="48"/>
  <c r="AI25" i="54"/>
  <c r="AL25" i="54"/>
  <c r="AF25" i="54"/>
  <c r="AG25" i="54"/>
  <c r="AH25" i="54"/>
  <c r="AK25" i="54"/>
  <c r="AJ25" i="54"/>
  <c r="AM25" i="54"/>
  <c r="T185" i="48"/>
  <c r="T101" i="48"/>
  <c r="AL241" i="48"/>
  <c r="AK221" i="48"/>
  <c r="AL182" i="48"/>
  <c r="T42" i="48"/>
  <c r="AI189" i="48"/>
  <c r="AL243" i="48"/>
  <c r="T103" i="48"/>
  <c r="AF99" i="54"/>
  <c r="AI99" i="54"/>
  <c r="AG99" i="54"/>
  <c r="AJ99" i="54"/>
  <c r="AM99" i="54"/>
  <c r="AL99" i="54"/>
  <c r="AH99" i="54"/>
  <c r="AK99" i="54"/>
  <c r="AL100" i="54"/>
  <c r="AG100" i="54"/>
  <c r="AM100" i="54"/>
  <c r="AH100" i="54"/>
  <c r="AI100" i="54"/>
  <c r="AF100" i="54"/>
  <c r="AK100" i="54"/>
  <c r="AJ100" i="54"/>
  <c r="T147" i="48"/>
  <c r="AM174" i="54"/>
  <c r="AH174" i="54"/>
  <c r="AL174" i="54"/>
  <c r="AK174" i="54"/>
  <c r="AG174" i="54"/>
  <c r="AI174" i="54"/>
  <c r="AJ174" i="54"/>
  <c r="AF174" i="54"/>
  <c r="T21" i="48"/>
  <c r="AL161" i="48"/>
  <c r="AH67" i="54"/>
  <c r="AG67" i="54"/>
  <c r="AI67" i="54"/>
  <c r="AF67" i="54"/>
  <c r="AK67" i="54"/>
  <c r="AM67" i="54"/>
  <c r="AJ67" i="54"/>
  <c r="AL67" i="54"/>
  <c r="AL218" i="48"/>
  <c r="T78" i="48"/>
  <c r="AK215" i="48"/>
  <c r="AG33" i="54"/>
  <c r="AI33" i="54"/>
  <c r="AF33" i="54"/>
  <c r="AK33" i="54"/>
  <c r="AM33" i="54"/>
  <c r="AJ33" i="54"/>
  <c r="AL33" i="54"/>
  <c r="AH33" i="54"/>
  <c r="AI142" i="48"/>
  <c r="T152" i="48"/>
  <c r="AI247" i="48"/>
  <c r="T145" i="48"/>
  <c r="AK116" i="54"/>
  <c r="AL116" i="54"/>
  <c r="AH116" i="54"/>
  <c r="AG116" i="54"/>
  <c r="AF116" i="54"/>
  <c r="AI116" i="54"/>
  <c r="AM116" i="54"/>
  <c r="AJ116" i="54"/>
  <c r="AK200" i="48"/>
  <c r="AL232" i="48"/>
  <c r="T92" i="48"/>
  <c r="T225" i="48"/>
  <c r="AM150" i="54"/>
  <c r="AH150" i="54"/>
  <c r="AJ150" i="54"/>
  <c r="AL150" i="54"/>
  <c r="AF150" i="54"/>
  <c r="AG150" i="54"/>
  <c r="AI150" i="54"/>
  <c r="AK150" i="54"/>
  <c r="T226" i="48"/>
  <c r="AJ63" i="54"/>
  <c r="AI63" i="54"/>
  <c r="AH63" i="54"/>
  <c r="AK63" i="54"/>
  <c r="AG63" i="54"/>
  <c r="AF63" i="54"/>
  <c r="AM63" i="54"/>
  <c r="AL63" i="54"/>
  <c r="AK183" i="48"/>
  <c r="AK195" i="48"/>
  <c r="AK235" i="48"/>
  <c r="AG178" i="54"/>
  <c r="AL178" i="54"/>
  <c r="AH178" i="54"/>
  <c r="AK178" i="54"/>
  <c r="AJ178" i="54"/>
  <c r="AI178" i="54"/>
  <c r="AF178" i="54"/>
  <c r="AM178" i="54"/>
  <c r="AI153" i="48"/>
  <c r="AF213" i="54"/>
  <c r="AM213" i="54"/>
  <c r="AL213" i="54"/>
  <c r="AI213" i="54"/>
  <c r="AG213" i="54"/>
  <c r="AK213" i="54"/>
  <c r="AJ213" i="54"/>
  <c r="AH213" i="54"/>
  <c r="AI210" i="48"/>
  <c r="AF209" i="54"/>
  <c r="AI209" i="54"/>
  <c r="AM209" i="54"/>
  <c r="AG209" i="54"/>
  <c r="AJ209" i="54"/>
  <c r="AK209" i="54"/>
  <c r="AL209" i="54"/>
  <c r="AH209" i="54"/>
  <c r="AK125" i="54"/>
  <c r="AF125" i="54"/>
  <c r="AI125" i="54"/>
  <c r="AH125" i="54"/>
  <c r="AJ125" i="54"/>
  <c r="AL125" i="54"/>
  <c r="AG125" i="54"/>
  <c r="AM125" i="54"/>
  <c r="AI185" i="48"/>
  <c r="T7" i="48"/>
  <c r="AL147" i="48"/>
  <c r="AK218" i="48"/>
  <c r="T190" i="48"/>
  <c r="AG92" i="54"/>
  <c r="AM92" i="54"/>
  <c r="AH92" i="54"/>
  <c r="AL92" i="54"/>
  <c r="AF92" i="54"/>
  <c r="AI92" i="54"/>
  <c r="AK92" i="54"/>
  <c r="AJ92" i="54"/>
  <c r="AG149" i="54"/>
  <c r="AL149" i="54"/>
  <c r="AF149" i="54"/>
  <c r="AI149" i="54"/>
  <c r="AJ149" i="54"/>
  <c r="AM149" i="54"/>
  <c r="AK149" i="54"/>
  <c r="AH149" i="54"/>
  <c r="AL201" i="48"/>
  <c r="T61" i="48"/>
  <c r="T48" i="48"/>
  <c r="AL188" i="48"/>
  <c r="AL138" i="54"/>
  <c r="AG138" i="54"/>
  <c r="AK138" i="54"/>
  <c r="AF138" i="54"/>
  <c r="AM138" i="54"/>
  <c r="AJ138" i="54"/>
  <c r="AI138" i="54"/>
  <c r="AH138" i="54"/>
  <c r="AK197" i="48"/>
  <c r="AI205" i="48"/>
  <c r="AL200" i="48"/>
  <c r="T60" i="48"/>
  <c r="AM110" i="54"/>
  <c r="AL110" i="54"/>
  <c r="AH110" i="54"/>
  <c r="AF110" i="54"/>
  <c r="AJ110" i="54"/>
  <c r="AI110" i="54"/>
  <c r="AK110" i="54"/>
  <c r="AG110" i="54"/>
  <c r="T110" i="48"/>
  <c r="AL250" i="48"/>
  <c r="AJ18" i="54"/>
  <c r="AL18" i="54"/>
  <c r="AG18" i="54"/>
  <c r="AH18" i="54"/>
  <c r="AF18" i="54"/>
  <c r="AK18" i="54"/>
  <c r="AI18" i="54"/>
  <c r="AM18" i="54"/>
  <c r="AI206" i="48"/>
  <c r="AI216" i="48"/>
  <c r="AL224" i="48"/>
  <c r="T84" i="48"/>
  <c r="T166" i="48"/>
  <c r="AL40" i="54"/>
  <c r="AJ40" i="54"/>
  <c r="AI40" i="54"/>
  <c r="AM40" i="54"/>
  <c r="AK40" i="54"/>
  <c r="AH40" i="54"/>
  <c r="AF40" i="54"/>
  <c r="AG40" i="54"/>
  <c r="AL158" i="48"/>
  <c r="T18" i="48"/>
  <c r="T114" i="48"/>
  <c r="T68" i="48"/>
  <c r="AL208" i="48"/>
  <c r="AK217" i="48"/>
  <c r="AL178" i="48"/>
  <c r="T38" i="48"/>
  <c r="AL176" i="54"/>
  <c r="AJ176" i="54"/>
  <c r="AH176" i="54"/>
  <c r="AK176" i="54"/>
  <c r="AI176" i="54"/>
  <c r="AF176" i="54"/>
  <c r="AG176" i="54"/>
  <c r="AM176" i="54"/>
  <c r="T193" i="48"/>
  <c r="T187" i="48"/>
  <c r="AK169" i="48"/>
  <c r="AL181" i="48"/>
  <c r="T41" i="48"/>
  <c r="AK71" i="54"/>
  <c r="AH71" i="54"/>
  <c r="AG71" i="54"/>
  <c r="AM71" i="54"/>
  <c r="AF71" i="54"/>
  <c r="AJ71" i="54"/>
  <c r="AL71" i="54"/>
  <c r="AI71" i="54"/>
  <c r="AF115" i="54"/>
  <c r="AI115" i="54"/>
  <c r="AJ115" i="54"/>
  <c r="AL115" i="54"/>
  <c r="AK115" i="54"/>
  <c r="AG115" i="54"/>
  <c r="AH115" i="54"/>
  <c r="AM115" i="54"/>
  <c r="T141" i="48"/>
  <c r="AI201" i="48"/>
  <c r="AK187" i="48"/>
  <c r="AK113" i="54"/>
  <c r="AI113" i="54"/>
  <c r="AJ113" i="54"/>
  <c r="AM113" i="54"/>
  <c r="AF113" i="54"/>
  <c r="AH113" i="54"/>
  <c r="AG113" i="54"/>
  <c r="AL113" i="54"/>
  <c r="AI250" i="48"/>
  <c r="AM102" i="54"/>
  <c r="AH102" i="54"/>
  <c r="AI102" i="54"/>
  <c r="AK102" i="54"/>
  <c r="AG102" i="54"/>
  <c r="AL102" i="54"/>
  <c r="AJ102" i="54"/>
  <c r="AF102" i="54"/>
  <c r="T26" i="48"/>
  <c r="AL166" i="48"/>
  <c r="T216" i="48"/>
  <c r="AI150" i="48"/>
  <c r="AK121" i="54"/>
  <c r="AF121" i="54"/>
  <c r="AH121" i="54"/>
  <c r="AI121" i="54"/>
  <c r="AL121" i="54"/>
  <c r="AM121" i="54"/>
  <c r="AG121" i="54"/>
  <c r="AJ121" i="54"/>
  <c r="AI248" i="48"/>
  <c r="AI224" i="48"/>
  <c r="AK248" i="48"/>
  <c r="AF93" i="54"/>
  <c r="AG93" i="54"/>
  <c r="AM93" i="54"/>
  <c r="AK93" i="54"/>
  <c r="AI93" i="54"/>
  <c r="AH93" i="54"/>
  <c r="AL93" i="54"/>
  <c r="AJ93" i="54"/>
  <c r="T143" i="48"/>
  <c r="AI165" i="48"/>
  <c r="AI19" i="54"/>
  <c r="AF19" i="54"/>
  <c r="AK19" i="54"/>
  <c r="AH19" i="54"/>
  <c r="AG19" i="54"/>
  <c r="AM19" i="54"/>
  <c r="AL19" i="54"/>
  <c r="AJ19" i="54"/>
  <c r="AK193" i="48"/>
  <c r="T35" i="48"/>
  <c r="AL175" i="48"/>
  <c r="AI188" i="54"/>
  <c r="AF188" i="54"/>
  <c r="AK188" i="54"/>
  <c r="AH188" i="54"/>
  <c r="AG188" i="54"/>
  <c r="AM188" i="54"/>
  <c r="AL188" i="54"/>
  <c r="AJ188" i="54"/>
  <c r="AJ80" i="54"/>
  <c r="AI80" i="54"/>
  <c r="AH80" i="54"/>
  <c r="AF80" i="54"/>
  <c r="AL80" i="54"/>
  <c r="AM80" i="54"/>
  <c r="AG80" i="54"/>
  <c r="AK80" i="54"/>
  <c r="AI213" i="48"/>
  <c r="AJ106" i="54"/>
  <c r="AI106" i="54"/>
  <c r="AK106" i="54"/>
  <c r="AL106" i="54"/>
  <c r="AF106" i="54"/>
  <c r="AM106" i="54"/>
  <c r="AH106" i="54"/>
  <c r="AG106" i="54"/>
  <c r="AI243" i="48"/>
  <c r="AL206" i="48"/>
  <c r="T66" i="48"/>
  <c r="AL223" i="48"/>
  <c r="T83" i="48"/>
  <c r="AG32" i="54"/>
  <c r="AF32" i="54"/>
  <c r="AM32" i="54"/>
  <c r="AK32" i="54"/>
  <c r="AI32" i="54"/>
  <c r="AL32" i="54"/>
  <c r="AJ32" i="54"/>
  <c r="AH32" i="54"/>
  <c r="AL160" i="54"/>
  <c r="AJ160" i="54"/>
  <c r="AM160" i="54"/>
  <c r="AK160" i="54"/>
  <c r="AH160" i="54"/>
  <c r="AF160" i="54"/>
  <c r="AI160" i="54"/>
  <c r="AG160" i="54"/>
  <c r="AI181" i="48"/>
  <c r="AH70" i="54"/>
  <c r="AF70" i="54"/>
  <c r="AK70" i="54"/>
  <c r="AJ70" i="54"/>
  <c r="AG70" i="54"/>
  <c r="AI70" i="54"/>
  <c r="AL70" i="54"/>
  <c r="AM70" i="54"/>
  <c r="AK163" i="48"/>
  <c r="AI151" i="48"/>
  <c r="AI227" i="48"/>
  <c r="AI152" i="54"/>
  <c r="AM152" i="54"/>
  <c r="AF152" i="54"/>
  <c r="AH152" i="54"/>
  <c r="AJ152" i="54"/>
  <c r="AL152" i="54"/>
  <c r="AK152" i="54"/>
  <c r="AG152" i="54"/>
  <c r="AI246" i="48"/>
  <c r="AI220" i="48"/>
  <c r="T125" i="48"/>
  <c r="AK228" i="48"/>
  <c r="AI143" i="48"/>
  <c r="AH45" i="54"/>
  <c r="AL45" i="54"/>
  <c r="AJ45" i="54"/>
  <c r="AI45" i="54"/>
  <c r="AK45" i="54"/>
  <c r="AF45" i="54"/>
  <c r="AM45" i="54"/>
  <c r="AG45" i="54"/>
  <c r="T173" i="48"/>
  <c r="AM154" i="54"/>
  <c r="AF154" i="54"/>
  <c r="AH154" i="54"/>
  <c r="AK154" i="54"/>
  <c r="AG154" i="54"/>
  <c r="AJ154" i="54"/>
  <c r="AL154" i="54"/>
  <c r="AI154" i="54"/>
  <c r="AH57" i="54"/>
  <c r="AM57" i="54"/>
  <c r="AJ57" i="54"/>
  <c r="AF57" i="54"/>
  <c r="AI57" i="54"/>
  <c r="AG57" i="54"/>
  <c r="AK57" i="54"/>
  <c r="AL57" i="54"/>
  <c r="AL245" i="48"/>
  <c r="T105" i="48"/>
  <c r="T182" i="48"/>
  <c r="AK48" i="54"/>
  <c r="AH48" i="54"/>
  <c r="AF48" i="54"/>
  <c r="AG48" i="54"/>
  <c r="AL48" i="54"/>
  <c r="AM48" i="54"/>
  <c r="AJ48" i="54"/>
  <c r="AI48" i="54"/>
  <c r="AK224" i="48"/>
  <c r="T213" i="48"/>
  <c r="T119" i="48"/>
  <c r="AK251" i="48"/>
  <c r="AK201" i="48"/>
  <c r="AK175" i="48"/>
  <c r="AI193" i="48"/>
  <c r="AL239" i="48"/>
  <c r="T99" i="48"/>
  <c r="AI149" i="48"/>
  <c r="AL219" i="54"/>
  <c r="AH219" i="54"/>
  <c r="AK219" i="54"/>
  <c r="AG219" i="54"/>
  <c r="AJ219" i="54"/>
  <c r="AI219" i="54"/>
  <c r="AF219" i="54"/>
  <c r="AM219" i="54"/>
  <c r="AG83" i="54"/>
  <c r="AL83" i="54"/>
  <c r="AK83" i="54"/>
  <c r="AI83" i="54"/>
  <c r="AM83" i="54"/>
  <c r="AH83" i="54"/>
  <c r="AF83" i="54"/>
  <c r="AJ83" i="54"/>
  <c r="AK155" i="48"/>
  <c r="AG54" i="54"/>
  <c r="AM54" i="54"/>
  <c r="AJ54" i="54"/>
  <c r="AI54" i="54"/>
  <c r="AH54" i="54"/>
  <c r="AL54" i="54"/>
  <c r="AK54" i="54"/>
  <c r="AF54" i="54"/>
  <c r="T200" i="48"/>
  <c r="AI249" i="48"/>
  <c r="T136" i="48"/>
  <c r="AK77" i="54"/>
  <c r="AM77" i="54"/>
  <c r="AH77" i="54"/>
  <c r="AG77" i="54"/>
  <c r="AJ77" i="54"/>
  <c r="AF77" i="54"/>
  <c r="AI77" i="54"/>
  <c r="AL77" i="54"/>
  <c r="AL210" i="48"/>
  <c r="T70" i="48"/>
  <c r="AH88" i="54"/>
  <c r="AL88" i="54"/>
  <c r="AI88" i="54"/>
  <c r="AM88" i="54"/>
  <c r="AG88" i="54"/>
  <c r="AK88" i="54"/>
  <c r="AF88" i="54"/>
  <c r="AJ88" i="54"/>
  <c r="AJ161" i="54"/>
  <c r="AL161" i="54"/>
  <c r="AK161" i="54"/>
  <c r="AF161" i="54"/>
  <c r="AH161" i="54"/>
  <c r="AG161" i="54"/>
  <c r="AM161" i="54"/>
  <c r="AI161" i="54"/>
  <c r="AI161" i="48"/>
  <c r="AK176" i="48"/>
  <c r="AF64" i="54"/>
  <c r="AK64" i="54"/>
  <c r="AJ64" i="54"/>
  <c r="AG64" i="54"/>
  <c r="AM64" i="54"/>
  <c r="AI64" i="54"/>
  <c r="AL64" i="54"/>
  <c r="AH64" i="54"/>
  <c r="T210" i="48"/>
  <c r="AK196" i="48"/>
  <c r="AL159" i="48"/>
  <c r="T19" i="48"/>
  <c r="AL231" i="48"/>
  <c r="T91" i="48"/>
  <c r="AL238" i="48"/>
  <c r="T98" i="48"/>
  <c r="AL170" i="48"/>
  <c r="T30" i="48"/>
  <c r="AL173" i="48"/>
  <c r="T33" i="48"/>
  <c r="AG201" i="54"/>
  <c r="AF201" i="54"/>
  <c r="AM201" i="54"/>
  <c r="AJ201" i="54"/>
  <c r="AH201" i="54"/>
  <c r="AI201" i="54"/>
  <c r="AL201" i="54"/>
  <c r="AK201" i="54"/>
  <c r="AK241" i="48"/>
  <c r="AI139" i="54"/>
  <c r="AL139" i="54"/>
  <c r="AK139" i="54"/>
  <c r="AM139" i="54"/>
  <c r="AJ139" i="54"/>
  <c r="AF139" i="54"/>
  <c r="AG139" i="54"/>
  <c r="AH139" i="54"/>
  <c r="AI178" i="48"/>
  <c r="T80" i="48"/>
  <c r="AL220" i="48"/>
  <c r="AI194" i="48"/>
  <c r="T146" i="48"/>
  <c r="AL214" i="48"/>
  <c r="T74" i="48"/>
  <c r="AK182" i="48"/>
  <c r="AL225" i="48"/>
  <c r="T85" i="48"/>
  <c r="AG127" i="54"/>
  <c r="AI127" i="54"/>
  <c r="AJ127" i="54"/>
  <c r="AL127" i="54"/>
  <c r="AK127" i="54"/>
  <c r="AM127" i="54"/>
  <c r="AH127" i="54"/>
  <c r="AF127" i="54"/>
  <c r="AG65" i="54"/>
  <c r="AF65" i="54"/>
  <c r="AH65" i="54"/>
  <c r="AI65" i="54"/>
  <c r="AL65" i="54"/>
  <c r="AK65" i="54"/>
  <c r="AJ65" i="54"/>
  <c r="AM65" i="54"/>
  <c r="AL134" i="54"/>
  <c r="AH134" i="54"/>
  <c r="AI134" i="54"/>
  <c r="AK134" i="54"/>
  <c r="AF134" i="54"/>
  <c r="AJ134" i="54"/>
  <c r="AM134" i="54"/>
  <c r="AG134" i="54"/>
  <c r="T126" i="48"/>
  <c r="AK166" i="48"/>
  <c r="AL164" i="48"/>
  <c r="T24" i="48"/>
  <c r="AF24" i="54"/>
  <c r="AI24" i="54"/>
  <c r="AG24" i="54"/>
  <c r="AL24" i="54"/>
  <c r="AK24" i="54"/>
  <c r="AH24" i="54"/>
  <c r="AM24" i="54"/>
  <c r="AJ24" i="54"/>
  <c r="AK226" i="48"/>
  <c r="T203" i="48"/>
  <c r="AI190" i="54"/>
  <c r="AL190" i="54"/>
  <c r="AF190" i="54"/>
  <c r="AK190" i="54"/>
  <c r="AG190" i="54"/>
  <c r="AJ190" i="54"/>
  <c r="AM190" i="54"/>
  <c r="AH190" i="54"/>
  <c r="AL132" i="54"/>
  <c r="AF132" i="54"/>
  <c r="AH132" i="54"/>
  <c r="AK132" i="54"/>
  <c r="AM132" i="54"/>
  <c r="AI132" i="54"/>
  <c r="AG132" i="54"/>
  <c r="AJ132" i="54"/>
  <c r="T179" i="48"/>
  <c r="AF36" i="54"/>
  <c r="AG36" i="54"/>
  <c r="AK36" i="54"/>
  <c r="AJ36" i="54"/>
  <c r="AL36" i="54"/>
  <c r="AH36" i="54"/>
  <c r="AI36" i="54"/>
  <c r="AM36" i="54"/>
  <c r="AI245" i="48"/>
  <c r="AI184" i="54"/>
  <c r="AJ184" i="54"/>
  <c r="AK184" i="54"/>
  <c r="AL184" i="54"/>
  <c r="AH184" i="54"/>
  <c r="AF184" i="54"/>
  <c r="AG184" i="54"/>
  <c r="AM184" i="54"/>
  <c r="T97" i="48"/>
  <c r="AL237" i="48"/>
  <c r="AG141" i="54"/>
  <c r="AF141" i="54"/>
  <c r="AH141" i="54"/>
  <c r="AI141" i="54"/>
  <c r="AK141" i="54"/>
  <c r="AL141" i="54"/>
  <c r="AJ141" i="54"/>
  <c r="AM141" i="54"/>
  <c r="AF85" i="54"/>
  <c r="AJ85" i="54"/>
  <c r="AG85" i="54"/>
  <c r="AH85" i="54"/>
  <c r="AL85" i="54"/>
  <c r="AK85" i="54"/>
  <c r="AM85" i="54"/>
  <c r="AI85" i="54"/>
  <c r="AL165" i="54"/>
  <c r="AF165" i="54"/>
  <c r="AM165" i="54"/>
  <c r="AJ165" i="54"/>
  <c r="AI165" i="54"/>
  <c r="AG165" i="54"/>
  <c r="AH165" i="54"/>
  <c r="AK165" i="54"/>
  <c r="AG156" i="54"/>
  <c r="AH156" i="54"/>
  <c r="AF156" i="54"/>
  <c r="AI156" i="54"/>
  <c r="AK156" i="54"/>
  <c r="AJ156" i="54"/>
  <c r="AL156" i="54"/>
  <c r="AM156" i="54"/>
  <c r="AG51" i="54"/>
  <c r="AK51" i="54"/>
  <c r="AH51" i="54"/>
  <c r="AF51" i="54"/>
  <c r="AJ51" i="54"/>
  <c r="AI51" i="54"/>
  <c r="AM51" i="54"/>
  <c r="AL51" i="54"/>
  <c r="AI195" i="48"/>
  <c r="T113" i="48"/>
  <c r="T95" i="48"/>
  <c r="AL235" i="48"/>
  <c r="AK220" i="48"/>
  <c r="AI164" i="48"/>
  <c r="AG111" i="54"/>
  <c r="AJ111" i="54"/>
  <c r="AL111" i="54"/>
  <c r="AK111" i="54"/>
  <c r="AI111" i="54"/>
  <c r="AH111" i="54"/>
  <c r="AF111" i="54"/>
  <c r="AM111" i="54"/>
  <c r="AH200" i="54"/>
  <c r="AM200" i="54"/>
  <c r="AG200" i="54"/>
  <c r="AF200" i="54"/>
  <c r="AL200" i="54"/>
  <c r="AK200" i="54"/>
  <c r="AI200" i="54"/>
  <c r="AJ200" i="54"/>
  <c r="AG199" i="54"/>
  <c r="AK199" i="54"/>
  <c r="AF199" i="54"/>
  <c r="AM199" i="54"/>
  <c r="AH199" i="54"/>
  <c r="AI199" i="54"/>
  <c r="AJ199" i="54"/>
  <c r="AL199" i="54"/>
  <c r="AI241" i="48"/>
  <c r="T149" i="48"/>
  <c r="T53" i="48"/>
  <c r="AL193" i="48"/>
  <c r="AI223" i="48"/>
  <c r="AJ151" i="54"/>
  <c r="AL151" i="54"/>
  <c r="AG151" i="54"/>
  <c r="AK151" i="54"/>
  <c r="AH151" i="54"/>
  <c r="AF151" i="54"/>
  <c r="AI151" i="54"/>
  <c r="AM151" i="54"/>
  <c r="AM5" i="54"/>
  <c r="AK5" i="54"/>
  <c r="AH5" i="54"/>
  <c r="AI5" i="54"/>
  <c r="AL5" i="54"/>
  <c r="AJ5" i="54"/>
  <c r="AF5" i="54"/>
  <c r="AG5" i="54"/>
  <c r="AM94" i="54"/>
  <c r="AJ94" i="54"/>
  <c r="AK94" i="54"/>
  <c r="AF94" i="54"/>
  <c r="AL94" i="54"/>
  <c r="AG94" i="54"/>
  <c r="AI94" i="54"/>
  <c r="AH94" i="54"/>
  <c r="AI230" i="48"/>
  <c r="AK199" i="48"/>
  <c r="AK11" i="54"/>
  <c r="AM11" i="54"/>
  <c r="AH11" i="54"/>
  <c r="AI11" i="54"/>
  <c r="AL11" i="54"/>
  <c r="AJ11" i="54"/>
  <c r="AF11" i="54"/>
  <c r="AG11" i="54"/>
  <c r="AK170" i="48"/>
  <c r="AK191" i="54"/>
  <c r="AL191" i="54"/>
  <c r="AJ191" i="54"/>
  <c r="AH191" i="54"/>
  <c r="AF191" i="54"/>
  <c r="AG191" i="54"/>
  <c r="AM191" i="54"/>
  <c r="AI191" i="54"/>
  <c r="AK143" i="48"/>
  <c r="T43" i="48"/>
  <c r="AL183" i="48"/>
  <c r="AL163" i="54"/>
  <c r="AK163" i="54"/>
  <c r="AJ163" i="54"/>
  <c r="AG163" i="54"/>
  <c r="AH163" i="54"/>
  <c r="AM163" i="54"/>
  <c r="AF163" i="54"/>
  <c r="AI163" i="54"/>
  <c r="AK211" i="48"/>
  <c r="AK43" i="54"/>
  <c r="AF43" i="54"/>
  <c r="AM43" i="54"/>
  <c r="AG43" i="54"/>
  <c r="AJ43" i="54"/>
  <c r="AI43" i="54"/>
  <c r="AL43" i="54"/>
  <c r="AH43" i="54"/>
  <c r="AF124" i="54"/>
  <c r="AL124" i="54"/>
  <c r="AK124" i="54"/>
  <c r="AH124" i="54"/>
  <c r="AJ124" i="54"/>
  <c r="AM124" i="54"/>
  <c r="AI124" i="54"/>
  <c r="AG124" i="54"/>
  <c r="AH128" i="54"/>
  <c r="AF128" i="54"/>
  <c r="AL128" i="54"/>
  <c r="AI128" i="54"/>
  <c r="AK128" i="54"/>
  <c r="AG128" i="54"/>
  <c r="AM128" i="54"/>
  <c r="AJ128" i="54"/>
  <c r="AK76" i="54"/>
  <c r="AL76" i="54"/>
  <c r="AF76" i="54"/>
  <c r="AH76" i="54"/>
  <c r="AG76" i="54"/>
  <c r="AJ76" i="54"/>
  <c r="AI76" i="54"/>
  <c r="AM76" i="54"/>
  <c r="AI152" i="48"/>
  <c r="T224" i="48"/>
  <c r="AL199" i="48"/>
  <c r="T59" i="48"/>
  <c r="AI52" i="54"/>
  <c r="AG52" i="54"/>
  <c r="AM52" i="54"/>
  <c r="AH52" i="54"/>
  <c r="AF52" i="54"/>
  <c r="AL52" i="54"/>
  <c r="AJ52" i="54"/>
  <c r="AK52" i="54"/>
  <c r="AL186" i="48"/>
  <c r="T46" i="48"/>
  <c r="T9" i="48"/>
  <c r="AL149" i="48"/>
  <c r="AI218" i="48"/>
  <c r="AL233" i="48"/>
  <c r="T93" i="48"/>
  <c r="AK147" i="48"/>
  <c r="AM58" i="54"/>
  <c r="AH58" i="54"/>
  <c r="AG58" i="54"/>
  <c r="AF58" i="54"/>
  <c r="AI58" i="54"/>
  <c r="AJ58" i="54"/>
  <c r="AL58" i="54"/>
  <c r="AK58" i="54"/>
  <c r="AK219" i="48"/>
  <c r="T20" i="48"/>
  <c r="AL160" i="48"/>
  <c r="T214" i="48"/>
  <c r="AI89" i="54"/>
  <c r="AH89" i="54"/>
  <c r="AM89" i="54"/>
  <c r="AJ89" i="54"/>
  <c r="AG89" i="54"/>
  <c r="AF89" i="54"/>
  <c r="AL89" i="54"/>
  <c r="AK89" i="54"/>
  <c r="AK167" i="54"/>
  <c r="AG167" i="54"/>
  <c r="AI167" i="54"/>
  <c r="AF167" i="54"/>
  <c r="AM167" i="54"/>
  <c r="AJ167" i="54"/>
  <c r="AL167" i="54"/>
  <c r="AH167" i="54"/>
  <c r="AK250" i="48"/>
  <c r="AM26" i="54"/>
  <c r="AH26" i="54"/>
  <c r="AF26" i="54"/>
  <c r="AK26" i="54"/>
  <c r="AG26" i="54"/>
  <c r="AJ26" i="54"/>
  <c r="AI26" i="54"/>
  <c r="AL26" i="54"/>
  <c r="AI204" i="48"/>
  <c r="AL217" i="48"/>
  <c r="T77" i="48"/>
  <c r="T157" i="48"/>
  <c r="AK154" i="48"/>
  <c r="AK165" i="48"/>
  <c r="AI235" i="48"/>
  <c r="AF198" i="54"/>
  <c r="AJ198" i="54"/>
  <c r="AL198" i="54"/>
  <c r="AI198" i="54"/>
  <c r="AG198" i="54"/>
  <c r="AH198" i="54"/>
  <c r="AK198" i="54"/>
  <c r="AM198" i="54"/>
  <c r="AK182" i="54"/>
  <c r="AG182" i="54"/>
  <c r="AH182" i="54"/>
  <c r="AF182" i="54"/>
  <c r="AL182" i="54"/>
  <c r="AI182" i="54"/>
  <c r="AJ182" i="54"/>
  <c r="AM182" i="54"/>
  <c r="AI182" i="48"/>
  <c r="AM112" i="47"/>
  <c r="AM108" i="47"/>
  <c r="AM109" i="47"/>
  <c r="AM106" i="47"/>
  <c r="AM103" i="47"/>
  <c r="AM104" i="47"/>
  <c r="AM105" i="47"/>
  <c r="AM114" i="47"/>
  <c r="AM111" i="47"/>
  <c r="AM113" i="47"/>
  <c r="AM107" i="47"/>
  <c r="AM110" i="47"/>
  <c r="AM192" i="47"/>
  <c r="AM195" i="47"/>
  <c r="AM199" i="47"/>
  <c r="AM302" i="47"/>
  <c r="AM216" i="47"/>
  <c r="AM218" i="47"/>
  <c r="AM189" i="47"/>
  <c r="AM277" i="47"/>
  <c r="AM242" i="47"/>
  <c r="AM275" i="47"/>
  <c r="AM150" i="47"/>
  <c r="AM209" i="47"/>
  <c r="AM297" i="47"/>
  <c r="AM293" i="47"/>
  <c r="AM144" i="47"/>
  <c r="AM118" i="47"/>
  <c r="AM269" i="47"/>
  <c r="AM185" i="47"/>
  <c r="AM219" i="47"/>
  <c r="AM128" i="47"/>
  <c r="AM119" i="47"/>
  <c r="AM279" i="47"/>
  <c r="AM157" i="47"/>
  <c r="AM224" i="47"/>
  <c r="AM259" i="47"/>
  <c r="AM322" i="47"/>
  <c r="AM141" i="47"/>
  <c r="AM256" i="47"/>
  <c r="AM295" i="47"/>
  <c r="AM241" i="47"/>
  <c r="AM300" i="47"/>
  <c r="AM149" i="47"/>
  <c r="AM307" i="47"/>
  <c r="AM179" i="47"/>
  <c r="AM206" i="47"/>
  <c r="AM313" i="47"/>
  <c r="AM142" i="47"/>
  <c r="AM270" i="47"/>
  <c r="AM207" i="47"/>
  <c r="AM325" i="47"/>
  <c r="AM233" i="47"/>
  <c r="AM200" i="47"/>
  <c r="AM273" i="47"/>
  <c r="AM131" i="47"/>
  <c r="AM117" i="47"/>
  <c r="AM204" i="47"/>
  <c r="AM292" i="47"/>
  <c r="AM166" i="47"/>
  <c r="AM152" i="47"/>
  <c r="AM283" i="47"/>
  <c r="AM196" i="47"/>
  <c r="AM237" i="47"/>
  <c r="AM182" i="47"/>
  <c r="AM251" i="47"/>
  <c r="AM244" i="47"/>
  <c r="AM163" i="47"/>
  <c r="AM285" i="47"/>
  <c r="AM137" i="47"/>
  <c r="AM156" i="47"/>
  <c r="AM236" i="47"/>
  <c r="AM319" i="47"/>
  <c r="AM289" i="47"/>
  <c r="AM129" i="47"/>
  <c r="AM136" i="47"/>
  <c r="AM303" i="47"/>
  <c r="AM175" i="47"/>
  <c r="AM160" i="47"/>
  <c r="AM239" i="47"/>
  <c r="AM132" i="47"/>
  <c r="AM227" i="47"/>
  <c r="AM164" i="47"/>
  <c r="AM272" i="47"/>
  <c r="AM177" i="47"/>
  <c r="AM317" i="47"/>
  <c r="AM167" i="47"/>
  <c r="AM243" i="47"/>
  <c r="AM312" i="47"/>
  <c r="AM151" i="47"/>
  <c r="AM191" i="47"/>
  <c r="AM261" i="47"/>
  <c r="AM226" i="47"/>
  <c r="AM145" i="47"/>
  <c r="AM184" i="47"/>
  <c r="AM268" i="47"/>
  <c r="AM143" i="47"/>
  <c r="AM188" i="47"/>
  <c r="AM276" i="47"/>
  <c r="AM203" i="47"/>
  <c r="AM124" i="47"/>
  <c r="AM309" i="47"/>
  <c r="AM250" i="47"/>
  <c r="AM169" i="47"/>
  <c r="AM123" i="47"/>
  <c r="AM146" i="47"/>
  <c r="AM231" i="47"/>
  <c r="AM174" i="47"/>
  <c r="AM205" i="47"/>
  <c r="AM121" i="47"/>
  <c r="AM135" i="47"/>
  <c r="AM133" i="47"/>
  <c r="AM134" i="47"/>
  <c r="AM116" i="47"/>
  <c r="AM210" i="47"/>
  <c r="AM320" i="47"/>
  <c r="AM138" i="47"/>
  <c r="AM153" i="47"/>
  <c r="AM286" i="47"/>
  <c r="AM260" i="47"/>
  <c r="AM299" i="47"/>
  <c r="AM229" i="47"/>
  <c r="AM288" i="47"/>
  <c r="AM246" i="47"/>
  <c r="AM176" i="47"/>
  <c r="AM148" i="47"/>
  <c r="AM264" i="47"/>
  <c r="AM155" i="47"/>
  <c r="AM281" i="47"/>
  <c r="AM291" i="47"/>
  <c r="AM221" i="47"/>
  <c r="AM326" i="47"/>
  <c r="AM122" i="47"/>
  <c r="AM130" i="47"/>
  <c r="AM212" i="47"/>
  <c r="AM252" i="47"/>
  <c r="AM162" i="47"/>
  <c r="AM178" i="47"/>
  <c r="AM304" i="47"/>
  <c r="AM211" i="47"/>
  <c r="AM238" i="47"/>
  <c r="AM190" i="47"/>
  <c r="AM158" i="47"/>
  <c r="AM254" i="47"/>
  <c r="AM222" i="47"/>
  <c r="AM168" i="47"/>
  <c r="AM316" i="47"/>
  <c r="AM248" i="47"/>
  <c r="AM240" i="47"/>
  <c r="AM247" i="47"/>
  <c r="AM165" i="47"/>
  <c r="AM294" i="47"/>
  <c r="AM223" i="47"/>
  <c r="AM161" i="47"/>
  <c r="AM267" i="47"/>
  <c r="AM306" i="47"/>
  <c r="AM324" i="47"/>
  <c r="AM311" i="47"/>
  <c r="AM193" i="47"/>
  <c r="AM278" i="47"/>
  <c r="AM234" i="47"/>
  <c r="AM217" i="47"/>
  <c r="AM255" i="47"/>
  <c r="AM220" i="47"/>
  <c r="AM301" i="47"/>
  <c r="AM115" i="47"/>
  <c r="AM249" i="47"/>
  <c r="AM253" i="47"/>
  <c r="AM187" i="47"/>
  <c r="AM310" i="47"/>
  <c r="AM290" i="47"/>
  <c r="AM172" i="47"/>
  <c r="AM120" i="47"/>
  <c r="AM186" i="47"/>
  <c r="AM154" i="47"/>
  <c r="AM159" i="47"/>
  <c r="AM215" i="47"/>
  <c r="AM171" i="47"/>
  <c r="AM257" i="47"/>
  <c r="AM284" i="47"/>
  <c r="AM214" i="47"/>
  <c r="AM258" i="47"/>
  <c r="AM180" i="47"/>
  <c r="AM262" i="47"/>
  <c r="AM298" i="47"/>
  <c r="AM318" i="47"/>
  <c r="AM274" i="47"/>
  <c r="AM183" i="47"/>
  <c r="AM321" i="47"/>
  <c r="AM208" i="47"/>
  <c r="AM140" i="47"/>
  <c r="AM323" i="47"/>
  <c r="AM245" i="47"/>
  <c r="AM225" i="47"/>
  <c r="AM287" i="47"/>
  <c r="AM198" i="47"/>
  <c r="AM201" i="47"/>
  <c r="AM308" i="47"/>
  <c r="AM173" i="47"/>
  <c r="AM181" i="47"/>
  <c r="AM228" i="47"/>
  <c r="AM280" i="47"/>
  <c r="AM194" i="47"/>
  <c r="AM170" i="47"/>
  <c r="AM305" i="47"/>
  <c r="AM271" i="47"/>
  <c r="AM282" i="47"/>
  <c r="AM127" i="47"/>
  <c r="AM263" i="47"/>
  <c r="AM125" i="47"/>
  <c r="AM126" i="47"/>
  <c r="AM315" i="47"/>
  <c r="AM139" i="47"/>
  <c r="AM296" i="47"/>
  <c r="AM235" i="47"/>
  <c r="AM265" i="47"/>
  <c r="AM197" i="47"/>
  <c r="AM232" i="47"/>
  <c r="AM327" i="47"/>
  <c r="AM202" i="47"/>
  <c r="AM266" i="47"/>
  <c r="AM314" i="47"/>
  <c r="AM230" i="47"/>
  <c r="AM147" i="47"/>
  <c r="AM213" i="47"/>
  <c r="T94" i="48"/>
  <c r="AL234" i="48"/>
  <c r="T186" i="48"/>
  <c r="AK210" i="48"/>
  <c r="AH216" i="54"/>
  <c r="AF216" i="54"/>
  <c r="AK216" i="54"/>
  <c r="AG216" i="54"/>
  <c r="AI216" i="54"/>
  <c r="AL216" i="54"/>
  <c r="AJ216" i="54"/>
  <c r="AM216" i="54"/>
  <c r="AL103" i="54"/>
  <c r="AK103" i="54"/>
  <c r="AJ103" i="54"/>
  <c r="AH103" i="54"/>
  <c r="AI103" i="54"/>
  <c r="AM103" i="54"/>
  <c r="AF103" i="54"/>
  <c r="AG103" i="54"/>
  <c r="AI244" i="48"/>
  <c r="AK214" i="48"/>
  <c r="AG118" i="54"/>
  <c r="AM118" i="54"/>
  <c r="AK118" i="54"/>
  <c r="AH118" i="54"/>
  <c r="AI118" i="54"/>
  <c r="AL118" i="54"/>
  <c r="AF118" i="54"/>
  <c r="AJ118" i="54"/>
  <c r="AK146" i="48"/>
  <c r="AK240" i="48"/>
  <c r="AI158" i="48"/>
  <c r="AG177" i="54"/>
  <c r="AL177" i="54"/>
  <c r="AI177" i="54"/>
  <c r="AK177" i="54"/>
  <c r="AJ177" i="54"/>
  <c r="AH177" i="54"/>
  <c r="AF177" i="54"/>
  <c r="AM177" i="54"/>
  <c r="AK229" i="48"/>
  <c r="AK126" i="54"/>
  <c r="AL126" i="54"/>
  <c r="AH126" i="54"/>
  <c r="AI126" i="54"/>
  <c r="AM126" i="54"/>
  <c r="AG126" i="54"/>
  <c r="AJ126" i="54"/>
  <c r="AF126" i="54"/>
  <c r="AK142" i="48"/>
  <c r="AK238" i="48"/>
  <c r="AJ146" i="54"/>
  <c r="AL146" i="54"/>
  <c r="AG146" i="54"/>
  <c r="AH146" i="54"/>
  <c r="AM146" i="54"/>
  <c r="AI146" i="54"/>
  <c r="AK146" i="54"/>
  <c r="AF146" i="54"/>
  <c r="T150" i="48"/>
  <c r="T109" i="48"/>
  <c r="AL249" i="48"/>
  <c r="T222" i="48"/>
  <c r="AH60" i="54"/>
  <c r="AG60" i="54"/>
  <c r="AM60" i="54"/>
  <c r="AI60" i="54"/>
  <c r="AL60" i="54"/>
  <c r="AK60" i="54"/>
  <c r="AJ60" i="54"/>
  <c r="AF60" i="54"/>
  <c r="AG90" i="54"/>
  <c r="AJ90" i="54"/>
  <c r="AH90" i="54"/>
  <c r="AK90" i="54"/>
  <c r="AL90" i="54"/>
  <c r="AF90" i="54"/>
  <c r="AM90" i="54"/>
  <c r="AI90" i="54"/>
  <c r="AI192" i="48"/>
  <c r="AK150" i="48"/>
  <c r="AI192" i="54"/>
  <c r="AM192" i="54"/>
  <c r="AG192" i="54"/>
  <c r="AK192" i="54"/>
  <c r="AJ192" i="54"/>
  <c r="AL192" i="54"/>
  <c r="AH192" i="54"/>
  <c r="AF192" i="54"/>
  <c r="AM215" i="54"/>
  <c r="AL215" i="54"/>
  <c r="AF215" i="54"/>
  <c r="AI215" i="54"/>
  <c r="AG215" i="54"/>
  <c r="AJ215" i="54"/>
  <c r="AK215" i="54"/>
  <c r="AH215" i="54"/>
  <c r="AG109" i="54"/>
  <c r="AJ109" i="54"/>
  <c r="AK109" i="54"/>
  <c r="AM109" i="54"/>
  <c r="AI109" i="54"/>
  <c r="AF109" i="54"/>
  <c r="AH109" i="54"/>
  <c r="AL109" i="54"/>
  <c r="T162" i="48"/>
  <c r="AI154" i="48"/>
  <c r="AI177" i="48"/>
  <c r="AI173" i="48"/>
  <c r="AL136" i="54"/>
  <c r="AH136" i="54"/>
  <c r="AF136" i="54"/>
  <c r="AG136" i="54"/>
  <c r="AI136" i="54"/>
  <c r="AK136" i="54"/>
  <c r="AM136" i="54"/>
  <c r="AJ136" i="54"/>
  <c r="T205" i="48"/>
  <c r="AH59" i="54"/>
  <c r="AK59" i="54"/>
  <c r="AG59" i="54"/>
  <c r="AI59" i="54"/>
  <c r="AL59" i="54"/>
  <c r="AF59" i="54"/>
  <c r="AJ59" i="54"/>
  <c r="AM59" i="54"/>
  <c r="AI176" i="48"/>
  <c r="AL104" i="54"/>
  <c r="AJ104" i="54"/>
  <c r="AM104" i="54"/>
  <c r="AF104" i="54"/>
  <c r="AH104" i="54"/>
  <c r="AI104" i="54"/>
  <c r="AK104" i="54"/>
  <c r="AG104" i="54"/>
  <c r="T165" i="48"/>
  <c r="AI9" i="54"/>
  <c r="AG9" i="54"/>
  <c r="AK9" i="54"/>
  <c r="AL9" i="54"/>
  <c r="AF9" i="54"/>
  <c r="AM9" i="54"/>
  <c r="AJ9" i="54"/>
  <c r="AH9" i="54"/>
  <c r="AK189" i="48"/>
  <c r="AH206" i="54"/>
  <c r="AJ206" i="54"/>
  <c r="AG206" i="54"/>
  <c r="AL206" i="54"/>
  <c r="AF206" i="54"/>
  <c r="AM206" i="54"/>
  <c r="AI206" i="54"/>
  <c r="AK206" i="54"/>
  <c r="AG75" i="54"/>
  <c r="AF75" i="54"/>
  <c r="AH75" i="54"/>
  <c r="AL75" i="54"/>
  <c r="AK75" i="54"/>
  <c r="AJ75" i="54"/>
  <c r="AM75" i="54"/>
  <c r="AI75" i="54"/>
  <c r="AJ218" i="54"/>
  <c r="AF218" i="54"/>
  <c r="AL218" i="54"/>
  <c r="AI218" i="54"/>
  <c r="AH218" i="54"/>
  <c r="AK218" i="54"/>
  <c r="AM218" i="54"/>
  <c r="AG218" i="54"/>
  <c r="AI187" i="48"/>
  <c r="AK246" i="48"/>
  <c r="AK194" i="48"/>
  <c r="AF123" i="54"/>
  <c r="AG123" i="54"/>
  <c r="AI123" i="54"/>
  <c r="AM123" i="54"/>
  <c r="AH123" i="54"/>
  <c r="AL123" i="54"/>
  <c r="AK123" i="54"/>
  <c r="AJ123" i="54"/>
  <c r="AK230" i="48"/>
  <c r="AF69" i="54"/>
  <c r="AH69" i="54"/>
  <c r="AG69" i="54"/>
  <c r="AK69" i="54"/>
  <c r="AL69" i="54"/>
  <c r="AJ69" i="54"/>
  <c r="AM69" i="54"/>
  <c r="AI69" i="54"/>
  <c r="AL187" i="48"/>
  <c r="T47" i="48"/>
  <c r="AL190" i="48"/>
  <c r="T50" i="48"/>
  <c r="AI159" i="48"/>
  <c r="T112" i="48"/>
  <c r="AK232" i="48"/>
  <c r="AI199" i="48"/>
  <c r="AK236" i="48"/>
  <c r="AI179" i="48"/>
  <c r="AL12" i="54"/>
  <c r="AF12" i="54"/>
  <c r="AM12" i="54"/>
  <c r="AH12" i="54"/>
  <c r="AK12" i="54"/>
  <c r="AJ12" i="54"/>
  <c r="AG12" i="54"/>
  <c r="AI12" i="54"/>
  <c r="AK13" i="54"/>
  <c r="AI13" i="54"/>
  <c r="AJ13" i="54"/>
  <c r="AF13" i="54"/>
  <c r="AL13" i="54"/>
  <c r="AM13" i="54"/>
  <c r="AG13" i="54"/>
  <c r="AH13" i="54"/>
  <c r="AL142" i="48"/>
  <c r="T2" i="48"/>
  <c r="AK242" i="48"/>
  <c r="AI180" i="48"/>
  <c r="T142" i="48"/>
  <c r="AI107" i="54"/>
  <c r="AJ107" i="54"/>
  <c r="AH107" i="54"/>
  <c r="AF107" i="54"/>
  <c r="AM107" i="54"/>
  <c r="AG107" i="54"/>
  <c r="AK107" i="54"/>
  <c r="AL107" i="54"/>
  <c r="T211" i="48"/>
  <c r="AI239" i="48"/>
  <c r="T135" i="48"/>
  <c r="AL189" i="48"/>
  <c r="T49" i="48"/>
  <c r="AF144" i="54"/>
  <c r="AJ144" i="54"/>
  <c r="AK144" i="54"/>
  <c r="AI144" i="54"/>
  <c r="AH144" i="54"/>
  <c r="AG144" i="54"/>
  <c r="AM144" i="54"/>
  <c r="AL144" i="54"/>
  <c r="T122" i="48"/>
  <c r="AK174" i="48"/>
  <c r="AK149" i="48"/>
  <c r="AI190" i="48"/>
  <c r="AK234" i="48"/>
  <c r="AG73" i="54"/>
  <c r="AH73" i="54"/>
  <c r="AL73" i="54"/>
  <c r="AI73" i="54"/>
  <c r="AJ73" i="54"/>
  <c r="AM73" i="54"/>
  <c r="AF73" i="54"/>
  <c r="AK73" i="54"/>
  <c r="AK213" i="48"/>
  <c r="T198" i="48"/>
  <c r="AI171" i="48"/>
  <c r="AK171" i="48"/>
  <c r="AJ162" i="54"/>
  <c r="AI162" i="54"/>
  <c r="AK162" i="54"/>
  <c r="AM162" i="54"/>
  <c r="AG162" i="54"/>
  <c r="AF162" i="54"/>
  <c r="AH162" i="54"/>
  <c r="AL162" i="54"/>
  <c r="T138" i="48"/>
  <c r="AK167" i="48"/>
  <c r="AI242" i="48"/>
  <c r="AJ164" i="54"/>
  <c r="AL164" i="54"/>
  <c r="AG164" i="54"/>
  <c r="AK164" i="54"/>
  <c r="AF164" i="54"/>
  <c r="AM164" i="54"/>
  <c r="AI164" i="54"/>
  <c r="AH164" i="54"/>
  <c r="T172" i="48"/>
  <c r="AK231" i="48"/>
  <c r="AI160" i="48"/>
  <c r="AJ145" i="54"/>
  <c r="AL145" i="54"/>
  <c r="AF145" i="54"/>
  <c r="AG145" i="54"/>
  <c r="AH145" i="54"/>
  <c r="AM145" i="54"/>
  <c r="AK145" i="54"/>
  <c r="AI145" i="54"/>
  <c r="T171" i="48"/>
  <c r="AI175" i="48"/>
  <c r="AH87" i="54"/>
  <c r="AG87" i="54"/>
  <c r="AF87" i="54"/>
  <c r="AK87" i="54"/>
  <c r="AL87" i="54"/>
  <c r="AJ87" i="54"/>
  <c r="AI87" i="54"/>
  <c r="AM87" i="54"/>
  <c r="T159" i="48"/>
  <c r="AI163" i="48"/>
  <c r="T154" i="48"/>
  <c r="AK195" i="54"/>
  <c r="AH195" i="54"/>
  <c r="AL195" i="54"/>
  <c r="AI195" i="54"/>
  <c r="AJ195" i="54"/>
  <c r="AM195" i="54"/>
  <c r="AG195" i="54"/>
  <c r="AF195" i="54"/>
  <c r="AM61" i="54"/>
  <c r="AF61" i="54"/>
  <c r="AL61" i="54"/>
  <c r="AH61" i="54"/>
  <c r="AJ61" i="54"/>
  <c r="AK61" i="54"/>
  <c r="AG61" i="54"/>
  <c r="AI61" i="54"/>
  <c r="AI214" i="48"/>
  <c r="AL143" i="48"/>
  <c r="T3" i="48"/>
  <c r="AK185" i="48"/>
  <c r="AI169" i="48"/>
  <c r="T131" i="48"/>
  <c r="T87" i="48"/>
  <c r="AL227" i="48"/>
  <c r="AK98" i="54"/>
  <c r="AJ98" i="54"/>
  <c r="AI98" i="54"/>
  <c r="AM98" i="54"/>
  <c r="AG98" i="54"/>
  <c r="AH98" i="54"/>
  <c r="AF98" i="54"/>
  <c r="AL98" i="54"/>
  <c r="T167" i="48"/>
  <c r="AL248" i="48"/>
  <c r="T108" i="48"/>
  <c r="AL148" i="48"/>
  <c r="T8" i="48"/>
  <c r="AH53" i="54"/>
  <c r="AG53" i="54"/>
  <c r="AK53" i="54"/>
  <c r="AL53" i="54"/>
  <c r="AI53" i="54"/>
  <c r="AJ53" i="54"/>
  <c r="AM53" i="54"/>
  <c r="AF53" i="54"/>
  <c r="AK156" i="48"/>
  <c r="T204" i="48"/>
  <c r="AI215" i="48"/>
  <c r="T120" i="48"/>
  <c r="T155" i="48"/>
  <c r="AF86" i="54"/>
  <c r="AJ86" i="54"/>
  <c r="AI86" i="54"/>
  <c r="AH86" i="54"/>
  <c r="AM86" i="54"/>
  <c r="AG86" i="54"/>
  <c r="AL86" i="54"/>
  <c r="AK86" i="54"/>
  <c r="T102" i="48"/>
  <c r="AL242" i="48"/>
  <c r="AL251" i="48"/>
  <c r="T111" i="48"/>
  <c r="T208" i="48"/>
  <c r="T177" i="48"/>
  <c r="AF148" i="54"/>
  <c r="AM148" i="54"/>
  <c r="AH148" i="54"/>
  <c r="AG148" i="54"/>
  <c r="AL148" i="54"/>
  <c r="AK148" i="54"/>
  <c r="AJ148" i="54"/>
  <c r="AI148" i="54"/>
  <c r="AL226" i="48"/>
  <c r="T86" i="48"/>
  <c r="AK181" i="48"/>
  <c r="AI238" i="48"/>
  <c r="A43" i="34" l="1"/>
  <c r="AM224" i="48"/>
  <c r="AM147" i="48"/>
  <c r="AM173" i="48"/>
  <c r="AM160" i="48"/>
  <c r="AM235" i="48"/>
  <c r="AM166" i="48"/>
  <c r="AM251" i="48"/>
  <c r="AM206" i="48"/>
  <c r="AM181" i="48"/>
  <c r="AM232" i="48"/>
  <c r="AM163" i="48"/>
  <c r="AM196" i="48"/>
  <c r="AM230" i="48"/>
  <c r="AM207" i="48"/>
  <c r="AM222" i="48"/>
  <c r="AM192" i="48"/>
  <c r="AM218" i="48"/>
  <c r="AM153" i="48"/>
  <c r="AM205" i="48"/>
  <c r="AM154" i="48"/>
  <c r="AM237" i="48"/>
  <c r="AM200" i="48"/>
  <c r="AM145" i="48"/>
  <c r="AM211" i="48"/>
  <c r="AM195" i="48"/>
  <c r="AM203" i="48"/>
  <c r="AM162" i="48"/>
  <c r="AM186" i="48"/>
  <c r="AM177" i="48"/>
  <c r="AM146" i="48"/>
  <c r="AM210" i="48"/>
  <c r="AM247" i="48"/>
  <c r="AM149" i="48"/>
  <c r="AM170" i="48"/>
  <c r="AM202" i="48"/>
  <c r="AM169" i="48"/>
  <c r="AM164" i="48"/>
  <c r="AM184" i="48"/>
  <c r="AM246" i="48"/>
  <c r="AM171" i="48"/>
  <c r="AM236" i="48"/>
  <c r="AM183" i="48"/>
  <c r="AM208" i="48"/>
  <c r="AM238" i="48"/>
  <c r="AM157" i="48"/>
  <c r="AM174" i="48"/>
  <c r="AM245" i="48"/>
  <c r="AM228" i="48"/>
  <c r="AM249" i="48"/>
  <c r="AM242" i="48"/>
  <c r="AM193" i="48"/>
  <c r="AM185" i="48"/>
  <c r="AM188" i="48"/>
  <c r="AM167" i="48"/>
  <c r="AM217" i="48"/>
  <c r="AM152" i="48"/>
  <c r="AM159" i="48"/>
  <c r="AM175" i="48"/>
  <c r="AM168" i="48"/>
  <c r="AM148" i="48"/>
  <c r="AM144" i="48"/>
  <c r="AM156" i="48"/>
  <c r="AM234" i="48"/>
  <c r="AM182" i="48"/>
  <c r="AM194" i="48"/>
  <c r="AM204" i="48"/>
  <c r="AM227" i="48"/>
  <c r="AM212" i="48"/>
  <c r="AM142" i="48"/>
  <c r="BF4" i="48"/>
  <c r="AM226" i="48"/>
  <c r="AM239" i="48"/>
  <c r="AM231" i="48"/>
  <c r="AM201" i="48"/>
  <c r="AM225" i="48"/>
  <c r="AM161" i="48"/>
  <c r="AM191" i="48"/>
  <c r="AM155" i="48"/>
  <c r="AM244" i="48"/>
  <c r="AM143" i="48"/>
  <c r="AM216" i="48"/>
  <c r="AM150" i="48"/>
  <c r="AM248" i="48"/>
  <c r="AM190" i="48"/>
  <c r="AM199" i="48"/>
  <c r="AM250" i="48"/>
  <c r="AM179" i="48"/>
  <c r="AM197" i="48"/>
  <c r="AM198" i="48"/>
  <c r="AM158" i="48"/>
  <c r="AM241" i="48"/>
  <c r="AM215" i="48"/>
  <c r="AM229" i="48"/>
  <c r="AM221" i="48"/>
  <c r="AM219" i="48"/>
  <c r="AM243" i="48"/>
  <c r="AM223" i="48"/>
  <c r="AM172" i="48"/>
  <c r="AM180" i="48"/>
  <c r="AM187" i="48"/>
  <c r="AM214" i="48"/>
  <c r="AM176" i="48"/>
  <c r="AM209" i="48"/>
  <c r="AM189" i="48"/>
  <c r="AM233" i="48"/>
  <c r="AM165" i="48"/>
  <c r="AM178" i="48"/>
  <c r="AM220" i="48"/>
  <c r="AM213" i="48"/>
  <c r="AM151" i="48"/>
  <c r="AM240" i="48"/>
  <c r="A44" i="34" l="1"/>
  <c r="A45" i="34" s="1"/>
  <c r="A46" i="34" s="1"/>
  <c r="A47" i="34" l="1"/>
  <c r="Y41" i="47"/>
  <c r="X41" i="47"/>
  <c r="AL19" i="47"/>
  <c r="Z20" i="47"/>
  <c r="Z15" i="47"/>
  <c r="Y15" i="47"/>
  <c r="AN18" i="47"/>
  <c r="AO15" i="47"/>
  <c r="AO21" i="47"/>
  <c r="Y17" i="47"/>
  <c r="X19" i="47"/>
  <c r="X18" i="47"/>
  <c r="Z17" i="47"/>
  <c r="Y20" i="47"/>
  <c r="Y21" i="47"/>
  <c r="AN21" i="47"/>
  <c r="AL18" i="47"/>
  <c r="AO17" i="47"/>
  <c r="AN20" i="47"/>
  <c r="AL17" i="47"/>
  <c r="Y19" i="47"/>
  <c r="X20" i="47"/>
  <c r="AN19" i="47"/>
  <c r="X22" i="47"/>
  <c r="X21" i="47"/>
  <c r="AO19" i="47"/>
  <c r="Z18" i="47"/>
  <c r="AA22" i="47"/>
  <c r="AL21" i="47"/>
  <c r="AL22" i="47"/>
  <c r="AP20" i="47"/>
  <c r="AL20" i="47"/>
  <c r="Z19" i="47"/>
  <c r="AP18" i="47"/>
  <c r="AO20" i="47"/>
  <c r="Y18" i="47"/>
  <c r="Z21" i="47"/>
  <c r="X23" i="47"/>
  <c r="AO18" i="47"/>
  <c r="AA20" i="47"/>
  <c r="Y23" i="47"/>
  <c r="AA19" i="47"/>
  <c r="AA21" i="47"/>
  <c r="Z22" i="47"/>
  <c r="Z23" i="47"/>
  <c r="AP23" i="47"/>
  <c r="AP19" i="47"/>
  <c r="AA23" i="47"/>
  <c r="AP21" i="47"/>
  <c r="AP22" i="47"/>
  <c r="AL23" i="47"/>
  <c r="AO23" i="47"/>
  <c r="AN22" i="47"/>
  <c r="Y22" i="47"/>
  <c r="AO22" i="47"/>
  <c r="AA24" i="47"/>
  <c r="AO24" i="47"/>
  <c r="AP24" i="47"/>
  <c r="AL24" i="47"/>
  <c r="AA25" i="47"/>
  <c r="AN24" i="47"/>
  <c r="X24" i="47"/>
  <c r="Y24" i="47"/>
  <c r="Z24" i="47"/>
  <c r="X25" i="47"/>
  <c r="Y25" i="47"/>
  <c r="Z25" i="47"/>
  <c r="AL25" i="47"/>
  <c r="AP25" i="47"/>
  <c r="AN25" i="47"/>
  <c r="AO25" i="47"/>
  <c r="AN26" i="47"/>
  <c r="AA27" i="47"/>
  <c r="AO26" i="47"/>
  <c r="X27" i="47"/>
  <c r="Y26" i="47"/>
  <c r="AL26" i="47"/>
  <c r="Z27" i="47"/>
  <c r="Z26" i="47"/>
  <c r="AL27" i="47"/>
  <c r="AO27" i="47"/>
  <c r="AP26" i="47"/>
  <c r="AA26" i="47"/>
  <c r="Y27" i="47"/>
  <c r="AN27" i="47"/>
  <c r="AP27" i="47"/>
  <c r="AL28" i="47"/>
  <c r="Z28" i="47"/>
  <c r="X28" i="47"/>
  <c r="AP28" i="47"/>
  <c r="Y30" i="47"/>
  <c r="Y28" i="47"/>
  <c r="AN28" i="47"/>
  <c r="AA28" i="47"/>
  <c r="AA29" i="47"/>
  <c r="Y29" i="47"/>
  <c r="AL29" i="47"/>
  <c r="AN29" i="47"/>
  <c r="AO29" i="47"/>
  <c r="AP29" i="47"/>
  <c r="Z29" i="47"/>
  <c r="X29" i="47"/>
  <c r="AP30" i="47"/>
  <c r="X30" i="47"/>
  <c r="AL30" i="47"/>
  <c r="AN30" i="47"/>
  <c r="AO30" i="47"/>
  <c r="Z30" i="47"/>
  <c r="AO32" i="47"/>
  <c r="AN31" i="47"/>
  <c r="Y31" i="47"/>
  <c r="X31" i="47"/>
  <c r="AA31" i="47"/>
  <c r="AL32" i="47"/>
  <c r="AN32" i="47"/>
  <c r="AA32" i="47"/>
  <c r="X32" i="47"/>
  <c r="AO31" i="47"/>
  <c r="Z31" i="47"/>
  <c r="Y32" i="47"/>
  <c r="AP31" i="47"/>
  <c r="Z32" i="47"/>
  <c r="AP32" i="47"/>
  <c r="AL31" i="47"/>
  <c r="AN33" i="47"/>
  <c r="AL33" i="47"/>
  <c r="AA33" i="47"/>
  <c r="AP34" i="47"/>
  <c r="AO34" i="47"/>
  <c r="Y34" i="47"/>
  <c r="Z33" i="47"/>
  <c r="AP33" i="47"/>
  <c r="AO33" i="47"/>
  <c r="AN34" i="47"/>
  <c r="AL34" i="47"/>
  <c r="X33" i="47"/>
  <c r="AA34" i="47"/>
  <c r="Z34" i="47"/>
  <c r="X34" i="47"/>
  <c r="Y33" i="47"/>
  <c r="AO35" i="47"/>
  <c r="AA35" i="47"/>
  <c r="AN35" i="47"/>
  <c r="AL36" i="47"/>
  <c r="X35" i="47"/>
  <c r="AA36" i="47"/>
  <c r="X36" i="47"/>
  <c r="AP35" i="47"/>
  <c r="Y35" i="47"/>
  <c r="Z35" i="47"/>
  <c r="AO36" i="47"/>
  <c r="AN36" i="47"/>
  <c r="AP36" i="47"/>
  <c r="AL35" i="47"/>
  <c r="AN37" i="47"/>
  <c r="AO37" i="47"/>
  <c r="Z36" i="47"/>
  <c r="Y36" i="47"/>
  <c r="AP37" i="47"/>
  <c r="Z38" i="47"/>
  <c r="AL37" i="47"/>
  <c r="X37" i="47"/>
  <c r="AA38" i="47"/>
  <c r="AP38" i="47"/>
  <c r="Y37" i="47"/>
  <c r="Z37" i="47"/>
  <c r="Y38" i="47"/>
  <c r="AA37" i="47"/>
  <c r="AN38" i="47"/>
  <c r="AL38" i="47"/>
  <c r="AO38" i="47"/>
  <c r="X38" i="47"/>
  <c r="Z39" i="47"/>
  <c r="AP39" i="47"/>
  <c r="AA39" i="47"/>
  <c r="Y39" i="47"/>
  <c r="AO39" i="47"/>
  <c r="AN39" i="47"/>
  <c r="AL39" i="47"/>
  <c r="X39" i="47"/>
  <c r="AT22" i="55" l="1"/>
  <c r="AS22" i="55"/>
  <c r="A48" i="34"/>
  <c r="AO42" i="47"/>
  <c r="Y43" i="47"/>
  <c r="AO43" i="47"/>
  <c r="Z43" i="47"/>
  <c r="Y42" i="47"/>
  <c r="AA42" i="47"/>
  <c r="AO40" i="47"/>
  <c r="AA40" i="47"/>
  <c r="AP40" i="47"/>
  <c r="AN40" i="47"/>
  <c r="Z40" i="47"/>
  <c r="AL40" i="47"/>
  <c r="Y40" i="47"/>
  <c r="X40" i="47"/>
  <c r="AN41" i="47"/>
  <c r="Z41" i="47"/>
  <c r="AL42" i="47"/>
  <c r="AL41" i="47"/>
  <c r="Z42" i="47"/>
  <c r="AN42" i="47"/>
  <c r="AA41" i="47"/>
  <c r="AO41" i="47"/>
  <c r="AP41" i="47"/>
  <c r="AL43" i="47"/>
  <c r="AS13" i="55"/>
  <c r="AT13" i="55"/>
  <c r="AS8" i="55"/>
  <c r="AT41" i="55"/>
  <c r="AS41" i="55"/>
  <c r="AT32" i="55"/>
  <c r="AS32" i="55"/>
  <c r="AT8" i="55"/>
  <c r="AA43" i="47" l="1"/>
  <c r="X43" i="47"/>
  <c r="AN43" i="47"/>
  <c r="A49" i="34"/>
  <c r="A50" i="34" s="1"/>
  <c r="AP43" i="47"/>
  <c r="X42" i="47"/>
  <c r="AP42" i="47"/>
  <c r="AP44" i="47"/>
  <c r="AL44" i="47"/>
  <c r="X44" i="47" l="1"/>
  <c r="AA44" i="47"/>
  <c r="AO44" i="47"/>
  <c r="AN44" i="47"/>
  <c r="A51" i="34"/>
  <c r="Y44" i="47"/>
  <c r="Z44" i="47"/>
  <c r="Z45" i="47"/>
  <c r="AO45" i="47"/>
  <c r="Y45" i="47"/>
  <c r="AN45" i="47" l="1"/>
  <c r="AA45" i="47"/>
  <c r="X45" i="47"/>
  <c r="AP45" i="47"/>
  <c r="AL45" i="47"/>
  <c r="A52" i="34"/>
  <c r="AN46" i="47"/>
  <c r="AO46" i="47"/>
  <c r="AP46" i="47"/>
  <c r="Y46" i="47"/>
  <c r="X46" i="47"/>
  <c r="AA46" i="47"/>
  <c r="AL46" i="47"/>
  <c r="AS12" i="55" l="1"/>
  <c r="AS5" i="55"/>
  <c r="Z46" i="47"/>
  <c r="AT5" i="55" s="1"/>
  <c r="A53" i="34"/>
  <c r="AP47" i="47"/>
  <c r="AL47" i="47"/>
  <c r="AA47" i="47"/>
  <c r="X47" i="47"/>
  <c r="AT12" i="55" l="1"/>
  <c r="Y47" i="47"/>
  <c r="A54" i="34"/>
  <c r="AN47" i="47"/>
  <c r="Z47" i="47"/>
  <c r="AO47" i="47"/>
  <c r="AA48" i="47"/>
  <c r="AN48" i="47"/>
  <c r="AO48" i="47" l="1"/>
  <c r="Z48" i="47"/>
  <c r="X48" i="47"/>
  <c r="AL48" i="47"/>
  <c r="Y48" i="47"/>
  <c r="AP48" i="47"/>
  <c r="A55" i="34"/>
  <c r="Z49" i="47" l="1"/>
  <c r="AA50" i="47"/>
  <c r="AN49" i="47"/>
  <c r="AP49" i="47"/>
  <c r="AA49" i="47"/>
  <c r="AO49" i="47"/>
  <c r="X49" i="47"/>
  <c r="AL49" i="47"/>
  <c r="Y49" i="47"/>
  <c r="A56" i="34"/>
  <c r="AL50" i="47"/>
  <c r="X50" i="47"/>
  <c r="Z50" i="47"/>
  <c r="AP50" i="47" l="1"/>
  <c r="AO50" i="47"/>
  <c r="Y50" i="47"/>
  <c r="AN50" i="47"/>
  <c r="A57" i="34"/>
  <c r="AL51" i="47" l="1"/>
  <c r="Y51" i="47"/>
  <c r="AP51" i="47"/>
  <c r="AO51" i="47"/>
  <c r="AA51" i="47"/>
  <c r="A58" i="34"/>
  <c r="Y52" i="47" l="1"/>
  <c r="A59" i="34"/>
  <c r="A60" i="34" s="1"/>
  <c r="A61" i="34" s="1"/>
  <c r="A62" i="34" s="1"/>
  <c r="A63" i="34" l="1"/>
  <c r="AO56" i="47" s="1"/>
  <c r="A64" i="34" l="1"/>
  <c r="A65" i="34" l="1"/>
  <c r="A66" i="34" l="1"/>
  <c r="A67" i="34" l="1"/>
  <c r="A68" i="34" l="1"/>
  <c r="A69" i="34" l="1"/>
  <c r="A70" i="34" l="1"/>
  <c r="AP64" i="47" l="1"/>
  <c r="A71" i="34"/>
  <c r="A72" i="34" l="1"/>
  <c r="A73" i="34" s="1"/>
  <c r="AO64" i="47"/>
  <c r="Z65" i="47" l="1"/>
  <c r="AO65" i="47"/>
  <c r="AP65" i="47"/>
  <c r="A74" i="34"/>
  <c r="A75" i="34" s="1"/>
  <c r="AN66" i="47"/>
  <c r="A76" i="34" l="1"/>
  <c r="A77" i="34" s="1"/>
  <c r="Y70" i="47" l="1"/>
  <c r="A78" i="34"/>
  <c r="X70" i="47" s="1"/>
  <c r="A79" i="34" l="1"/>
  <c r="AN71" i="47" l="1"/>
  <c r="A80" i="34"/>
  <c r="AL73" i="47"/>
  <c r="AO73" i="47" l="1"/>
  <c r="A81" i="34"/>
  <c r="A82" i="34" s="1"/>
  <c r="A83" i="34" s="1"/>
  <c r="A84" i="34" l="1"/>
  <c r="A85" i="34" l="1"/>
  <c r="AL75" i="47"/>
  <c r="A86" i="34" l="1"/>
  <c r="A87" i="34" l="1"/>
  <c r="A88" i="34" s="1"/>
  <c r="AN76" i="47"/>
  <c r="A89" i="34" l="1"/>
  <c r="AL79" i="47"/>
  <c r="AP79" i="47"/>
  <c r="Z79" i="47"/>
  <c r="A90" i="34" l="1"/>
  <c r="A91" i="34" s="1"/>
  <c r="A92" i="34" s="1"/>
  <c r="A93" i="34" s="1"/>
  <c r="A94" i="34" s="1"/>
  <c r="Y79" i="47"/>
  <c r="A95" i="34" l="1"/>
  <c r="A96" i="34" l="1"/>
  <c r="A97" i="34" l="1"/>
  <c r="AO97" i="47"/>
  <c r="AL97" i="47"/>
  <c r="AP97" i="47"/>
  <c r="AP63" i="47"/>
  <c r="Y53" i="47"/>
  <c r="X52" i="47"/>
  <c r="AN52" i="47"/>
  <c r="AO52" i="47"/>
  <c r="AL52" i="47"/>
  <c r="X53" i="47"/>
  <c r="Z52" i="47"/>
  <c r="Z53" i="47"/>
  <c r="AA52" i="47"/>
  <c r="AP53" i="47"/>
  <c r="AN51" i="47"/>
  <c r="AP52" i="47"/>
  <c r="X51" i="47"/>
  <c r="AO53" i="47"/>
  <c r="AL53" i="47"/>
  <c r="Z51" i="47"/>
  <c r="AA53" i="47"/>
  <c r="AO59" i="47"/>
  <c r="AO57" i="47"/>
  <c r="AN56" i="47"/>
  <c r="AP55" i="47"/>
  <c r="AL56" i="47"/>
  <c r="Y54" i="47"/>
  <c r="AA54" i="47"/>
  <c r="Z58" i="47"/>
  <c r="AO54" i="47"/>
  <c r="AN53" i="47"/>
  <c r="X58" i="47"/>
  <c r="AO55" i="47"/>
  <c r="AP56" i="47"/>
  <c r="AA61" i="47"/>
  <c r="Y59" i="47"/>
  <c r="AN59" i="47"/>
  <c r="AA56" i="47"/>
  <c r="AN55" i="47"/>
  <c r="AO58" i="47"/>
  <c r="AA58" i="47"/>
  <c r="Y56" i="47"/>
  <c r="AL58" i="47"/>
  <c r="X54" i="47"/>
  <c r="Y57" i="47"/>
  <c r="Z57" i="47"/>
  <c r="AL57" i="47"/>
  <c r="Y55" i="47"/>
  <c r="X55" i="47"/>
  <c r="AP59" i="47"/>
  <c r="AP58" i="47"/>
  <c r="Z54" i="47"/>
  <c r="X59" i="47"/>
  <c r="Z59" i="47"/>
  <c r="AP54" i="47"/>
  <c r="AN57" i="47"/>
  <c r="Y58" i="47"/>
  <c r="X56" i="47"/>
  <c r="AA55" i="47"/>
  <c r="AA57" i="47"/>
  <c r="AL59" i="47"/>
  <c r="AL55" i="47"/>
  <c r="X57" i="47"/>
  <c r="Z56" i="47"/>
  <c r="Z55" i="47"/>
  <c r="AP57" i="47"/>
  <c r="AN54" i="47"/>
  <c r="AL54" i="47"/>
  <c r="X60" i="47"/>
  <c r="AL60" i="47"/>
  <c r="AN61" i="47"/>
  <c r="AN58" i="47"/>
  <c r="AP61" i="47"/>
  <c r="Z60" i="47"/>
  <c r="Y60" i="47"/>
  <c r="AO60" i="47"/>
  <c r="AN60" i="47"/>
  <c r="AP60" i="47"/>
  <c r="X61" i="47"/>
  <c r="AA60" i="47"/>
  <c r="AA59" i="47"/>
  <c r="AL61" i="47"/>
  <c r="Y62" i="47"/>
  <c r="Z61" i="47"/>
  <c r="AO61" i="47"/>
  <c r="Y61" i="47"/>
  <c r="AP62" i="47"/>
  <c r="X62" i="47"/>
  <c r="AL63" i="47"/>
  <c r="AO63" i="47"/>
  <c r="AA63" i="47"/>
  <c r="Z63" i="47"/>
  <c r="AN62" i="47"/>
  <c r="Y63" i="47"/>
  <c r="AN63" i="47"/>
  <c r="AA62" i="47"/>
  <c r="AL62" i="47"/>
  <c r="AO62" i="47"/>
  <c r="Z62" i="47"/>
  <c r="X63" i="47"/>
  <c r="AT6" i="55" l="1"/>
  <c r="AS6" i="55"/>
  <c r="Z97" i="47"/>
  <c r="Y97" i="47"/>
  <c r="X97" i="47"/>
  <c r="AN86" i="47"/>
  <c r="AN97" i="47"/>
  <c r="AA97" i="47"/>
  <c r="X92" i="47"/>
  <c r="AP85" i="47"/>
  <c r="X91" i="47"/>
  <c r="X95" i="47"/>
  <c r="AA84" i="47"/>
  <c r="AN96" i="47"/>
  <c r="AO88" i="47"/>
  <c r="AN99" i="47"/>
  <c r="AP86" i="47"/>
  <c r="AL99" i="47"/>
  <c r="AO102" i="47"/>
  <c r="X86" i="47"/>
  <c r="AA90" i="47"/>
  <c r="AL85" i="47"/>
  <c r="Z90" i="47"/>
  <c r="AO94" i="47"/>
  <c r="AA82" i="47"/>
  <c r="AO92" i="47"/>
  <c r="AO90" i="47"/>
  <c r="AO99" i="47"/>
  <c r="AN85" i="47"/>
  <c r="Y90" i="47"/>
  <c r="AP81" i="47"/>
  <c r="AL81" i="47"/>
  <c r="AA101" i="47"/>
  <c r="AN79" i="47"/>
  <c r="AL83" i="47"/>
  <c r="AP92" i="47"/>
  <c r="AA74" i="47"/>
  <c r="AP84" i="47"/>
  <c r="AA79" i="47"/>
  <c r="Z82" i="47"/>
  <c r="AA80" i="47"/>
  <c r="X85" i="47"/>
  <c r="Z98" i="47"/>
  <c r="AO74" i="47"/>
  <c r="AP78" i="47"/>
  <c r="AN91" i="47"/>
  <c r="AP89" i="47"/>
  <c r="AN69" i="47"/>
  <c r="AL66" i="47"/>
  <c r="AO86" i="47"/>
  <c r="AL69" i="47"/>
  <c r="AL95" i="47"/>
  <c r="AO77" i="47"/>
  <c r="X90" i="47"/>
  <c r="X89" i="47"/>
  <c r="Z67" i="47"/>
  <c r="Z101" i="47"/>
  <c r="AA99" i="47"/>
  <c r="AO100" i="47"/>
  <c r="AL77" i="47"/>
  <c r="AO87" i="47"/>
  <c r="AP99" i="47"/>
  <c r="Z83" i="47"/>
  <c r="Y91" i="47"/>
  <c r="AN95" i="47"/>
  <c r="AA87" i="47"/>
  <c r="AP87" i="47"/>
  <c r="Y72" i="47"/>
  <c r="AL100" i="47"/>
  <c r="X96" i="47"/>
  <c r="AP66" i="47"/>
  <c r="Y77" i="47"/>
  <c r="Y88" i="47"/>
  <c r="X66" i="47"/>
  <c r="AN102" i="47"/>
  <c r="Y66" i="47"/>
  <c r="AA68" i="47"/>
  <c r="Z89" i="47"/>
  <c r="AO70" i="47"/>
  <c r="AA92" i="47"/>
  <c r="X98" i="47"/>
  <c r="Z77" i="47"/>
  <c r="AP73" i="47"/>
  <c r="AO75" i="47"/>
  <c r="Y96" i="47"/>
  <c r="AN75" i="47"/>
  <c r="AA98" i="47"/>
  <c r="Y80" i="47"/>
  <c r="AP90" i="47"/>
  <c r="AA76" i="47"/>
  <c r="AN93" i="47"/>
  <c r="AN81" i="47"/>
  <c r="AP101" i="47"/>
  <c r="X101" i="47"/>
  <c r="Z72" i="47"/>
  <c r="AP71" i="47"/>
  <c r="AA66" i="47"/>
  <c r="AO91" i="47"/>
  <c r="Z96" i="47"/>
  <c r="Z85" i="47"/>
  <c r="X77" i="47"/>
  <c r="AL70" i="47"/>
  <c r="X88" i="47"/>
  <c r="AL68" i="47"/>
  <c r="X87" i="47"/>
  <c r="Y102" i="47"/>
  <c r="AS40" i="57" s="1"/>
  <c r="AP72" i="47"/>
  <c r="Z75" i="47"/>
  <c r="AA70" i="47"/>
  <c r="AP76" i="47"/>
  <c r="AO81" i="47"/>
  <c r="Z94" i="47"/>
  <c r="Y92" i="47"/>
  <c r="Z86" i="47"/>
  <c r="AL90" i="47"/>
  <c r="AP83" i="47"/>
  <c r="AP74" i="47"/>
  <c r="AO98" i="47"/>
  <c r="AA78" i="47"/>
  <c r="AP75" i="47"/>
  <c r="X80" i="47"/>
  <c r="AN77" i="47"/>
  <c r="X81" i="47"/>
  <c r="Y95" i="47"/>
  <c r="AN87" i="47"/>
  <c r="Z88" i="47"/>
  <c r="AN78" i="47"/>
  <c r="AN80" i="47"/>
  <c r="Z71" i="47"/>
  <c r="Z81" i="47"/>
  <c r="AO78" i="47"/>
  <c r="X74" i="47"/>
  <c r="AA88" i="47"/>
  <c r="AL72" i="47"/>
  <c r="Z78" i="47"/>
  <c r="AO84" i="47"/>
  <c r="AO89" i="47"/>
  <c r="AL96" i="47"/>
  <c r="AL102" i="47"/>
  <c r="AL91" i="47"/>
  <c r="Y98" i="47"/>
  <c r="AA100" i="47"/>
  <c r="AA75" i="47"/>
  <c r="AN73" i="47"/>
  <c r="X71" i="47"/>
  <c r="AA89" i="47"/>
  <c r="AP96" i="47"/>
  <c r="Z92" i="47"/>
  <c r="Y101" i="47"/>
  <c r="Y84" i="47"/>
  <c r="Y85" i="47"/>
  <c r="AA102" i="47"/>
  <c r="AA85" i="47"/>
  <c r="AA81" i="47"/>
  <c r="AP98" i="47"/>
  <c r="AL84" i="47"/>
  <c r="Y100" i="47"/>
  <c r="X83" i="47"/>
  <c r="Z100" i="47"/>
  <c r="Y81" i="47"/>
  <c r="Z73" i="47"/>
  <c r="AN88" i="47"/>
  <c r="AL98" i="47"/>
  <c r="Z99" i="47"/>
  <c r="AA96" i="47"/>
  <c r="AA83" i="47"/>
  <c r="AO72" i="47"/>
  <c r="AN70" i="47"/>
  <c r="AN98" i="47"/>
  <c r="AN90" i="47"/>
  <c r="Y87" i="47"/>
  <c r="AA95" i="47"/>
  <c r="AP100" i="47"/>
  <c r="AL93" i="47"/>
  <c r="Z102" i="47"/>
  <c r="AT45" i="58" s="1"/>
  <c r="AP102" i="47"/>
  <c r="AO82" i="47"/>
  <c r="AL87" i="47"/>
  <c r="Z76" i="47"/>
  <c r="AA86" i="47"/>
  <c r="AN84" i="47"/>
  <c r="X75" i="47"/>
  <c r="AL89" i="47"/>
  <c r="AO83" i="47"/>
  <c r="AL94" i="47"/>
  <c r="AA71" i="47"/>
  <c r="X82" i="47"/>
  <c r="AL86" i="47"/>
  <c r="AL76" i="47"/>
  <c r="Y76" i="47"/>
  <c r="X99" i="47"/>
  <c r="AN100" i="47"/>
  <c r="AP94" i="47"/>
  <c r="AA93" i="47"/>
  <c r="AA94" i="47"/>
  <c r="Y99" i="47"/>
  <c r="AL101" i="47"/>
  <c r="Z70" i="47"/>
  <c r="Y82" i="47"/>
  <c r="X76" i="47"/>
  <c r="Y89" i="47"/>
  <c r="AA72" i="47"/>
  <c r="AP91" i="47"/>
  <c r="AO95" i="47"/>
  <c r="AL92" i="47"/>
  <c r="AL71" i="47"/>
  <c r="Y83" i="47"/>
  <c r="X79" i="47"/>
  <c r="Z80" i="47"/>
  <c r="AO96" i="47"/>
  <c r="Z87" i="47"/>
  <c r="AN94" i="47"/>
  <c r="Z93" i="47"/>
  <c r="AP88" i="47"/>
  <c r="AP95" i="47"/>
  <c r="AN83" i="47"/>
  <c r="X102" i="47"/>
  <c r="Y74" i="47"/>
  <c r="AA77" i="47"/>
  <c r="AN89" i="47"/>
  <c r="X94" i="47"/>
  <c r="AO93" i="47"/>
  <c r="Y94" i="47"/>
  <c r="AL64" i="47"/>
  <c r="AN82" i="47"/>
  <c r="Z74" i="47"/>
  <c r="AN64" i="47"/>
  <c r="X65" i="47"/>
  <c r="AA73" i="47"/>
  <c r="AL65" i="47"/>
  <c r="Y93" i="47"/>
  <c r="Y65" i="47"/>
  <c r="Y69" i="47"/>
  <c r="Y71" i="47"/>
  <c r="X93" i="47"/>
  <c r="AN92" i="47"/>
  <c r="AL80" i="47"/>
  <c r="AO76" i="47"/>
  <c r="AL78" i="47"/>
  <c r="Z84" i="47"/>
  <c r="AO80" i="47"/>
  <c r="AA65" i="47"/>
  <c r="AN72" i="47"/>
  <c r="X69" i="47"/>
  <c r="AO69" i="47"/>
  <c r="AP82" i="47"/>
  <c r="X100" i="47"/>
  <c r="AO68" i="47"/>
  <c r="AL67" i="47"/>
  <c r="AO66" i="47"/>
  <c r="Y64" i="47"/>
  <c r="AO71" i="47"/>
  <c r="AN65" i="47"/>
  <c r="Z66" i="47"/>
  <c r="Y67" i="47"/>
  <c r="AA64" i="47"/>
  <c r="X64" i="47"/>
  <c r="AL88" i="47"/>
  <c r="AL82" i="47"/>
  <c r="AO79" i="47"/>
  <c r="AP80" i="47"/>
  <c r="X84" i="47"/>
  <c r="AP77" i="47"/>
  <c r="AO101" i="47"/>
  <c r="X78" i="47"/>
  <c r="Y78" i="47"/>
  <c r="X72" i="47"/>
  <c r="X67" i="47"/>
  <c r="AO85" i="47"/>
  <c r="AN67" i="47"/>
  <c r="Y86" i="47"/>
  <c r="Y68" i="47"/>
  <c r="AN74" i="47"/>
  <c r="AL74" i="47"/>
  <c r="Z64" i="47"/>
  <c r="AA67" i="47"/>
  <c r="X68" i="47"/>
  <c r="AO67" i="47"/>
  <c r="Y73" i="47"/>
  <c r="AN68" i="47"/>
  <c r="X73" i="47"/>
  <c r="Z95" i="47"/>
  <c r="AP67" i="47"/>
  <c r="AP68" i="47"/>
  <c r="Y75" i="47"/>
  <c r="Z69" i="47"/>
  <c r="AP93" i="47"/>
  <c r="AP70" i="47"/>
  <c r="AP69" i="47"/>
  <c r="AN101" i="47"/>
  <c r="Z91" i="47"/>
  <c r="AA69" i="47"/>
  <c r="Z68" i="47"/>
  <c r="AA91" i="47"/>
  <c r="AT9" i="55"/>
  <c r="AS9" i="55"/>
  <c r="AT16" i="55" l="1"/>
  <c r="AS16" i="55"/>
  <c r="AT37" i="55"/>
  <c r="AS37" i="55"/>
  <c r="AS10" i="57"/>
  <c r="AS47" i="57"/>
  <c r="AS11" i="58"/>
  <c r="AS45" i="58"/>
  <c r="AS15" i="57"/>
  <c r="AT15" i="57"/>
  <c r="AT10" i="57"/>
  <c r="AT47" i="57"/>
  <c r="AT11" i="58"/>
  <c r="AT40" i="57"/>
  <c r="AS7" i="55"/>
  <c r="AT7" i="55"/>
  <c r="AS33" i="55"/>
  <c r="AT33" i="55"/>
  <c r="AT88" i="57"/>
  <c r="AT82" i="57"/>
  <c r="AT59" i="57"/>
  <c r="AS79" i="57"/>
  <c r="AT36" i="58"/>
  <c r="AS36" i="58"/>
  <c r="AT86" i="58"/>
  <c r="AS30" i="58"/>
  <c r="AS34" i="58"/>
  <c r="AS15" i="58"/>
  <c r="AT42" i="57"/>
  <c r="AS7" i="58"/>
  <c r="AS58" i="58"/>
  <c r="AS84" i="57"/>
  <c r="AT62" i="57"/>
  <c r="AT54" i="58"/>
  <c r="AT7" i="58"/>
  <c r="AS97" i="57"/>
  <c r="AS44" i="58"/>
  <c r="AS38" i="58"/>
  <c r="AS99" i="58"/>
  <c r="AT60" i="57"/>
  <c r="AT35" i="58"/>
  <c r="AS86" i="58"/>
  <c r="AT87" i="57"/>
  <c r="AT27" i="58"/>
  <c r="AT25" i="58"/>
  <c r="AT22" i="58"/>
  <c r="AS18" i="58"/>
  <c r="AT8" i="58"/>
  <c r="AT101" i="57"/>
  <c r="AS94" i="57"/>
  <c r="AS48" i="58"/>
  <c r="AS43" i="58"/>
  <c r="AS24" i="58"/>
  <c r="AT51" i="58"/>
  <c r="AT28" i="58"/>
  <c r="AS101" i="58"/>
  <c r="AT63" i="57"/>
  <c r="AS57" i="57"/>
  <c r="AT56" i="57"/>
  <c r="AT67" i="58"/>
  <c r="AT81" i="57"/>
  <c r="AS80" i="57"/>
  <c r="AT77" i="57"/>
  <c r="AS76" i="57"/>
  <c r="AS66" i="57"/>
  <c r="AS63" i="57"/>
  <c r="AS49" i="58"/>
  <c r="AT17" i="58"/>
  <c r="AT23" i="58"/>
  <c r="AT29" i="58"/>
  <c r="AT94" i="57"/>
  <c r="AT68" i="57"/>
  <c r="AS67" i="58"/>
  <c r="AT80" i="58"/>
  <c r="AT78" i="58"/>
  <c r="AT57" i="58"/>
  <c r="AS56" i="58"/>
  <c r="AS55" i="58"/>
  <c r="AS54" i="58"/>
  <c r="AS53" i="58"/>
  <c r="AS52" i="58"/>
  <c r="AS51" i="58"/>
  <c r="AS50" i="58"/>
  <c r="AS82" i="58"/>
  <c r="AT2" i="58"/>
  <c r="AT55" i="57"/>
  <c r="AS81" i="58"/>
  <c r="AT21" i="58"/>
  <c r="AT41" i="57"/>
  <c r="AT99" i="57"/>
  <c r="AS98" i="57"/>
  <c r="AT97" i="57"/>
  <c r="AS96" i="57"/>
  <c r="AS95" i="57"/>
  <c r="AT93" i="57"/>
  <c r="AS7" i="57"/>
  <c r="AT5" i="57"/>
  <c r="AS4" i="57"/>
  <c r="AS2" i="57"/>
  <c r="AT44" i="58"/>
  <c r="AT7" i="57"/>
  <c r="AT49" i="58"/>
  <c r="AT83" i="58"/>
  <c r="AS60" i="58"/>
  <c r="AT83" i="57"/>
  <c r="AT56" i="58"/>
  <c r="AS21" i="58"/>
  <c r="AT95" i="57"/>
  <c r="AS71" i="58"/>
  <c r="AT26" i="58"/>
  <c r="AT32" i="58"/>
  <c r="AS87" i="58"/>
  <c r="AT53" i="58"/>
  <c r="AT24" i="58"/>
  <c r="AT33" i="57"/>
  <c r="AT76" i="58"/>
  <c r="AS86" i="57"/>
  <c r="AT58" i="57"/>
  <c r="AT42" i="58"/>
  <c r="AT2" i="57"/>
  <c r="AS56" i="57"/>
  <c r="AS42" i="58"/>
  <c r="AT10" i="58"/>
  <c r="AS25" i="58"/>
  <c r="AS2" i="58"/>
  <c r="AT79" i="58"/>
  <c r="AS9" i="58"/>
  <c r="AS89" i="58"/>
  <c r="AS87" i="57"/>
  <c r="AS77" i="57"/>
  <c r="AT75" i="58"/>
  <c r="AT38" i="58"/>
  <c r="AS5" i="57"/>
  <c r="AS39" i="58"/>
  <c r="AT82" i="58"/>
  <c r="AT41" i="58"/>
  <c r="AT98" i="57"/>
  <c r="AT77" i="58"/>
  <c r="AS75" i="58"/>
  <c r="AT61" i="58"/>
  <c r="AS85" i="57"/>
  <c r="AS42" i="57"/>
  <c r="AT48" i="58"/>
  <c r="AS33" i="58"/>
  <c r="AT100" i="58"/>
  <c r="AT57" i="57"/>
  <c r="AS35" i="58"/>
  <c r="AT30" i="58"/>
  <c r="AS65" i="58"/>
  <c r="AS57" i="58"/>
  <c r="AT37" i="58"/>
  <c r="AT4" i="57"/>
  <c r="AS33" i="57"/>
  <c r="AT59" i="58"/>
  <c r="AT65" i="57"/>
  <c r="AT40" i="58"/>
  <c r="AT6" i="57"/>
  <c r="AS47" i="58"/>
  <c r="AS40" i="58"/>
  <c r="AS65" i="57"/>
  <c r="AS55" i="57"/>
  <c r="AT39" i="58"/>
  <c r="AT95" i="58"/>
  <c r="AT99" i="58"/>
  <c r="AS88" i="57"/>
  <c r="AS83" i="57"/>
  <c r="AT52" i="58"/>
  <c r="AT43" i="58"/>
  <c r="AS93" i="57"/>
  <c r="AS37" i="58"/>
  <c r="AS78" i="58"/>
  <c r="AS19" i="58"/>
  <c r="AS32" i="58"/>
  <c r="AS6" i="57"/>
  <c r="AS79" i="58"/>
  <c r="AT74" i="58"/>
  <c r="AS82" i="57"/>
  <c r="AS72" i="58"/>
  <c r="AT46" i="58"/>
  <c r="AS31" i="58"/>
  <c r="AT97" i="58"/>
  <c r="AS46" i="58"/>
  <c r="AS41" i="58"/>
  <c r="AS74" i="58"/>
  <c r="AT55" i="58"/>
  <c r="AS64" i="57"/>
  <c r="AS66" i="58"/>
  <c r="AS100" i="58"/>
  <c r="AT65" i="58"/>
  <c r="AS98" i="58"/>
  <c r="AS63" i="58"/>
  <c r="AT84" i="57"/>
  <c r="AT64" i="57"/>
  <c r="AT50" i="58"/>
  <c r="AS101" i="57"/>
  <c r="AS76" i="58"/>
  <c r="AT61" i="57"/>
  <c r="AT33" i="58"/>
  <c r="AS26" i="58"/>
  <c r="AS67" i="57"/>
  <c r="AT47" i="58"/>
  <c r="AT96" i="57"/>
  <c r="AT20" i="58"/>
  <c r="AT86" i="57"/>
  <c r="AS78" i="57"/>
  <c r="AT64" i="58"/>
  <c r="AT31" i="58"/>
  <c r="AT100" i="57"/>
  <c r="AS28" i="58"/>
  <c r="AT96" i="58"/>
  <c r="AT34" i="58"/>
  <c r="AS29" i="58"/>
  <c r="AS85" i="58"/>
  <c r="AT85" i="57"/>
  <c r="AS27" i="58"/>
  <c r="AS99" i="57"/>
  <c r="AS73" i="58"/>
  <c r="AS23" i="58"/>
  <c r="AT19" i="58"/>
  <c r="AS41" i="57"/>
  <c r="AS4" i="58"/>
  <c r="AS100" i="57"/>
  <c r="AS34" i="57"/>
  <c r="AT36" i="57"/>
  <c r="AT26" i="57"/>
  <c r="AS59" i="57"/>
  <c r="AT60" i="58"/>
  <c r="AT43" i="57"/>
  <c r="AS51" i="57"/>
  <c r="AS29" i="57"/>
  <c r="AS74" i="57"/>
  <c r="AT71" i="57"/>
  <c r="AS54" i="57"/>
  <c r="AT51" i="57"/>
  <c r="AS88" i="58"/>
  <c r="AS22" i="58"/>
  <c r="AS49" i="57"/>
  <c r="AS69" i="58"/>
  <c r="AS39" i="57"/>
  <c r="AT31" i="57"/>
  <c r="AT92" i="58"/>
  <c r="AT44" i="57"/>
  <c r="AT27" i="57"/>
  <c r="AT23" i="57"/>
  <c r="AS20" i="57"/>
  <c r="AS17" i="57"/>
  <c r="AT6" i="58"/>
  <c r="AT88" i="58"/>
  <c r="AT12" i="57"/>
  <c r="AT8" i="57"/>
  <c r="AS72" i="57"/>
  <c r="AS36" i="57"/>
  <c r="AS24" i="57"/>
  <c r="AS16" i="57"/>
  <c r="AS92" i="57"/>
  <c r="AS91" i="57"/>
  <c r="AS90" i="57"/>
  <c r="AS89" i="57"/>
  <c r="AS75" i="57"/>
  <c r="AS71" i="57"/>
  <c r="AS69" i="57"/>
  <c r="AT52" i="57"/>
  <c r="AS12" i="58"/>
  <c r="AS11" i="57"/>
  <c r="AT72" i="58"/>
  <c r="AT45" i="57"/>
  <c r="AS45" i="57"/>
  <c r="AS83" i="58"/>
  <c r="AT91" i="57"/>
  <c r="AT90" i="57"/>
  <c r="AT89" i="57"/>
  <c r="AT75" i="57"/>
  <c r="AT72" i="57"/>
  <c r="AT69" i="57"/>
  <c r="AS53" i="57"/>
  <c r="AS44" i="57"/>
  <c r="AT34" i="57"/>
  <c r="AT11" i="57"/>
  <c r="AT98" i="58"/>
  <c r="AS70" i="58"/>
  <c r="AT38" i="57"/>
  <c r="AS27" i="57"/>
  <c r="AS77" i="58"/>
  <c r="AT50" i="57"/>
  <c r="AS48" i="57"/>
  <c r="AS21" i="57"/>
  <c r="AS28" i="57"/>
  <c r="AS50" i="57"/>
  <c r="AT48" i="57"/>
  <c r="AS46" i="57"/>
  <c r="AS16" i="58"/>
  <c r="AS37" i="57"/>
  <c r="AT17" i="57"/>
  <c r="AT32" i="57"/>
  <c r="AT30" i="57"/>
  <c r="AS26" i="57"/>
  <c r="AS23" i="57"/>
  <c r="AT18" i="57"/>
  <c r="AS8" i="58"/>
  <c r="AS5" i="58"/>
  <c r="AT87" i="58"/>
  <c r="AT89" i="58"/>
  <c r="AS9" i="57"/>
  <c r="AS8" i="57"/>
  <c r="AT22" i="57"/>
  <c r="AT49" i="57"/>
  <c r="AT37" i="57"/>
  <c r="AT79" i="57"/>
  <c r="AT13" i="57"/>
  <c r="AS38" i="57"/>
  <c r="AT93" i="58"/>
  <c r="AT62" i="58"/>
  <c r="AT66" i="57"/>
  <c r="AT101" i="58"/>
  <c r="AS61" i="58"/>
  <c r="AT91" i="58"/>
  <c r="AT5" i="58"/>
  <c r="AT76" i="57"/>
  <c r="AS80" i="58"/>
  <c r="AT80" i="57"/>
  <c r="AS81" i="57"/>
  <c r="AT78" i="57"/>
  <c r="AS92" i="58"/>
  <c r="AS97" i="58"/>
  <c r="AS10" i="58"/>
  <c r="AT9" i="58"/>
  <c r="AS91" i="58"/>
  <c r="AT94" i="58"/>
  <c r="AT69" i="58"/>
  <c r="AS19" i="57"/>
  <c r="AS31" i="57"/>
  <c r="AS90" i="58"/>
  <c r="AT24" i="57"/>
  <c r="AS96" i="58"/>
  <c r="AS62" i="57"/>
  <c r="AT20" i="57"/>
  <c r="AS94" i="58"/>
  <c r="AT29" i="57"/>
  <c r="AS93" i="58"/>
  <c r="AS95" i="58"/>
  <c r="AT84" i="58"/>
  <c r="AT68" i="58"/>
  <c r="AS25" i="57"/>
  <c r="AS59" i="58"/>
  <c r="AT70" i="58"/>
  <c r="AT58" i="58"/>
  <c r="AT92" i="57"/>
  <c r="AT28" i="57"/>
  <c r="AT21" i="57"/>
  <c r="AT12" i="58"/>
  <c r="AT67" i="57"/>
  <c r="AT66" i="58"/>
  <c r="AS62" i="58"/>
  <c r="AS17" i="58"/>
  <c r="AT15" i="58"/>
  <c r="AT63" i="58"/>
  <c r="AS68" i="58"/>
  <c r="AS61" i="57"/>
  <c r="AT71" i="58"/>
  <c r="AS84" i="58"/>
  <c r="AS68" i="57"/>
  <c r="AT4" i="58"/>
  <c r="AT39" i="57"/>
  <c r="AS32" i="57"/>
  <c r="AT18" i="58"/>
  <c r="AT85" i="58"/>
  <c r="AT90" i="58"/>
  <c r="AS6" i="58"/>
  <c r="AT73" i="58"/>
  <c r="AT74" i="57"/>
  <c r="AT73" i="57"/>
  <c r="AT70" i="57"/>
  <c r="AT54" i="57"/>
  <c r="AS52" i="57"/>
  <c r="AT81" i="58"/>
  <c r="AS12" i="57"/>
  <c r="AS13" i="57"/>
  <c r="AT25" i="57"/>
  <c r="AS60" i="57"/>
  <c r="AT16" i="58"/>
  <c r="AS18" i="57"/>
  <c r="AS30" i="57"/>
  <c r="AS20" i="58"/>
  <c r="AS64" i="58"/>
  <c r="AT16" i="57"/>
  <c r="AS73" i="57"/>
  <c r="AS70" i="57"/>
  <c r="AT53" i="57"/>
  <c r="AT46" i="57"/>
  <c r="AT9" i="57"/>
  <c r="AS22" i="57"/>
  <c r="AT19" i="57"/>
  <c r="AS43" i="57"/>
  <c r="AS58" i="57"/>
  <c r="AS18" i="55"/>
  <c r="AT24" i="55"/>
  <c r="AT18" i="55"/>
  <c r="AS10" i="55"/>
  <c r="AT28" i="55"/>
  <c r="AS39" i="55"/>
  <c r="AS24" i="55"/>
  <c r="AS28" i="55"/>
  <c r="AT11" i="55"/>
  <c r="AT10" i="55"/>
  <c r="AT39" i="55"/>
  <c r="AS11" i="55"/>
  <c r="AT19" i="55"/>
  <c r="AS19" i="55"/>
  <c r="AS40" i="55"/>
  <c r="AT40" i="55"/>
  <c r="AT26" i="55"/>
  <c r="AS26" i="55"/>
  <c r="AT27" i="55"/>
  <c r="AS27" i="55"/>
  <c r="AT23" i="55"/>
  <c r="AS23" i="55"/>
  <c r="AT15" i="55"/>
  <c r="AS15" i="55"/>
  <c r="V92" i="47"/>
  <c r="V81" i="47"/>
  <c r="V83" i="47"/>
  <c r="V94" i="47"/>
  <c r="AJ81" i="47"/>
  <c r="V101" i="47"/>
  <c r="AJ92" i="47"/>
  <c r="V74" i="47"/>
  <c r="AJ84" i="47"/>
  <c r="V79" i="47"/>
  <c r="V87" i="47"/>
  <c r="V85" i="47"/>
  <c r="V93" i="47"/>
  <c r="AT29" i="55"/>
  <c r="AJ89" i="47"/>
  <c r="V99" i="47"/>
  <c r="V98" i="47"/>
  <c r="V96" i="47"/>
  <c r="V76" i="47"/>
  <c r="V78" i="47"/>
  <c r="V100" i="47"/>
  <c r="V95" i="47"/>
  <c r="AJ93" i="47"/>
  <c r="V69" i="47"/>
  <c r="V91" i="47"/>
  <c r="V73" i="47"/>
  <c r="AT4" i="55"/>
  <c r="AT31" i="55"/>
  <c r="AS36" i="55"/>
  <c r="AT2" i="55"/>
  <c r="AS34" i="55"/>
  <c r="V65" i="47"/>
  <c r="V59" i="47"/>
  <c r="V62" i="47"/>
  <c r="V63" i="47"/>
  <c r="V55" i="47"/>
  <c r="V61" i="47"/>
  <c r="V56" i="47"/>
  <c r="V53" i="47"/>
  <c r="V58" i="47"/>
  <c r="V80" i="47"/>
  <c r="V54" i="47"/>
  <c r="V57" i="47"/>
  <c r="V60" i="47"/>
  <c r="AS62" i="55"/>
  <c r="AS71" i="55"/>
  <c r="AT43" i="55"/>
  <c r="AT100" i="55"/>
  <c r="AT98" i="55"/>
  <c r="AS60" i="55"/>
  <c r="AT54" i="55"/>
  <c r="AT49" i="55"/>
  <c r="AT21" i="55"/>
  <c r="AS47" i="55"/>
  <c r="AS74" i="55"/>
  <c r="AT91" i="55"/>
  <c r="AS89" i="55"/>
  <c r="AS68" i="55"/>
  <c r="AS98" i="55"/>
  <c r="AT96" i="55"/>
  <c r="AS69" i="55"/>
  <c r="AS56" i="55"/>
  <c r="AT45" i="55"/>
  <c r="AT77" i="55"/>
  <c r="AS79" i="55"/>
  <c r="AS81" i="55"/>
  <c r="AT44" i="55"/>
  <c r="AT94" i="55"/>
  <c r="AT42" i="55"/>
  <c r="AT89" i="55"/>
  <c r="AT62" i="55"/>
  <c r="AT55" i="55"/>
  <c r="AT101" i="55"/>
  <c r="AT48" i="55"/>
  <c r="AS55" i="55"/>
  <c r="AS84" i="55"/>
  <c r="AT88" i="55"/>
  <c r="AT47" i="55"/>
  <c r="AS49" i="55"/>
  <c r="AT59" i="55"/>
  <c r="AS63" i="55"/>
  <c r="AS78" i="55"/>
  <c r="AS48" i="55"/>
  <c r="AS42" i="55"/>
  <c r="AJ58" i="47"/>
  <c r="AJ57" i="47"/>
  <c r="AJ127" i="47"/>
  <c r="AJ20" i="47"/>
  <c r="AJ34" i="47"/>
  <c r="AJ146" i="47"/>
  <c r="AJ131" i="47"/>
  <c r="AJ268" i="47"/>
  <c r="AJ140" i="47"/>
  <c r="AJ61" i="47"/>
  <c r="AJ305" i="47"/>
  <c r="AJ295" i="47"/>
  <c r="AJ17" i="47"/>
  <c r="AJ287" i="47"/>
  <c r="AJ115" i="47"/>
  <c r="AJ226" i="47"/>
  <c r="AJ248" i="47"/>
  <c r="AJ29" i="47"/>
  <c r="AJ37" i="47"/>
  <c r="AJ212" i="47"/>
  <c r="AJ298" i="47"/>
  <c r="AJ315" i="47"/>
  <c r="AJ199" i="47"/>
  <c r="AJ9" i="47"/>
  <c r="AJ10" i="47"/>
  <c r="AJ319" i="47"/>
  <c r="AJ308" i="47"/>
  <c r="AJ43" i="47"/>
  <c r="AJ23" i="47"/>
  <c r="AJ141" i="47"/>
  <c r="AJ296" i="47"/>
  <c r="AJ53" i="47"/>
  <c r="AJ297" i="47"/>
  <c r="AJ320" i="47"/>
  <c r="AJ16" i="47"/>
  <c r="AJ54" i="47"/>
  <c r="AJ207" i="47"/>
  <c r="AJ275" i="47"/>
  <c r="AJ52" i="47"/>
  <c r="AJ196" i="47"/>
  <c r="AJ11" i="47"/>
  <c r="AJ181" i="47"/>
  <c r="AJ189" i="47"/>
  <c r="AJ299" i="47"/>
  <c r="AJ12" i="47"/>
  <c r="AJ56" i="47"/>
  <c r="AJ59" i="47"/>
  <c r="AJ188" i="47"/>
  <c r="AJ175" i="47"/>
  <c r="AJ273" i="47"/>
  <c r="AJ8" i="47"/>
  <c r="AJ264" i="47"/>
  <c r="AJ18" i="47"/>
  <c r="AJ171" i="47"/>
  <c r="AJ55" i="47"/>
  <c r="AJ42" i="47"/>
  <c r="AJ262" i="47"/>
  <c r="AJ62" i="47"/>
  <c r="AJ316" i="47"/>
  <c r="AJ326" i="47"/>
  <c r="AJ110" i="47"/>
  <c r="AJ158" i="47"/>
  <c r="AJ14" i="47"/>
  <c r="AJ191" i="47"/>
  <c r="AJ270" i="47"/>
  <c r="AJ284" i="47"/>
  <c r="AJ324" i="47"/>
  <c r="AJ60" i="47"/>
  <c r="AJ78" i="47"/>
  <c r="AJ13" i="47"/>
  <c r="AJ286" i="47"/>
  <c r="AJ227" i="47"/>
  <c r="AJ193" i="47"/>
  <c r="AJ122" i="47"/>
  <c r="AJ150" i="47"/>
  <c r="AJ48" i="47"/>
  <c r="AJ236" i="47"/>
  <c r="AJ276" i="47"/>
  <c r="AJ32" i="47"/>
  <c r="AJ288" i="47"/>
  <c r="AJ183" i="47"/>
  <c r="AJ113" i="47"/>
  <c r="AJ252" i="47"/>
  <c r="AJ46" i="47"/>
  <c r="AJ303" i="47"/>
  <c r="AJ180" i="47"/>
  <c r="AJ149" i="47"/>
  <c r="AJ323" i="47"/>
  <c r="AJ251" i="47"/>
  <c r="AJ119" i="47"/>
  <c r="AJ174" i="47"/>
  <c r="AJ154" i="47"/>
  <c r="AJ310" i="47"/>
  <c r="AJ190" i="47"/>
  <c r="AJ233" i="47"/>
  <c r="AJ267" i="47"/>
  <c r="AJ211" i="47"/>
  <c r="AJ172" i="47"/>
  <c r="AJ108" i="47"/>
  <c r="AJ159" i="47"/>
  <c r="AJ124" i="47"/>
  <c r="AJ239" i="47"/>
  <c r="AJ40" i="47"/>
  <c r="AJ285" i="47"/>
  <c r="AJ223" i="47"/>
  <c r="AJ311" i="47"/>
  <c r="AJ130" i="47"/>
  <c r="AJ142" i="47"/>
  <c r="AJ64" i="47"/>
  <c r="AJ263" i="47"/>
  <c r="AJ121" i="47"/>
  <c r="AJ177" i="47"/>
  <c r="AJ103" i="47"/>
  <c r="AJ241" i="47"/>
  <c r="AJ167" i="47"/>
  <c r="AJ157" i="47"/>
  <c r="AJ163" i="47"/>
  <c r="AJ173" i="47"/>
  <c r="AJ192" i="47"/>
  <c r="AJ256" i="47"/>
  <c r="AJ283" i="47"/>
  <c r="AJ277" i="47"/>
  <c r="AJ281" i="47"/>
  <c r="AJ282" i="47"/>
  <c r="AJ271" i="47"/>
  <c r="AJ132" i="47"/>
  <c r="AJ104" i="47"/>
  <c r="AJ209" i="47"/>
  <c r="AJ185" i="47"/>
  <c r="AJ136" i="47"/>
  <c r="AJ318" i="47"/>
  <c r="AJ214" i="47"/>
  <c r="AJ120" i="47"/>
  <c r="AJ204" i="47"/>
  <c r="AJ231" i="47"/>
  <c r="AJ206" i="47"/>
  <c r="AJ15" i="47"/>
  <c r="AJ27" i="47"/>
  <c r="AJ66" i="47"/>
  <c r="AJ152" i="47"/>
  <c r="AJ198" i="47"/>
  <c r="AJ47" i="47"/>
  <c r="AJ147" i="47"/>
  <c r="AJ309" i="47"/>
  <c r="AJ327" i="47"/>
  <c r="AJ39" i="47"/>
  <c r="AJ224" i="47"/>
  <c r="AJ322" i="47"/>
  <c r="AJ304" i="47"/>
  <c r="AJ221" i="47"/>
  <c r="AJ26" i="47"/>
  <c r="AJ266" i="47"/>
  <c r="AJ133" i="47"/>
  <c r="AJ4" i="47"/>
  <c r="AJ274" i="47"/>
  <c r="AJ31" i="47"/>
  <c r="AJ156" i="47"/>
  <c r="AJ25" i="47"/>
  <c r="AJ38" i="47"/>
  <c r="AJ176" i="47"/>
  <c r="AJ228" i="47"/>
  <c r="AJ143" i="47"/>
  <c r="AJ51" i="47"/>
  <c r="AJ208" i="47"/>
  <c r="AJ194" i="47"/>
  <c r="AJ128" i="47"/>
  <c r="AJ36" i="47"/>
  <c r="AJ325" i="47"/>
  <c r="AJ254" i="47"/>
  <c r="AJ260" i="47"/>
  <c r="AJ230" i="47"/>
  <c r="AJ123" i="47"/>
  <c r="AJ247" i="47"/>
  <c r="AJ215" i="47"/>
  <c r="AJ245" i="47"/>
  <c r="AJ111" i="47"/>
  <c r="AJ313" i="47"/>
  <c r="AJ50" i="47"/>
  <c r="AJ219" i="47"/>
  <c r="AJ49" i="47"/>
  <c r="AJ7" i="47"/>
  <c r="AJ160" i="47"/>
  <c r="AJ237" i="47"/>
  <c r="AJ129" i="47"/>
  <c r="AJ114" i="47"/>
  <c r="AJ279" i="47"/>
  <c r="AJ182" i="47"/>
  <c r="AJ138" i="47"/>
  <c r="AJ249" i="47"/>
  <c r="AJ202" i="47"/>
  <c r="AT69" i="55"/>
  <c r="AS44" i="55"/>
  <c r="AT76" i="55"/>
  <c r="AT20" i="55"/>
  <c r="AT36" i="55"/>
  <c r="AS77" i="55"/>
  <c r="AS72" i="55"/>
  <c r="AT75" i="55"/>
  <c r="AT86" i="55"/>
  <c r="AS86" i="55"/>
  <c r="AT97" i="55"/>
  <c r="AS82" i="55"/>
  <c r="AT65" i="55"/>
  <c r="AT95" i="55"/>
  <c r="AS80" i="55"/>
  <c r="AS94" i="55"/>
  <c r="AT85" i="55"/>
  <c r="AS46" i="55"/>
  <c r="AS88" i="55"/>
  <c r="AT81" i="55"/>
  <c r="AS43" i="55"/>
  <c r="AS70" i="55"/>
  <c r="AS53" i="55"/>
  <c r="AS50" i="55"/>
  <c r="AT17" i="55"/>
  <c r="AS2" i="55"/>
  <c r="AS31" i="55"/>
  <c r="AT87" i="55"/>
  <c r="AT93" i="55"/>
  <c r="V71" i="47"/>
  <c r="V68" i="47"/>
  <c r="V82" i="47"/>
  <c r="V90" i="47"/>
  <c r="V86" i="47"/>
  <c r="V84" i="47"/>
  <c r="AJ205" i="47"/>
  <c r="AJ178" i="47"/>
  <c r="AJ33" i="47"/>
  <c r="AJ165" i="47"/>
  <c r="AJ278" i="47"/>
  <c r="AJ187" i="47"/>
  <c r="AJ137" i="47"/>
  <c r="AJ222" i="47"/>
  <c r="AJ200" i="47"/>
  <c r="AJ250" i="47"/>
  <c r="AJ307" i="47"/>
  <c r="AJ169" i="47"/>
  <c r="AJ257" i="47"/>
  <c r="AJ126" i="47"/>
  <c r="AJ229" i="47"/>
  <c r="AJ170" i="47"/>
  <c r="AJ294" i="47"/>
  <c r="AJ217" i="47"/>
  <c r="AJ144" i="47"/>
  <c r="AJ116" i="47"/>
  <c r="AJ21" i="47"/>
  <c r="AJ184" i="47"/>
  <c r="AJ253" i="47"/>
  <c r="AJ235" i="47"/>
  <c r="AJ314" i="47"/>
  <c r="AJ5" i="47"/>
  <c r="AJ321" i="47"/>
  <c r="AJ107" i="47"/>
  <c r="AJ269" i="47"/>
  <c r="AJ134" i="47"/>
  <c r="AJ306" i="47"/>
  <c r="AJ220" i="47"/>
  <c r="AJ22" i="47"/>
  <c r="AJ255" i="47"/>
  <c r="AJ63" i="47"/>
  <c r="AJ3" i="47"/>
  <c r="AJ210" i="47"/>
  <c r="AJ87" i="47"/>
  <c r="AJ75" i="47"/>
  <c r="AJ289" i="47"/>
  <c r="AJ218" i="47"/>
  <c r="AJ225" i="47"/>
  <c r="AJ216" i="47"/>
  <c r="AJ76" i="47"/>
  <c r="AJ83" i="47"/>
  <c r="AJ109" i="47"/>
  <c r="AJ243" i="47"/>
  <c r="AJ95" i="47"/>
  <c r="AJ213" i="47"/>
  <c r="AJ70" i="47"/>
  <c r="AJ317" i="47"/>
  <c r="AJ258" i="47"/>
  <c r="AJ259" i="47"/>
  <c r="AJ292" i="47"/>
  <c r="AJ98" i="47"/>
  <c r="AJ88" i="47"/>
  <c r="AJ261" i="47"/>
  <c r="AJ135" i="47"/>
  <c r="AJ44" i="47"/>
  <c r="AJ69" i="47"/>
  <c r="AJ77" i="47"/>
  <c r="AJ164" i="47"/>
  <c r="AJ203" i="47"/>
  <c r="AJ35" i="47"/>
  <c r="AJ151" i="47"/>
  <c r="AJ179" i="47"/>
  <c r="AJ90" i="47"/>
  <c r="AJ301" i="47"/>
  <c r="AJ244" i="47"/>
  <c r="AJ272" i="47"/>
  <c r="AJ240" i="47"/>
  <c r="AJ201" i="47"/>
  <c r="AJ91" i="47"/>
  <c r="AJ73" i="47"/>
  <c r="AJ74" i="47"/>
  <c r="AJ82" i="47"/>
  <c r="AJ100" i="47"/>
  <c r="AJ80" i="47"/>
  <c r="AJ102" i="47"/>
  <c r="AJ139" i="47"/>
  <c r="AJ291" i="47"/>
  <c r="AJ97" i="47"/>
  <c r="AJ106" i="47"/>
  <c r="AJ24" i="47"/>
  <c r="AJ45" i="47"/>
  <c r="AJ117" i="47"/>
  <c r="AJ148" i="47"/>
  <c r="AJ101" i="47"/>
  <c r="AJ94" i="47"/>
  <c r="AJ105" i="47"/>
  <c r="AJ112" i="47"/>
  <c r="AJ72" i="47"/>
  <c r="AJ96" i="47"/>
  <c r="AJ186" i="47"/>
  <c r="AJ71" i="47"/>
  <c r="AJ155" i="47"/>
  <c r="AJ300" i="47"/>
  <c r="AJ99" i="47"/>
  <c r="AJ238" i="47"/>
  <c r="AJ19" i="47"/>
  <c r="AJ197" i="47"/>
  <c r="AJ242" i="47"/>
  <c r="AJ290" i="47"/>
  <c r="AJ153" i="47"/>
  <c r="AJ118" i="47"/>
  <c r="AJ302" i="47"/>
  <c r="AJ195" i="47"/>
  <c r="AJ280" i="47"/>
  <c r="AJ312" i="47"/>
  <c r="AJ145" i="47"/>
  <c r="AJ125" i="47"/>
  <c r="AJ265" i="47"/>
  <c r="AJ234" i="47"/>
  <c r="AJ166" i="47"/>
  <c r="AJ168" i="47"/>
  <c r="V42" i="47"/>
  <c r="V26" i="47"/>
  <c r="V29" i="47"/>
  <c r="V4" i="47"/>
  <c r="V46" i="47"/>
  <c r="V13" i="47"/>
  <c r="V18" i="47"/>
  <c r="V34" i="47"/>
  <c r="V44" i="47"/>
  <c r="V21" i="47"/>
  <c r="V50" i="47"/>
  <c r="V25" i="47"/>
  <c r="V38" i="47"/>
  <c r="V28" i="47"/>
  <c r="V24" i="47"/>
  <c r="V47" i="47"/>
  <c r="V43" i="47"/>
  <c r="V33" i="47"/>
  <c r="V40" i="47"/>
  <c r="V22" i="47"/>
  <c r="V27" i="47"/>
  <c r="V23" i="47"/>
  <c r="V17" i="47"/>
  <c r="V66" i="47"/>
  <c r="V49" i="47"/>
  <c r="V3" i="47"/>
  <c r="V19" i="47"/>
  <c r="V31" i="47"/>
  <c r="V48" i="47"/>
  <c r="V37" i="47"/>
  <c r="V8" i="47"/>
  <c r="V52" i="47"/>
  <c r="V75" i="47"/>
  <c r="V89" i="47"/>
  <c r="V88" i="47"/>
  <c r="V9" i="47"/>
  <c r="V7" i="47"/>
  <c r="V10" i="47"/>
  <c r="V35" i="47"/>
  <c r="V70" i="47"/>
  <c r="V102" i="47"/>
  <c r="V72" i="47"/>
  <c r="V77" i="47"/>
  <c r="V97" i="47"/>
  <c r="V15" i="47"/>
  <c r="V12" i="47"/>
  <c r="V14" i="47"/>
  <c r="V6" i="47"/>
  <c r="AS92" i="55"/>
  <c r="AS87" i="55"/>
  <c r="AT61" i="55"/>
  <c r="AT70" i="55"/>
  <c r="AT56" i="55"/>
  <c r="AS17" i="55"/>
  <c r="AT34" i="55"/>
  <c r="AS4" i="55"/>
  <c r="AS95" i="55"/>
  <c r="AS96" i="55"/>
  <c r="AT67" i="55"/>
  <c r="AS101" i="55"/>
  <c r="AS45" i="55"/>
  <c r="AS90" i="55"/>
  <c r="AT38" i="55"/>
  <c r="AS21" i="55"/>
  <c r="AS54" i="55"/>
  <c r="AS64" i="55"/>
  <c r="AS51" i="55"/>
  <c r="AS52" i="55"/>
  <c r="AS83" i="55"/>
  <c r="AS97" i="55"/>
  <c r="AS61" i="55"/>
  <c r="AS67" i="55"/>
  <c r="AT90" i="55"/>
  <c r="AT63" i="55"/>
  <c r="AS59" i="55"/>
  <c r="AT52" i="55"/>
  <c r="AT35" i="55"/>
  <c r="AT51" i="55"/>
  <c r="AT68" i="55"/>
  <c r="AS35" i="55"/>
  <c r="AT84" i="55"/>
  <c r="AS93" i="55"/>
  <c r="AS99" i="55"/>
  <c r="AT50" i="55"/>
  <c r="AT74" i="55"/>
  <c r="AT82" i="55"/>
  <c r="AT30" i="55"/>
  <c r="AS38" i="55"/>
  <c r="AS25" i="55"/>
  <c r="AT92" i="55"/>
  <c r="AS76" i="55"/>
  <c r="AT57" i="55"/>
  <c r="AT73" i="55"/>
  <c r="AT64" i="55"/>
  <c r="AT25" i="55"/>
  <c r="AT78" i="55"/>
  <c r="AT46" i="55"/>
  <c r="AT80" i="55"/>
  <c r="AS58" i="55"/>
  <c r="AT99" i="55"/>
  <c r="AS30" i="55"/>
  <c r="AT72" i="55"/>
  <c r="AS75" i="55"/>
  <c r="AS20" i="55"/>
  <c r="AT58" i="55"/>
  <c r="AT53" i="55"/>
  <c r="AT79" i="55"/>
  <c r="AT71" i="55"/>
  <c r="AS91" i="55"/>
  <c r="AT60" i="55"/>
  <c r="AS73" i="55"/>
  <c r="AS57" i="55"/>
  <c r="AS65" i="55"/>
  <c r="AT66" i="55"/>
  <c r="AS29" i="55"/>
  <c r="AS66" i="55"/>
  <c r="AT83" i="55"/>
  <c r="AS100" i="55"/>
  <c r="AS85" i="55"/>
  <c r="V51" i="47"/>
  <c r="V32" i="47"/>
  <c r="V64" i="47"/>
  <c r="V16" i="47"/>
  <c r="V20" i="47"/>
  <c r="V36" i="47"/>
  <c r="V30" i="47"/>
  <c r="V11" i="47"/>
  <c r="V5" i="47"/>
  <c r="V45" i="47"/>
  <c r="V41" i="47"/>
  <c r="V67" i="47"/>
  <c r="V39" i="47"/>
  <c r="AJ232" i="47"/>
  <c r="AJ41" i="47"/>
  <c r="AJ79" i="47"/>
  <c r="AJ67" i="47"/>
  <c r="AJ162" i="47"/>
  <c r="AJ6" i="47"/>
  <c r="AJ246" i="47"/>
  <c r="AJ30" i="47"/>
  <c r="AJ161" i="47"/>
  <c r="AJ85" i="47"/>
  <c r="AJ86" i="47"/>
  <c r="AJ293" i="47"/>
  <c r="AJ68" i="47"/>
  <c r="AJ28" i="47"/>
  <c r="AJ65" i="47"/>
  <c r="Y41" i="48" l="1"/>
  <c r="Z88" i="44"/>
  <c r="X50" i="44"/>
  <c r="W38" i="44"/>
  <c r="X46" i="48"/>
  <c r="AY48" i="54"/>
  <c r="AY49" i="54"/>
  <c r="Y85" i="48"/>
  <c r="W80" i="48"/>
  <c r="Y45" i="44"/>
  <c r="AR89" i="54"/>
  <c r="Y54" i="48"/>
  <c r="Z47" i="48"/>
  <c r="Z89" i="48"/>
  <c r="X10" i="44"/>
  <c r="Y50" i="48"/>
  <c r="Z56" i="44"/>
  <c r="AY26" i="54"/>
  <c r="X30" i="44"/>
  <c r="X58" i="48"/>
  <c r="Y82" i="48"/>
  <c r="W54" i="48"/>
  <c r="X50" i="48"/>
  <c r="X80" i="44"/>
  <c r="X51" i="48"/>
  <c r="AR31" i="54"/>
  <c r="W85" i="44"/>
  <c r="AR88" i="54"/>
  <c r="AY98" i="54"/>
  <c r="X27" i="48"/>
  <c r="Z53" i="48"/>
  <c r="W90" i="48"/>
  <c r="AW112" i="48"/>
  <c r="AY7" i="48"/>
  <c r="AW171" i="48"/>
  <c r="AW119" i="48"/>
  <c r="AW191" i="48"/>
  <c r="AW21" i="48"/>
  <c r="AW36" i="48"/>
  <c r="AZ199" i="48"/>
  <c r="AZ180" i="48"/>
  <c r="AY236" i="48"/>
  <c r="AY83" i="48"/>
  <c r="AZ10" i="48"/>
  <c r="AW80" i="48"/>
  <c r="AZ57" i="48"/>
  <c r="AZ115" i="48"/>
  <c r="AW241" i="48"/>
  <c r="AZ51" i="48"/>
  <c r="AZ195" i="48"/>
  <c r="AW158" i="48"/>
  <c r="AW242" i="48"/>
  <c r="AY30" i="48"/>
  <c r="AY129" i="48"/>
  <c r="AW68" i="48"/>
  <c r="AY273" i="48"/>
  <c r="AZ47" i="48"/>
  <c r="AW123" i="48"/>
  <c r="AW70" i="48"/>
  <c r="AZ84" i="48"/>
  <c r="AW67" i="48"/>
  <c r="AY237" i="48"/>
  <c r="AZ174" i="48"/>
  <c r="AZ34" i="48"/>
  <c r="AZ18" i="48"/>
  <c r="AW37" i="48"/>
  <c r="AW143" i="48"/>
  <c r="AW102" i="48"/>
  <c r="AW225" i="48"/>
  <c r="AW257" i="48"/>
  <c r="AY207" i="48"/>
  <c r="AZ107" i="48"/>
  <c r="AZ127" i="48"/>
  <c r="AY221" i="48"/>
  <c r="AY200" i="48"/>
  <c r="AW142" i="48"/>
  <c r="AY173" i="48"/>
  <c r="AW122" i="48"/>
  <c r="AY148" i="48"/>
  <c r="AZ165" i="48"/>
  <c r="AW78" i="48"/>
  <c r="AZ223" i="48"/>
  <c r="AZ48" i="48"/>
  <c r="AY226" i="48"/>
  <c r="AY44" i="48"/>
  <c r="AZ61" i="48"/>
  <c r="AY52" i="48"/>
  <c r="AY67" i="48"/>
  <c r="AZ215" i="48"/>
  <c r="AZ207" i="48"/>
  <c r="AY272" i="48"/>
  <c r="AZ203" i="48"/>
  <c r="AY2" i="48"/>
  <c r="AW151" i="48"/>
  <c r="AZ178" i="48"/>
  <c r="AW114" i="48"/>
  <c r="AW186" i="48"/>
  <c r="AW9" i="48"/>
  <c r="AY23" i="48"/>
  <c r="AY251" i="48"/>
  <c r="AW131" i="48"/>
  <c r="AZ269" i="48"/>
  <c r="BA269" i="48" s="1"/>
  <c r="AY171" i="48"/>
  <c r="AW69" i="48"/>
  <c r="AZ119" i="48"/>
  <c r="BA119" i="48" s="1"/>
  <c r="AY156" i="48"/>
  <c r="AW233" i="48"/>
  <c r="AW108" i="48"/>
  <c r="AZ12" i="48"/>
  <c r="BA12" i="48" s="1"/>
  <c r="AY22" i="48"/>
  <c r="AZ194" i="48"/>
  <c r="BA194" i="48" s="1"/>
  <c r="AZ123" i="48"/>
  <c r="BA123" i="48" s="1"/>
  <c r="AW66" i="48"/>
  <c r="AY253" i="48"/>
  <c r="AW16" i="48"/>
  <c r="AY77" i="48"/>
  <c r="AY211" i="48"/>
  <c r="AW133" i="48"/>
  <c r="AZ11" i="48"/>
  <c r="BA11" i="48" s="1"/>
  <c r="AW105" i="48"/>
  <c r="AZ92" i="48"/>
  <c r="BA92" i="48" s="1"/>
  <c r="AY18" i="48"/>
  <c r="AW268" i="48"/>
  <c r="AY230" i="48"/>
  <c r="AZ62" i="48"/>
  <c r="BA62" i="48" s="1"/>
  <c r="AY142" i="48"/>
  <c r="AZ162" i="48"/>
  <c r="BA162" i="48" s="1"/>
  <c r="AW245" i="48"/>
  <c r="AZ26" i="48"/>
  <c r="BA26" i="48" s="1"/>
  <c r="AY202" i="48"/>
  <c r="AY58" i="48"/>
  <c r="AW208" i="48"/>
  <c r="AZ231" i="48"/>
  <c r="BA231" i="48" s="1"/>
  <c r="AZ148" i="48"/>
  <c r="AW45" i="48"/>
  <c r="AY84" i="48"/>
  <c r="AW54" i="48"/>
  <c r="AW244" i="48"/>
  <c r="AY13" i="48"/>
  <c r="AZ20" i="48"/>
  <c r="AZ230" i="48"/>
  <c r="AY257" i="48"/>
  <c r="AW79" i="48"/>
  <c r="AZ268" i="48"/>
  <c r="AY90" i="48"/>
  <c r="AY42" i="48"/>
  <c r="AY153" i="48"/>
  <c r="AY96" i="48"/>
  <c r="AW196" i="48"/>
  <c r="AZ64" i="48"/>
  <c r="AY62" i="48"/>
  <c r="AZ271" i="48"/>
  <c r="AZ170" i="48"/>
  <c r="AW209" i="48"/>
  <c r="AY81" i="48"/>
  <c r="AZ192" i="48"/>
  <c r="AZ97" i="48"/>
  <c r="AW176" i="48"/>
  <c r="AZ168" i="48"/>
  <c r="AZ189" i="48"/>
  <c r="AW266" i="48"/>
  <c r="AW103" i="48"/>
  <c r="AZ187" i="48"/>
  <c r="AZ205" i="48"/>
  <c r="AZ175" i="48"/>
  <c r="AZ75" i="48"/>
  <c r="AW96" i="48"/>
  <c r="AW215" i="48"/>
  <c r="AY185" i="48"/>
  <c r="AY19" i="48"/>
  <c r="AY279" i="48"/>
  <c r="AY113" i="48"/>
  <c r="AZ16" i="48"/>
  <c r="AY24" i="48"/>
  <c r="AY231" i="48"/>
  <c r="AW13" i="48"/>
  <c r="AZ3" i="48"/>
  <c r="AY85" i="48"/>
  <c r="AZ243" i="48"/>
  <c r="AW90" i="48"/>
  <c r="AY241" i="48"/>
  <c r="AZ183" i="48"/>
  <c r="AZ42" i="48"/>
  <c r="AW107" i="48"/>
  <c r="AY101" i="48"/>
  <c r="AY39" i="48"/>
  <c r="AZ105" i="48"/>
  <c r="AZ237" i="48"/>
  <c r="AW23" i="48"/>
  <c r="AZ263" i="48"/>
  <c r="AW115" i="48"/>
  <c r="AW104" i="48"/>
  <c r="AW141" i="48"/>
  <c r="AW164" i="48"/>
  <c r="AW134" i="48"/>
  <c r="AZ272" i="48"/>
  <c r="AZ6" i="48"/>
  <c r="AY218" i="48"/>
  <c r="AY94" i="48"/>
  <c r="AY139" i="48"/>
  <c r="AW58" i="48"/>
  <c r="AZ279" i="48"/>
  <c r="AZ184" i="48"/>
  <c r="AZ248" i="48"/>
  <c r="AW254" i="48"/>
  <c r="AW65" i="48"/>
  <c r="AY31" i="48"/>
  <c r="AW273" i="48"/>
  <c r="AZ31" i="48"/>
  <c r="AZ200" i="48"/>
  <c r="AW111" i="48"/>
  <c r="AY197" i="48"/>
  <c r="AW92" i="48"/>
  <c r="AW250" i="48"/>
  <c r="AW213" i="48"/>
  <c r="AY190" i="48"/>
  <c r="AY276" i="48"/>
  <c r="AY161" i="48"/>
  <c r="AZ274" i="48"/>
  <c r="AW246" i="48"/>
  <c r="AZ52" i="48"/>
  <c r="AW138" i="48"/>
  <c r="AW6" i="48"/>
  <c r="AW19" i="48"/>
  <c r="AY208" i="48"/>
  <c r="AW249" i="48"/>
  <c r="AY183" i="48"/>
  <c r="AY176" i="48"/>
  <c r="AZ259" i="48"/>
  <c r="AZ43" i="48"/>
  <c r="AZ27" i="48"/>
  <c r="AW275" i="48"/>
  <c r="AY266" i="48"/>
  <c r="AZ104" i="48"/>
  <c r="AZ33" i="48"/>
  <c r="AW263" i="48"/>
  <c r="AW12" i="48"/>
  <c r="AW55" i="48"/>
  <c r="AY261" i="48"/>
  <c r="AY138" i="48"/>
  <c r="AY144" i="48"/>
  <c r="AY122" i="48"/>
  <c r="AY12" i="48"/>
  <c r="AZ135" i="48"/>
  <c r="AZ30" i="48"/>
  <c r="AW81" i="48"/>
  <c r="AW173" i="48"/>
  <c r="AY137" i="48"/>
  <c r="AW200" i="48"/>
  <c r="AW152" i="48"/>
  <c r="AZ185" i="48"/>
  <c r="AY17" i="48"/>
  <c r="AY50" i="48"/>
  <c r="AY91" i="48"/>
  <c r="AZ249" i="48"/>
  <c r="AZ124" i="48"/>
  <c r="AY54" i="48"/>
  <c r="AW109" i="48"/>
  <c r="AZ83" i="48"/>
  <c r="AZ238" i="48"/>
  <c r="AY168" i="48"/>
  <c r="AZ67" i="48"/>
  <c r="AY119" i="48"/>
  <c r="AZ212" i="48"/>
  <c r="AY57" i="48"/>
  <c r="AW110" i="48"/>
  <c r="AW165" i="48"/>
  <c r="AY8" i="48"/>
  <c r="AY78" i="48"/>
  <c r="AW189" i="48"/>
  <c r="AZ225" i="48"/>
  <c r="AW185" i="48"/>
  <c r="AY260" i="48"/>
  <c r="AY55" i="48"/>
  <c r="AY162" i="48"/>
  <c r="AW182" i="48"/>
  <c r="AW132" i="48"/>
  <c r="AY10" i="48"/>
  <c r="AW97" i="48"/>
  <c r="AZ68" i="48"/>
  <c r="AY59" i="48"/>
  <c r="AY177" i="48"/>
  <c r="AY65" i="48"/>
  <c r="AY182" i="48"/>
  <c r="AZ111" i="48"/>
  <c r="AZ130" i="48"/>
  <c r="AW229" i="48"/>
  <c r="AZ204" i="48"/>
  <c r="AY51" i="48"/>
  <c r="AW32" i="48"/>
  <c r="AW169" i="48"/>
  <c r="AY262" i="48"/>
  <c r="AY228" i="48"/>
  <c r="AZ128" i="48"/>
  <c r="AY110" i="48"/>
  <c r="AZ32" i="48"/>
  <c r="AY106" i="48"/>
  <c r="AY227" i="48"/>
  <c r="AW34" i="48"/>
  <c r="AW265" i="48"/>
  <c r="AZ209" i="48"/>
  <c r="AY134" i="48"/>
  <c r="AW183" i="48"/>
  <c r="AW25" i="48"/>
  <c r="AY15" i="48"/>
  <c r="AY243" i="48"/>
  <c r="AY69" i="48"/>
  <c r="AY199" i="48"/>
  <c r="AW177" i="48"/>
  <c r="AZ206" i="48"/>
  <c r="AW39" i="48"/>
  <c r="AZ131" i="48"/>
  <c r="AY244" i="48"/>
  <c r="AW44" i="48"/>
  <c r="AY102" i="48"/>
  <c r="AZ40" i="48"/>
  <c r="AW174" i="48"/>
  <c r="AZ129" i="48"/>
  <c r="AY198" i="48"/>
  <c r="AW258" i="48"/>
  <c r="AW223" i="48"/>
  <c r="AY48" i="48"/>
  <c r="AY158" i="48"/>
  <c r="AY269" i="48"/>
  <c r="AW281" i="48"/>
  <c r="AZ125" i="48"/>
  <c r="AW262" i="48"/>
  <c r="AW267" i="48"/>
  <c r="AW159" i="48"/>
  <c r="AZ122" i="48"/>
  <c r="AZ121" i="48"/>
  <c r="AY32" i="48"/>
  <c r="AW230" i="48"/>
  <c r="AZ60" i="48"/>
  <c r="AY235" i="48"/>
  <c r="AY35" i="48"/>
  <c r="AW278" i="48"/>
  <c r="AZ252" i="48"/>
  <c r="AZ23" i="48"/>
  <c r="AW247" i="48"/>
  <c r="AZ116" i="48"/>
  <c r="AZ151" i="48"/>
  <c r="AZ260" i="48"/>
  <c r="AW136" i="48"/>
  <c r="AY9" i="48"/>
  <c r="AZ112" i="48"/>
  <c r="AZ13" i="48"/>
  <c r="AY68" i="48"/>
  <c r="AY80" i="48"/>
  <c r="AY47" i="48"/>
  <c r="AY38" i="48"/>
  <c r="AW251" i="48"/>
  <c r="AZ65" i="48"/>
  <c r="AZ219" i="48"/>
  <c r="AZ267" i="48"/>
  <c r="AZ86" i="48"/>
  <c r="AY73" i="48"/>
  <c r="AY193" i="48"/>
  <c r="AY187" i="48"/>
  <c r="AZ217" i="48"/>
  <c r="AY194" i="48"/>
  <c r="AW214" i="48"/>
  <c r="AY151" i="48"/>
  <c r="AZ63" i="48"/>
  <c r="AZ278" i="48"/>
  <c r="AW52" i="48"/>
  <c r="AW29" i="48"/>
  <c r="AZ140" i="48"/>
  <c r="AY170" i="48"/>
  <c r="AY33" i="48"/>
  <c r="AZ87" i="48"/>
  <c r="AY131" i="48"/>
  <c r="AZ46" i="48"/>
  <c r="AW256" i="48"/>
  <c r="AY248" i="48"/>
  <c r="AY155" i="48"/>
  <c r="AZ261" i="48"/>
  <c r="AY180" i="48"/>
  <c r="AW216" i="48"/>
  <c r="AW91" i="48"/>
  <c r="AZ245" i="48"/>
  <c r="AW33" i="48"/>
  <c r="AY28" i="48"/>
  <c r="AY64" i="48"/>
  <c r="AZ80" i="48"/>
  <c r="AW228" i="48"/>
  <c r="AZ201" i="48"/>
  <c r="AZ74" i="48"/>
  <c r="AY152" i="48"/>
  <c r="AZ73" i="48"/>
  <c r="AW197" i="48"/>
  <c r="AW35" i="48"/>
  <c r="AZ177" i="48"/>
  <c r="AZ149" i="48"/>
  <c r="AY245" i="48"/>
  <c r="AW170" i="48"/>
  <c r="AW31" i="48"/>
  <c r="AW3" i="48"/>
  <c r="AY265" i="48"/>
  <c r="AZ198" i="48"/>
  <c r="AY246" i="48"/>
  <c r="AY114" i="48"/>
  <c r="AW227" i="48"/>
  <c r="AY132" i="48"/>
  <c r="AY108" i="48"/>
  <c r="AY76" i="48"/>
  <c r="AY247" i="48"/>
  <c r="AZ81" i="48"/>
  <c r="AY240" i="48"/>
  <c r="AZ213" i="48"/>
  <c r="AY89" i="48"/>
  <c r="AW149" i="48"/>
  <c r="AW50" i="48"/>
  <c r="AZ257" i="48"/>
  <c r="AY123" i="48"/>
  <c r="AZ25" i="48"/>
  <c r="AY92" i="48"/>
  <c r="AW38" i="48"/>
  <c r="AW30" i="48"/>
  <c r="AY143" i="48"/>
  <c r="AZ266" i="48"/>
  <c r="AZ53" i="48"/>
  <c r="AZ117" i="48"/>
  <c r="AY127" i="48"/>
  <c r="AY259" i="48"/>
  <c r="AZ38" i="48"/>
  <c r="AY125" i="48"/>
  <c r="AY130" i="48"/>
  <c r="AW220" i="48"/>
  <c r="AW61" i="48"/>
  <c r="AZ45" i="48"/>
  <c r="AZ227" i="48"/>
  <c r="AY163" i="48"/>
  <c r="AW145" i="48"/>
  <c r="AZ76" i="48"/>
  <c r="AZ9" i="48"/>
  <c r="AW87" i="48"/>
  <c r="AZ50" i="48"/>
  <c r="AY169" i="48"/>
  <c r="AY249" i="48"/>
  <c r="AY26" i="48"/>
  <c r="AZ255" i="48"/>
  <c r="AZ186" i="48"/>
  <c r="AZ210" i="48"/>
  <c r="AZ262" i="48"/>
  <c r="AY86" i="48"/>
  <c r="AW40" i="48"/>
  <c r="AY121" i="48"/>
  <c r="AW204" i="48"/>
  <c r="AZ202" i="48"/>
  <c r="AZ164" i="48"/>
  <c r="AW2" i="48"/>
  <c r="AY157" i="48"/>
  <c r="AY149" i="48"/>
  <c r="AY255" i="48"/>
  <c r="AZ171" i="48"/>
  <c r="AW224" i="48"/>
  <c r="AY145" i="48"/>
  <c r="AW221" i="48"/>
  <c r="AW71" i="48"/>
  <c r="AZ143" i="48"/>
  <c r="AY278" i="48"/>
  <c r="AW95" i="48"/>
  <c r="AW51" i="48"/>
  <c r="AY270" i="48"/>
  <c r="AZ58" i="48"/>
  <c r="AW166" i="48"/>
  <c r="AZ21" i="48"/>
  <c r="AW279" i="48"/>
  <c r="AW56" i="48"/>
  <c r="AZ4" i="48"/>
  <c r="AW10" i="48"/>
  <c r="AW194" i="48"/>
  <c r="AW60" i="48"/>
  <c r="AZ163" i="48"/>
  <c r="AZ59" i="48"/>
  <c r="AZ196" i="48"/>
  <c r="AZ55" i="48"/>
  <c r="AY277" i="48"/>
  <c r="AY46" i="48"/>
  <c r="AY97" i="48"/>
  <c r="AW154" i="48"/>
  <c r="AY167" i="48"/>
  <c r="AZ54" i="48"/>
  <c r="AW7" i="48"/>
  <c r="AZ95" i="48"/>
  <c r="AY82" i="48"/>
  <c r="AW187" i="48"/>
  <c r="AW269" i="48"/>
  <c r="AY66" i="48"/>
  <c r="AW205" i="48"/>
  <c r="AW212" i="48"/>
  <c r="AW147" i="48"/>
  <c r="AZ179" i="48"/>
  <c r="AW47" i="48"/>
  <c r="AW157" i="48"/>
  <c r="AZ109" i="48"/>
  <c r="AZ193" i="48"/>
  <c r="AW161" i="48"/>
  <c r="AW116" i="48"/>
  <c r="AW144" i="48"/>
  <c r="AY14" i="48"/>
  <c r="AY107" i="48"/>
  <c r="AW85" i="48"/>
  <c r="AZ169" i="48"/>
  <c r="AW101" i="48"/>
  <c r="AY4" i="48"/>
  <c r="AY264" i="48"/>
  <c r="AW270" i="48"/>
  <c r="AW175" i="48"/>
  <c r="AY217" i="48"/>
  <c r="AY116" i="48"/>
  <c r="AW219" i="48"/>
  <c r="AZ161" i="48"/>
  <c r="AZ136" i="48"/>
  <c r="AW14" i="48"/>
  <c r="AY103" i="48"/>
  <c r="AY229" i="48"/>
  <c r="AZ191" i="48"/>
  <c r="AY160" i="48"/>
  <c r="AW153" i="48"/>
  <c r="AY203" i="48"/>
  <c r="AZ132" i="48"/>
  <c r="AZ85" i="48"/>
  <c r="AZ234" i="48"/>
  <c r="AZ66" i="48"/>
  <c r="AY70" i="48"/>
  <c r="AW195" i="48"/>
  <c r="AW4" i="48"/>
  <c r="AZ214" i="48"/>
  <c r="AW118" i="48"/>
  <c r="AW43" i="48"/>
  <c r="AY99" i="48"/>
  <c r="AY53" i="48"/>
  <c r="AZ103" i="48"/>
  <c r="AY214" i="48"/>
  <c r="AY186" i="48"/>
  <c r="AZ265" i="48"/>
  <c r="AY210" i="48"/>
  <c r="AW240" i="48"/>
  <c r="AZ22" i="48"/>
  <c r="AY233" i="48"/>
  <c r="AZ120" i="48"/>
  <c r="AY140" i="48"/>
  <c r="AW261" i="48"/>
  <c r="AZ246" i="48"/>
  <c r="AZ17" i="48"/>
  <c r="AW203" i="48"/>
  <c r="AW253" i="48"/>
  <c r="AW59" i="48"/>
  <c r="AW57" i="48"/>
  <c r="AW49" i="48"/>
  <c r="AW243" i="48"/>
  <c r="AW106" i="48"/>
  <c r="AY93" i="48"/>
  <c r="AW129" i="48"/>
  <c r="AY136" i="48"/>
  <c r="AW42" i="48"/>
  <c r="AY36" i="48"/>
  <c r="AZ239" i="48"/>
  <c r="AZ90" i="48"/>
  <c r="AZ35" i="48"/>
  <c r="AW77" i="48"/>
  <c r="AY179" i="48"/>
  <c r="AY135" i="48"/>
  <c r="AZ114" i="48"/>
  <c r="AZ221" i="48"/>
  <c r="AW193" i="48"/>
  <c r="AY112" i="48"/>
  <c r="AZ79" i="48"/>
  <c r="AY147" i="48"/>
  <c r="AW206" i="48"/>
  <c r="AY224" i="48"/>
  <c r="AW178" i="48"/>
  <c r="AY242" i="48"/>
  <c r="AY115" i="48"/>
  <c r="AW156" i="48"/>
  <c r="AW218" i="48"/>
  <c r="AZ244" i="48"/>
  <c r="AZ147" i="48"/>
  <c r="AZ144" i="48"/>
  <c r="AZ88" i="48"/>
  <c r="AZ14" i="48"/>
  <c r="AY274" i="48"/>
  <c r="AY166" i="48"/>
  <c r="AY258" i="48"/>
  <c r="AZ72" i="48"/>
  <c r="AW199" i="48"/>
  <c r="AY43" i="48"/>
  <c r="AY126" i="48"/>
  <c r="AZ37" i="48"/>
  <c r="AY252" i="48"/>
  <c r="AW163" i="48"/>
  <c r="AW120" i="48"/>
  <c r="AY98" i="48"/>
  <c r="AY104" i="48"/>
  <c r="AY133" i="48"/>
  <c r="AZ240" i="48"/>
  <c r="AZ276" i="48"/>
  <c r="AY263" i="48"/>
  <c r="AW74" i="48"/>
  <c r="AW217" i="48"/>
  <c r="AW98" i="48"/>
  <c r="AZ110" i="48"/>
  <c r="AW127" i="48"/>
  <c r="AY150" i="48"/>
  <c r="AY72" i="48"/>
  <c r="AZ157" i="48"/>
  <c r="AZ264" i="48"/>
  <c r="AY37" i="48"/>
  <c r="AW179" i="48"/>
  <c r="AW226" i="48"/>
  <c r="AW234" i="48"/>
  <c r="AZ102" i="48"/>
  <c r="AY5" i="48"/>
  <c r="AY209" i="48"/>
  <c r="AY222" i="48"/>
  <c r="AW168" i="48"/>
  <c r="AZ118" i="48"/>
  <c r="AW48" i="48"/>
  <c r="AZ216" i="48"/>
  <c r="AY196" i="48"/>
  <c r="AY268" i="48"/>
  <c r="AZ77" i="48"/>
  <c r="AZ235" i="48"/>
  <c r="AW255" i="48"/>
  <c r="AZ254" i="48"/>
  <c r="AZ142" i="48"/>
  <c r="AW272" i="48"/>
  <c r="AW26" i="48"/>
  <c r="AY100" i="48"/>
  <c r="AY63" i="48"/>
  <c r="AY41" i="48"/>
  <c r="AW73" i="48"/>
  <c r="AW82" i="48"/>
  <c r="AZ233" i="48"/>
  <c r="AW140" i="48"/>
  <c r="AW121" i="48"/>
  <c r="AZ28" i="48"/>
  <c r="AY109" i="48"/>
  <c r="AY201" i="48"/>
  <c r="AW239" i="48"/>
  <c r="AZ273" i="48"/>
  <c r="AW86" i="48"/>
  <c r="AY223" i="48"/>
  <c r="AY174" i="48"/>
  <c r="AZ190" i="48"/>
  <c r="AW62" i="48"/>
  <c r="AY232" i="48"/>
  <c r="AZ211" i="48"/>
  <c r="AW274" i="48"/>
  <c r="AZ41" i="48"/>
  <c r="AW276" i="48"/>
  <c r="AZ141" i="48"/>
  <c r="AZ253" i="48"/>
  <c r="AY175" i="48"/>
  <c r="AY3" i="48"/>
  <c r="AW150" i="48"/>
  <c r="AY191" i="48"/>
  <c r="AW277" i="48"/>
  <c r="AZ106" i="48"/>
  <c r="AW184" i="48"/>
  <c r="AZ241" i="48"/>
  <c r="AW5" i="48"/>
  <c r="AW137" i="48"/>
  <c r="AZ2" i="48"/>
  <c r="AZ188" i="48"/>
  <c r="AW64" i="48"/>
  <c r="AZ56" i="48"/>
  <c r="AY146" i="48"/>
  <c r="AW126" i="48"/>
  <c r="AZ89" i="48"/>
  <c r="AY88" i="48"/>
  <c r="AW117" i="48"/>
  <c r="AW83" i="48"/>
  <c r="AZ5" i="48"/>
  <c r="AZ173" i="48"/>
  <c r="AW135" i="48"/>
  <c r="AW72" i="48"/>
  <c r="AW167" i="48"/>
  <c r="AY213" i="48"/>
  <c r="AY206" i="48"/>
  <c r="AZ236" i="48"/>
  <c r="AY79" i="48"/>
  <c r="AZ108" i="48"/>
  <c r="AW201" i="48"/>
  <c r="AY124" i="48"/>
  <c r="AY60" i="48"/>
  <c r="AZ228" i="48"/>
  <c r="AW180" i="48"/>
  <c r="AZ69" i="48"/>
  <c r="AZ181" i="48"/>
  <c r="AW27" i="48"/>
  <c r="AZ15" i="48"/>
  <c r="AY75" i="48"/>
  <c r="AY111" i="48"/>
  <c r="AZ49" i="48"/>
  <c r="AY254" i="48"/>
  <c r="AW84" i="48"/>
  <c r="AY212" i="48"/>
  <c r="AY238" i="48"/>
  <c r="AZ94" i="48"/>
  <c r="AZ93" i="48"/>
  <c r="AZ134" i="48"/>
  <c r="AY220" i="48"/>
  <c r="AZ226" i="48"/>
  <c r="AZ251" i="48"/>
  <c r="AY95" i="48"/>
  <c r="AZ172" i="48"/>
  <c r="AW252" i="48"/>
  <c r="AZ277" i="48"/>
  <c r="AZ139" i="48"/>
  <c r="AW238" i="48"/>
  <c r="AW24" i="48"/>
  <c r="AW100" i="48"/>
  <c r="AY117" i="48"/>
  <c r="AW15" i="48"/>
  <c r="AZ208" i="48"/>
  <c r="AY56" i="48"/>
  <c r="AZ247" i="48"/>
  <c r="AY216" i="48"/>
  <c r="AW188" i="48"/>
  <c r="AZ70" i="48"/>
  <c r="AW237" i="48"/>
  <c r="AZ281" i="48"/>
  <c r="AZ182" i="48"/>
  <c r="AY29" i="48"/>
  <c r="AY164" i="48"/>
  <c r="AY118" i="48"/>
  <c r="AZ24" i="48"/>
  <c r="AZ156" i="48"/>
  <c r="AW271" i="48"/>
  <c r="AW28" i="48"/>
  <c r="AW192" i="48"/>
  <c r="AZ8" i="48"/>
  <c r="AZ197" i="48"/>
  <c r="AZ242" i="48"/>
  <c r="AW88" i="48"/>
  <c r="AY27" i="48"/>
  <c r="AY195" i="48"/>
  <c r="AW93" i="48"/>
  <c r="AZ113" i="48"/>
  <c r="AZ154" i="48"/>
  <c r="AY184" i="48"/>
  <c r="AZ71" i="48"/>
  <c r="AY215" i="48"/>
  <c r="AZ222" i="48"/>
  <c r="AZ7" i="48"/>
  <c r="AY178" i="48"/>
  <c r="AZ19" i="48"/>
  <c r="AZ101" i="48"/>
  <c r="AZ270" i="48"/>
  <c r="AW75" i="48"/>
  <c r="AZ150" i="48"/>
  <c r="AZ256" i="48"/>
  <c r="AY165" i="48"/>
  <c r="AY49" i="48"/>
  <c r="AZ229" i="48"/>
  <c r="AW124" i="48"/>
  <c r="AW232" i="48"/>
  <c r="AY239" i="48"/>
  <c r="AZ275" i="48"/>
  <c r="AW41" i="48"/>
  <c r="AY61" i="48"/>
  <c r="AW280" i="48"/>
  <c r="AW17" i="48"/>
  <c r="AW128" i="48"/>
  <c r="AZ250" i="48"/>
  <c r="AY205" i="48"/>
  <c r="AY225" i="48"/>
  <c r="AY271" i="48"/>
  <c r="AW99" i="48"/>
  <c r="AW190" i="48"/>
  <c r="AY40" i="48"/>
  <c r="AY256" i="48"/>
  <c r="AY16" i="48"/>
  <c r="AW148" i="48"/>
  <c r="AW63" i="48"/>
  <c r="AW46" i="48"/>
  <c r="AW53" i="48"/>
  <c r="AZ258" i="48"/>
  <c r="AW139" i="48"/>
  <c r="AY188" i="48"/>
  <c r="AY189" i="48"/>
  <c r="AZ138" i="48"/>
  <c r="AW146" i="48"/>
  <c r="AY281" i="48"/>
  <c r="AY25" i="48"/>
  <c r="AW18" i="48"/>
  <c r="AY154" i="48"/>
  <c r="AZ29" i="48"/>
  <c r="AZ160" i="48"/>
  <c r="AW211" i="48"/>
  <c r="AW20" i="48"/>
  <c r="AY87" i="48"/>
  <c r="AZ91" i="48"/>
  <c r="AY181" i="48"/>
  <c r="AY159" i="48"/>
  <c r="AW207" i="48"/>
  <c r="AZ158" i="48"/>
  <c r="AY11" i="48"/>
  <c r="AZ137" i="48"/>
  <c r="AW248" i="48"/>
  <c r="AY128" i="48"/>
  <c r="AW155" i="48"/>
  <c r="AY250" i="48"/>
  <c r="AZ220" i="48"/>
  <c r="AY105" i="48"/>
  <c r="AZ152" i="48"/>
  <c r="AY71" i="48"/>
  <c r="AZ176" i="48"/>
  <c r="AZ96" i="48"/>
  <c r="AZ145" i="48"/>
  <c r="AW264" i="48"/>
  <c r="AW260" i="48"/>
  <c r="AW8" i="48"/>
  <c r="AZ155" i="48"/>
  <c r="AZ98" i="48"/>
  <c r="AY74" i="48"/>
  <c r="AW210" i="48"/>
  <c r="AY34" i="48"/>
  <c r="AY280" i="48"/>
  <c r="AW236" i="48"/>
  <c r="AW259" i="48"/>
  <c r="AW231" i="48"/>
  <c r="AW130" i="48"/>
  <c r="AZ99" i="48"/>
  <c r="AW222" i="48"/>
  <c r="AW172" i="48"/>
  <c r="AY6" i="48"/>
  <c r="AZ36" i="48"/>
  <c r="AY234" i="48"/>
  <c r="AZ224" i="48"/>
  <c r="AW125" i="48"/>
  <c r="AY219" i="48"/>
  <c r="AY45" i="48"/>
  <c r="AZ133" i="48"/>
  <c r="AW202" i="48"/>
  <c r="AY20" i="48"/>
  <c r="AW162" i="48"/>
  <c r="AZ100" i="48"/>
  <c r="AZ232" i="48"/>
  <c r="AZ126" i="48"/>
  <c r="AY172" i="48"/>
  <c r="AW113" i="48"/>
  <c r="AZ167" i="48"/>
  <c r="AZ280" i="48"/>
  <c r="AZ218" i="48"/>
  <c r="AW76" i="48"/>
  <c r="AW11" i="48"/>
  <c r="AW181" i="48"/>
  <c r="AZ82" i="48"/>
  <c r="AY21" i="48"/>
  <c r="AY267" i="48"/>
  <c r="AY141" i="48"/>
  <c r="AY120" i="48"/>
  <c r="AW160" i="48"/>
  <c r="AZ159" i="48"/>
  <c r="AY204" i="48"/>
  <c r="AW94" i="48"/>
  <c r="AZ146" i="48"/>
  <c r="AZ153" i="48"/>
  <c r="AW235" i="48"/>
  <c r="AY192" i="48"/>
  <c r="AY275" i="48"/>
  <c r="AZ78" i="48"/>
  <c r="AZ44" i="48"/>
  <c r="AW22" i="48"/>
  <c r="AW89" i="48"/>
  <c r="AZ39" i="48"/>
  <c r="AZ166" i="48"/>
  <c r="AW198" i="48"/>
  <c r="Z91" i="48"/>
  <c r="Z3" i="48"/>
  <c r="AR90" i="54"/>
  <c r="W94" i="48"/>
  <c r="AY11" i="54"/>
  <c r="AR87" i="54"/>
  <c r="Z62" i="44"/>
  <c r="X54" i="48"/>
  <c r="X77" i="48"/>
  <c r="AR79" i="54"/>
  <c r="W21" i="48"/>
  <c r="X97" i="48"/>
  <c r="Z86" i="44"/>
  <c r="Y92" i="48"/>
  <c r="Y91" i="44"/>
  <c r="X13" i="48"/>
  <c r="AR13" i="54"/>
  <c r="AY58" i="54"/>
  <c r="Y17" i="48"/>
  <c r="W60" i="48"/>
  <c r="W3" i="44"/>
  <c r="X82" i="48"/>
  <c r="Z98" i="44"/>
  <c r="Z2" i="44"/>
  <c r="AY14" i="54"/>
  <c r="Y35" i="48"/>
  <c r="X28" i="48"/>
  <c r="Z5" i="44"/>
  <c r="W75" i="48"/>
  <c r="Y43" i="48"/>
  <c r="Z61" i="44"/>
  <c r="W83" i="44"/>
  <c r="Z84" i="48"/>
  <c r="Z76" i="48"/>
  <c r="AY66" i="54"/>
  <c r="Y90" i="44"/>
  <c r="W8" i="44"/>
  <c r="AY70" i="54"/>
  <c r="Y20" i="44"/>
  <c r="Y92" i="44"/>
  <c r="Y14" i="44"/>
  <c r="Y100" i="44"/>
  <c r="Z65" i="44"/>
  <c r="W20" i="44"/>
  <c r="X60" i="44"/>
  <c r="X37" i="48"/>
  <c r="Z74" i="44"/>
  <c r="Z16" i="44"/>
  <c r="W29" i="44"/>
  <c r="Y41" i="44"/>
  <c r="Y53" i="48"/>
  <c r="Z15" i="48"/>
  <c r="AR44" i="54"/>
  <c r="Y99" i="48"/>
  <c r="AR75" i="54"/>
  <c r="Z72" i="44"/>
  <c r="Z98" i="48"/>
  <c r="AR50" i="54"/>
  <c r="X17" i="48"/>
  <c r="AR86" i="54"/>
  <c r="X86" i="48"/>
  <c r="AR93" i="54"/>
  <c r="Z24" i="44"/>
  <c r="Z85" i="44"/>
  <c r="Z13" i="44"/>
  <c r="Y58" i="44"/>
  <c r="Z41" i="44"/>
  <c r="AR41" i="54"/>
  <c r="Y61" i="44"/>
  <c r="X15" i="48"/>
  <c r="AY6" i="54"/>
  <c r="Y28" i="44"/>
  <c r="Z78" i="44"/>
  <c r="Z26" i="44"/>
  <c r="Z23" i="44"/>
  <c r="X98" i="44"/>
  <c r="Z19" i="48"/>
  <c r="X57" i="48"/>
  <c r="W5" i="44"/>
  <c r="X80" i="48"/>
  <c r="X22" i="48"/>
  <c r="Z55" i="48"/>
  <c r="Y16" i="48"/>
  <c r="W42" i="44"/>
  <c r="Y9" i="48"/>
  <c r="AR72" i="54"/>
  <c r="W56" i="44"/>
  <c r="W95" i="44"/>
  <c r="W75" i="44"/>
  <c r="AY4" i="54"/>
  <c r="Z36" i="44"/>
  <c r="AY63" i="54"/>
  <c r="AR95" i="54"/>
  <c r="AY73" i="54"/>
  <c r="W73" i="44"/>
  <c r="W26" i="48"/>
  <c r="W53" i="44"/>
  <c r="AR84" i="54"/>
  <c r="Z61" i="48"/>
  <c r="AR36" i="54"/>
  <c r="AR62" i="54"/>
  <c r="AY24" i="54"/>
  <c r="Z43" i="44"/>
  <c r="X24" i="44"/>
  <c r="AY45" i="54"/>
  <c r="Y12" i="44"/>
  <c r="W101" i="44"/>
  <c r="Y29" i="44"/>
  <c r="AY31" i="54"/>
  <c r="AR29" i="54"/>
  <c r="X63" i="48"/>
  <c r="W36" i="44"/>
  <c r="Z92" i="48"/>
  <c r="X35" i="44"/>
  <c r="W97" i="44"/>
  <c r="X84" i="44"/>
  <c r="AY34" i="54"/>
  <c r="Z83" i="48"/>
  <c r="Z96" i="48"/>
  <c r="AR77" i="54"/>
  <c r="Y97" i="44"/>
  <c r="Y18" i="48"/>
  <c r="X18" i="48"/>
  <c r="Z79" i="48"/>
  <c r="W16" i="48"/>
  <c r="W34" i="48"/>
  <c r="X9" i="44"/>
  <c r="AR33" i="54"/>
  <c r="W69" i="44"/>
  <c r="W84" i="44"/>
  <c r="X79" i="48"/>
  <c r="W14" i="44"/>
  <c r="AY10" i="54"/>
  <c r="Z73" i="44"/>
  <c r="Y69" i="48"/>
  <c r="Z24" i="48"/>
  <c r="AY47" i="54"/>
  <c r="AY77" i="54"/>
  <c r="X68" i="44"/>
  <c r="Y32" i="48"/>
  <c r="Z94" i="44"/>
  <c r="X40" i="48"/>
  <c r="W57" i="44"/>
  <c r="W60" i="44"/>
  <c r="Z68" i="44"/>
  <c r="X19" i="48"/>
  <c r="W63" i="48"/>
  <c r="W61" i="48"/>
  <c r="Y80" i="48"/>
  <c r="Y57" i="48"/>
  <c r="AY15" i="54"/>
  <c r="X70" i="48"/>
  <c r="Y88" i="44"/>
  <c r="X31" i="48"/>
  <c r="Z17" i="44"/>
  <c r="X33" i="48"/>
  <c r="W26" i="44"/>
  <c r="Z96" i="44"/>
  <c r="W79" i="48"/>
  <c r="AY40" i="54"/>
  <c r="Z33" i="48"/>
  <c r="Z91" i="44"/>
  <c r="Y50" i="44"/>
  <c r="W68" i="48"/>
  <c r="W76" i="48"/>
  <c r="Y38" i="48"/>
  <c r="Z4" i="44"/>
  <c r="X12" i="48"/>
  <c r="W87" i="48"/>
  <c r="X14" i="44"/>
  <c r="Y56" i="44"/>
  <c r="Y89" i="44"/>
  <c r="AY17" i="54"/>
  <c r="W22" i="44"/>
  <c r="X37" i="44"/>
  <c r="AR85" i="54"/>
  <c r="AY9" i="54"/>
  <c r="Z84" i="44"/>
  <c r="X2" i="44"/>
  <c r="W96" i="48"/>
  <c r="Y97" i="48"/>
  <c r="Z53" i="44"/>
  <c r="Z18" i="48"/>
  <c r="Z59" i="48"/>
  <c r="Y30" i="48"/>
  <c r="W71" i="44"/>
  <c r="W82" i="44"/>
  <c r="Z11" i="44"/>
  <c r="W66" i="48"/>
  <c r="Y49" i="48"/>
  <c r="Y36" i="44"/>
  <c r="Z39" i="48"/>
  <c r="W10" i="44"/>
  <c r="AR53" i="54"/>
  <c r="Y7" i="48"/>
  <c r="Y6" i="44"/>
  <c r="Y21" i="44"/>
  <c r="Y34" i="44"/>
  <c r="AR64" i="54"/>
  <c r="Y77" i="44"/>
  <c r="Y44" i="48"/>
  <c r="X88" i="44"/>
  <c r="W71" i="48"/>
  <c r="Z85" i="48"/>
  <c r="Y8" i="48"/>
  <c r="Z27" i="48"/>
  <c r="Y14" i="48"/>
  <c r="AR70" i="54"/>
  <c r="W89" i="48"/>
  <c r="X55" i="48"/>
  <c r="AY27" i="54"/>
  <c r="Z101" i="48"/>
  <c r="W32" i="48"/>
  <c r="X49" i="48"/>
  <c r="Z49" i="48"/>
  <c r="Y32" i="44"/>
  <c r="Z34" i="44"/>
  <c r="X77" i="44"/>
  <c r="AY88" i="54"/>
  <c r="Y46" i="44"/>
  <c r="X93" i="48"/>
  <c r="Y90" i="48"/>
  <c r="Z46" i="48"/>
  <c r="W74" i="48"/>
  <c r="AY35" i="54"/>
  <c r="Z64" i="48"/>
  <c r="W44" i="44"/>
  <c r="W77" i="44"/>
  <c r="Z76" i="44"/>
  <c r="X39" i="48"/>
  <c r="W42" i="48"/>
  <c r="Y72" i="44"/>
  <c r="W59" i="44"/>
  <c r="Z60" i="44"/>
  <c r="X63" i="44"/>
  <c r="Z32" i="48"/>
  <c r="Y17" i="44"/>
  <c r="Y26" i="48"/>
  <c r="Y96" i="44"/>
  <c r="Z60" i="48"/>
  <c r="Y74" i="48"/>
  <c r="Z88" i="48"/>
  <c r="Y18" i="44"/>
  <c r="AY50" i="54"/>
  <c r="Z10" i="44"/>
  <c r="Z52" i="44"/>
  <c r="W25" i="44"/>
  <c r="X51" i="44"/>
  <c r="Z75" i="48"/>
  <c r="Z40" i="44"/>
  <c r="Y75" i="48"/>
  <c r="W50" i="44"/>
  <c r="W61" i="44"/>
  <c r="Y94" i="44"/>
  <c r="W84" i="48"/>
  <c r="W58" i="48"/>
  <c r="Z95" i="48"/>
  <c r="X87" i="44"/>
  <c r="X3" i="48"/>
  <c r="W41" i="44"/>
  <c r="X100" i="48"/>
  <c r="X47" i="44"/>
  <c r="X57" i="44"/>
  <c r="W4" i="48"/>
  <c r="Y87" i="48"/>
  <c r="X97" i="44"/>
  <c r="AR59" i="54"/>
  <c r="Y52" i="44"/>
  <c r="Z38" i="44"/>
  <c r="Y101" i="48"/>
  <c r="AY33" i="54"/>
  <c r="AR58" i="54"/>
  <c r="AR78" i="54"/>
  <c r="W2" i="48"/>
  <c r="Y27" i="44"/>
  <c r="Y93" i="48"/>
  <c r="AY2" i="54"/>
  <c r="Y61" i="48"/>
  <c r="Y3" i="44"/>
  <c r="W82" i="48"/>
  <c r="Y15" i="48"/>
  <c r="W93" i="48"/>
  <c r="X5" i="48"/>
  <c r="AY76" i="54"/>
  <c r="Y60" i="48"/>
  <c r="W100" i="48"/>
  <c r="Z97" i="48"/>
  <c r="X72" i="44"/>
  <c r="W81" i="44"/>
  <c r="Y73" i="44"/>
  <c r="Z23" i="48"/>
  <c r="W89" i="44"/>
  <c r="Z58" i="48"/>
  <c r="Z32" i="44"/>
  <c r="Y71" i="44"/>
  <c r="X28" i="44"/>
  <c r="Z77" i="44"/>
  <c r="Z10" i="48"/>
  <c r="W87" i="44"/>
  <c r="Z63" i="48"/>
  <c r="X84" i="48"/>
  <c r="X60" i="48"/>
  <c r="W37" i="48"/>
  <c r="Z6" i="44"/>
  <c r="X95" i="44"/>
  <c r="X9" i="48"/>
  <c r="AR6" i="54"/>
  <c r="Z22" i="48"/>
  <c r="AR37" i="54"/>
  <c r="X91" i="48"/>
  <c r="Z48" i="48"/>
  <c r="AR67" i="54"/>
  <c r="AY69" i="54"/>
  <c r="Y19" i="48"/>
  <c r="AR38" i="54"/>
  <c r="Y91" i="48"/>
  <c r="AR39" i="54"/>
  <c r="W67" i="48"/>
  <c r="W31" i="44"/>
  <c r="Y9" i="44"/>
  <c r="Y5" i="44"/>
  <c r="X69" i="44"/>
  <c r="W98" i="48"/>
  <c r="X35" i="48"/>
  <c r="W99" i="44"/>
  <c r="W33" i="48"/>
  <c r="X73" i="44"/>
  <c r="Z99" i="44"/>
  <c r="AR22" i="54"/>
  <c r="AR25" i="54"/>
  <c r="Y15" i="44"/>
  <c r="W101" i="48"/>
  <c r="Y64" i="48"/>
  <c r="W25" i="48"/>
  <c r="W90" i="44"/>
  <c r="Z30" i="48"/>
  <c r="Y67" i="48"/>
  <c r="AY3" i="54"/>
  <c r="Y55" i="48"/>
  <c r="Y26" i="44"/>
  <c r="Y11" i="48"/>
  <c r="AR97" i="54"/>
  <c r="W83" i="48"/>
  <c r="X86" i="44"/>
  <c r="Z43" i="48"/>
  <c r="AY97" i="54"/>
  <c r="Y77" i="48"/>
  <c r="X41" i="48"/>
  <c r="W91" i="44"/>
  <c r="W85" i="48"/>
  <c r="AR42" i="54"/>
  <c r="W70" i="44"/>
  <c r="Y79" i="48"/>
  <c r="X26" i="48"/>
  <c r="Y89" i="48"/>
  <c r="Y35" i="44"/>
  <c r="X40" i="44"/>
  <c r="Z35" i="44"/>
  <c r="AY78" i="54"/>
  <c r="X101" i="48"/>
  <c r="X96" i="44"/>
  <c r="AY46" i="54"/>
  <c r="AR91" i="54"/>
  <c r="AY64" i="54"/>
  <c r="W8" i="48"/>
  <c r="W45" i="44"/>
  <c r="X76" i="44"/>
  <c r="Y94" i="48"/>
  <c r="X3" i="44"/>
  <c r="X67" i="44"/>
  <c r="X34" i="48"/>
  <c r="AY89" i="54"/>
  <c r="Z15" i="44"/>
  <c r="Y66" i="48"/>
  <c r="X90" i="44"/>
  <c r="X20" i="44"/>
  <c r="Y47" i="48"/>
  <c r="W51" i="44"/>
  <c r="Z31" i="44"/>
  <c r="AR9" i="54"/>
  <c r="Z5" i="48"/>
  <c r="AR10" i="54"/>
  <c r="Y74" i="44"/>
  <c r="AY96" i="54"/>
  <c r="AR69" i="54"/>
  <c r="X99" i="48"/>
  <c r="X48" i="48"/>
  <c r="Y19" i="44"/>
  <c r="X73" i="48"/>
  <c r="W21" i="44"/>
  <c r="Z81" i="48"/>
  <c r="Z25" i="44"/>
  <c r="AY44" i="54"/>
  <c r="AY53" i="54"/>
  <c r="AY91" i="54"/>
  <c r="W45" i="48"/>
  <c r="Y5" i="48"/>
  <c r="Z67" i="48"/>
  <c r="Y40" i="44"/>
  <c r="X19" i="44"/>
  <c r="AY75" i="54"/>
  <c r="W91" i="48"/>
  <c r="Y83" i="44"/>
  <c r="W86" i="44"/>
  <c r="Y46" i="48"/>
  <c r="Z9" i="48"/>
  <c r="AR8" i="54"/>
  <c r="AY25" i="54"/>
  <c r="AR34" i="54"/>
  <c r="AY79" i="54"/>
  <c r="Y63" i="44"/>
  <c r="Z45" i="44"/>
  <c r="Z73" i="48"/>
  <c r="Y96" i="48"/>
  <c r="X79" i="44"/>
  <c r="X4" i="44"/>
  <c r="W15" i="48"/>
  <c r="Y31" i="48"/>
  <c r="Y98" i="48"/>
  <c r="AR60" i="54"/>
  <c r="W31" i="48"/>
  <c r="W50" i="48"/>
  <c r="Z41" i="48"/>
  <c r="AR32" i="54"/>
  <c r="AR57" i="54"/>
  <c r="W49" i="48"/>
  <c r="W37" i="44"/>
  <c r="Y6" i="48"/>
  <c r="Y48" i="44"/>
  <c r="Z39" i="44"/>
  <c r="W10" i="48"/>
  <c r="Z6" i="48"/>
  <c r="Y58" i="48"/>
  <c r="AY84" i="54"/>
  <c r="AR49" i="54"/>
  <c r="Y4" i="44"/>
  <c r="W19" i="44"/>
  <c r="AR63" i="54"/>
  <c r="W14" i="48"/>
  <c r="X81" i="48"/>
  <c r="AY52" i="54"/>
  <c r="W64" i="44"/>
  <c r="Y65" i="44"/>
  <c r="W9" i="44"/>
  <c r="X53" i="44"/>
  <c r="Y95" i="48"/>
  <c r="X99" i="44"/>
  <c r="AY65" i="54"/>
  <c r="Y12" i="48"/>
  <c r="W49" i="44"/>
  <c r="Z48" i="44"/>
  <c r="W73" i="48"/>
  <c r="Z14" i="48"/>
  <c r="W52" i="48"/>
  <c r="X66" i="48"/>
  <c r="Z26" i="48"/>
  <c r="AY82" i="54"/>
  <c r="Y10" i="48"/>
  <c r="AY80" i="54"/>
  <c r="AR46" i="54"/>
  <c r="W4" i="44"/>
  <c r="Z14" i="44"/>
  <c r="Z7" i="48"/>
  <c r="Y57" i="44"/>
  <c r="Z95" i="44"/>
  <c r="AR15" i="54"/>
  <c r="Y47" i="44"/>
  <c r="AR99" i="54"/>
  <c r="X85" i="48"/>
  <c r="X58" i="44"/>
  <c r="AY12" i="54"/>
  <c r="AY21" i="54"/>
  <c r="Z40" i="48"/>
  <c r="Y38" i="44"/>
  <c r="W23" i="44"/>
  <c r="W77" i="48"/>
  <c r="Y10" i="44"/>
  <c r="Z9" i="44"/>
  <c r="W66" i="44"/>
  <c r="Y63" i="48"/>
  <c r="W2" i="44"/>
  <c r="Y83" i="48"/>
  <c r="Y22" i="48"/>
  <c r="X7" i="44"/>
  <c r="X36" i="48"/>
  <c r="X87" i="48"/>
  <c r="AR83" i="54"/>
  <c r="Z66" i="48"/>
  <c r="Y36" i="48"/>
  <c r="X83" i="48"/>
  <c r="X100" i="44"/>
  <c r="W24" i="48"/>
  <c r="W40" i="44"/>
  <c r="Z97" i="44"/>
  <c r="Z70" i="44"/>
  <c r="X32" i="48"/>
  <c r="AY30" i="54"/>
  <c r="Y16" i="44"/>
  <c r="Y53" i="44"/>
  <c r="W20" i="48"/>
  <c r="Y59" i="48"/>
  <c r="Y37" i="48"/>
  <c r="Z69" i="48"/>
  <c r="W55" i="44"/>
  <c r="AY13" i="54"/>
  <c r="AY59" i="54"/>
  <c r="Z28" i="44"/>
  <c r="AR3" i="54"/>
  <c r="AY100" i="54"/>
  <c r="X89" i="44"/>
  <c r="W7" i="44"/>
  <c r="X94" i="48"/>
  <c r="Z93" i="48"/>
  <c r="Z47" i="44"/>
  <c r="AY92" i="54"/>
  <c r="Z69" i="44"/>
  <c r="Y95" i="44"/>
  <c r="AR5" i="54"/>
  <c r="X98" i="48"/>
  <c r="Z34" i="48"/>
  <c r="X27" i="44"/>
  <c r="X61" i="44"/>
  <c r="AR24" i="54"/>
  <c r="Y25" i="48"/>
  <c r="X83" i="44"/>
  <c r="X75" i="48"/>
  <c r="X8" i="44"/>
  <c r="AY42" i="54"/>
  <c r="Z2" i="48"/>
  <c r="AY7" i="54"/>
  <c r="W11" i="44"/>
  <c r="Z66" i="44"/>
  <c r="Z62" i="48"/>
  <c r="X6" i="44"/>
  <c r="W17" i="44"/>
  <c r="Z59" i="44"/>
  <c r="X11" i="44"/>
  <c r="AY68" i="54"/>
  <c r="AR54" i="54"/>
  <c r="X16" i="48"/>
  <c r="Z38" i="48"/>
  <c r="W19" i="48"/>
  <c r="X25" i="44"/>
  <c r="AY71" i="54"/>
  <c r="Y23" i="44"/>
  <c r="Y42" i="44"/>
  <c r="Y39" i="48"/>
  <c r="Z29" i="44"/>
  <c r="Y72" i="48"/>
  <c r="X75" i="44"/>
  <c r="Z72" i="48"/>
  <c r="X24" i="48"/>
  <c r="AY16" i="54"/>
  <c r="Z4" i="48"/>
  <c r="Z50" i="48"/>
  <c r="X36" i="44"/>
  <c r="AY32" i="54"/>
  <c r="X92" i="48"/>
  <c r="Z82" i="48"/>
  <c r="Y48" i="48"/>
  <c r="X23" i="44"/>
  <c r="AR11" i="54"/>
  <c r="AY29" i="54"/>
  <c r="AR65" i="54"/>
  <c r="Y13" i="44"/>
  <c r="AY56" i="54"/>
  <c r="Z25" i="48"/>
  <c r="Y68" i="44"/>
  <c r="W65" i="48"/>
  <c r="X67" i="48"/>
  <c r="X54" i="44"/>
  <c r="X44" i="44"/>
  <c r="Y59" i="44"/>
  <c r="W23" i="48"/>
  <c r="AY67" i="54"/>
  <c r="AR21" i="54"/>
  <c r="W74" i="44"/>
  <c r="W36" i="48"/>
  <c r="X46" i="44"/>
  <c r="X62" i="44"/>
  <c r="W35" i="44"/>
  <c r="AY51" i="54"/>
  <c r="Y49" i="44"/>
  <c r="Z51" i="48"/>
  <c r="X65" i="48"/>
  <c r="Y67" i="44"/>
  <c r="X25" i="48"/>
  <c r="X44" i="48"/>
  <c r="W52" i="44"/>
  <c r="AY37" i="54"/>
  <c r="W100" i="44"/>
  <c r="AY90" i="54"/>
  <c r="AR7" i="54"/>
  <c r="W11" i="48"/>
  <c r="AY94" i="54"/>
  <c r="Y81" i="48"/>
  <c r="Z45" i="48"/>
  <c r="Y22" i="44"/>
  <c r="X29" i="44"/>
  <c r="W64" i="48"/>
  <c r="AR66" i="54"/>
  <c r="AY38" i="54"/>
  <c r="W62" i="48"/>
  <c r="W34" i="44"/>
  <c r="AR71" i="54"/>
  <c r="X91" i="44"/>
  <c r="Y100" i="48"/>
  <c r="Z57" i="44"/>
  <c r="Z94" i="48"/>
  <c r="AR82" i="54"/>
  <c r="Y33" i="48"/>
  <c r="AR40" i="54"/>
  <c r="Y88" i="48"/>
  <c r="W76" i="44"/>
  <c r="Z63" i="44"/>
  <c r="AR35" i="54"/>
  <c r="W28" i="48"/>
  <c r="AR17" i="54"/>
  <c r="W43" i="44"/>
  <c r="Y86" i="48"/>
  <c r="Z93" i="44"/>
  <c r="X70" i="44"/>
  <c r="W78" i="44"/>
  <c r="Z79" i="44"/>
  <c r="Z78" i="48"/>
  <c r="Z82" i="44"/>
  <c r="AY99" i="54"/>
  <c r="X92" i="44"/>
  <c r="W58" i="44"/>
  <c r="AR26" i="54"/>
  <c r="X42" i="48"/>
  <c r="W7" i="48"/>
  <c r="W69" i="48"/>
  <c r="AR48" i="54"/>
  <c r="W65" i="44"/>
  <c r="X72" i="48"/>
  <c r="W78" i="48"/>
  <c r="X56" i="48"/>
  <c r="Y39" i="44"/>
  <c r="X65" i="44"/>
  <c r="X48" i="44"/>
  <c r="Z70" i="48"/>
  <c r="Z50" i="44"/>
  <c r="X26" i="44"/>
  <c r="Z27" i="44"/>
  <c r="AR28" i="54"/>
  <c r="AR94" i="54"/>
  <c r="AR27" i="54"/>
  <c r="W27" i="44"/>
  <c r="Y85" i="44"/>
  <c r="W12" i="44"/>
  <c r="Y84" i="44"/>
  <c r="Z89" i="44"/>
  <c r="AY23" i="54"/>
  <c r="W12" i="48"/>
  <c r="Z99" i="48"/>
  <c r="AR2" i="54"/>
  <c r="AY22" i="54"/>
  <c r="Z77" i="48"/>
  <c r="AR4" i="54"/>
  <c r="AR14" i="54"/>
  <c r="W92" i="48"/>
  <c r="X18" i="44"/>
  <c r="AY74" i="54"/>
  <c r="Y62" i="48"/>
  <c r="W55" i="48"/>
  <c r="X59" i="44"/>
  <c r="AR98" i="54"/>
  <c r="W6" i="48"/>
  <c r="Z21" i="48"/>
  <c r="Z49" i="44"/>
  <c r="X49" i="44"/>
  <c r="AY39" i="54"/>
  <c r="Y34" i="48"/>
  <c r="AR51" i="54"/>
  <c r="Z71" i="44"/>
  <c r="W88" i="48"/>
  <c r="Y2" i="44"/>
  <c r="X101" i="44"/>
  <c r="Z46" i="44"/>
  <c r="W30" i="44"/>
  <c r="W46" i="44"/>
  <c r="AR92" i="54"/>
  <c r="AR23" i="54"/>
  <c r="W47" i="48"/>
  <c r="W92" i="44"/>
  <c r="X45" i="44"/>
  <c r="AR101" i="54"/>
  <c r="Y28" i="48"/>
  <c r="Y70" i="48"/>
  <c r="X39" i="44"/>
  <c r="Y76" i="44"/>
  <c r="X56" i="44"/>
  <c r="Z80" i="48"/>
  <c r="X7" i="48"/>
  <c r="W39" i="44"/>
  <c r="W44" i="48"/>
  <c r="W39" i="48"/>
  <c r="Z56" i="48"/>
  <c r="Y80" i="44"/>
  <c r="Y4" i="48"/>
  <c r="X64" i="48"/>
  <c r="X62" i="48"/>
  <c r="AY57" i="54"/>
  <c r="W96" i="44"/>
  <c r="Y27" i="48"/>
  <c r="X94" i="44"/>
  <c r="X38" i="48"/>
  <c r="AY83" i="54"/>
  <c r="X30" i="48"/>
  <c r="AY36" i="54"/>
  <c r="Z44" i="44"/>
  <c r="Y66" i="44"/>
  <c r="Z83" i="44"/>
  <c r="X31" i="44"/>
  <c r="AY86" i="54"/>
  <c r="AY62" i="54"/>
  <c r="AY72" i="54"/>
  <c r="AR55" i="54"/>
  <c r="Y87" i="44"/>
  <c r="X93" i="44"/>
  <c r="Y37" i="44"/>
  <c r="Z92" i="44"/>
  <c r="Z100" i="48"/>
  <c r="AY81" i="54"/>
  <c r="Z80" i="44"/>
  <c r="Y79" i="44"/>
  <c r="AY54" i="54"/>
  <c r="X22" i="44"/>
  <c r="Z101" i="44"/>
  <c r="AR19" i="54"/>
  <c r="Z35" i="48"/>
  <c r="AR52" i="54"/>
  <c r="Y68" i="48"/>
  <c r="X20" i="48"/>
  <c r="Y55" i="44"/>
  <c r="Y33" i="44"/>
  <c r="X52" i="48"/>
  <c r="X38" i="44"/>
  <c r="Z51" i="44"/>
  <c r="W79" i="44"/>
  <c r="Z12" i="48"/>
  <c r="W72" i="48"/>
  <c r="Z12" i="44"/>
  <c r="X41" i="44"/>
  <c r="X43" i="48"/>
  <c r="Z19" i="44"/>
  <c r="Y99" i="44"/>
  <c r="Y78" i="48"/>
  <c r="Z3" i="44"/>
  <c r="W29" i="48"/>
  <c r="AR80" i="54"/>
  <c r="Z30" i="44"/>
  <c r="X4" i="48"/>
  <c r="Z20" i="48"/>
  <c r="X2" i="48"/>
  <c r="W48" i="44"/>
  <c r="Y24" i="48"/>
  <c r="Z57" i="48"/>
  <c r="X71" i="48"/>
  <c r="W94" i="44"/>
  <c r="Z37" i="48"/>
  <c r="X81" i="44"/>
  <c r="W38" i="48"/>
  <c r="Y69" i="44"/>
  <c r="W97" i="48"/>
  <c r="Y20" i="48"/>
  <c r="Z11" i="48"/>
  <c r="AR45" i="54"/>
  <c r="AR43" i="54"/>
  <c r="Z28" i="48"/>
  <c r="Y73" i="48"/>
  <c r="Z37" i="44"/>
  <c r="Z8" i="48"/>
  <c r="Y64" i="44"/>
  <c r="X59" i="48"/>
  <c r="AR30" i="54"/>
  <c r="W86" i="48"/>
  <c r="Y44" i="44"/>
  <c r="W47" i="44"/>
  <c r="AY20" i="54"/>
  <c r="X10" i="48"/>
  <c r="AY19" i="54"/>
  <c r="Z100" i="44"/>
  <c r="X69" i="48"/>
  <c r="Y60" i="44"/>
  <c r="X95" i="48"/>
  <c r="W43" i="48"/>
  <c r="Y54" i="44"/>
  <c r="AY55" i="54"/>
  <c r="Y86" i="44"/>
  <c r="AR73" i="54"/>
  <c r="X74" i="44"/>
  <c r="X15" i="44"/>
  <c r="AR68" i="54"/>
  <c r="Z42" i="48"/>
  <c r="W41" i="48"/>
  <c r="Y43" i="44"/>
  <c r="AY41" i="54"/>
  <c r="Y51" i="48"/>
  <c r="W99" i="48"/>
  <c r="Z22" i="44"/>
  <c r="Z20" i="44"/>
  <c r="Y81" i="44"/>
  <c r="W13" i="44"/>
  <c r="W9" i="48"/>
  <c r="W15" i="44"/>
  <c r="Z65" i="48"/>
  <c r="Z52" i="48"/>
  <c r="W98" i="44"/>
  <c r="W63" i="44"/>
  <c r="W18" i="48"/>
  <c r="AR76" i="54"/>
  <c r="X47" i="48"/>
  <c r="X71" i="44"/>
  <c r="W35" i="48"/>
  <c r="W59" i="48"/>
  <c r="Z55" i="44"/>
  <c r="W80" i="44"/>
  <c r="AR16" i="54"/>
  <c r="X76" i="48"/>
  <c r="W3" i="48"/>
  <c r="Y11" i="44"/>
  <c r="Z68" i="48"/>
  <c r="Y30" i="44"/>
  <c r="AY5" i="54"/>
  <c r="Z67" i="44"/>
  <c r="Z87" i="48"/>
  <c r="Z64" i="44"/>
  <c r="AY8" i="54"/>
  <c r="AR56" i="54"/>
  <c r="Z16" i="48"/>
  <c r="W53" i="48"/>
  <c r="Y13" i="48"/>
  <c r="Z21" i="44"/>
  <c r="Z31" i="48"/>
  <c r="Z54" i="44"/>
  <c r="Y101" i="44"/>
  <c r="Y3" i="48"/>
  <c r="Z90" i="48"/>
  <c r="X11" i="48"/>
  <c r="Z75" i="44"/>
  <c r="W18" i="44"/>
  <c r="Y23" i="48"/>
  <c r="Y70" i="44"/>
  <c r="X45" i="48"/>
  <c r="Y7" i="44"/>
  <c r="AR18" i="54"/>
  <c r="Z44" i="48"/>
  <c r="X16" i="44"/>
  <c r="Y42" i="48"/>
  <c r="X68" i="48"/>
  <c r="Y2" i="48"/>
  <c r="AY61" i="54"/>
  <c r="W88" i="44"/>
  <c r="AY43" i="54"/>
  <c r="AY60" i="54"/>
  <c r="Y78" i="44"/>
  <c r="W57" i="48"/>
  <c r="W6" i="44"/>
  <c r="Y52" i="48"/>
  <c r="Z87" i="44"/>
  <c r="X21" i="48"/>
  <c r="X29" i="48"/>
  <c r="Y24" i="44"/>
  <c r="AR100" i="54"/>
  <c r="Z33" i="44"/>
  <c r="X89" i="48"/>
  <c r="X64" i="44"/>
  <c r="W68" i="44"/>
  <c r="W13" i="48"/>
  <c r="AY101" i="54"/>
  <c r="Z90" i="44"/>
  <c r="Z81" i="44"/>
  <c r="W51" i="48"/>
  <c r="AR74" i="54"/>
  <c r="Y31" i="44"/>
  <c r="X42" i="44"/>
  <c r="X17" i="44"/>
  <c r="Y93" i="44"/>
  <c r="Z74" i="48"/>
  <c r="X90" i="48"/>
  <c r="AY85" i="54"/>
  <c r="X34" i="44"/>
  <c r="W95" i="48"/>
  <c r="Z7" i="44"/>
  <c r="W56" i="48"/>
  <c r="AR96" i="54"/>
  <c r="X88" i="48"/>
  <c r="X6" i="48"/>
  <c r="W17" i="48"/>
  <c r="AR61" i="54"/>
  <c r="X12" i="44"/>
  <c r="Z8" i="44"/>
  <c r="Y25" i="44"/>
  <c r="Z36" i="48"/>
  <c r="X53" i="48"/>
  <c r="X32" i="44"/>
  <c r="AY87" i="54"/>
  <c r="W81" i="48"/>
  <c r="W72" i="44"/>
  <c r="Y29" i="48"/>
  <c r="W67" i="44"/>
  <c r="AY93" i="54"/>
  <c r="Y71" i="48"/>
  <c r="X96" i="48"/>
  <c r="Z29" i="48"/>
  <c r="Y45" i="48"/>
  <c r="Y8" i="44"/>
  <c r="AY18" i="54"/>
  <c r="X13" i="44"/>
  <c r="Y56" i="48"/>
  <c r="Z71" i="48"/>
  <c r="Y21" i="48"/>
  <c r="Z17" i="48"/>
  <c r="Z58" i="44"/>
  <c r="AY28" i="54"/>
  <c r="Y62" i="44"/>
  <c r="Y98" i="44"/>
  <c r="W5" i="48"/>
  <c r="W24" i="44"/>
  <c r="X21" i="44"/>
  <c r="W32" i="44"/>
  <c r="AR12" i="54"/>
  <c r="W33" i="44"/>
  <c r="X66" i="44"/>
  <c r="X74" i="48"/>
  <c r="W27" i="48"/>
  <c r="AR20" i="54"/>
  <c r="W48" i="48"/>
  <c r="W16" i="44"/>
  <c r="X23" i="48"/>
  <c r="X52" i="44"/>
  <c r="W28" i="44"/>
  <c r="X14" i="48"/>
  <c r="Y51" i="44"/>
  <c r="X82" i="44"/>
  <c r="W22" i="48"/>
  <c r="X85" i="44"/>
  <c r="Y40" i="48"/>
  <c r="X78" i="44"/>
  <c r="W70" i="48"/>
  <c r="AR81" i="54"/>
  <c r="Y65" i="48"/>
  <c r="X55" i="44"/>
  <c r="AR47" i="54"/>
  <c r="W40" i="48"/>
  <c r="Y82" i="44"/>
  <c r="Y84" i="48"/>
  <c r="X5" i="44"/>
  <c r="AY95" i="54"/>
  <c r="W46" i="48"/>
  <c r="X61" i="48"/>
  <c r="W54" i="44"/>
  <c r="X78" i="48"/>
  <c r="X8" i="48"/>
  <c r="Z54" i="48"/>
  <c r="Z13" i="48"/>
  <c r="X33" i="44"/>
  <c r="Z18" i="44"/>
  <c r="Y76" i="48"/>
  <c r="X43" i="44"/>
  <c r="W62" i="44"/>
  <c r="Y75" i="44"/>
  <c r="W30" i="48"/>
  <c r="Z86" i="48"/>
  <c r="W93" i="44"/>
  <c r="Z42" i="44"/>
  <c r="AA86" i="48" l="1"/>
  <c r="BA178" i="48"/>
  <c r="BA203" i="48"/>
  <c r="BA215" i="48"/>
  <c r="BA207" i="48"/>
  <c r="AA47" i="48"/>
  <c r="BA122" i="48"/>
  <c r="BA121" i="48"/>
  <c r="BA60" i="48"/>
  <c r="BA252" i="48"/>
  <c r="BA23" i="48"/>
  <c r="BA58" i="48"/>
  <c r="BA21" i="48"/>
  <c r="BA4" i="48"/>
  <c r="BA264" i="48"/>
  <c r="AI293" i="48"/>
  <c r="AU73" i="54"/>
  <c r="AV73" i="54"/>
  <c r="AW73" i="54"/>
  <c r="AX73" i="54"/>
  <c r="AT73" i="54"/>
  <c r="AS73" i="54"/>
  <c r="BA187" i="48"/>
  <c r="BA205" i="48"/>
  <c r="BA175" i="48"/>
  <c r="BA75" i="48"/>
  <c r="BA237" i="48"/>
  <c r="BA263" i="48"/>
  <c r="BA272" i="48"/>
  <c r="BA6" i="48"/>
  <c r="BA2" i="48"/>
  <c r="BA188" i="48"/>
  <c r="BA56" i="48"/>
  <c r="BA89" i="48"/>
  <c r="AK291" i="48"/>
  <c r="AX89" i="54"/>
  <c r="AV89" i="54"/>
  <c r="AS89" i="54"/>
  <c r="AW89" i="54"/>
  <c r="AT89" i="54"/>
  <c r="AU89" i="54"/>
  <c r="AV55" i="54"/>
  <c r="AU55" i="54"/>
  <c r="AW55" i="54"/>
  <c r="AS55" i="54"/>
  <c r="AX55" i="54"/>
  <c r="AT55" i="54"/>
  <c r="BA148" i="48"/>
  <c r="BA279" i="48"/>
  <c r="BA184" i="48"/>
  <c r="BA31" i="48"/>
  <c r="BA200" i="48"/>
  <c r="BA274" i="48"/>
  <c r="BA259" i="48"/>
  <c r="BA43" i="48"/>
  <c r="BA27" i="48"/>
  <c r="BA104" i="48"/>
  <c r="BA33" i="48"/>
  <c r="BA135" i="48"/>
  <c r="BA30" i="48"/>
  <c r="BA125" i="48"/>
  <c r="BA140" i="48"/>
  <c r="BA87" i="48"/>
  <c r="BA46" i="48"/>
  <c r="BA201" i="48"/>
  <c r="BA74" i="48"/>
  <c r="BA73" i="48"/>
  <c r="BA177" i="48"/>
  <c r="BA149" i="48"/>
  <c r="BA262" i="48"/>
  <c r="BA210" i="48"/>
  <c r="BA191" i="48"/>
  <c r="BA132" i="48"/>
  <c r="BA22" i="48"/>
  <c r="BA120" i="48"/>
  <c r="BA246" i="48"/>
  <c r="BA239" i="48"/>
  <c r="BA90" i="48"/>
  <c r="BA35" i="48"/>
  <c r="BA114" i="48"/>
  <c r="BA221" i="48"/>
  <c r="BA79" i="48"/>
  <c r="BA244" i="48"/>
  <c r="BA147" i="48"/>
  <c r="BA144" i="48"/>
  <c r="BA88" i="48"/>
  <c r="BA14" i="48"/>
  <c r="BA72" i="48"/>
  <c r="BA157" i="48"/>
  <c r="BA226" i="48"/>
  <c r="BA251" i="48"/>
  <c r="BA172" i="48"/>
  <c r="BA277" i="48"/>
  <c r="BA139" i="48"/>
  <c r="BA258" i="48"/>
  <c r="BA138" i="48"/>
  <c r="BA29" i="48"/>
  <c r="BA160" i="48"/>
  <c r="BA91" i="48"/>
  <c r="BA158" i="48"/>
  <c r="BA137" i="48"/>
  <c r="BA220" i="48"/>
  <c r="BA152" i="48"/>
  <c r="BA176" i="48"/>
  <c r="AA91" i="48"/>
  <c r="BA20" i="48"/>
  <c r="BA230" i="48"/>
  <c r="BA268" i="48"/>
  <c r="BA64" i="48"/>
  <c r="BA170" i="48"/>
  <c r="BA192" i="48"/>
  <c r="BA97" i="48"/>
  <c r="BA168" i="48"/>
  <c r="BA189" i="48"/>
  <c r="BA204" i="48"/>
  <c r="BA128" i="48"/>
  <c r="BA32" i="48"/>
  <c r="BA209" i="48"/>
  <c r="BA40" i="48"/>
  <c r="BA129" i="48"/>
  <c r="BA112" i="48"/>
  <c r="BA13" i="48"/>
  <c r="BA65" i="48"/>
  <c r="BA219" i="48"/>
  <c r="BA267" i="48"/>
  <c r="BA86" i="48"/>
  <c r="BA217" i="48"/>
  <c r="BA63" i="48"/>
  <c r="BA278" i="48"/>
  <c r="BA81" i="48"/>
  <c r="BA213" i="48"/>
  <c r="BA17" i="48"/>
  <c r="BA233" i="48"/>
  <c r="BA28" i="48"/>
  <c r="BA273" i="48"/>
  <c r="BA190" i="48"/>
  <c r="BA211" i="48"/>
  <c r="BA41" i="48"/>
  <c r="BA141" i="48"/>
  <c r="BA253" i="48"/>
  <c r="BA106" i="48"/>
  <c r="BA241" i="48"/>
  <c r="BA236" i="48"/>
  <c r="BA108" i="48"/>
  <c r="BA228" i="48"/>
  <c r="BA69" i="48"/>
  <c r="BA181" i="48"/>
  <c r="BA15" i="48"/>
  <c r="BA49" i="48"/>
  <c r="BA94" i="48"/>
  <c r="BA93" i="48"/>
  <c r="BA134" i="48"/>
  <c r="BA275" i="48"/>
  <c r="BA250" i="48"/>
  <c r="BA248" i="48"/>
  <c r="BA116" i="48"/>
  <c r="BA151" i="48"/>
  <c r="BA260" i="48"/>
  <c r="BA198" i="48"/>
  <c r="BA102" i="48"/>
  <c r="BA118" i="48"/>
  <c r="BA216" i="48"/>
  <c r="BA77" i="48"/>
  <c r="BA235" i="48"/>
  <c r="BA254" i="48"/>
  <c r="BA142" i="48"/>
  <c r="BA5" i="48"/>
  <c r="BA173" i="48"/>
  <c r="BA271" i="48"/>
  <c r="BA52" i="48"/>
  <c r="AA96" i="48"/>
  <c r="AL297" i="48"/>
  <c r="AK300" i="48"/>
  <c r="AS31" i="54"/>
  <c r="AW31" i="54"/>
  <c r="AV31" i="54"/>
  <c r="AX31" i="54"/>
  <c r="AU31" i="54"/>
  <c r="AT31" i="54"/>
  <c r="AV88" i="54"/>
  <c r="AU88" i="54"/>
  <c r="AW88" i="54"/>
  <c r="AT88" i="54"/>
  <c r="AX88" i="54"/>
  <c r="AS88" i="54"/>
  <c r="AI265" i="48"/>
  <c r="AK281" i="48"/>
  <c r="AW60" i="54"/>
  <c r="AS60" i="54"/>
  <c r="AU60" i="54"/>
  <c r="AT60" i="54"/>
  <c r="AX60" i="54"/>
  <c r="AV60" i="54"/>
  <c r="AI281" i="48"/>
  <c r="AI300" i="48"/>
  <c r="AL291" i="48"/>
  <c r="AU32" i="54"/>
  <c r="AS32" i="54"/>
  <c r="AV32" i="54"/>
  <c r="AX32" i="54"/>
  <c r="AT32" i="54"/>
  <c r="AW32" i="54"/>
  <c r="AW57" i="54"/>
  <c r="AT57" i="54"/>
  <c r="AV57" i="54"/>
  <c r="AU57" i="54"/>
  <c r="AS57" i="54"/>
  <c r="AX57" i="54"/>
  <c r="AI299" i="48"/>
  <c r="AK256" i="48"/>
  <c r="AI260" i="48"/>
  <c r="AL256" i="48"/>
  <c r="AV49" i="54"/>
  <c r="AS49" i="54"/>
  <c r="AT49" i="54"/>
  <c r="AX49" i="54"/>
  <c r="AW49" i="54"/>
  <c r="AU49" i="54"/>
  <c r="AU63" i="54"/>
  <c r="AV63" i="54"/>
  <c r="AX63" i="54"/>
  <c r="AT63" i="54"/>
  <c r="AW63" i="54"/>
  <c r="AS63" i="54"/>
  <c r="AI264" i="48"/>
  <c r="AK262" i="48"/>
  <c r="AL264" i="48"/>
  <c r="AL276" i="48"/>
  <c r="AK260" i="48"/>
  <c r="AT46" i="54"/>
  <c r="AW46" i="54"/>
  <c r="AS46" i="54"/>
  <c r="AU46" i="54"/>
  <c r="AX46" i="54"/>
  <c r="AV46" i="54"/>
  <c r="AL257" i="48"/>
  <c r="AW15" i="54"/>
  <c r="AT15" i="54"/>
  <c r="AX15" i="54"/>
  <c r="AU15" i="54"/>
  <c r="AV15" i="54"/>
  <c r="AS15" i="54"/>
  <c r="AW99" i="54"/>
  <c r="AS99" i="54"/>
  <c r="AX99" i="54"/>
  <c r="AU99" i="54"/>
  <c r="AV99" i="54"/>
  <c r="AT99" i="54"/>
  <c r="AL290" i="48"/>
  <c r="AA70" i="48"/>
  <c r="AS28" i="54"/>
  <c r="AV28" i="54"/>
  <c r="AW28" i="54"/>
  <c r="AU28" i="54"/>
  <c r="AS2" i="54"/>
  <c r="AT2" i="54"/>
  <c r="AX2" i="54"/>
  <c r="AU2" i="54"/>
  <c r="AA77" i="48"/>
  <c r="AT4" i="54"/>
  <c r="AS4" i="54"/>
  <c r="AV4" i="54"/>
  <c r="AU4" i="54"/>
  <c r="AW4" i="54"/>
  <c r="AX4" i="54"/>
  <c r="AW14" i="54"/>
  <c r="AU14" i="54"/>
  <c r="AV14" i="54"/>
  <c r="AS14" i="54"/>
  <c r="AX14" i="54"/>
  <c r="AT14" i="54"/>
  <c r="AW98" i="54"/>
  <c r="AS98" i="54"/>
  <c r="AT98" i="54"/>
  <c r="AX98" i="54"/>
  <c r="AV98" i="54"/>
  <c r="AU98" i="54"/>
  <c r="AI256" i="48"/>
  <c r="AA21" i="48"/>
  <c r="AL271" i="48"/>
  <c r="AK284" i="48"/>
  <c r="AX51" i="54"/>
  <c r="AV51" i="54"/>
  <c r="AU51" i="54"/>
  <c r="AS51" i="54"/>
  <c r="AW51" i="54"/>
  <c r="AT51" i="54"/>
  <c r="AX19" i="54"/>
  <c r="AU19" i="54"/>
  <c r="AT19" i="54"/>
  <c r="AW19" i="54"/>
  <c r="AV19" i="54"/>
  <c r="AS19" i="54"/>
  <c r="AL285" i="48"/>
  <c r="AV52" i="54"/>
  <c r="AW52" i="54"/>
  <c r="AX52" i="54"/>
  <c r="AT52" i="54"/>
  <c r="AS52" i="54"/>
  <c r="AU52" i="54"/>
  <c r="AI279" i="48"/>
  <c r="AV80" i="54"/>
  <c r="AS80" i="54"/>
  <c r="AW80" i="54"/>
  <c r="AU80" i="54"/>
  <c r="AX80" i="54"/>
  <c r="AT80" i="54"/>
  <c r="AL270" i="48"/>
  <c r="AI288" i="48"/>
  <c r="AK270" i="48"/>
  <c r="AL261" i="48"/>
  <c r="AS45" i="54"/>
  <c r="AU45" i="54"/>
  <c r="AW45" i="54"/>
  <c r="AX45" i="54"/>
  <c r="AV45" i="54"/>
  <c r="AT45" i="54"/>
  <c r="AU43" i="54"/>
  <c r="AV43" i="54"/>
  <c r="AT43" i="54"/>
  <c r="AS43" i="54"/>
  <c r="AX43" i="54"/>
  <c r="AW43" i="54"/>
  <c r="AL278" i="48"/>
  <c r="AL258" i="48"/>
  <c r="AV30" i="54"/>
  <c r="AU30" i="54"/>
  <c r="AX30" i="54"/>
  <c r="AT30" i="54"/>
  <c r="AS30" i="54"/>
  <c r="AW30" i="54"/>
  <c r="AA53" i="48"/>
  <c r="BA206" i="48"/>
  <c r="BA131" i="48"/>
  <c r="BA261" i="48"/>
  <c r="BA245" i="48"/>
  <c r="BA80" i="48"/>
  <c r="BA202" i="48"/>
  <c r="BA164" i="48"/>
  <c r="BA171" i="48"/>
  <c r="BA143" i="48"/>
  <c r="BA85" i="48"/>
  <c r="BA234" i="48"/>
  <c r="BA66" i="48"/>
  <c r="BA214" i="48"/>
  <c r="BA103" i="48"/>
  <c r="BA265" i="48"/>
  <c r="BA37" i="48"/>
  <c r="BA240" i="48"/>
  <c r="BA276" i="48"/>
  <c r="BA110" i="48"/>
  <c r="BA96" i="48"/>
  <c r="BA145" i="48"/>
  <c r="AA84" i="48"/>
  <c r="AA98" i="48"/>
  <c r="AA92" i="48"/>
  <c r="AA83" i="48"/>
  <c r="AA101" i="48"/>
  <c r="AA97" i="48"/>
  <c r="AA94" i="48"/>
  <c r="AU92" i="54"/>
  <c r="AX92" i="54"/>
  <c r="AW92" i="54"/>
  <c r="AS92" i="54"/>
  <c r="AT92" i="54"/>
  <c r="AV92" i="54"/>
  <c r="AS23" i="54"/>
  <c r="AX23" i="54"/>
  <c r="AT23" i="54"/>
  <c r="AU23" i="54"/>
  <c r="AW23" i="54"/>
  <c r="AV23" i="54"/>
  <c r="AI297" i="48"/>
  <c r="AT101" i="54"/>
  <c r="AV101" i="54"/>
  <c r="AU101" i="54"/>
  <c r="AX101" i="54"/>
  <c r="AS101" i="54"/>
  <c r="AW101" i="54"/>
  <c r="AK278" i="48"/>
  <c r="AA80" i="48"/>
  <c r="AI294" i="48"/>
  <c r="AI289" i="48"/>
  <c r="AA56" i="48"/>
  <c r="AK254" i="48"/>
  <c r="AK277" i="48"/>
  <c r="AA7" i="48"/>
  <c r="AA14" i="48"/>
  <c r="AA26" i="48"/>
  <c r="AA35" i="48"/>
  <c r="AA40" i="48"/>
  <c r="AA20" i="48"/>
  <c r="BA195" i="48"/>
  <c r="BA47" i="48"/>
  <c r="BA84" i="48"/>
  <c r="BA127" i="48"/>
  <c r="BA223" i="48"/>
  <c r="BA16" i="48"/>
  <c r="BA3" i="48"/>
  <c r="BA243" i="48"/>
  <c r="BA183" i="48"/>
  <c r="BA42" i="48"/>
  <c r="BA105" i="48"/>
  <c r="AM42" i="47"/>
  <c r="BA185" i="48"/>
  <c r="BA249" i="48"/>
  <c r="BA124" i="48"/>
  <c r="BA83" i="48"/>
  <c r="BA238" i="48"/>
  <c r="BA67" i="48"/>
  <c r="BA212" i="48"/>
  <c r="BA225" i="48"/>
  <c r="BA68" i="48"/>
  <c r="BA111" i="48"/>
  <c r="BA130" i="48"/>
  <c r="BA257" i="48"/>
  <c r="BA25" i="48"/>
  <c r="BA266" i="48"/>
  <c r="BA53" i="48"/>
  <c r="BA117" i="48"/>
  <c r="BA38" i="48"/>
  <c r="BA45" i="48"/>
  <c r="BA227" i="48"/>
  <c r="BA76" i="48"/>
  <c r="BA9" i="48"/>
  <c r="BA50" i="48"/>
  <c r="BA255" i="48"/>
  <c r="BA186" i="48"/>
  <c r="AA82" i="48"/>
  <c r="AA100" i="48"/>
  <c r="AA87" i="48"/>
  <c r="AA90" i="48"/>
  <c r="BA174" i="48"/>
  <c r="BA18" i="48"/>
  <c r="BA165" i="48"/>
  <c r="BA48" i="48"/>
  <c r="BA10" i="48"/>
  <c r="BA34" i="48"/>
  <c r="BA107" i="48"/>
  <c r="AM55" i="47"/>
  <c r="AM52" i="47"/>
  <c r="AM16" i="47"/>
  <c r="AM34" i="47"/>
  <c r="AM61" i="47"/>
  <c r="AK299" i="48"/>
  <c r="AL289" i="48"/>
  <c r="AV53" i="54"/>
  <c r="AX53" i="54"/>
  <c r="AT53" i="54"/>
  <c r="AS53" i="54"/>
  <c r="AW53" i="54"/>
  <c r="AU53" i="54"/>
  <c r="AK257" i="48"/>
  <c r="AS64" i="54"/>
  <c r="AX64" i="54"/>
  <c r="AV64" i="54"/>
  <c r="AU64" i="54"/>
  <c r="AW64" i="54"/>
  <c r="AT64" i="54"/>
  <c r="AK294" i="48"/>
  <c r="AK258" i="48"/>
  <c r="AA27" i="48"/>
  <c r="AL277" i="48"/>
  <c r="AK264" i="48"/>
  <c r="AV70" i="54"/>
  <c r="AX70" i="54"/>
  <c r="AW70" i="54"/>
  <c r="AT70" i="54"/>
  <c r="AS70" i="54"/>
  <c r="AU70" i="54"/>
  <c r="AI282" i="48"/>
  <c r="AA49" i="48"/>
  <c r="AL299" i="48"/>
  <c r="AL296" i="48"/>
  <c r="AA46" i="48"/>
  <c r="AA64" i="48"/>
  <c r="AI292" i="48"/>
  <c r="AA32" i="48"/>
  <c r="AL282" i="48"/>
  <c r="AK276" i="48"/>
  <c r="AA60" i="48"/>
  <c r="AA75" i="48"/>
  <c r="AI254" i="48"/>
  <c r="AX59" i="54"/>
  <c r="AT59" i="54"/>
  <c r="AS59" i="54"/>
  <c r="AU59" i="54"/>
  <c r="AW59" i="54"/>
  <c r="AV59" i="54"/>
  <c r="AX58" i="54"/>
  <c r="AS58" i="54"/>
  <c r="AW58" i="54"/>
  <c r="AT58" i="54"/>
  <c r="AV58" i="54"/>
  <c r="AU58" i="54"/>
  <c r="AX78" i="54"/>
  <c r="AW78" i="54"/>
  <c r="AT78" i="54"/>
  <c r="AV78" i="54"/>
  <c r="AU78" i="54"/>
  <c r="AS78" i="54"/>
  <c r="AI252" i="48"/>
  <c r="AK265" i="48"/>
  <c r="AA23" i="48"/>
  <c r="AL273" i="48"/>
  <c r="AA58" i="48"/>
  <c r="AL260" i="48"/>
  <c r="AA10" i="48"/>
  <c r="AA63" i="48"/>
  <c r="AI287" i="48"/>
  <c r="AS6" i="54"/>
  <c r="AV6" i="54"/>
  <c r="AX6" i="54"/>
  <c r="AT6" i="54"/>
  <c r="AU6" i="54"/>
  <c r="AW6" i="54"/>
  <c r="AA22" i="48"/>
  <c r="AL272" i="48"/>
  <c r="AT37" i="54"/>
  <c r="AS37" i="54"/>
  <c r="AV37" i="54"/>
  <c r="AW37" i="54"/>
  <c r="AU37" i="54"/>
  <c r="AX37" i="54"/>
  <c r="AA48" i="48"/>
  <c r="AL298" i="48"/>
  <c r="AX67" i="54"/>
  <c r="AU67" i="54"/>
  <c r="AV67" i="54"/>
  <c r="AS67" i="54"/>
  <c r="AT67" i="54"/>
  <c r="AW67" i="54"/>
  <c r="AK269" i="48"/>
  <c r="AS38" i="54"/>
  <c r="AT38" i="54"/>
  <c r="AX38" i="54"/>
  <c r="AV38" i="54"/>
  <c r="AU38" i="54"/>
  <c r="AW38" i="54"/>
  <c r="AX39" i="54"/>
  <c r="AW39" i="54"/>
  <c r="AU39" i="54"/>
  <c r="AV39" i="54"/>
  <c r="AS39" i="54"/>
  <c r="AT39" i="54"/>
  <c r="AI283" i="48"/>
  <c r="AV22" i="54"/>
  <c r="AX22" i="54"/>
  <c r="AT22" i="54"/>
  <c r="AS22" i="54"/>
  <c r="AW22" i="54"/>
  <c r="AU22" i="54"/>
  <c r="AW25" i="54"/>
  <c r="AX25" i="54"/>
  <c r="AT25" i="54"/>
  <c r="AV25" i="54"/>
  <c r="AU25" i="54"/>
  <c r="AS25" i="54"/>
  <c r="AI275" i="48"/>
  <c r="AA30" i="48"/>
  <c r="AL280" i="48"/>
  <c r="AK261" i="48"/>
  <c r="AX97" i="54"/>
  <c r="AU97" i="54"/>
  <c r="AT97" i="54"/>
  <c r="AS97" i="54"/>
  <c r="AW97" i="54"/>
  <c r="AV97" i="54"/>
  <c r="AA43" i="48"/>
  <c r="AL293" i="48"/>
  <c r="AX42" i="54"/>
  <c r="AS42" i="54"/>
  <c r="AT42" i="54"/>
  <c r="AW42" i="54"/>
  <c r="AU42" i="54"/>
  <c r="AV42" i="54"/>
  <c r="AU91" i="54"/>
  <c r="AV91" i="54"/>
  <c r="AW91" i="54"/>
  <c r="AS91" i="54"/>
  <c r="AT91" i="54"/>
  <c r="AX91" i="54"/>
  <c r="AI258" i="48"/>
  <c r="AK297" i="48"/>
  <c r="AX9" i="54"/>
  <c r="AT9" i="54"/>
  <c r="AU9" i="54"/>
  <c r="AW9" i="54"/>
  <c r="AS9" i="54"/>
  <c r="AV9" i="54"/>
  <c r="AA5" i="48"/>
  <c r="AL255" i="48"/>
  <c r="AV10" i="54"/>
  <c r="AT10" i="54"/>
  <c r="AW10" i="54"/>
  <c r="AX10" i="54"/>
  <c r="AU10" i="54"/>
  <c r="AS10" i="54"/>
  <c r="AW69" i="54"/>
  <c r="AV69" i="54"/>
  <c r="AT69" i="54"/>
  <c r="AU69" i="54"/>
  <c r="AS69" i="54"/>
  <c r="AX69" i="54"/>
  <c r="AA81" i="48"/>
  <c r="AI295" i="48"/>
  <c r="AK255" i="48"/>
  <c r="AA67" i="48"/>
  <c r="AK296" i="48"/>
  <c r="AA9" i="48"/>
  <c r="AL259" i="48"/>
  <c r="AW8" i="54"/>
  <c r="AX8" i="54"/>
  <c r="AT8" i="54"/>
  <c r="AS8" i="54"/>
  <c r="AU8" i="54"/>
  <c r="AV8" i="54"/>
  <c r="AU34" i="54"/>
  <c r="AX34" i="54"/>
  <c r="AV34" i="54"/>
  <c r="AS34" i="54"/>
  <c r="AW34" i="54"/>
  <c r="AT34" i="54"/>
  <c r="AA73" i="48"/>
  <c r="AM21" i="47"/>
  <c r="AM70" i="47"/>
  <c r="AM97" i="47"/>
  <c r="AM93" i="47"/>
  <c r="AM49" i="47"/>
  <c r="AM6" i="47"/>
  <c r="AM37" i="47"/>
  <c r="AM27" i="47"/>
  <c r="AM25" i="47"/>
  <c r="AM64" i="47"/>
  <c r="AM40" i="47"/>
  <c r="AM28" i="47"/>
  <c r="AM67" i="47"/>
  <c r="AM9" i="47"/>
  <c r="AM65" i="47"/>
  <c r="AM3" i="47"/>
  <c r="AM23" i="47"/>
  <c r="AM30" i="47"/>
  <c r="AM10" i="47"/>
  <c r="AM68" i="47"/>
  <c r="AM26" i="47"/>
  <c r="AM36" i="47"/>
  <c r="AM32" i="47"/>
  <c r="AM33" i="47"/>
  <c r="AM31" i="47"/>
  <c r="AM11" i="47"/>
  <c r="AM39" i="47"/>
  <c r="AM92" i="47"/>
  <c r="AM94" i="47"/>
  <c r="AM74" i="47"/>
  <c r="AM76" i="47"/>
  <c r="AM71" i="47"/>
  <c r="AK272" i="48"/>
  <c r="AX83" i="54"/>
  <c r="AU83" i="54"/>
  <c r="AS83" i="54"/>
  <c r="AV83" i="54"/>
  <c r="AW83" i="54"/>
  <c r="AT83" i="54"/>
  <c r="AA66" i="48"/>
  <c r="AK286" i="48"/>
  <c r="AI274" i="48"/>
  <c r="AI270" i="48"/>
  <c r="AK287" i="48"/>
  <c r="AA69" i="48"/>
  <c r="AS3" i="54"/>
  <c r="AV3" i="54"/>
  <c r="AT3" i="54"/>
  <c r="AU3" i="54"/>
  <c r="AW3" i="54"/>
  <c r="AX3" i="54"/>
  <c r="AV5" i="54"/>
  <c r="AT5" i="54"/>
  <c r="AU5" i="54"/>
  <c r="AS5" i="54"/>
  <c r="AW5" i="54"/>
  <c r="AX5" i="54"/>
  <c r="AL284" i="48"/>
  <c r="AA34" i="48"/>
  <c r="AX24" i="54"/>
  <c r="AS24" i="54"/>
  <c r="AV24" i="54"/>
  <c r="AU24" i="54"/>
  <c r="AT24" i="54"/>
  <c r="AW24" i="54"/>
  <c r="AK275" i="48"/>
  <c r="AT7" i="54"/>
  <c r="AX7" i="54"/>
  <c r="AU7" i="54"/>
  <c r="AS7" i="54"/>
  <c r="AV7" i="54"/>
  <c r="AW7" i="54"/>
  <c r="AI261" i="48"/>
  <c r="AA45" i="48"/>
  <c r="AL295" i="48"/>
  <c r="AV66" i="54"/>
  <c r="AW66" i="54"/>
  <c r="AX66" i="54"/>
  <c r="AS66" i="54"/>
  <c r="AU66" i="54"/>
  <c r="AT66" i="54"/>
  <c r="AU71" i="54"/>
  <c r="AT71" i="54"/>
  <c r="AV71" i="54"/>
  <c r="AX71" i="54"/>
  <c r="AS71" i="54"/>
  <c r="AW71" i="54"/>
  <c r="AK274" i="48"/>
  <c r="AA57" i="48"/>
  <c r="AL287" i="48"/>
  <c r="AA37" i="48"/>
  <c r="AW68" i="54"/>
  <c r="AV68" i="54"/>
  <c r="AT68" i="54"/>
  <c r="AX68" i="54"/>
  <c r="AU68" i="54"/>
  <c r="AS68" i="54"/>
  <c r="AA42" i="48"/>
  <c r="AL292" i="48"/>
  <c r="AI267" i="48"/>
  <c r="AW61" i="54"/>
  <c r="AT61" i="54"/>
  <c r="AS61" i="54"/>
  <c r="AX61" i="54"/>
  <c r="AV61" i="54"/>
  <c r="AU61" i="54"/>
  <c r="AL286" i="48"/>
  <c r="AK279" i="48"/>
  <c r="AL279" i="48"/>
  <c r="AK295" i="48"/>
  <c r="AK271" i="48"/>
  <c r="AL267" i="48"/>
  <c r="AI255" i="48"/>
  <c r="AA41" i="48"/>
  <c r="AA6" i="48"/>
  <c r="AA11" i="48"/>
  <c r="AA8" i="48"/>
  <c r="AA28" i="48"/>
  <c r="AA89" i="48"/>
  <c r="BA163" i="48"/>
  <c r="BA59" i="48"/>
  <c r="BA196" i="48"/>
  <c r="BA55" i="48"/>
  <c r="BA54" i="48"/>
  <c r="BA95" i="48"/>
  <c r="BA208" i="48"/>
  <c r="BA247" i="48"/>
  <c r="BA70" i="48"/>
  <c r="BA281" i="48"/>
  <c r="BA182" i="48"/>
  <c r="BA24" i="48"/>
  <c r="BA156" i="48"/>
  <c r="BA8" i="48"/>
  <c r="BA197" i="48"/>
  <c r="BA242" i="48"/>
  <c r="BA113" i="48"/>
  <c r="BA154" i="48"/>
  <c r="BA71" i="48"/>
  <c r="BA222" i="48"/>
  <c r="BA7" i="48"/>
  <c r="BA19" i="48"/>
  <c r="BA101" i="48"/>
  <c r="BA270" i="48"/>
  <c r="BA150" i="48"/>
  <c r="BA256" i="48"/>
  <c r="BA229" i="48"/>
  <c r="BA155" i="48"/>
  <c r="BA98" i="48"/>
  <c r="BA99" i="48"/>
  <c r="BA36" i="48"/>
  <c r="BA224" i="48"/>
  <c r="BA133" i="48"/>
  <c r="BA100" i="48"/>
  <c r="BA232" i="48"/>
  <c r="BA126" i="48"/>
  <c r="BA167" i="48"/>
  <c r="BA280" i="48"/>
  <c r="BA218" i="48"/>
  <c r="BA82" i="48"/>
  <c r="BA159" i="48"/>
  <c r="BA146" i="48"/>
  <c r="BA153" i="48"/>
  <c r="BA78" i="48"/>
  <c r="BA44" i="48"/>
  <c r="BA39" i="48"/>
  <c r="BA166" i="48"/>
  <c r="AA85" i="48"/>
  <c r="AA88" i="48"/>
  <c r="AA95" i="48"/>
  <c r="AA93" i="48"/>
  <c r="AA99" i="48"/>
  <c r="BA199" i="48"/>
  <c r="BA115" i="48"/>
  <c r="BA180" i="48"/>
  <c r="BA51" i="48"/>
  <c r="BA57" i="48"/>
  <c r="BA61" i="48"/>
  <c r="BA179" i="48"/>
  <c r="BA193" i="48"/>
  <c r="BA161" i="48"/>
  <c r="BA169" i="48"/>
  <c r="BA136" i="48"/>
  <c r="BA109" i="48"/>
  <c r="AA3" i="48"/>
  <c r="AL253" i="48"/>
  <c r="AW90" i="54"/>
  <c r="AT90" i="54"/>
  <c r="AV90" i="54"/>
  <c r="AX90" i="54"/>
  <c r="AS90" i="54"/>
  <c r="AU90" i="54"/>
  <c r="AX87" i="54"/>
  <c r="AT87" i="54"/>
  <c r="AS87" i="54"/>
  <c r="AV87" i="54"/>
  <c r="AW87" i="54"/>
  <c r="AU87" i="54"/>
  <c r="AU79" i="54"/>
  <c r="AT79" i="54"/>
  <c r="AV79" i="54"/>
  <c r="AS79" i="54"/>
  <c r="AW79" i="54"/>
  <c r="AX79" i="54"/>
  <c r="AI271" i="48"/>
  <c r="AV13" i="54"/>
  <c r="AS13" i="54"/>
  <c r="AU13" i="54"/>
  <c r="AT13" i="54"/>
  <c r="AX13" i="54"/>
  <c r="AW13" i="54"/>
  <c r="AK267" i="48"/>
  <c r="AK285" i="48"/>
  <c r="AK293" i="48"/>
  <c r="AA76" i="48"/>
  <c r="AL265" i="48"/>
  <c r="AA15" i="48"/>
  <c r="AW44" i="54"/>
  <c r="AS44" i="54"/>
  <c r="AX44" i="54"/>
  <c r="AU44" i="54"/>
  <c r="AV44" i="54"/>
  <c r="AT44" i="54"/>
  <c r="AW75" i="54"/>
  <c r="AS75" i="54"/>
  <c r="AX75" i="54"/>
  <c r="AV75" i="54"/>
  <c r="AU75" i="54"/>
  <c r="AT75" i="54"/>
  <c r="AT50" i="54"/>
  <c r="AW50" i="54"/>
  <c r="AX50" i="54"/>
  <c r="AU50" i="54"/>
  <c r="AS50" i="54"/>
  <c r="AV50" i="54"/>
  <c r="AS86" i="54"/>
  <c r="AU86" i="54"/>
  <c r="AX86" i="54"/>
  <c r="AW86" i="54"/>
  <c r="AV86" i="54"/>
  <c r="AT86" i="54"/>
  <c r="AS93" i="54"/>
  <c r="AT93" i="54"/>
  <c r="AW93" i="54"/>
  <c r="AV93" i="54"/>
  <c r="AX93" i="54"/>
  <c r="AU93" i="54"/>
  <c r="AV41" i="54"/>
  <c r="AT41" i="54"/>
  <c r="AU41" i="54"/>
  <c r="AS41" i="54"/>
  <c r="AX41" i="54"/>
  <c r="AW41" i="54"/>
  <c r="AL269" i="48"/>
  <c r="AA19" i="48"/>
  <c r="AA55" i="48"/>
  <c r="AK266" i="48"/>
  <c r="AK259" i="48"/>
  <c r="AU72" i="54"/>
  <c r="AW72" i="54"/>
  <c r="AX72" i="54"/>
  <c r="AV72" i="54"/>
  <c r="AT72" i="54"/>
  <c r="AS72" i="54"/>
  <c r="AU95" i="54"/>
  <c r="AV95" i="54"/>
  <c r="AW95" i="54"/>
  <c r="AX95" i="54"/>
  <c r="AT95" i="54"/>
  <c r="AS95" i="54"/>
  <c r="AI276" i="48"/>
  <c r="AX84" i="54"/>
  <c r="AW84" i="54"/>
  <c r="AS84" i="54"/>
  <c r="AT84" i="54"/>
  <c r="AU84" i="54"/>
  <c r="AV84" i="54"/>
  <c r="AA61" i="48"/>
  <c r="AV36" i="54"/>
  <c r="AU36" i="54"/>
  <c r="AX36" i="54"/>
  <c r="AS36" i="54"/>
  <c r="AT36" i="54"/>
  <c r="AW36" i="54"/>
  <c r="AU62" i="54"/>
  <c r="AW62" i="54"/>
  <c r="AX62" i="54"/>
  <c r="AS62" i="54"/>
  <c r="AV62" i="54"/>
  <c r="AT62" i="54"/>
  <c r="AU29" i="54"/>
  <c r="AS29" i="54"/>
  <c r="AV29" i="54"/>
  <c r="AX29" i="54"/>
  <c r="AW29" i="54"/>
  <c r="AT29" i="54"/>
  <c r="AU77" i="54"/>
  <c r="AT77" i="54"/>
  <c r="AW77" i="54"/>
  <c r="AS77" i="54"/>
  <c r="AX77" i="54"/>
  <c r="AV77" i="54"/>
  <c r="AK268" i="48"/>
  <c r="AA79" i="48"/>
  <c r="AI266" i="48"/>
  <c r="AI284" i="48"/>
  <c r="AS33" i="54"/>
  <c r="AX33" i="54"/>
  <c r="AV33" i="54"/>
  <c r="AT33" i="54"/>
  <c r="AU33" i="54"/>
  <c r="AW33" i="54"/>
  <c r="AL274" i="48"/>
  <c r="AA24" i="48"/>
  <c r="AK282" i="48"/>
  <c r="AA33" i="48"/>
  <c r="AL283" i="48"/>
  <c r="AK288" i="48"/>
  <c r="AM50" i="47"/>
  <c r="AM47" i="47"/>
  <c r="AM19" i="47"/>
  <c r="AM5" i="47"/>
  <c r="AM86" i="47"/>
  <c r="AM84" i="47"/>
  <c r="AM102" i="47"/>
  <c r="AM95" i="47"/>
  <c r="AM22" i="47"/>
  <c r="AM62" i="47"/>
  <c r="AM54" i="47"/>
  <c r="AM58" i="47"/>
  <c r="AM53" i="47"/>
  <c r="AM99" i="47"/>
  <c r="AM85" i="47"/>
  <c r="AM73" i="47"/>
  <c r="AX4" i="48" s="1"/>
  <c r="AM81" i="47"/>
  <c r="AM18" i="47"/>
  <c r="AM12" i="47"/>
  <c r="AM51" i="47"/>
  <c r="AM38" i="47"/>
  <c r="AM77" i="47"/>
  <c r="AM91" i="47"/>
  <c r="AM82" i="47"/>
  <c r="AX2" i="48" s="1"/>
  <c r="AM4" i="47"/>
  <c r="AM20" i="47"/>
  <c r="AM46" i="47"/>
  <c r="AM14" i="47"/>
  <c r="AM8" i="47"/>
  <c r="AM15" i="47"/>
  <c r="AM69" i="47"/>
  <c r="AM88" i="47"/>
  <c r="AM72" i="47"/>
  <c r="AM89" i="47"/>
  <c r="AM87" i="47"/>
  <c r="AM17" i="47"/>
  <c r="AM44" i="47"/>
  <c r="AM48" i="47"/>
  <c r="AM66" i="47"/>
  <c r="AM60" i="47"/>
  <c r="AM63" i="47"/>
  <c r="AM57" i="47"/>
  <c r="AM59" i="47"/>
  <c r="AM56" i="47"/>
  <c r="AM79" i="47"/>
  <c r="AM75" i="47"/>
  <c r="AM83" i="47"/>
  <c r="AM13" i="47"/>
  <c r="AM41" i="47"/>
  <c r="AM29" i="47"/>
  <c r="AM35" i="47"/>
  <c r="AM24" i="47"/>
  <c r="AM96" i="47"/>
  <c r="AM100" i="47"/>
  <c r="AM78" i="47"/>
  <c r="AM80" i="47"/>
  <c r="AM101" i="47"/>
  <c r="AM98" i="47"/>
  <c r="AM90" i="47"/>
  <c r="AM43" i="47"/>
  <c r="AM7" i="47"/>
  <c r="AM45" i="47"/>
  <c r="AX85" i="54"/>
  <c r="AW85" i="54"/>
  <c r="AS85" i="54"/>
  <c r="AT85" i="54"/>
  <c r="AU85" i="54"/>
  <c r="AV85" i="54"/>
  <c r="AA18" i="48"/>
  <c r="AL268" i="48"/>
  <c r="AA59" i="48"/>
  <c r="AK280" i="48"/>
  <c r="AZ68" i="55"/>
  <c r="AZ54" i="55"/>
  <c r="AZ69" i="55"/>
  <c r="AZ71" i="55"/>
  <c r="AZ61" i="55"/>
  <c r="AZ95" i="55"/>
  <c r="AZ66" i="55"/>
  <c r="AZ94" i="55"/>
  <c r="AZ81" i="55"/>
  <c r="AZ59" i="55"/>
  <c r="AZ53" i="55"/>
  <c r="AZ87" i="55"/>
  <c r="AZ72" i="55"/>
  <c r="AZ101" i="55"/>
  <c r="AZ91" i="55"/>
  <c r="AZ97" i="55"/>
  <c r="AZ65" i="55"/>
  <c r="AZ96" i="55"/>
  <c r="AZ67" i="55"/>
  <c r="AZ82" i="55"/>
  <c r="AZ73" i="55"/>
  <c r="AZ88" i="55"/>
  <c r="AZ58" i="55"/>
  <c r="AZ79" i="55"/>
  <c r="AZ55" i="55"/>
  <c r="AZ70" i="55"/>
  <c r="AZ85" i="55"/>
  <c r="AZ64" i="55"/>
  <c r="AZ63" i="55"/>
  <c r="AZ77" i="55"/>
  <c r="AZ78" i="55"/>
  <c r="AZ90" i="55"/>
  <c r="AA2" i="48"/>
  <c r="AL252" i="48"/>
  <c r="AA62" i="48"/>
  <c r="AW54" i="54"/>
  <c r="AU54" i="54"/>
  <c r="AT54" i="54"/>
  <c r="AV54" i="54"/>
  <c r="AX54" i="54"/>
  <c r="AS54" i="54"/>
  <c r="AL288" i="48"/>
  <c r="AA38" i="48"/>
  <c r="AI269" i="48"/>
  <c r="AK289" i="48"/>
  <c r="AA72" i="48"/>
  <c r="AA4" i="48"/>
  <c r="AL254" i="48"/>
  <c r="AL300" i="48"/>
  <c r="AA50" i="48"/>
  <c r="AK298" i="48"/>
  <c r="AU11" i="54"/>
  <c r="AX11" i="54"/>
  <c r="AW11" i="54"/>
  <c r="AT11" i="54"/>
  <c r="AV11" i="54"/>
  <c r="AS11" i="54"/>
  <c r="AV65" i="54"/>
  <c r="AS65" i="54"/>
  <c r="AW65" i="54"/>
  <c r="AU65" i="54"/>
  <c r="AT65" i="54"/>
  <c r="AX65" i="54"/>
  <c r="AA25" i="48"/>
  <c r="AL275" i="48"/>
  <c r="AI273" i="48"/>
  <c r="AS21" i="54"/>
  <c r="AV21" i="54"/>
  <c r="AT21" i="54"/>
  <c r="AW21" i="54"/>
  <c r="AU21" i="54"/>
  <c r="AX21" i="54"/>
  <c r="AI286" i="48"/>
  <c r="AA51" i="48"/>
  <c r="AL301" i="48"/>
  <c r="AU82" i="54"/>
  <c r="AT82" i="54"/>
  <c r="AW82" i="54"/>
  <c r="AS82" i="54"/>
  <c r="AX82" i="54"/>
  <c r="AV82" i="54"/>
  <c r="AK283" i="48"/>
  <c r="AW40" i="54"/>
  <c r="AV40" i="54"/>
  <c r="AX40" i="54"/>
  <c r="AT40" i="54"/>
  <c r="AS40" i="54"/>
  <c r="AU40" i="54"/>
  <c r="AX35" i="54"/>
  <c r="AT35" i="54"/>
  <c r="AV35" i="54"/>
  <c r="AU35" i="54"/>
  <c r="AW35" i="54"/>
  <c r="AS35" i="54"/>
  <c r="AI278" i="48"/>
  <c r="AT17" i="54"/>
  <c r="AX17" i="54"/>
  <c r="AS17" i="54"/>
  <c r="AW17" i="54"/>
  <c r="AV17" i="54"/>
  <c r="AU17" i="54"/>
  <c r="AA78" i="48"/>
  <c r="AS26" i="54"/>
  <c r="AX26" i="54"/>
  <c r="AU26" i="54"/>
  <c r="AT26" i="54"/>
  <c r="AV26" i="54"/>
  <c r="AW26" i="54"/>
  <c r="AI257" i="48"/>
  <c r="AV48" i="54"/>
  <c r="AX48" i="54"/>
  <c r="AW48" i="54"/>
  <c r="AU48" i="54"/>
  <c r="AT48" i="54"/>
  <c r="AS48" i="54"/>
  <c r="AX28" i="54"/>
  <c r="AT28" i="54"/>
  <c r="AX94" i="54"/>
  <c r="AV94" i="54"/>
  <c r="AU94" i="54"/>
  <c r="AT94" i="54"/>
  <c r="AS94" i="54"/>
  <c r="AW94" i="54"/>
  <c r="AX27" i="54"/>
  <c r="AV27" i="54"/>
  <c r="AT27" i="54"/>
  <c r="AS27" i="54"/>
  <c r="AW27" i="54"/>
  <c r="AU27" i="54"/>
  <c r="AI262" i="48"/>
  <c r="AZ99" i="55"/>
  <c r="AZ57" i="55"/>
  <c r="AZ84" i="55"/>
  <c r="AZ93" i="55"/>
  <c r="AZ89" i="55"/>
  <c r="AV2" i="54"/>
  <c r="AZ56" i="55"/>
  <c r="AZ76" i="55"/>
  <c r="AZ98" i="55"/>
  <c r="AZ74" i="55"/>
  <c r="AZ100" i="55"/>
  <c r="AZ92" i="55"/>
  <c r="AZ60" i="55"/>
  <c r="AZ83" i="55"/>
  <c r="AZ86" i="55"/>
  <c r="AZ62" i="55"/>
  <c r="AW2" i="54"/>
  <c r="AZ52" i="55"/>
  <c r="AZ75" i="55"/>
  <c r="AZ80" i="55"/>
  <c r="AA12" i="48"/>
  <c r="AL262" i="48"/>
  <c r="AI291" i="48"/>
  <c r="AK301" i="48"/>
  <c r="AI259" i="48"/>
  <c r="AA65" i="48"/>
  <c r="AA52" i="48"/>
  <c r="AI268" i="48"/>
  <c r="AS76" i="54"/>
  <c r="AX76" i="54"/>
  <c r="AT76" i="54"/>
  <c r="AU76" i="54"/>
  <c r="AV76" i="54"/>
  <c r="AW76" i="54"/>
  <c r="AI285" i="48"/>
  <c r="AS16" i="54"/>
  <c r="AT16" i="54"/>
  <c r="AX16" i="54"/>
  <c r="AU16" i="54"/>
  <c r="AV16" i="54"/>
  <c r="AW16" i="54"/>
  <c r="AI253" i="48"/>
  <c r="AA68" i="48"/>
  <c r="AU56" i="54"/>
  <c r="AS56" i="54"/>
  <c r="AW56" i="54"/>
  <c r="AV56" i="54"/>
  <c r="AT56" i="54"/>
  <c r="AX56" i="54"/>
  <c r="AA16" i="48"/>
  <c r="AL266" i="48"/>
  <c r="AK263" i="48"/>
  <c r="AA31" i="48"/>
  <c r="AL281" i="48"/>
  <c r="AK253" i="48"/>
  <c r="AK273" i="48"/>
  <c r="AV18" i="54"/>
  <c r="AT18" i="54"/>
  <c r="AX18" i="54"/>
  <c r="AW18" i="54"/>
  <c r="AU18" i="54"/>
  <c r="AS18" i="54"/>
  <c r="AL294" i="48"/>
  <c r="AA44" i="48"/>
  <c r="AK292" i="48"/>
  <c r="AK252" i="48"/>
  <c r="AT100" i="54"/>
  <c r="AU100" i="54"/>
  <c r="AV100" i="54"/>
  <c r="AS100" i="54"/>
  <c r="AX100" i="54"/>
  <c r="AW100" i="54"/>
  <c r="AI263" i="48"/>
  <c r="AI301" i="48"/>
  <c r="AX74" i="54"/>
  <c r="AU74" i="54"/>
  <c r="AV74" i="54"/>
  <c r="AW74" i="54"/>
  <c r="AS74" i="54"/>
  <c r="AT74" i="54"/>
  <c r="AA74" i="48"/>
  <c r="AX96" i="54"/>
  <c r="AS96" i="54"/>
  <c r="AV96" i="54"/>
  <c r="AT96" i="54"/>
  <c r="AW96" i="54"/>
  <c r="AU96" i="54"/>
  <c r="AU12" i="54"/>
  <c r="AT12" i="54"/>
  <c r="AS12" i="54"/>
  <c r="AV12" i="54"/>
  <c r="AX12" i="54"/>
  <c r="AW12" i="54"/>
  <c r="AI277" i="48"/>
  <c r="AT20" i="54"/>
  <c r="AX20" i="54"/>
  <c r="AS20" i="54"/>
  <c r="AW20" i="54"/>
  <c r="AU20" i="54"/>
  <c r="AV20" i="54"/>
  <c r="AI298" i="48"/>
  <c r="AI272" i="48"/>
  <c r="AK290" i="48"/>
  <c r="AS81" i="54"/>
  <c r="AW81" i="54"/>
  <c r="AX81" i="54"/>
  <c r="AT81" i="54"/>
  <c r="AV81" i="54"/>
  <c r="AU81" i="54"/>
  <c r="AS47" i="54"/>
  <c r="AV47" i="54"/>
  <c r="AX47" i="54"/>
  <c r="AT47" i="54"/>
  <c r="AW47" i="54"/>
  <c r="AU47" i="54"/>
  <c r="AI290" i="48"/>
  <c r="AI296" i="48"/>
  <c r="AA54" i="48"/>
  <c r="AA36" i="48"/>
  <c r="AA39" i="48"/>
  <c r="AL263" i="48"/>
  <c r="AA17" i="48"/>
  <c r="AA71" i="48"/>
  <c r="AA29" i="48"/>
  <c r="AA13" i="48"/>
  <c r="AI280" i="48"/>
  <c r="AX14" i="48" l="1"/>
  <c r="AX33" i="48"/>
  <c r="AX53" i="48"/>
  <c r="AX35" i="48"/>
  <c r="AX30" i="48"/>
  <c r="AX13" i="48"/>
  <c r="AX17" i="48"/>
  <c r="AX66" i="48"/>
  <c r="AX41" i="48"/>
  <c r="AX12" i="48"/>
  <c r="AX52" i="48"/>
  <c r="AX3" i="48"/>
  <c r="AX146" i="48"/>
  <c r="AX5" i="48"/>
  <c r="AX210" i="48"/>
  <c r="AX10" i="48"/>
  <c r="AX28" i="48"/>
  <c r="AX38" i="48"/>
  <c r="AX6" i="48"/>
  <c r="AX29" i="48"/>
  <c r="AX9" i="48"/>
  <c r="AX37" i="48"/>
  <c r="AX127" i="48"/>
  <c r="AX220" i="48"/>
  <c r="AX107" i="48"/>
  <c r="AX68" i="48"/>
  <c r="AX121" i="48"/>
  <c r="AX253" i="48"/>
  <c r="AX161" i="48"/>
  <c r="AX103" i="48"/>
  <c r="AX59" i="48"/>
  <c r="AX8" i="48"/>
  <c r="AX112" i="48"/>
  <c r="AX31" i="48"/>
  <c r="AX42" i="48"/>
  <c r="AX7" i="48"/>
  <c r="AX118" i="48"/>
  <c r="AX255" i="48"/>
  <c r="AX157" i="48"/>
  <c r="AX115" i="48"/>
  <c r="AX109" i="48"/>
  <c r="AX110" i="48"/>
  <c r="AX148" i="48"/>
  <c r="AX182" i="48"/>
  <c r="AX159" i="48"/>
  <c r="AX205" i="48"/>
  <c r="AX187" i="48"/>
  <c r="AX151" i="48"/>
  <c r="AX254" i="48"/>
  <c r="AX186" i="48"/>
  <c r="AX153" i="48"/>
  <c r="AX222" i="48"/>
  <c r="AX43" i="48"/>
  <c r="AX44" i="48"/>
  <c r="AX16" i="48"/>
  <c r="AX178" i="48"/>
  <c r="AX188" i="48"/>
  <c r="AX80" i="48"/>
  <c r="AX20" i="48"/>
  <c r="AX18" i="48"/>
  <c r="AX95" i="48"/>
  <c r="AX49" i="48"/>
  <c r="AX47" i="48"/>
  <c r="AX26" i="48"/>
  <c r="AX131" i="48"/>
  <c r="AX155" i="48"/>
  <c r="AX156" i="48"/>
  <c r="AX181" i="48"/>
  <c r="AX22" i="48"/>
  <c r="AX21" i="48"/>
  <c r="AX189" i="48"/>
  <c r="AX46" i="48"/>
  <c r="AX48" i="48"/>
  <c r="AX63" i="48"/>
  <c r="AX162" i="48"/>
  <c r="AX145" i="48"/>
  <c r="AX147" i="48"/>
  <c r="AX214" i="48"/>
  <c r="AX139" i="48"/>
  <c r="AX55" i="48"/>
  <c r="AX32" i="48"/>
  <c r="AX27" i="48"/>
  <c r="AX193" i="48"/>
  <c r="AX141" i="48"/>
  <c r="AX216" i="48"/>
  <c r="AX125" i="48"/>
  <c r="AX237" i="48"/>
  <c r="AX123" i="48"/>
  <c r="AX122" i="48"/>
  <c r="AX114" i="48"/>
  <c r="AX104" i="48"/>
  <c r="AX158" i="48"/>
  <c r="AX154" i="48"/>
  <c r="AX143" i="48"/>
  <c r="AX129" i="48"/>
  <c r="AX137" i="48"/>
  <c r="AX257" i="48"/>
  <c r="AX256" i="48"/>
  <c r="AX120" i="48"/>
  <c r="AX124" i="48"/>
  <c r="AX229" i="48"/>
  <c r="AX236" i="48"/>
  <c r="AX173" i="48"/>
  <c r="AX230" i="48"/>
  <c r="AX218" i="48"/>
  <c r="AX233" i="48"/>
  <c r="AX228" i="48"/>
  <c r="AX196" i="48"/>
  <c r="AX200" i="48"/>
  <c r="AX171" i="48"/>
  <c r="AX170" i="48"/>
  <c r="AX177" i="48"/>
  <c r="AX176" i="48"/>
  <c r="AX199" i="48"/>
  <c r="AX198" i="48"/>
  <c r="AX185" i="48"/>
  <c r="AX184" i="48"/>
  <c r="AX167" i="48"/>
  <c r="AX166" i="48"/>
  <c r="AX192" i="48"/>
  <c r="AX191" i="48"/>
  <c r="AX195" i="48"/>
  <c r="AX194" i="48"/>
  <c r="AX150" i="48"/>
  <c r="AX149" i="48"/>
  <c r="AX268" i="48"/>
  <c r="AX258" i="48"/>
  <c r="AX212" i="48"/>
  <c r="AX211" i="48"/>
  <c r="AX94" i="48"/>
  <c r="AX78" i="48"/>
  <c r="AX72" i="48"/>
  <c r="AX79" i="48"/>
  <c r="AX135" i="48"/>
  <c r="AX142" i="48"/>
  <c r="AX58" i="48"/>
  <c r="AM297" i="48"/>
  <c r="AX98" i="48"/>
  <c r="AX105" i="48"/>
  <c r="AX51" i="48"/>
  <c r="AX57" i="48"/>
  <c r="AX160" i="48"/>
  <c r="AX165" i="48"/>
  <c r="AX119" i="48"/>
  <c r="AX111" i="48"/>
  <c r="AX65" i="48"/>
  <c r="AX62" i="48"/>
  <c r="AX130" i="48"/>
  <c r="AX140" i="48"/>
  <c r="AX69" i="48"/>
  <c r="AX90" i="48"/>
  <c r="AX67" i="48"/>
  <c r="AX100" i="48"/>
  <c r="AX134" i="48"/>
  <c r="AX91" i="48"/>
  <c r="AX89" i="48"/>
  <c r="AX88" i="48"/>
  <c r="AX34" i="48"/>
  <c r="AX45" i="48"/>
  <c r="AX106" i="48"/>
  <c r="AX101" i="48"/>
  <c r="AX54" i="48"/>
  <c r="AX50" i="48"/>
  <c r="AX15" i="48"/>
  <c r="AX25" i="48"/>
  <c r="AX40" i="48"/>
  <c r="AX39" i="48"/>
  <c r="AX75" i="48"/>
  <c r="AX87" i="48"/>
  <c r="AX70" i="48"/>
  <c r="AX61" i="48"/>
  <c r="AX24" i="48"/>
  <c r="AX23" i="48"/>
  <c r="AX206" i="48"/>
  <c r="AX197" i="48"/>
  <c r="AX266" i="48"/>
  <c r="AX264" i="48"/>
  <c r="AX260" i="48"/>
  <c r="AX259" i="48"/>
  <c r="AX267" i="48"/>
  <c r="AX263" i="48"/>
  <c r="AX265" i="48"/>
  <c r="AX261" i="48"/>
  <c r="AX262" i="48"/>
  <c r="AX74" i="48"/>
  <c r="AX251" i="48"/>
  <c r="AX64" i="48"/>
  <c r="AX84" i="48"/>
  <c r="AX252" i="48"/>
  <c r="AX133" i="48"/>
  <c r="AX169" i="48"/>
  <c r="AX168" i="48"/>
  <c r="AX152" i="48"/>
  <c r="AX116" i="48"/>
  <c r="AX56" i="48"/>
  <c r="AX76" i="48"/>
  <c r="AX174" i="48"/>
  <c r="AX163" i="48"/>
  <c r="AX144" i="48"/>
  <c r="AX249" i="48"/>
  <c r="AX172" i="48"/>
  <c r="AX244" i="48"/>
  <c r="AX247" i="48"/>
  <c r="AX180" i="48"/>
  <c r="AX108" i="48"/>
  <c r="AX246" i="48"/>
  <c r="AX225" i="48"/>
  <c r="AX179" i="48"/>
  <c r="AX245" i="48"/>
  <c r="AX202" i="48"/>
  <c r="AX128" i="48"/>
  <c r="AX213" i="48"/>
  <c r="AX102" i="48"/>
  <c r="AX190" i="48"/>
  <c r="AX138" i="48"/>
  <c r="AX243" i="48"/>
  <c r="AX201" i="48"/>
  <c r="AX215" i="48"/>
  <c r="AM271" i="48"/>
  <c r="AM259" i="48"/>
  <c r="AM287" i="48"/>
  <c r="AM256" i="48"/>
  <c r="AX223" i="48"/>
  <c r="AX250" i="48"/>
  <c r="AX242" i="48"/>
  <c r="AX224" i="48"/>
  <c r="AX221" i="48"/>
  <c r="AX227" i="48"/>
  <c r="AX60" i="48"/>
  <c r="AX207" i="48"/>
  <c r="AX71" i="48"/>
  <c r="AX219" i="48"/>
  <c r="AX86" i="48"/>
  <c r="AX175" i="48"/>
  <c r="AX239" i="48"/>
  <c r="AX99" i="48"/>
  <c r="AX73" i="48"/>
  <c r="AX83" i="48"/>
  <c r="AX81" i="48"/>
  <c r="AX82" i="48"/>
  <c r="AX36" i="48"/>
  <c r="AX11" i="48"/>
  <c r="AX217" i="48"/>
  <c r="AX19" i="48"/>
  <c r="AX97" i="48"/>
  <c r="AX96" i="48"/>
  <c r="AX226" i="48"/>
  <c r="AX208" i="48"/>
  <c r="AX126" i="48"/>
  <c r="AX132" i="48"/>
  <c r="AX136" i="48"/>
  <c r="AX203" i="48"/>
  <c r="AX164" i="48"/>
  <c r="AX85" i="48"/>
  <c r="AM257" i="48"/>
  <c r="AM264" i="48"/>
  <c r="AM276" i="48"/>
  <c r="AM285" i="48"/>
  <c r="AM290" i="48"/>
  <c r="AM270" i="48"/>
  <c r="AM260" i="48"/>
  <c r="AM272" i="48"/>
  <c r="AM298" i="48"/>
  <c r="AM280" i="48"/>
  <c r="AM293" i="48"/>
  <c r="AM255" i="48"/>
  <c r="AM291" i="48"/>
  <c r="AM274" i="48"/>
  <c r="AM283" i="48"/>
  <c r="AX240" i="48"/>
  <c r="AX241" i="48"/>
  <c r="AX93" i="48"/>
  <c r="AX248" i="48"/>
  <c r="AX183" i="48"/>
  <c r="AX77" i="48"/>
  <c r="AX274" i="48"/>
  <c r="AX272" i="48"/>
  <c r="AX280" i="48"/>
  <c r="AX271" i="48"/>
  <c r="AX270" i="48"/>
  <c r="AX269" i="48"/>
  <c r="AX281" i="48"/>
  <c r="AX273" i="48"/>
  <c r="AX279" i="48"/>
  <c r="AX275" i="48"/>
  <c r="AX278" i="48"/>
  <c r="AX277" i="48"/>
  <c r="AX276" i="48"/>
  <c r="AX238" i="48"/>
  <c r="AX204" i="48"/>
  <c r="AX234" i="48"/>
  <c r="AX235" i="48"/>
  <c r="AX231" i="48"/>
  <c r="AX232" i="48"/>
  <c r="AM268" i="48"/>
  <c r="AM277" i="48"/>
  <c r="AM299" i="48"/>
  <c r="AM296" i="48"/>
  <c r="AM282" i="48"/>
  <c r="AM273" i="48"/>
  <c r="AM284" i="48"/>
  <c r="AM295" i="48"/>
  <c r="AM292" i="48"/>
  <c r="AM261" i="48"/>
  <c r="AM258" i="48"/>
  <c r="AM278" i="48"/>
  <c r="AM253" i="48"/>
  <c r="AM265" i="48"/>
  <c r="AM300" i="48"/>
  <c r="AM275" i="48"/>
  <c r="AM301" i="48"/>
  <c r="AM266" i="48"/>
  <c r="AM281" i="48"/>
  <c r="AM294" i="48"/>
  <c r="AM269" i="48"/>
  <c r="AX113" i="48"/>
  <c r="AX92" i="48"/>
  <c r="AX117" i="48"/>
  <c r="AX209" i="48"/>
  <c r="AM252" i="48"/>
  <c r="BF5" i="48"/>
  <c r="BF6" i="48" s="1"/>
  <c r="AM288" i="48"/>
  <c r="AM254" i="48"/>
  <c r="AM262" i="48"/>
  <c r="AM286" i="48"/>
  <c r="AM289" i="48"/>
  <c r="AM267" i="48"/>
  <c r="AM279" i="48"/>
  <c r="AM263" i="48"/>
  <c r="AO200" i="54" l="1"/>
  <c r="AO70" i="54"/>
  <c r="AO23" i="54"/>
  <c r="AB75" i="54"/>
  <c r="AO15" i="54"/>
  <c r="AO40" i="54"/>
  <c r="AO173" i="54"/>
  <c r="AO38" i="54"/>
  <c r="N23" i="54"/>
  <c r="AZ72" i="54"/>
  <c r="BA74" i="54"/>
  <c r="N10" i="54"/>
  <c r="AO161" i="54"/>
  <c r="AB47" i="54"/>
  <c r="AO82" i="54"/>
  <c r="AO165" i="54"/>
  <c r="AB80" i="54"/>
  <c r="AO19" i="54"/>
  <c r="N26" i="54"/>
  <c r="AZ74" i="54"/>
  <c r="AB155" i="54"/>
  <c r="AO35" i="54"/>
  <c r="AB98" i="54"/>
  <c r="AO142" i="54"/>
  <c r="T142" i="44" s="1"/>
  <c r="AB129" i="54"/>
  <c r="AO11" i="54"/>
  <c r="AB125" i="54"/>
  <c r="AZ91" i="54"/>
  <c r="BA42" i="54"/>
  <c r="AZ59" i="54"/>
  <c r="BA2" i="54"/>
  <c r="AZ2" i="54"/>
  <c r="AO203" i="54"/>
  <c r="AO207" i="54"/>
  <c r="N6" i="54"/>
  <c r="AO4" i="54"/>
  <c r="AB77" i="54"/>
  <c r="AO181" i="54"/>
  <c r="AO171" i="54"/>
  <c r="T171" i="44" s="1"/>
  <c r="AO13" i="54"/>
  <c r="AB152" i="54"/>
  <c r="AO44" i="54"/>
  <c r="AB134" i="54"/>
  <c r="AB29" i="54"/>
  <c r="AO150" i="54"/>
  <c r="T150" i="44" s="1"/>
  <c r="AO128" i="54"/>
  <c r="AO204" i="54"/>
  <c r="AB131" i="54"/>
  <c r="AB132" i="54"/>
  <c r="AB167" i="54"/>
  <c r="AO180" i="54"/>
  <c r="AB105" i="54"/>
  <c r="AB89" i="55" s="1"/>
  <c r="N13" i="54"/>
  <c r="AO198" i="54"/>
  <c r="AB163" i="54"/>
  <c r="AO167" i="54"/>
  <c r="N30" i="54"/>
  <c r="AO52" i="54"/>
  <c r="AB102" i="54"/>
  <c r="AO219" i="54"/>
  <c r="AB27" i="54"/>
  <c r="AB54" i="54"/>
  <c r="AO214" i="54"/>
  <c r="AB43" i="54"/>
  <c r="N28" i="54"/>
  <c r="AO86" i="54"/>
  <c r="AO218" i="54"/>
  <c r="AO12" i="54"/>
  <c r="AB128" i="54"/>
  <c r="AO21" i="54"/>
  <c r="AB156" i="54"/>
  <c r="N73" i="54"/>
  <c r="AO162" i="54"/>
  <c r="AZ78" i="54"/>
  <c r="AZ52" i="54"/>
  <c r="BA52" i="54"/>
  <c r="AZ68" i="54"/>
  <c r="BA68" i="54"/>
  <c r="AO148" i="54"/>
  <c r="AB6" i="54"/>
  <c r="AB30" i="54"/>
  <c r="N52" i="54"/>
  <c r="AH18" i="48"/>
  <c r="AH24" i="48"/>
  <c r="AH61" i="48"/>
  <c r="AH193" i="48"/>
  <c r="AH109" i="48"/>
  <c r="AH214" i="48"/>
  <c r="AH215" i="48"/>
  <c r="AH48" i="48"/>
  <c r="AH176" i="48"/>
  <c r="AH63" i="48"/>
  <c r="AH128" i="48"/>
  <c r="AH83" i="48"/>
  <c r="AH144" i="48"/>
  <c r="AH190" i="48"/>
  <c r="BA36" i="54"/>
  <c r="AB154" i="54"/>
  <c r="N16" i="54"/>
  <c r="BA60" i="54"/>
  <c r="AZ9" i="54"/>
  <c r="AZ85" i="54"/>
  <c r="AZ84" i="54"/>
  <c r="AZ60" i="54"/>
  <c r="AA60" i="44" s="1"/>
  <c r="AO92" i="54"/>
  <c r="AO136" i="54"/>
  <c r="T136" i="44" s="1"/>
  <c r="N61" i="54"/>
  <c r="F61" i="44" s="1"/>
  <c r="AO49" i="54"/>
  <c r="AB136" i="54"/>
  <c r="AO27" i="54"/>
  <c r="AO193" i="54"/>
  <c r="AO178" i="54"/>
  <c r="AO34" i="54"/>
  <c r="AO217" i="54"/>
  <c r="AB96" i="54"/>
  <c r="M96" i="44" s="1"/>
  <c r="AO146" i="54"/>
  <c r="T146" i="44" s="1"/>
  <c r="AB64" i="54"/>
  <c r="AB108" i="54"/>
  <c r="M108" i="44" s="1"/>
  <c r="AB51" i="54"/>
  <c r="N38" i="54"/>
  <c r="AO189" i="54"/>
  <c r="AO124" i="54"/>
  <c r="AO31" i="54"/>
  <c r="AB56" i="54"/>
  <c r="AO105" i="54"/>
  <c r="AB22" i="54"/>
  <c r="AB24" i="54"/>
  <c r="AB62" i="54"/>
  <c r="AH269" i="48"/>
  <c r="AH288" i="48"/>
  <c r="AH286" i="48"/>
  <c r="AH289" i="48"/>
  <c r="AH267" i="48"/>
  <c r="AH279" i="48"/>
  <c r="AH22" i="48"/>
  <c r="AH23" i="48"/>
  <c r="AH78" i="48"/>
  <c r="AH64" i="48"/>
  <c r="AH219" i="48"/>
  <c r="AH123" i="48"/>
  <c r="AH86" i="48"/>
  <c r="AH94" i="48"/>
  <c r="AH108" i="48"/>
  <c r="AH77" i="48"/>
  <c r="AH67" i="48"/>
  <c r="AH119" i="48"/>
  <c r="AH98" i="48"/>
  <c r="AH47" i="48"/>
  <c r="AH129" i="48"/>
  <c r="AH8" i="48"/>
  <c r="AH236" i="48"/>
  <c r="AH149" i="48"/>
  <c r="AH9" i="48"/>
  <c r="AH125" i="48"/>
  <c r="AH228" i="48"/>
  <c r="AH6" i="48"/>
  <c r="AH7" i="48"/>
  <c r="AH45" i="48"/>
  <c r="AH58" i="48"/>
  <c r="AH132" i="48"/>
  <c r="AH4" i="48"/>
  <c r="AH217" i="48"/>
  <c r="AH227" i="48"/>
  <c r="AH146" i="48"/>
  <c r="AH135" i="48"/>
  <c r="AH239" i="48"/>
  <c r="AH52" i="48"/>
  <c r="AH102" i="48"/>
  <c r="AH84" i="48"/>
  <c r="AH179" i="48"/>
  <c r="AH218" i="48"/>
  <c r="AH51" i="48"/>
  <c r="AH73" i="48"/>
  <c r="AH209" i="48"/>
  <c r="AH221" i="48"/>
  <c r="AH17" i="48"/>
  <c r="AH148" i="48"/>
  <c r="BA78" i="54"/>
  <c r="BA72" i="54"/>
  <c r="AB35" i="54"/>
  <c r="AB123" i="54"/>
  <c r="AO145" i="54"/>
  <c r="T145" i="44" s="1"/>
  <c r="N18" i="54"/>
  <c r="AO122" i="54"/>
  <c r="AB66" i="54"/>
  <c r="AB44" i="54"/>
  <c r="N11" i="54"/>
  <c r="N51" i="54"/>
  <c r="AO195" i="54"/>
  <c r="AO80" i="54"/>
  <c r="AO46" i="54"/>
  <c r="AH284" i="48"/>
  <c r="AH258" i="48"/>
  <c r="AH278" i="48"/>
  <c r="BA10" i="54"/>
  <c r="BA18" i="54"/>
  <c r="BA53" i="54"/>
  <c r="BA50" i="54"/>
  <c r="BA34" i="54"/>
  <c r="AZ34" i="54"/>
  <c r="AZ69" i="54"/>
  <c r="AA69" i="44" s="1"/>
  <c r="BA69" i="54"/>
  <c r="AZ8" i="54"/>
  <c r="BA8" i="54"/>
  <c r="BA28" i="54"/>
  <c r="AZ28" i="54"/>
  <c r="AZ37" i="54"/>
  <c r="BA37" i="54"/>
  <c r="BA66" i="54"/>
  <c r="AZ66" i="54"/>
  <c r="AZ57" i="54"/>
  <c r="BA57" i="54"/>
  <c r="BA21" i="54"/>
  <c r="AZ21" i="54"/>
  <c r="AZ77" i="54"/>
  <c r="BA77" i="54"/>
  <c r="AZ70" i="54"/>
  <c r="AA70" i="44" s="1"/>
  <c r="BA70" i="54"/>
  <c r="BA7" i="54"/>
  <c r="AZ7" i="54"/>
  <c r="BA5" i="54"/>
  <c r="AZ5" i="54"/>
  <c r="BA43" i="54"/>
  <c r="AZ43" i="54"/>
  <c r="AZ10" i="54"/>
  <c r="BA24" i="54"/>
  <c r="BA58" i="54"/>
  <c r="AZ18" i="54"/>
  <c r="BA33" i="54"/>
  <c r="AZ33" i="54"/>
  <c r="AZ24" i="54"/>
  <c r="AZ53" i="54"/>
  <c r="AH187" i="48"/>
  <c r="AH39" i="48"/>
  <c r="AH244" i="48"/>
  <c r="AH252" i="48"/>
  <c r="AH216" i="48"/>
  <c r="AH71" i="48"/>
  <c r="AH72" i="48"/>
  <c r="AH122" i="48"/>
  <c r="AH139" i="48"/>
  <c r="AH103" i="48"/>
  <c r="AH147" i="48"/>
  <c r="AH158" i="48"/>
  <c r="AH177" i="48"/>
  <c r="AH55" i="48"/>
  <c r="AH97" i="48"/>
  <c r="AH210" i="48"/>
  <c r="AH191" i="48"/>
  <c r="AH201" i="48"/>
  <c r="AH89" i="48"/>
  <c r="AH66" i="48"/>
  <c r="AH65" i="48"/>
  <c r="AH104" i="48"/>
  <c r="AH185" i="48"/>
  <c r="AH150" i="48"/>
  <c r="AH240" i="48"/>
  <c r="AH25" i="48"/>
  <c r="AH21" i="48"/>
  <c r="AH171" i="48"/>
  <c r="AH15" i="48"/>
  <c r="AH68" i="48"/>
  <c r="AH225" i="48"/>
  <c r="AH28" i="48"/>
  <c r="AH155" i="48"/>
  <c r="AH134" i="48"/>
  <c r="AH29" i="48"/>
  <c r="AH243" i="48"/>
  <c r="AH127" i="48"/>
  <c r="AH79" i="48"/>
  <c r="AH99" i="48"/>
  <c r="AH106" i="48"/>
  <c r="AH202" i="48"/>
  <c r="AH213" i="48"/>
  <c r="AH198" i="48"/>
  <c r="AH44" i="48"/>
  <c r="AH143" i="48"/>
  <c r="AH165" i="48"/>
  <c r="AH34" i="48"/>
  <c r="AH157" i="48"/>
  <c r="AH112" i="48"/>
  <c r="AH172" i="48"/>
  <c r="AH85" i="48"/>
  <c r="AH54" i="48"/>
  <c r="AH163" i="48"/>
  <c r="AH249" i="48"/>
  <c r="AH56" i="48"/>
  <c r="AH31" i="48"/>
  <c r="AH105" i="48"/>
  <c r="AH120" i="48"/>
  <c r="AH242" i="48"/>
  <c r="AH156" i="48"/>
  <c r="AH35" i="48"/>
  <c r="AH167" i="48"/>
  <c r="AH208" i="48"/>
  <c r="AH275" i="48"/>
  <c r="AH290" i="48"/>
  <c r="AH266" i="48"/>
  <c r="AH300" i="48"/>
  <c r="AH285" i="48"/>
  <c r="AH173" i="48"/>
  <c r="AH271" i="48"/>
  <c r="AH113" i="48"/>
  <c r="AH230" i="48"/>
  <c r="AH182" i="48"/>
  <c r="AH232" i="48"/>
  <c r="AH194" i="48"/>
  <c r="AH111" i="48"/>
  <c r="AH212" i="48"/>
  <c r="AH237" i="48"/>
  <c r="AH235" i="48"/>
  <c r="AH75" i="48"/>
  <c r="AH170" i="48"/>
  <c r="AH3" i="48"/>
  <c r="AH184" i="48"/>
  <c r="AH233" i="48"/>
  <c r="AH192" i="48"/>
  <c r="AH195" i="48"/>
  <c r="AH70" i="48"/>
  <c r="AH14" i="48"/>
  <c r="AH238" i="48"/>
  <c r="AH101" i="48"/>
  <c r="AH114" i="48"/>
  <c r="AH100" i="48"/>
  <c r="AH91" i="48"/>
  <c r="AH12" i="48"/>
  <c r="AH93" i="48"/>
  <c r="AH87" i="48"/>
  <c r="AH189" i="48"/>
  <c r="AH92" i="48"/>
  <c r="AH223" i="48"/>
  <c r="AH136" i="48"/>
  <c r="AH16" i="48"/>
  <c r="AH90" i="48"/>
  <c r="AH117" i="48"/>
  <c r="AH186" i="48"/>
  <c r="AH13" i="48"/>
  <c r="AH30" i="48"/>
  <c r="AH59" i="48"/>
  <c r="AH160" i="48"/>
  <c r="AH81" i="48"/>
  <c r="AH168" i="48"/>
  <c r="AH38" i="48"/>
  <c r="AH161" i="48"/>
  <c r="AH62" i="48"/>
  <c r="AH19" i="48"/>
  <c r="AH207" i="48"/>
  <c r="AH121" i="48"/>
  <c r="AH115" i="48"/>
  <c r="AH241" i="48"/>
  <c r="AH180" i="48"/>
  <c r="AH166" i="48"/>
  <c r="AH126" i="48"/>
  <c r="AH140" i="48"/>
  <c r="AH206" i="48"/>
  <c r="AH50" i="48"/>
  <c r="AH131" i="48"/>
  <c r="AH118" i="48"/>
  <c r="AH203" i="48"/>
  <c r="AH138" i="48"/>
  <c r="AH20" i="48"/>
  <c r="AH151" i="48"/>
  <c r="AH197" i="48"/>
  <c r="AH220" i="48"/>
  <c r="AH205" i="48"/>
  <c r="AH257" i="48"/>
  <c r="AH32" i="48"/>
  <c r="AH256" i="48"/>
  <c r="AH261" i="48"/>
  <c r="AH276" i="48"/>
  <c r="AH169" i="48"/>
  <c r="AH264" i="48"/>
  <c r="AH10" i="48"/>
  <c r="AH37" i="48"/>
  <c r="AH222" i="48"/>
  <c r="AH26" i="48"/>
  <c r="AH248" i="48"/>
  <c r="AH251" i="48"/>
  <c r="AH175" i="48"/>
  <c r="AH183" i="48"/>
  <c r="AH181" i="48"/>
  <c r="AH142" i="48"/>
  <c r="AH43" i="48"/>
  <c r="AH145" i="48"/>
  <c r="AH42" i="48"/>
  <c r="AH40" i="48"/>
  <c r="AH153" i="48"/>
  <c r="AH246" i="48"/>
  <c r="AH247" i="48"/>
  <c r="AH226" i="48"/>
  <c r="AH36" i="48"/>
  <c r="AH33" i="48"/>
  <c r="AH82" i="48"/>
  <c r="AH124" i="48"/>
  <c r="AH234" i="48"/>
  <c r="AH280" i="48"/>
  <c r="AH162" i="48"/>
  <c r="AH224" i="48"/>
  <c r="AH301" i="48"/>
  <c r="AH69" i="48"/>
  <c r="AH295" i="48"/>
  <c r="AH200" i="48"/>
  <c r="AH282" i="48"/>
  <c r="AH281" i="48"/>
  <c r="AH96" i="48"/>
  <c r="AH294" i="48"/>
  <c r="AH88" i="48"/>
  <c r="AH253" i="48"/>
  <c r="AH159" i="48"/>
  <c r="AH277" i="48"/>
  <c r="AH133" i="48"/>
  <c r="AH299" i="48"/>
  <c r="AH53" i="48"/>
  <c r="AH196" i="48"/>
  <c r="AH49" i="48"/>
  <c r="AH283" i="48"/>
  <c r="AH154" i="48"/>
  <c r="AH268" i="48"/>
  <c r="AH11" i="48"/>
  <c r="AH272" i="48"/>
  <c r="AH178" i="48"/>
  <c r="AH141" i="48"/>
  <c r="AH130" i="48"/>
  <c r="AH265" i="48"/>
  <c r="AH287" i="48"/>
  <c r="AH296" i="48"/>
  <c r="AH204" i="48"/>
  <c r="AH273" i="48"/>
  <c r="AH2" i="48"/>
  <c r="AH60" i="48"/>
  <c r="AH292" i="48"/>
  <c r="AH297" i="48"/>
  <c r="AH270" i="48"/>
  <c r="AH76" i="48"/>
  <c r="AH274" i="48"/>
  <c r="AH107" i="48"/>
  <c r="AH260" i="48"/>
  <c r="AH298" i="48"/>
  <c r="AZ45" i="54"/>
  <c r="BA45" i="54"/>
  <c r="BA83" i="54"/>
  <c r="AZ83" i="54"/>
  <c r="BA13" i="54"/>
  <c r="BA79" i="54"/>
  <c r="AZ87" i="54"/>
  <c r="BA20" i="54"/>
  <c r="BA12" i="54"/>
  <c r="AZ12" i="54"/>
  <c r="BA48" i="54"/>
  <c r="AZ26" i="54"/>
  <c r="AZ61" i="54"/>
  <c r="AA61" i="44" s="1"/>
  <c r="BA96" i="54"/>
  <c r="AZ96" i="54"/>
  <c r="BA35" i="54"/>
  <c r="AZ35" i="54"/>
  <c r="BA40" i="54"/>
  <c r="BA82" i="54"/>
  <c r="BA56" i="54"/>
  <c r="AZ65" i="54"/>
  <c r="AA65" i="44" s="1"/>
  <c r="AZ80" i="54"/>
  <c r="AA80" i="44" s="1"/>
  <c r="BA80" i="54"/>
  <c r="AZ101" i="54"/>
  <c r="BA101" i="54"/>
  <c r="BA92" i="54"/>
  <c r="AZ92" i="54"/>
  <c r="AZ51" i="54"/>
  <c r="BA51" i="54"/>
  <c r="AZ98" i="54"/>
  <c r="BA98" i="54"/>
  <c r="BA27" i="54"/>
  <c r="AZ27" i="54"/>
  <c r="AZ94" i="54"/>
  <c r="BA99" i="54"/>
  <c r="AZ99" i="54"/>
  <c r="BA94" i="54"/>
  <c r="AZ15" i="54"/>
  <c r="BA15" i="54"/>
  <c r="AZ46" i="54"/>
  <c r="BA46" i="54"/>
  <c r="AZ63" i="54"/>
  <c r="BA63" i="54"/>
  <c r="BA97" i="54"/>
  <c r="AZ97" i="54"/>
  <c r="AZ25" i="54"/>
  <c r="BA25" i="54"/>
  <c r="BA22" i="54"/>
  <c r="AZ22" i="54"/>
  <c r="BA39" i="54"/>
  <c r="AZ39" i="54"/>
  <c r="AZ67" i="54"/>
  <c r="BA67" i="54"/>
  <c r="BA6" i="54"/>
  <c r="AZ6" i="54"/>
  <c r="AZ95" i="54"/>
  <c r="BA95" i="54"/>
  <c r="AO113" i="54"/>
  <c r="AO172" i="54"/>
  <c r="N78" i="54"/>
  <c r="AO84" i="54"/>
  <c r="AO100" i="54"/>
  <c r="N60" i="54"/>
  <c r="N43" i="54"/>
  <c r="AO140" i="54"/>
  <c r="AB97" i="54"/>
  <c r="AB17" i="54"/>
  <c r="AB2" i="54"/>
  <c r="AB147" i="54"/>
  <c r="AZ88" i="54"/>
  <c r="BA88" i="54"/>
  <c r="BA31" i="54"/>
  <c r="AZ31" i="54"/>
  <c r="AZ89" i="54"/>
  <c r="BA89" i="54"/>
  <c r="AB67" i="54"/>
  <c r="AB143" i="54"/>
  <c r="AB90" i="54"/>
  <c r="AO211" i="54"/>
  <c r="AO39" i="54"/>
  <c r="N48" i="54"/>
  <c r="AO56" i="54"/>
  <c r="AO110" i="54"/>
  <c r="AO179" i="54"/>
  <c r="AB25" i="54"/>
  <c r="AO132" i="54"/>
  <c r="AB93" i="54"/>
  <c r="N69" i="54"/>
  <c r="AO22" i="54"/>
  <c r="AO191" i="54"/>
  <c r="AB122" i="54"/>
  <c r="N39" i="54"/>
  <c r="AO126" i="54"/>
  <c r="N22" i="54"/>
  <c r="AB26" i="54"/>
  <c r="AO17" i="54"/>
  <c r="AO134" i="54"/>
  <c r="AB82" i="54"/>
  <c r="AO53" i="54"/>
  <c r="AB103" i="54"/>
  <c r="N25" i="54"/>
  <c r="AB144" i="54"/>
  <c r="N9" i="54"/>
  <c r="AO81" i="54"/>
  <c r="AO62" i="54"/>
  <c r="N75" i="54"/>
  <c r="AO50" i="54"/>
  <c r="AB84" i="54"/>
  <c r="AB72" i="54"/>
  <c r="AB83" i="54"/>
  <c r="AO194" i="54"/>
  <c r="AB110" i="54"/>
  <c r="AO33" i="54"/>
  <c r="AB107" i="54"/>
  <c r="AB76" i="54"/>
  <c r="AB165" i="54"/>
  <c r="AB5" i="54"/>
  <c r="N47" i="54"/>
  <c r="AB36" i="54"/>
  <c r="AO97" i="54"/>
  <c r="AO143" i="54"/>
  <c r="AO76" i="54"/>
  <c r="AB106" i="54"/>
  <c r="AO186" i="54"/>
  <c r="AB33" i="54"/>
  <c r="AO59" i="54"/>
  <c r="AB149" i="54"/>
  <c r="AO108" i="54"/>
  <c r="AO26" i="54"/>
  <c r="AO109" i="54"/>
  <c r="N50" i="54"/>
  <c r="AB61" i="54"/>
  <c r="AB12" i="54"/>
  <c r="AB16" i="54"/>
  <c r="N12" i="54"/>
  <c r="AO123" i="54"/>
  <c r="AO5" i="54"/>
  <c r="AO60" i="54"/>
  <c r="AO149" i="54"/>
  <c r="T149" i="44" s="1"/>
  <c r="AB94" i="54"/>
  <c r="AB20" i="54"/>
  <c r="AB9" i="54"/>
  <c r="N64" i="54"/>
  <c r="N79" i="54"/>
  <c r="N57" i="54"/>
  <c r="AB57" i="54"/>
  <c r="AB73" i="54"/>
  <c r="AB138" i="54"/>
  <c r="N40" i="54"/>
  <c r="AB68" i="54"/>
  <c r="AO202" i="54"/>
  <c r="N8" i="54"/>
  <c r="AO16" i="54"/>
  <c r="AB139" i="54"/>
  <c r="N67" i="54"/>
  <c r="AO75" i="54"/>
  <c r="N46" i="54"/>
  <c r="N65" i="54"/>
  <c r="AB13" i="54"/>
  <c r="N77" i="54"/>
  <c r="AO71" i="54"/>
  <c r="N24" i="54"/>
  <c r="AB150" i="54"/>
  <c r="AO57" i="54"/>
  <c r="AB11" i="54"/>
  <c r="N59" i="54"/>
  <c r="AO24" i="54"/>
  <c r="AO67" i="54"/>
  <c r="AB145" i="54"/>
  <c r="AO166" i="54"/>
  <c r="N55" i="54"/>
  <c r="AO156" i="54"/>
  <c r="AO79" i="54"/>
  <c r="AB171" i="54"/>
  <c r="AO7" i="54"/>
  <c r="AO58" i="54"/>
  <c r="AO205" i="54"/>
  <c r="N45" i="54"/>
  <c r="AO118" i="54"/>
  <c r="AO87" i="54"/>
  <c r="AO154" i="54"/>
  <c r="AO66" i="54"/>
  <c r="AO42" i="54"/>
  <c r="AO51" i="54"/>
  <c r="AO208" i="54"/>
  <c r="AB70" i="54"/>
  <c r="AO112" i="54"/>
  <c r="AB146" i="54"/>
  <c r="N31" i="54"/>
  <c r="AB160" i="54"/>
  <c r="AO43" i="54"/>
  <c r="AB130" i="54"/>
  <c r="AB32" i="54"/>
  <c r="AB3" i="54"/>
  <c r="AB142" i="54"/>
  <c r="AB126" i="54"/>
  <c r="AO32" i="54"/>
  <c r="N21" i="54"/>
  <c r="AO192" i="54"/>
  <c r="AB55" i="54"/>
  <c r="AO212" i="54"/>
  <c r="N62" i="54"/>
  <c r="AB69" i="54"/>
  <c r="AB170" i="54"/>
  <c r="N54" i="54"/>
  <c r="AO141" i="54"/>
  <c r="AO188" i="54"/>
  <c r="AO187" i="54"/>
  <c r="AB151" i="54"/>
  <c r="N20" i="54"/>
  <c r="N72" i="54"/>
  <c r="AO209" i="54"/>
  <c r="AO210" i="54"/>
  <c r="AO64" i="54"/>
  <c r="AO45" i="54"/>
  <c r="AB112" i="54"/>
  <c r="AO74" i="54"/>
  <c r="AO170" i="54"/>
  <c r="AO176" i="54"/>
  <c r="AB23" i="54"/>
  <c r="AO174" i="54"/>
  <c r="AO103" i="54"/>
  <c r="AB81" i="54"/>
  <c r="N74" i="54"/>
  <c r="AO99" i="54"/>
  <c r="N2" i="54"/>
  <c r="N2" i="58" s="1"/>
  <c r="AB120" i="54"/>
  <c r="N7" i="54"/>
  <c r="N66" i="54"/>
  <c r="AO61" i="54"/>
  <c r="N76" i="54"/>
  <c r="AB48" i="54"/>
  <c r="AO175" i="54"/>
  <c r="AO133" i="54"/>
  <c r="AO30" i="54"/>
  <c r="AB168" i="54"/>
  <c r="AB166" i="54"/>
  <c r="AB157" i="54"/>
  <c r="AB14" i="54"/>
  <c r="AB19" i="54"/>
  <c r="AB109" i="54"/>
  <c r="AB85" i="54"/>
  <c r="N36" i="54"/>
  <c r="N37" i="54"/>
  <c r="N33" i="54"/>
  <c r="AO119" i="54"/>
  <c r="AO8" i="54"/>
  <c r="AO206" i="54"/>
  <c r="AO55" i="54"/>
  <c r="AO160" i="54"/>
  <c r="AO48" i="54"/>
  <c r="AO65" i="54"/>
  <c r="AB100" i="54"/>
  <c r="AB10" i="54"/>
  <c r="AO184" i="54"/>
  <c r="AO131" i="54"/>
  <c r="AO197" i="54"/>
  <c r="AB162" i="54"/>
  <c r="AB88" i="54"/>
  <c r="AB164" i="54"/>
  <c r="AB21" i="54"/>
  <c r="N5" i="54"/>
  <c r="AO164" i="54"/>
  <c r="N44" i="54"/>
  <c r="AB99" i="54"/>
  <c r="AO3" i="54"/>
  <c r="AB124" i="54"/>
  <c r="AB158" i="54"/>
  <c r="AO155" i="54"/>
  <c r="AO102" i="54"/>
  <c r="AB31" i="54"/>
  <c r="AO78" i="54"/>
  <c r="AO106" i="54"/>
  <c r="AB133" i="54"/>
  <c r="AO36" i="54"/>
  <c r="AB148" i="54"/>
  <c r="AO151" i="54"/>
  <c r="AO107" i="54"/>
  <c r="AO138" i="54"/>
  <c r="AB65" i="54"/>
  <c r="N32" i="54"/>
  <c r="AO111" i="54"/>
  <c r="AO68" i="54"/>
  <c r="AO114" i="54"/>
  <c r="AB46" i="54"/>
  <c r="AO144" i="54"/>
  <c r="AB89" i="54"/>
  <c r="AO125" i="54"/>
  <c r="AO182" i="54"/>
  <c r="AB74" i="54"/>
  <c r="AB137" i="54"/>
  <c r="N71" i="54"/>
  <c r="AO101" i="54"/>
  <c r="AO159" i="54"/>
  <c r="AO127" i="54"/>
  <c r="AB49" i="54"/>
  <c r="AB114" i="54"/>
  <c r="AB71" i="54"/>
  <c r="N17" i="54"/>
  <c r="AO37" i="54"/>
  <c r="AO135" i="54"/>
  <c r="AB60" i="54"/>
  <c r="AB169" i="54"/>
  <c r="AO201" i="54"/>
  <c r="AB115" i="54"/>
  <c r="N19" i="54"/>
  <c r="AO77" i="54"/>
  <c r="AO104" i="54"/>
  <c r="AO169" i="54"/>
  <c r="AB95" i="54"/>
  <c r="N41" i="54"/>
  <c r="N53" i="54"/>
  <c r="N58" i="54"/>
  <c r="AO2" i="54"/>
  <c r="AO72" i="54"/>
  <c r="AO6" i="54"/>
  <c r="AO83" i="54"/>
  <c r="AB117" i="54"/>
  <c r="AB39" i="54"/>
  <c r="AO14" i="54"/>
  <c r="AB116" i="54"/>
  <c r="AB37" i="54"/>
  <c r="N35" i="54"/>
  <c r="N27" i="54"/>
  <c r="AO89" i="54"/>
  <c r="AO20" i="54"/>
  <c r="AO183" i="54"/>
  <c r="AB38" i="54"/>
  <c r="AO216" i="54"/>
  <c r="N14" i="54"/>
  <c r="N63" i="54"/>
  <c r="AB15" i="54"/>
  <c r="N56" i="54"/>
  <c r="AB34" i="54"/>
  <c r="AB52" i="54"/>
  <c r="AO96" i="54"/>
  <c r="AB159" i="54"/>
  <c r="BA62" i="54"/>
  <c r="AZ4" i="54"/>
  <c r="AO115" i="54"/>
  <c r="AO85" i="54"/>
  <c r="AB45" i="54"/>
  <c r="AB63" i="54"/>
  <c r="N70" i="54"/>
  <c r="AO213" i="54"/>
  <c r="AO130" i="54"/>
  <c r="AB127" i="54"/>
  <c r="AO9" i="54"/>
  <c r="AO120" i="54"/>
  <c r="AB153" i="54"/>
  <c r="AO163" i="54"/>
  <c r="AO18" i="54"/>
  <c r="AB118" i="54"/>
  <c r="AO63" i="54"/>
  <c r="AB135" i="54"/>
  <c r="N4" i="54"/>
  <c r="AO98" i="54"/>
  <c r="AO177" i="54"/>
  <c r="AO137" i="54"/>
  <c r="AB101" i="54"/>
  <c r="N49" i="54"/>
  <c r="AO220" i="54"/>
  <c r="AO91" i="54"/>
  <c r="AB91" i="54"/>
  <c r="N42" i="54"/>
  <c r="AB111" i="54"/>
  <c r="AB59" i="54"/>
  <c r="AO73" i="54"/>
  <c r="AB28" i="54"/>
  <c r="AO153" i="54"/>
  <c r="AO117" i="54"/>
  <c r="AO199" i="54"/>
  <c r="AO93" i="54"/>
  <c r="AO190" i="54"/>
  <c r="AO185" i="54"/>
  <c r="AO147" i="54"/>
  <c r="AB42" i="54"/>
  <c r="AB58" i="54"/>
  <c r="AB40" i="54"/>
  <c r="AB79" i="54"/>
  <c r="N68" i="54"/>
  <c r="AO88" i="54"/>
  <c r="AO121" i="54"/>
  <c r="AB113" i="54"/>
  <c r="AB41" i="54"/>
  <c r="AB104" i="54"/>
  <c r="AO168" i="54"/>
  <c r="AB8" i="54"/>
  <c r="AB53" i="54"/>
  <c r="AB87" i="54"/>
  <c r="AZ62" i="54"/>
  <c r="AA62" i="44" s="1"/>
  <c r="BA38" i="54"/>
  <c r="BA4" i="54"/>
  <c r="AB78" i="54"/>
  <c r="AB119" i="54"/>
  <c r="N34" i="54"/>
  <c r="N29" i="54"/>
  <c r="N3" i="54"/>
  <c r="AO69" i="54"/>
  <c r="AO129" i="54"/>
  <c r="AO94" i="54"/>
  <c r="AO29" i="54"/>
  <c r="AO25" i="54"/>
  <c r="AO90" i="54"/>
  <c r="AO28" i="54"/>
  <c r="AO10" i="54"/>
  <c r="AO196" i="54"/>
  <c r="AB161" i="54"/>
  <c r="AO221" i="54"/>
  <c r="AO116" i="54"/>
  <c r="AO95" i="54"/>
  <c r="AB18" i="54"/>
  <c r="AB4" i="54"/>
  <c r="AB50" i="54"/>
  <c r="AB86" i="54"/>
  <c r="AZ38" i="54"/>
  <c r="AB141" i="54"/>
  <c r="AO158" i="54"/>
  <c r="AO152" i="54"/>
  <c r="AO41" i="54"/>
  <c r="AO157" i="54"/>
  <c r="AO47" i="54"/>
  <c r="AB121" i="54"/>
  <c r="AB140" i="54"/>
  <c r="AB7" i="54"/>
  <c r="N15" i="54"/>
  <c r="N80" i="54"/>
  <c r="AO139" i="54"/>
  <c r="AB92" i="54"/>
  <c r="AO215" i="54"/>
  <c r="AO54" i="54"/>
  <c r="BA55" i="54"/>
  <c r="BA9" i="54"/>
  <c r="BA91" i="54"/>
  <c r="AZ42" i="54"/>
  <c r="AZ58" i="54"/>
  <c r="BA59" i="54"/>
  <c r="BA85" i="54"/>
  <c r="BA84" i="54"/>
  <c r="BA93" i="54"/>
  <c r="AZ93" i="54"/>
  <c r="BA86" i="54"/>
  <c r="AZ86" i="54"/>
  <c r="BA44" i="54"/>
  <c r="AZ44" i="54"/>
  <c r="BA90" i="54"/>
  <c r="AZ90" i="54"/>
  <c r="BA47" i="54"/>
  <c r="AZ47" i="54"/>
  <c r="BA100" i="54"/>
  <c r="AZ100" i="54"/>
  <c r="AZ13" i="54"/>
  <c r="AZ79" i="54"/>
  <c r="BA87" i="54"/>
  <c r="AZ20" i="54"/>
  <c r="AZ48" i="54"/>
  <c r="BA26" i="54"/>
  <c r="BA61" i="54"/>
  <c r="AZ40" i="54"/>
  <c r="BA81" i="54"/>
  <c r="BA73" i="54"/>
  <c r="AZ73" i="54"/>
  <c r="AZ41" i="54"/>
  <c r="BA41" i="54"/>
  <c r="AZ14" i="54"/>
  <c r="AZ50" i="54"/>
  <c r="AZ36" i="54"/>
  <c r="BA29" i="54"/>
  <c r="AZ71" i="54"/>
  <c r="BA17" i="54"/>
  <c r="AZ17" i="54"/>
  <c r="AZ49" i="54"/>
  <c r="AZ64" i="54"/>
  <c r="BA64" i="54"/>
  <c r="AZ32" i="54"/>
  <c r="BA23" i="54"/>
  <c r="AZ23" i="54"/>
  <c r="BA19" i="54"/>
  <c r="AZ55" i="54"/>
  <c r="AZ75" i="54"/>
  <c r="BA75" i="54"/>
  <c r="AZ82" i="54"/>
  <c r="AZ56" i="54"/>
  <c r="BA65" i="54"/>
  <c r="AZ11" i="54"/>
  <c r="BA11" i="54"/>
  <c r="BA16" i="54"/>
  <c r="AZ16" i="54"/>
  <c r="AZ76" i="54"/>
  <c r="BA76" i="54"/>
  <c r="BA54" i="54"/>
  <c r="AZ54" i="54"/>
  <c r="AA54" i="44" s="1"/>
  <c r="BA3" i="54"/>
  <c r="AZ3" i="54"/>
  <c r="AZ30" i="54"/>
  <c r="BA30" i="54"/>
  <c r="AZ81" i="54"/>
  <c r="BA14" i="54"/>
  <c r="AZ29" i="54"/>
  <c r="BA71" i="54"/>
  <c r="BA49" i="54"/>
  <c r="BA32" i="54"/>
  <c r="AZ19" i="54"/>
  <c r="AH152" i="48"/>
  <c r="AH250" i="48"/>
  <c r="AH291" i="48"/>
  <c r="AH259" i="48"/>
  <c r="AH229" i="48"/>
  <c r="AH137" i="48"/>
  <c r="AH293" i="48"/>
  <c r="AH255" i="48"/>
  <c r="AH254" i="48"/>
  <c r="AH46" i="48"/>
  <c r="AH5" i="48"/>
  <c r="AH199" i="48"/>
  <c r="AH74" i="48"/>
  <c r="AH262" i="48"/>
  <c r="AH231" i="48"/>
  <c r="AH211" i="48"/>
  <c r="AH164" i="48"/>
  <c r="AH188" i="48"/>
  <c r="AH263" i="48"/>
  <c r="AH116" i="48"/>
  <c r="AH110" i="48"/>
  <c r="AH41" i="48"/>
  <c r="AH27" i="48"/>
  <c r="AH95" i="48"/>
  <c r="AH57" i="48"/>
  <c r="AH80" i="48"/>
  <c r="AH245" i="48"/>
  <c r="AH174" i="48"/>
  <c r="AA81" i="44"/>
  <c r="AA19" i="44"/>
  <c r="N40" i="58" l="1"/>
  <c r="AO63" i="55"/>
  <c r="N33" i="58"/>
  <c r="AO140" i="55"/>
  <c r="N23" i="57"/>
  <c r="N23" i="58"/>
  <c r="N11" i="57"/>
  <c r="N11" i="58"/>
  <c r="N24" i="57"/>
  <c r="N24" i="58"/>
  <c r="N7" i="57"/>
  <c r="N7" i="58"/>
  <c r="N9" i="57"/>
  <c r="N9" i="58"/>
  <c r="N30" i="57"/>
  <c r="N30" i="58"/>
  <c r="N28" i="57"/>
  <c r="N28" i="58"/>
  <c r="N16" i="57"/>
  <c r="N16" i="58"/>
  <c r="N38" i="57"/>
  <c r="N38" i="58"/>
  <c r="N17" i="57"/>
  <c r="N17" i="58"/>
  <c r="N10" i="57"/>
  <c r="N10" i="58"/>
  <c r="N39" i="57"/>
  <c r="N39" i="58"/>
  <c r="N21" i="57"/>
  <c r="N21" i="58"/>
  <c r="N26" i="57"/>
  <c r="N26" i="58"/>
  <c r="N8" i="57"/>
  <c r="N8" i="58"/>
  <c r="N14" i="57"/>
  <c r="N14" i="58"/>
  <c r="N12" i="57"/>
  <c r="N12" i="58"/>
  <c r="N25" i="57"/>
  <c r="N25" i="58"/>
  <c r="N31" i="57"/>
  <c r="N31" i="58"/>
  <c r="N22" i="57"/>
  <c r="N22" i="58"/>
  <c r="N20" i="57"/>
  <c r="N20" i="58"/>
  <c r="N5" i="57"/>
  <c r="N5" i="58"/>
  <c r="N36" i="57"/>
  <c r="N36" i="58"/>
  <c r="N37" i="57"/>
  <c r="N37" i="58"/>
  <c r="N32" i="57"/>
  <c r="N32" i="58"/>
  <c r="N6" i="57"/>
  <c r="N6" i="58"/>
  <c r="N13" i="57"/>
  <c r="N13" i="58"/>
  <c r="N19" i="57"/>
  <c r="N19" i="58"/>
  <c r="N41" i="57"/>
  <c r="N41" i="58"/>
  <c r="N35" i="57"/>
  <c r="N35" i="58"/>
  <c r="N27" i="57"/>
  <c r="N27" i="58"/>
  <c r="N15" i="57"/>
  <c r="N15" i="58"/>
  <c r="N4" i="57"/>
  <c r="N4" i="58"/>
  <c r="N34" i="57"/>
  <c r="N34" i="58"/>
  <c r="N29" i="57"/>
  <c r="N29" i="58"/>
  <c r="N3" i="57"/>
  <c r="N3" i="58"/>
  <c r="N18" i="57"/>
  <c r="N18" i="58"/>
  <c r="AB50" i="55"/>
  <c r="AB71" i="55"/>
  <c r="AO14" i="55"/>
  <c r="T128" i="44"/>
  <c r="AO134" i="55"/>
  <c r="AB40" i="55"/>
  <c r="AO94" i="55"/>
  <c r="AO98" i="55"/>
  <c r="M64" i="44"/>
  <c r="AO133" i="55"/>
  <c r="AB66" i="55"/>
  <c r="T122" i="44"/>
  <c r="AO132" i="55"/>
  <c r="AZ20" i="55"/>
  <c r="AA43" i="44"/>
  <c r="AZ45" i="55"/>
  <c r="AA53" i="44"/>
  <c r="AZ50" i="55"/>
  <c r="AA45" i="44"/>
  <c r="AZ47" i="55"/>
  <c r="AA35" i="44"/>
  <c r="AA51" i="44"/>
  <c r="AZ51" i="55"/>
  <c r="AZ42" i="55"/>
  <c r="AZ25" i="55"/>
  <c r="T113" i="44"/>
  <c r="AO125" i="55"/>
  <c r="AO107" i="55"/>
  <c r="AB68" i="55"/>
  <c r="AB87" i="55"/>
  <c r="AB91" i="55"/>
  <c r="AB76" i="55"/>
  <c r="AO141" i="55"/>
  <c r="AO74" i="55"/>
  <c r="AO122" i="55"/>
  <c r="AO60" i="55"/>
  <c r="N40" i="57"/>
  <c r="N40" i="55"/>
  <c r="AO127" i="55"/>
  <c r="AO124" i="55"/>
  <c r="AO46" i="55"/>
  <c r="AO78" i="55"/>
  <c r="AO115" i="55"/>
  <c r="N4" i="55"/>
  <c r="N2" i="57"/>
  <c r="AO139" i="55"/>
  <c r="AO128" i="55"/>
  <c r="AO138" i="55"/>
  <c r="AB34" i="55"/>
  <c r="AO80" i="55"/>
  <c r="AO40" i="55"/>
  <c r="AO121" i="55"/>
  <c r="N33" i="57"/>
  <c r="N33" i="55"/>
  <c r="AO114" i="55"/>
  <c r="AB46" i="55"/>
  <c r="T125" i="44"/>
  <c r="AO135" i="55"/>
  <c r="AO137" i="55"/>
  <c r="AB75" i="55"/>
  <c r="T83" i="44"/>
  <c r="AO70" i="55"/>
  <c r="AO106" i="55"/>
  <c r="AO126" i="55"/>
  <c r="T85" i="44"/>
  <c r="AO136" i="55"/>
  <c r="AO130" i="55"/>
  <c r="AO71" i="55"/>
  <c r="AO131" i="55"/>
  <c r="AO67" i="55"/>
  <c r="AO129" i="55"/>
  <c r="AO123" i="55"/>
  <c r="AO109" i="55"/>
  <c r="AZ43" i="55"/>
  <c r="AZ46" i="55"/>
  <c r="AZ48" i="55"/>
  <c r="AZ44" i="55"/>
  <c r="AZ49" i="55"/>
  <c r="AZ21" i="55"/>
  <c r="AO83" i="55"/>
  <c r="T165" i="44"/>
  <c r="AA46" i="44"/>
  <c r="T81" i="44"/>
  <c r="F36" i="44"/>
  <c r="F37" i="44"/>
  <c r="T160" i="44"/>
  <c r="M88" i="44"/>
  <c r="T159" i="44"/>
  <c r="T127" i="44"/>
  <c r="AA44" i="44"/>
  <c r="AA47" i="44"/>
  <c r="AA76" i="44"/>
  <c r="AA30" i="44"/>
  <c r="AA29" i="44"/>
  <c r="AA72" i="44"/>
  <c r="AA74" i="44"/>
  <c r="AA59" i="44"/>
  <c r="AA78" i="44"/>
  <c r="AA52" i="44"/>
  <c r="AA68" i="44"/>
  <c r="F52" i="44"/>
  <c r="AA37" i="44"/>
  <c r="AA66" i="44"/>
  <c r="AA57" i="44"/>
  <c r="AA21" i="44"/>
  <c r="AA77" i="44"/>
  <c r="AA63" i="44"/>
  <c r="AA67" i="44"/>
  <c r="F39" i="44"/>
  <c r="F22" i="44"/>
  <c r="F64" i="44"/>
  <c r="F57" i="44"/>
  <c r="F21" i="44"/>
  <c r="F62" i="44"/>
  <c r="M71" i="44"/>
  <c r="M60" i="44"/>
  <c r="T130" i="44"/>
  <c r="AA42" i="44"/>
  <c r="AA58" i="44"/>
  <c r="AA79" i="44"/>
  <c r="AA48" i="44"/>
  <c r="AA73" i="44"/>
  <c r="AA71" i="44"/>
  <c r="AA49" i="44"/>
  <c r="AA64" i="44"/>
  <c r="AA55" i="44"/>
  <c r="AA75" i="44"/>
  <c r="AA56" i="44"/>
  <c r="T82" i="44"/>
  <c r="F13" i="44"/>
  <c r="T167" i="44"/>
  <c r="T86" i="44"/>
  <c r="T162" i="44"/>
  <c r="T148" i="44"/>
  <c r="T172" i="44"/>
  <c r="T100" i="44"/>
  <c r="F60" i="44"/>
  <c r="T140" i="44"/>
  <c r="T110" i="44"/>
  <c r="T132" i="44"/>
  <c r="T126" i="44"/>
  <c r="T134" i="44"/>
  <c r="M72" i="44"/>
  <c r="T97" i="44"/>
  <c r="T143" i="44"/>
  <c r="T123" i="44"/>
  <c r="T75" i="44"/>
  <c r="F59" i="44"/>
  <c r="T166" i="44"/>
  <c r="F55" i="44"/>
  <c r="T156" i="44"/>
  <c r="T154" i="44"/>
  <c r="F54" i="44"/>
  <c r="T141" i="44"/>
  <c r="T170" i="44"/>
  <c r="T133" i="44"/>
  <c r="T164" i="44"/>
  <c r="T155" i="44"/>
  <c r="T78" i="44"/>
  <c r="T151" i="44"/>
  <c r="T107" i="44"/>
  <c r="T138" i="44"/>
  <c r="T144" i="44"/>
  <c r="T135" i="44"/>
  <c r="T120" i="44"/>
  <c r="T163" i="44"/>
  <c r="T73" i="44"/>
  <c r="T93" i="44"/>
  <c r="T147" i="44"/>
  <c r="T88" i="44"/>
  <c r="T168" i="44"/>
  <c r="T95" i="44"/>
  <c r="T158" i="44"/>
  <c r="T152" i="44"/>
  <c r="T41" i="44"/>
  <c r="T157" i="44"/>
  <c r="T47" i="44"/>
  <c r="M75" i="44"/>
  <c r="T15" i="44"/>
  <c r="F10" i="44"/>
  <c r="M98" i="44"/>
  <c r="M105" i="44"/>
  <c r="M54" i="44"/>
  <c r="F38" i="44"/>
  <c r="T124" i="44"/>
  <c r="T105" i="44"/>
  <c r="M66" i="44"/>
  <c r="F51" i="44"/>
  <c r="M97" i="44"/>
  <c r="M17" i="44"/>
  <c r="M67" i="44"/>
  <c r="M90" i="44"/>
  <c r="F48" i="44"/>
  <c r="M93" i="44"/>
  <c r="F47" i="44"/>
  <c r="F50" i="44"/>
  <c r="M57" i="44"/>
  <c r="M68" i="44"/>
  <c r="M85" i="44"/>
  <c r="M100" i="44"/>
  <c r="M99" i="44"/>
  <c r="M89" i="44"/>
  <c r="M74" i="44"/>
  <c r="T77" i="44"/>
  <c r="T104" i="44"/>
  <c r="T169" i="44"/>
  <c r="F53" i="44"/>
  <c r="F58" i="44"/>
  <c r="F35" i="44"/>
  <c r="F63" i="44"/>
  <c r="M15" i="44"/>
  <c r="F56" i="44"/>
  <c r="T63" i="44"/>
  <c r="T98" i="44"/>
  <c r="T137" i="44"/>
  <c r="M101" i="44"/>
  <c r="F49" i="44"/>
  <c r="F42" i="44"/>
  <c r="M53" i="44"/>
  <c r="M87" i="44"/>
  <c r="F29" i="44"/>
  <c r="F3" i="44"/>
  <c r="T94" i="44"/>
  <c r="M86" i="44"/>
  <c r="M92" i="44"/>
  <c r="N11" i="55"/>
  <c r="AZ18" i="55"/>
  <c r="T173" i="44"/>
  <c r="T181" i="44"/>
  <c r="T180" i="44"/>
  <c r="T178" i="44"/>
  <c r="T179" i="44"/>
  <c r="T185" i="44"/>
  <c r="T176" i="44"/>
  <c r="T174" i="44"/>
  <c r="T175" i="44"/>
  <c r="T184" i="44"/>
  <c r="T182" i="44"/>
  <c r="T183" i="44"/>
  <c r="T177" i="44"/>
  <c r="AB41" i="55"/>
  <c r="M28" i="44"/>
  <c r="AB3" i="55"/>
  <c r="M3" i="44"/>
  <c r="T32" i="44"/>
  <c r="AO23" i="55"/>
  <c r="AO6" i="55"/>
  <c r="T9" i="44"/>
  <c r="M78" i="44"/>
  <c r="AB80" i="55"/>
  <c r="F34" i="44"/>
  <c r="N30" i="55"/>
  <c r="AO43" i="55"/>
  <c r="T69" i="44"/>
  <c r="AO56" i="55"/>
  <c r="T129" i="44"/>
  <c r="N28" i="55"/>
  <c r="N27" i="55"/>
  <c r="F70" i="44"/>
  <c r="F68" i="44"/>
  <c r="AO5" i="55"/>
  <c r="T6" i="44"/>
  <c r="AB38" i="55"/>
  <c r="M39" i="44"/>
  <c r="T34" i="44"/>
  <c r="AO35" i="55"/>
  <c r="AB63" i="55"/>
  <c r="M55" i="44"/>
  <c r="T213" i="44"/>
  <c r="T217" i="44"/>
  <c r="T193" i="44"/>
  <c r="T190" i="44"/>
  <c r="T212" i="44"/>
  <c r="T205" i="44"/>
  <c r="T216" i="44"/>
  <c r="T61" i="44"/>
  <c r="AO28" i="55"/>
  <c r="M48" i="44"/>
  <c r="AB55" i="55"/>
  <c r="T30" i="44"/>
  <c r="AO36" i="55"/>
  <c r="AO120" i="55"/>
  <c r="T115" i="44"/>
  <c r="AB27" i="55"/>
  <c r="M45" i="44"/>
  <c r="M63" i="44"/>
  <c r="AB69" i="55"/>
  <c r="T18" i="44"/>
  <c r="AO15" i="55"/>
  <c r="F4" i="44"/>
  <c r="N3" i="55"/>
  <c r="AO99" i="55"/>
  <c r="T91" i="44"/>
  <c r="AB56" i="55"/>
  <c r="M91" i="44"/>
  <c r="AB52" i="55"/>
  <c r="M59" i="44"/>
  <c r="AO113" i="55"/>
  <c r="T153" i="44"/>
  <c r="T117" i="44"/>
  <c r="AO119" i="55"/>
  <c r="M42" i="44"/>
  <c r="AB21" i="55"/>
  <c r="F67" i="44"/>
  <c r="F69" i="44"/>
  <c r="F66" i="44"/>
  <c r="N17" i="55"/>
  <c r="F16" i="44"/>
  <c r="M51" i="44"/>
  <c r="AB65" i="55"/>
  <c r="M14" i="44"/>
  <c r="AB15" i="55"/>
  <c r="M19" i="44"/>
  <c r="AB14" i="55"/>
  <c r="AB39" i="55"/>
  <c r="M109" i="44"/>
  <c r="T119" i="44"/>
  <c r="AO116" i="55"/>
  <c r="T8" i="44"/>
  <c r="AO39" i="55"/>
  <c r="AO62" i="55"/>
  <c r="T55" i="44"/>
  <c r="T48" i="44"/>
  <c r="AO32" i="55"/>
  <c r="T131" i="44"/>
  <c r="AO100" i="55"/>
  <c r="AO76" i="55"/>
  <c r="T72" i="44"/>
  <c r="T11" i="44"/>
  <c r="AO13" i="55"/>
  <c r="AZ2" i="55"/>
  <c r="AA2" i="44"/>
  <c r="AO86" i="55"/>
  <c r="T84" i="44"/>
  <c r="T189" i="44"/>
  <c r="T196" i="44"/>
  <c r="T191" i="44"/>
  <c r="T201" i="44"/>
  <c r="T208" i="44"/>
  <c r="T197" i="44"/>
  <c r="T204" i="44"/>
  <c r="T194" i="44"/>
  <c r="F33" i="44"/>
  <c r="N37" i="55"/>
  <c r="M24" i="44"/>
  <c r="AB23" i="55"/>
  <c r="T40" i="44"/>
  <c r="AO50" i="55"/>
  <c r="N19" i="55"/>
  <c r="F23" i="44"/>
  <c r="AO97" i="55"/>
  <c r="T161" i="44"/>
  <c r="AO26" i="55"/>
  <c r="T19" i="44"/>
  <c r="N12" i="55"/>
  <c r="F26" i="44"/>
  <c r="AO33" i="55"/>
  <c r="T35" i="44"/>
  <c r="F6" i="44"/>
  <c r="N6" i="55"/>
  <c r="AO24" i="55"/>
  <c r="T46" i="44"/>
  <c r="AO108" i="55"/>
  <c r="T26" i="44"/>
  <c r="AO118" i="55"/>
  <c r="T109" i="44"/>
  <c r="M61" i="44"/>
  <c r="AB47" i="55"/>
  <c r="AB12" i="55"/>
  <c r="M12" i="44"/>
  <c r="M16" i="44"/>
  <c r="AB20" i="55"/>
  <c r="AB57" i="55"/>
  <c r="M32" i="44"/>
  <c r="T65" i="44"/>
  <c r="AO79" i="55"/>
  <c r="M10" i="44"/>
  <c r="AB7" i="55"/>
  <c r="AO95" i="55"/>
  <c r="T27" i="44"/>
  <c r="N24" i="55"/>
  <c r="F8" i="44"/>
  <c r="T24" i="44"/>
  <c r="AO30" i="55"/>
  <c r="AO49" i="55"/>
  <c r="T67" i="44"/>
  <c r="AO72" i="55"/>
  <c r="T79" i="44"/>
  <c r="T112" i="44"/>
  <c r="AO38" i="55"/>
  <c r="N35" i="55"/>
  <c r="F31" i="44"/>
  <c r="AO101" i="55"/>
  <c r="T43" i="44"/>
  <c r="M47" i="44"/>
  <c r="AB45" i="55"/>
  <c r="AO4" i="55"/>
  <c r="T4" i="44"/>
  <c r="M77" i="44"/>
  <c r="AB78" i="55"/>
  <c r="AO17" i="55"/>
  <c r="T13" i="44"/>
  <c r="AO111" i="55"/>
  <c r="T44" i="44"/>
  <c r="AB30" i="55"/>
  <c r="M29" i="44"/>
  <c r="N36" i="55"/>
  <c r="F30" i="44"/>
  <c r="AB44" i="55"/>
  <c r="M43" i="44"/>
  <c r="F28" i="44"/>
  <c r="N29" i="55"/>
  <c r="AO9" i="55"/>
  <c r="T12" i="44"/>
  <c r="T21" i="44"/>
  <c r="AO16" i="55"/>
  <c r="M6" i="44"/>
  <c r="AB6" i="55"/>
  <c r="M30" i="44"/>
  <c r="AB42" i="55"/>
  <c r="T92" i="44"/>
  <c r="AO91" i="55"/>
  <c r="AB86" i="55"/>
  <c r="M62" i="44"/>
  <c r="T80" i="44"/>
  <c r="AO66" i="55"/>
  <c r="M116" i="44"/>
  <c r="M133" i="44"/>
  <c r="M117" i="44"/>
  <c r="M136" i="44"/>
  <c r="M162" i="44"/>
  <c r="M125" i="44"/>
  <c r="M115" i="44"/>
  <c r="M153" i="44"/>
  <c r="M142" i="44"/>
  <c r="M163" i="44"/>
  <c r="M114" i="44"/>
  <c r="M120" i="44"/>
  <c r="M145" i="44"/>
  <c r="M154" i="44"/>
  <c r="M168" i="44"/>
  <c r="M147" i="44"/>
  <c r="M146" i="44"/>
  <c r="M152" i="44"/>
  <c r="M156" i="44"/>
  <c r="M148" i="44"/>
  <c r="M141" i="44"/>
  <c r="AO93" i="55"/>
  <c r="T33" i="44"/>
  <c r="AB60" i="55"/>
  <c r="M107" i="44"/>
  <c r="M76" i="44"/>
  <c r="AB77" i="55"/>
  <c r="M5" i="44"/>
  <c r="AB4" i="55"/>
  <c r="M36" i="44"/>
  <c r="AB48" i="55"/>
  <c r="T76" i="44"/>
  <c r="AO73" i="55"/>
  <c r="T59" i="44"/>
  <c r="AO65" i="55"/>
  <c r="AO103" i="55"/>
  <c r="T108" i="44"/>
  <c r="T207" i="44"/>
  <c r="T218" i="44"/>
  <c r="T210" i="44"/>
  <c r="T202" i="44"/>
  <c r="T220" i="44"/>
  <c r="T206" i="44"/>
  <c r="F20" i="44"/>
  <c r="N20" i="55"/>
  <c r="T64" i="44"/>
  <c r="AO89" i="55"/>
  <c r="AO55" i="55"/>
  <c r="T45" i="44"/>
  <c r="AO59" i="55"/>
  <c r="T74" i="44"/>
  <c r="AB83" i="55"/>
  <c r="M81" i="44"/>
  <c r="AO104" i="55"/>
  <c r="T99" i="44"/>
  <c r="F2" i="44"/>
  <c r="N2" i="55"/>
  <c r="N7" i="55"/>
  <c r="F7" i="44"/>
  <c r="AB22" i="55"/>
  <c r="M21" i="44"/>
  <c r="N5" i="55"/>
  <c r="F5" i="44"/>
  <c r="F44" i="44"/>
  <c r="N8" i="55"/>
  <c r="AO3" i="55"/>
  <c r="T3" i="44"/>
  <c r="T102" i="44"/>
  <c r="AO92" i="55"/>
  <c r="T70" i="44"/>
  <c r="AO75" i="55"/>
  <c r="AO31" i="55"/>
  <c r="T23" i="44"/>
  <c r="T38" i="44"/>
  <c r="AO37" i="55"/>
  <c r="M80" i="44"/>
  <c r="AB81" i="55"/>
  <c r="AO45" i="55"/>
  <c r="T52" i="44"/>
  <c r="AB61" i="55"/>
  <c r="M102" i="44"/>
  <c r="M27" i="44"/>
  <c r="AB25" i="55"/>
  <c r="T49" i="44"/>
  <c r="AO117" i="55"/>
  <c r="AB62" i="55"/>
  <c r="M35" i="44"/>
  <c r="F18" i="44"/>
  <c r="N16" i="55"/>
  <c r="AO51" i="55"/>
  <c r="T62" i="44"/>
  <c r="AO47" i="55"/>
  <c r="T50" i="44"/>
  <c r="M84" i="44"/>
  <c r="AB84" i="55"/>
  <c r="AB59" i="55"/>
  <c r="M83" i="44"/>
  <c r="M112" i="44"/>
  <c r="M135" i="44"/>
  <c r="M121" i="44"/>
  <c r="M151" i="44"/>
  <c r="M118" i="44"/>
  <c r="M127" i="44"/>
  <c r="M110" i="44"/>
  <c r="M111" i="44"/>
  <c r="M157" i="44"/>
  <c r="M167" i="44"/>
  <c r="M139" i="44"/>
  <c r="M165" i="44"/>
  <c r="M155" i="44"/>
  <c r="M170" i="44"/>
  <c r="M159" i="44"/>
  <c r="M143" i="44"/>
  <c r="M132" i="44"/>
  <c r="M164" i="44"/>
  <c r="M130" i="44"/>
  <c r="M113" i="44"/>
  <c r="M119" i="44"/>
  <c r="M126" i="44"/>
  <c r="M122" i="44"/>
  <c r="M166" i="44"/>
  <c r="M160" i="44"/>
  <c r="M171" i="44"/>
  <c r="M138" i="44"/>
  <c r="M158" i="44"/>
  <c r="M134" i="44"/>
  <c r="M140" i="44"/>
  <c r="M150" i="44"/>
  <c r="M144" i="44"/>
  <c r="M149" i="44"/>
  <c r="M131" i="44"/>
  <c r="M137" i="44"/>
  <c r="M128" i="44"/>
  <c r="M129" i="44"/>
  <c r="M169" i="44"/>
  <c r="M161" i="44"/>
  <c r="T16" i="44"/>
  <c r="AO18" i="55"/>
  <c r="F46" i="44"/>
  <c r="N26" i="55"/>
  <c r="N41" i="55"/>
  <c r="F65" i="44"/>
  <c r="M13" i="44"/>
  <c r="AB9" i="55"/>
  <c r="T71" i="44"/>
  <c r="AO90" i="55"/>
  <c r="N22" i="55"/>
  <c r="F24" i="44"/>
  <c r="T57" i="44"/>
  <c r="AO44" i="55"/>
  <c r="AB10" i="55"/>
  <c r="M11" i="44"/>
  <c r="AB35" i="55"/>
  <c r="M23" i="44"/>
  <c r="T103" i="44"/>
  <c r="AO110" i="55"/>
  <c r="AA9" i="44"/>
  <c r="AZ13" i="55"/>
  <c r="AO48" i="55"/>
  <c r="T31" i="44"/>
  <c r="M56" i="44"/>
  <c r="AB43" i="55"/>
  <c r="AB29" i="55"/>
  <c r="M22" i="44"/>
  <c r="M31" i="44"/>
  <c r="AB33" i="55"/>
  <c r="AO112" i="55"/>
  <c r="T106" i="44"/>
  <c r="F43" i="44"/>
  <c r="N31" i="55"/>
  <c r="AB5" i="55"/>
  <c r="M2" i="44"/>
  <c r="M106" i="44"/>
  <c r="AB85" i="55"/>
  <c r="AO82" i="55"/>
  <c r="T186" i="44"/>
  <c r="AB16" i="55"/>
  <c r="M33" i="44"/>
  <c r="AO7" i="55"/>
  <c r="T7" i="44"/>
  <c r="AO22" i="55"/>
  <c r="T58" i="44"/>
  <c r="N21" i="55"/>
  <c r="F45" i="44"/>
  <c r="T118" i="44"/>
  <c r="AO81" i="55"/>
  <c r="AO41" i="55"/>
  <c r="T87" i="44"/>
  <c r="AO58" i="55"/>
  <c r="T66" i="44"/>
  <c r="AO10" i="55"/>
  <c r="T42" i="44"/>
  <c r="T51" i="44"/>
  <c r="AO29" i="55"/>
  <c r="AB70" i="55"/>
  <c r="M70" i="44"/>
  <c r="T14" i="44"/>
  <c r="AO27" i="55"/>
  <c r="M37" i="44"/>
  <c r="AB28" i="55"/>
  <c r="F27" i="44"/>
  <c r="N23" i="55"/>
  <c r="AO102" i="55"/>
  <c r="T89" i="44"/>
  <c r="T20" i="44"/>
  <c r="AO19" i="55"/>
  <c r="AB36" i="55"/>
  <c r="M38" i="44"/>
  <c r="N13" i="55"/>
  <c r="F14" i="44"/>
  <c r="AB32" i="55"/>
  <c r="M34" i="44"/>
  <c r="AB51" i="55"/>
  <c r="M52" i="44"/>
  <c r="AO84" i="55"/>
  <c r="T96" i="44"/>
  <c r="AB58" i="55"/>
  <c r="M58" i="44"/>
  <c r="M40" i="44"/>
  <c r="AB90" i="55"/>
  <c r="AB82" i="55"/>
  <c r="M79" i="44"/>
  <c r="AO64" i="55"/>
  <c r="T121" i="44"/>
  <c r="M41" i="44"/>
  <c r="AB37" i="55"/>
  <c r="M104" i="44"/>
  <c r="AB53" i="55"/>
  <c r="AB8" i="55"/>
  <c r="M8" i="44"/>
  <c r="T29" i="44"/>
  <c r="AO85" i="55"/>
  <c r="T25" i="44"/>
  <c r="AO20" i="55"/>
  <c r="AO52" i="55"/>
  <c r="T90" i="44"/>
  <c r="T28" i="44"/>
  <c r="AO21" i="55"/>
  <c r="T116" i="44"/>
  <c r="AO77" i="55"/>
  <c r="M18" i="44"/>
  <c r="AB18" i="55"/>
  <c r="AB2" i="55"/>
  <c r="M4" i="44"/>
  <c r="AB49" i="55"/>
  <c r="M50" i="44"/>
  <c r="AB13" i="55"/>
  <c r="M7" i="44"/>
  <c r="N18" i="55"/>
  <c r="F15" i="44"/>
  <c r="AO88" i="55"/>
  <c r="T139" i="44"/>
  <c r="AO57" i="55"/>
  <c r="T54" i="44"/>
  <c r="AZ40" i="55"/>
  <c r="AA41" i="44"/>
  <c r="AZ10" i="55"/>
  <c r="AA14" i="44"/>
  <c r="AA50" i="44"/>
  <c r="AZ23" i="55"/>
  <c r="AZ35" i="55"/>
  <c r="AA36" i="44"/>
  <c r="AZ15" i="55"/>
  <c r="AA17" i="44"/>
  <c r="AZ33" i="55"/>
  <c r="AA32" i="44"/>
  <c r="AZ17" i="55"/>
  <c r="AA23" i="44"/>
  <c r="AA82" i="44"/>
  <c r="AZ6" i="55"/>
  <c r="AB64" i="55"/>
  <c r="M44" i="44"/>
  <c r="N14" i="55"/>
  <c r="F11" i="44"/>
  <c r="T10" i="44"/>
  <c r="AO11" i="55"/>
  <c r="AZ34" i="55"/>
  <c r="AA34" i="44"/>
  <c r="AA8" i="44"/>
  <c r="AZ8" i="55"/>
  <c r="AA28" i="44"/>
  <c r="AZ28" i="55"/>
  <c r="AZ41" i="55"/>
  <c r="AA7" i="44"/>
  <c r="AZ5" i="55"/>
  <c r="AA5" i="44"/>
  <c r="AA10" i="44"/>
  <c r="AZ14" i="55"/>
  <c r="AZ12" i="55"/>
  <c r="AA18" i="44"/>
  <c r="AZ38" i="55"/>
  <c r="AA33" i="44"/>
  <c r="AA24" i="44"/>
  <c r="AZ26" i="55"/>
  <c r="AZ3" i="55"/>
  <c r="AA4" i="44"/>
  <c r="AA38" i="44"/>
  <c r="AZ37" i="55"/>
  <c r="AP36" i="48"/>
  <c r="AP223" i="48"/>
  <c r="AP258" i="48"/>
  <c r="AP152" i="48"/>
  <c r="AP26" i="48"/>
  <c r="AP29" i="48"/>
  <c r="AP187" i="48"/>
  <c r="AP184" i="48"/>
  <c r="AP134" i="48"/>
  <c r="AP91" i="48"/>
  <c r="AP291" i="48"/>
  <c r="AP5" i="48"/>
  <c r="AP271" i="48"/>
  <c r="AP261" i="48"/>
  <c r="AP27" i="48"/>
  <c r="AP28" i="48"/>
  <c r="AP109" i="48"/>
  <c r="AP294" i="48"/>
  <c r="AP165" i="48"/>
  <c r="AP153" i="48"/>
  <c r="AP234" i="48"/>
  <c r="AP66" i="48"/>
  <c r="AP4" i="48"/>
  <c r="AP201" i="48"/>
  <c r="AP169" i="48"/>
  <c r="AP208" i="48"/>
  <c r="AP158" i="48"/>
  <c r="AP74" i="48"/>
  <c r="AP273" i="48"/>
  <c r="AP229" i="48"/>
  <c r="AP143" i="48"/>
  <c r="AP147" i="48"/>
  <c r="AP255" i="48"/>
  <c r="AP62" i="48"/>
  <c r="AP38" i="48"/>
  <c r="AP128" i="48"/>
  <c r="AP94" i="48"/>
  <c r="AP242" i="48"/>
  <c r="AP173" i="48"/>
  <c r="AP70" i="48"/>
  <c r="AP64" i="48"/>
  <c r="AP99" i="48"/>
  <c r="AP215" i="48"/>
  <c r="AP110" i="48"/>
  <c r="AP6" i="48"/>
  <c r="AP10" i="48"/>
  <c r="AP296" i="48"/>
  <c r="AP300" i="48"/>
  <c r="AP280" i="48"/>
  <c r="AP19" i="48"/>
  <c r="AP21" i="48"/>
  <c r="AP189" i="48"/>
  <c r="AP170" i="48"/>
  <c r="AP129" i="48"/>
  <c r="AP136" i="48"/>
  <c r="AP83" i="48"/>
  <c r="AP231" i="48"/>
  <c r="AP299" i="48"/>
  <c r="AP161" i="48"/>
  <c r="AP111" i="48"/>
  <c r="AP116" i="48"/>
  <c r="AP44" i="48"/>
  <c r="AP51" i="48"/>
  <c r="AP216" i="48"/>
  <c r="AP50" i="48"/>
  <c r="AP289" i="48"/>
  <c r="AP90" i="48"/>
  <c r="AP245" i="48"/>
  <c r="AP103" i="48"/>
  <c r="AP212" i="48"/>
  <c r="AP222" i="48"/>
  <c r="AP221" i="48"/>
  <c r="AP69" i="48"/>
  <c r="AP107" i="48"/>
  <c r="AP96" i="48"/>
  <c r="AP58" i="48"/>
  <c r="AP73" i="48"/>
  <c r="AP93" i="48"/>
  <c r="AP236" i="48"/>
  <c r="AP243" i="48"/>
  <c r="AP163" i="48"/>
  <c r="AP54" i="48"/>
  <c r="AP288" i="48"/>
  <c r="AP182" i="48"/>
  <c r="AP117" i="48"/>
  <c r="AP214" i="48"/>
  <c r="AP256" i="48"/>
  <c r="AP281" i="48"/>
  <c r="AP268" i="48"/>
  <c r="AP220" i="48"/>
  <c r="AP295" i="48"/>
  <c r="AP9" i="48"/>
  <c r="AP53" i="48"/>
  <c r="AP193" i="48"/>
  <c r="AP12" i="48"/>
  <c r="AP168" i="48"/>
  <c r="AP263" i="48"/>
  <c r="AP57" i="48"/>
  <c r="AP237" i="48"/>
  <c r="AP199" i="48"/>
  <c r="AP198" i="48"/>
  <c r="AP104" i="48"/>
  <c r="AP252" i="48"/>
  <c r="AP156" i="48"/>
  <c r="AP219" i="48"/>
  <c r="AP194" i="48"/>
  <c r="AP115" i="48"/>
  <c r="AP130" i="48"/>
  <c r="AP227" i="48"/>
  <c r="AP232" i="48"/>
  <c r="AP292" i="48"/>
  <c r="AP114" i="48"/>
  <c r="AP121" i="48"/>
  <c r="AP49" i="48"/>
  <c r="AP239" i="48"/>
  <c r="AP65" i="48"/>
  <c r="AP249" i="48"/>
  <c r="AP195" i="48"/>
  <c r="AP59" i="48"/>
  <c r="AP297" i="48"/>
  <c r="AP88" i="48"/>
  <c r="AP35" i="48"/>
  <c r="AP274" i="48"/>
  <c r="AP20" i="48"/>
  <c r="AP101" i="48"/>
  <c r="AP186" i="48"/>
  <c r="AP40" i="48"/>
  <c r="AP228" i="48"/>
  <c r="AP139" i="48"/>
  <c r="AP230" i="48"/>
  <c r="AP37" i="48"/>
  <c r="AP102" i="48"/>
  <c r="AP122" i="48"/>
  <c r="AP259" i="48"/>
  <c r="AP60" i="48"/>
  <c r="AP135" i="48"/>
  <c r="AP241" i="48"/>
  <c r="AP81" i="48"/>
  <c r="AP254" i="48"/>
  <c r="AP89" i="48"/>
  <c r="AP196" i="48"/>
  <c r="AP32" i="48"/>
  <c r="AP244" i="48"/>
  <c r="AP279" i="48"/>
  <c r="AP43" i="48"/>
  <c r="AP127" i="48"/>
  <c r="AP250" i="48"/>
  <c r="AP233" i="48"/>
  <c r="AP125" i="48"/>
  <c r="AP290" i="48"/>
  <c r="AP100" i="48"/>
  <c r="AP80" i="48"/>
  <c r="AP240" i="48"/>
  <c r="AP272" i="48"/>
  <c r="AP269" i="48"/>
  <c r="AP171" i="48"/>
  <c r="AP82" i="48"/>
  <c r="AP238" i="48"/>
  <c r="AP209" i="48"/>
  <c r="AP120" i="48"/>
  <c r="AP77" i="48"/>
  <c r="AP25" i="48"/>
  <c r="AP264" i="48"/>
  <c r="AP76" i="48"/>
  <c r="AP253" i="48"/>
  <c r="AP190" i="48"/>
  <c r="AP92" i="48"/>
  <c r="AP235" i="48"/>
  <c r="AP218" i="48"/>
  <c r="AP205" i="48"/>
  <c r="AP78" i="48"/>
  <c r="AP24" i="48"/>
  <c r="AP112" i="48"/>
  <c r="AP22" i="48"/>
  <c r="AP178" i="48"/>
  <c r="AP287" i="48"/>
  <c r="AP150" i="48"/>
  <c r="AP257" i="48"/>
  <c r="AP179" i="48"/>
  <c r="AP217" i="48"/>
  <c r="AP75" i="48"/>
  <c r="AP131" i="48"/>
  <c r="AP61" i="48"/>
  <c r="AP55" i="48"/>
  <c r="AP67" i="48"/>
  <c r="AP286" i="48"/>
  <c r="AP284" i="48"/>
  <c r="AP185" i="48"/>
  <c r="AP282" i="48"/>
  <c r="AP144" i="48"/>
  <c r="AP206" i="48"/>
  <c r="AP285" i="48"/>
  <c r="AP145" i="48"/>
  <c r="AP224" i="48"/>
  <c r="AP248" i="48"/>
  <c r="AP276" i="48"/>
  <c r="AP18" i="48"/>
  <c r="AP106" i="48"/>
  <c r="AP46" i="48"/>
  <c r="AP192" i="48"/>
  <c r="AP118" i="48"/>
  <c r="AP148" i="48"/>
  <c r="AP141" i="48"/>
  <c r="AP301" i="48"/>
  <c r="AP17" i="48"/>
  <c r="AP146" i="48"/>
  <c r="AP210" i="48"/>
  <c r="AP191" i="48"/>
  <c r="AP155" i="48"/>
  <c r="AP177" i="48"/>
  <c r="AP132" i="48"/>
  <c r="AP298" i="48"/>
  <c r="AP113" i="48"/>
  <c r="AP119" i="48"/>
  <c r="AP151" i="48"/>
  <c r="AP33" i="48"/>
  <c r="AP34" i="48"/>
  <c r="AP47" i="48"/>
  <c r="AP283" i="48"/>
  <c r="AP68" i="48"/>
  <c r="AP13" i="48"/>
  <c r="AP213" i="48"/>
  <c r="AP72" i="48"/>
  <c r="AP203" i="48"/>
  <c r="AP85" i="48"/>
  <c r="AP63" i="48"/>
  <c r="AP226" i="48"/>
  <c r="AP266" i="48"/>
  <c r="AP159" i="48"/>
  <c r="AP23" i="48"/>
  <c r="AP98" i="48"/>
  <c r="AP140" i="48"/>
  <c r="AP277" i="48"/>
  <c r="AP293" i="48"/>
  <c r="AP108" i="48"/>
  <c r="AP175" i="48"/>
  <c r="AP138" i="48"/>
  <c r="AP265" i="48"/>
  <c r="AP200" i="48"/>
  <c r="AP154" i="48"/>
  <c r="AP31" i="48"/>
  <c r="AP137" i="48"/>
  <c r="AP270" i="48"/>
  <c r="AP16" i="48"/>
  <c r="AP41" i="48"/>
  <c r="AP142" i="48"/>
  <c r="AP204" i="48"/>
  <c r="AP3" i="48"/>
  <c r="AP157" i="48"/>
  <c r="AP105" i="48"/>
  <c r="AP211" i="48"/>
  <c r="AP225" i="48"/>
  <c r="AP79" i="48"/>
  <c r="AP247" i="48"/>
  <c r="AP278" i="48"/>
  <c r="AP160" i="48"/>
  <c r="AP262" i="48"/>
  <c r="AP11" i="48"/>
  <c r="AP123" i="48"/>
  <c r="AP97" i="48"/>
  <c r="AP172" i="48"/>
  <c r="AR172" i="48" s="1"/>
  <c r="AP30" i="48"/>
  <c r="AP8" i="48"/>
  <c r="AP176" i="48"/>
  <c r="AP149" i="48"/>
  <c r="AP39" i="48"/>
  <c r="AP87" i="48"/>
  <c r="AP95" i="48"/>
  <c r="AP126" i="48"/>
  <c r="AP180" i="48"/>
  <c r="AP197" i="48"/>
  <c r="AP56" i="48"/>
  <c r="AP45" i="48"/>
  <c r="AP48" i="48"/>
  <c r="AP275" i="48"/>
  <c r="AP71" i="48"/>
  <c r="AP86" i="48"/>
  <c r="AP7" i="48"/>
  <c r="AP267" i="48"/>
  <c r="AP207" i="48"/>
  <c r="AP133" i="48"/>
  <c r="AP2" i="48"/>
  <c r="AP84" i="48"/>
  <c r="AP42" i="48"/>
  <c r="AP246" i="48"/>
  <c r="AP174" i="48"/>
  <c r="AP15" i="48"/>
  <c r="AP181" i="48"/>
  <c r="AP52" i="48"/>
  <c r="AP167" i="48"/>
  <c r="AP124" i="48"/>
  <c r="AP14" i="48"/>
  <c r="AP251" i="48"/>
  <c r="AP183" i="48"/>
  <c r="AP188" i="48"/>
  <c r="AP164" i="48"/>
  <c r="AP202" i="48"/>
  <c r="AP260" i="48"/>
  <c r="AP166" i="48"/>
  <c r="AP162" i="48"/>
  <c r="AA85" i="44"/>
  <c r="AA95" i="44"/>
  <c r="AA93" i="44"/>
  <c r="AA88" i="44"/>
  <c r="AA87" i="44"/>
  <c r="AA90" i="44"/>
  <c r="AA89" i="44"/>
  <c r="AA83" i="44"/>
  <c r="AA101" i="44"/>
  <c r="AA84" i="44"/>
  <c r="AA99" i="44"/>
  <c r="AA86" i="44"/>
  <c r="AA92" i="44"/>
  <c r="AA94" i="44"/>
  <c r="AA98" i="44"/>
  <c r="AA96" i="44"/>
  <c r="AA100" i="44"/>
  <c r="AA91" i="44"/>
  <c r="AA97" i="44"/>
  <c r="AZ16" i="55"/>
  <c r="AA12" i="44"/>
  <c r="AZ29" i="55"/>
  <c r="AA26" i="44"/>
  <c r="AA27" i="44"/>
  <c r="AZ31" i="55"/>
  <c r="AZ9" i="55"/>
  <c r="AA15" i="44"/>
  <c r="AA25" i="44"/>
  <c r="AZ30" i="55"/>
  <c r="AA22" i="44"/>
  <c r="AZ22" i="55"/>
  <c r="AA39" i="44"/>
  <c r="AZ36" i="55"/>
  <c r="AA6" i="44"/>
  <c r="AZ7" i="55"/>
  <c r="AZ32" i="55"/>
  <c r="AA31" i="44"/>
  <c r="T39" i="44"/>
  <c r="AO25" i="55"/>
  <c r="AO61" i="55"/>
  <c r="T56" i="44"/>
  <c r="M25" i="44"/>
  <c r="AB26" i="55"/>
  <c r="AO12" i="55"/>
  <c r="T22" i="44"/>
  <c r="AB24" i="55"/>
  <c r="M26" i="44"/>
  <c r="AO54" i="55"/>
  <c r="T17" i="44"/>
  <c r="AB88" i="55"/>
  <c r="M82" i="44"/>
  <c r="T53" i="44"/>
  <c r="AO53" i="55"/>
  <c r="M103" i="44"/>
  <c r="AB31" i="55"/>
  <c r="F25" i="44"/>
  <c r="N25" i="55"/>
  <c r="N10" i="55"/>
  <c r="F9" i="44"/>
  <c r="M124" i="44"/>
  <c r="M123" i="44"/>
  <c r="F12" i="44"/>
  <c r="N9" i="55"/>
  <c r="AO8" i="55"/>
  <c r="T5" i="44"/>
  <c r="AO42" i="55"/>
  <c r="T60" i="44"/>
  <c r="M94" i="44"/>
  <c r="AB79" i="55"/>
  <c r="M20" i="44"/>
  <c r="AB17" i="55"/>
  <c r="M9" i="44"/>
  <c r="AB11" i="55"/>
  <c r="M73" i="44"/>
  <c r="AB67" i="55"/>
  <c r="N34" i="55"/>
  <c r="F40" i="44"/>
  <c r="M69" i="44"/>
  <c r="AB74" i="55"/>
  <c r="T219" i="44"/>
  <c r="T199" i="44"/>
  <c r="T203" i="44"/>
  <c r="T198" i="44"/>
  <c r="T195" i="44"/>
  <c r="T188" i="44"/>
  <c r="T215" i="44"/>
  <c r="T221" i="44"/>
  <c r="T214" i="44"/>
  <c r="T211" i="44"/>
  <c r="T209" i="44"/>
  <c r="T200" i="44"/>
  <c r="T192" i="44"/>
  <c r="T187" i="44"/>
  <c r="AO68" i="55"/>
  <c r="T36" i="44"/>
  <c r="AB72" i="55"/>
  <c r="M65" i="44"/>
  <c r="N32" i="55"/>
  <c r="F32" i="44"/>
  <c r="T111" i="44"/>
  <c r="AO96" i="55"/>
  <c r="AO69" i="55"/>
  <c r="T68" i="44"/>
  <c r="AO105" i="55"/>
  <c r="T114" i="44"/>
  <c r="M46" i="44"/>
  <c r="AB54" i="55"/>
  <c r="F73" i="44"/>
  <c r="F80" i="44"/>
  <c r="F78" i="44"/>
  <c r="F76" i="44"/>
  <c r="F72" i="44"/>
  <c r="F75" i="44"/>
  <c r="F71" i="44"/>
  <c r="F77" i="44"/>
  <c r="F74" i="44"/>
  <c r="F79" i="44"/>
  <c r="AO87" i="55"/>
  <c r="T101" i="44"/>
  <c r="AB73" i="55"/>
  <c r="M49" i="44"/>
  <c r="N15" i="55"/>
  <c r="F17" i="44"/>
  <c r="T37" i="44"/>
  <c r="AO34" i="55"/>
  <c r="N39" i="55"/>
  <c r="F19" i="44"/>
  <c r="AB19" i="55"/>
  <c r="M95" i="44"/>
  <c r="F41" i="44"/>
  <c r="N38" i="55"/>
  <c r="AO2" i="55"/>
  <c r="T2" i="44"/>
  <c r="AA13" i="44"/>
  <c r="AZ24" i="55"/>
  <c r="AZ19" i="55"/>
  <c r="AA20" i="44"/>
  <c r="AA40" i="44"/>
  <c r="AZ39" i="55"/>
  <c r="AZ11" i="55"/>
  <c r="AA11" i="44"/>
  <c r="AA16" i="44"/>
  <c r="AZ27" i="55"/>
  <c r="AA3" i="44"/>
  <c r="AZ4" i="55"/>
  <c r="AQ155" i="48" l="1"/>
  <c r="AT155" i="48"/>
  <c r="AS155" i="48"/>
  <c r="AR155" i="48"/>
  <c r="AR177" i="48"/>
  <c r="AQ177" i="48"/>
  <c r="AT177" i="48"/>
  <c r="AS177" i="48"/>
  <c r="AT132" i="48"/>
  <c r="AR132" i="48"/>
  <c r="AS132" i="48"/>
  <c r="AQ132" i="48"/>
  <c r="AR298" i="48"/>
  <c r="AT298" i="48"/>
  <c r="AQ298" i="48"/>
  <c r="AS298" i="48"/>
  <c r="AS113" i="48"/>
  <c r="AQ113" i="48"/>
  <c r="AR113" i="48"/>
  <c r="AT113" i="48"/>
  <c r="AQ160" i="48"/>
  <c r="AR160" i="48"/>
  <c r="AT160" i="48"/>
  <c r="AS160" i="48"/>
  <c r="AT262" i="48"/>
  <c r="AR262" i="48"/>
  <c r="AQ262" i="48"/>
  <c r="AS262" i="48"/>
  <c r="AQ11" i="48"/>
  <c r="AS11" i="48"/>
  <c r="AT11" i="48"/>
  <c r="AR11" i="48"/>
  <c r="AQ123" i="48"/>
  <c r="AT123" i="48"/>
  <c r="AR123" i="48"/>
  <c r="AS123" i="48"/>
  <c r="AR97" i="48"/>
  <c r="AQ97" i="48"/>
  <c r="AT97" i="48"/>
  <c r="AS97" i="48"/>
  <c r="AQ36" i="48"/>
  <c r="AT36" i="48"/>
  <c r="AS36" i="48"/>
  <c r="AR36" i="48"/>
  <c r="AS223" i="48"/>
  <c r="AR223" i="48"/>
  <c r="AT223" i="48"/>
  <c r="AQ223" i="48"/>
  <c r="AS258" i="48"/>
  <c r="AT258" i="48"/>
  <c r="AR258" i="48"/>
  <c r="AQ258" i="48"/>
  <c r="AQ152" i="48"/>
  <c r="AS152" i="48"/>
  <c r="AT152" i="48"/>
  <c r="AR152" i="48"/>
  <c r="AQ5" i="48"/>
  <c r="AR5" i="48"/>
  <c r="AS5" i="48"/>
  <c r="AT5" i="48"/>
  <c r="AS284" i="48"/>
  <c r="AQ284" i="48"/>
  <c r="AT284" i="48"/>
  <c r="AR284" i="48"/>
  <c r="AT185" i="48"/>
  <c r="AR185" i="48"/>
  <c r="AS185" i="48"/>
  <c r="AQ185" i="48"/>
  <c r="AQ282" i="48"/>
  <c r="AR282" i="48"/>
  <c r="AT282" i="48"/>
  <c r="AS282" i="48"/>
  <c r="AQ144" i="48"/>
  <c r="AS144" i="48"/>
  <c r="AR144" i="48"/>
  <c r="AT144" i="48"/>
  <c r="AS206" i="48"/>
  <c r="AT206" i="48"/>
  <c r="AR206" i="48"/>
  <c r="AQ206" i="48"/>
  <c r="AS285" i="48"/>
  <c r="AT285" i="48"/>
  <c r="AQ285" i="48"/>
  <c r="AR285" i="48"/>
  <c r="AQ145" i="48"/>
  <c r="AT145" i="48"/>
  <c r="AR145" i="48"/>
  <c r="AS145" i="48"/>
  <c r="AQ224" i="48"/>
  <c r="AT224" i="48"/>
  <c r="AS224" i="48"/>
  <c r="AR224" i="48"/>
  <c r="AT248" i="48"/>
  <c r="AQ248" i="48"/>
  <c r="AR248" i="48"/>
  <c r="AS248" i="48"/>
  <c r="AS276" i="48"/>
  <c r="AR276" i="48"/>
  <c r="AQ276" i="48"/>
  <c r="AT276" i="48"/>
  <c r="AT18" i="48"/>
  <c r="AQ18" i="48"/>
  <c r="AR18" i="48"/>
  <c r="AS18" i="48"/>
  <c r="AR106" i="48"/>
  <c r="AT106" i="48"/>
  <c r="AS106" i="48"/>
  <c r="AQ106" i="48"/>
  <c r="AR46" i="48"/>
  <c r="AT46" i="48"/>
  <c r="AQ46" i="48"/>
  <c r="AS46" i="48"/>
  <c r="AQ192" i="48"/>
  <c r="AR192" i="48"/>
  <c r="AS192" i="48"/>
  <c r="AT192" i="48"/>
  <c r="AQ118" i="48"/>
  <c r="AS118" i="48"/>
  <c r="AT118" i="48"/>
  <c r="AR118" i="48"/>
  <c r="AT148" i="48"/>
  <c r="AS148" i="48"/>
  <c r="AR148" i="48"/>
  <c r="AQ148" i="48"/>
  <c r="AQ141" i="48"/>
  <c r="AR141" i="48"/>
  <c r="AS141" i="48"/>
  <c r="AT141" i="48"/>
  <c r="AT301" i="48"/>
  <c r="AS301" i="48"/>
  <c r="AR301" i="48"/>
  <c r="AQ301" i="48"/>
  <c r="AS17" i="48"/>
  <c r="AR17" i="48"/>
  <c r="AQ17" i="48"/>
  <c r="AT17" i="48"/>
  <c r="AS146" i="48"/>
  <c r="AQ146" i="48"/>
  <c r="AR146" i="48"/>
  <c r="AT146" i="48"/>
  <c r="AT210" i="48"/>
  <c r="AQ210" i="48"/>
  <c r="AR210" i="48"/>
  <c r="AS210" i="48"/>
  <c r="AR191" i="48"/>
  <c r="AQ191" i="48"/>
  <c r="AT191" i="48"/>
  <c r="AS191" i="48"/>
  <c r="AQ172" i="48"/>
  <c r="AT172" i="48"/>
  <c r="AS172" i="48"/>
  <c r="AR30" i="48"/>
  <c r="AS30" i="48"/>
  <c r="AQ30" i="48"/>
  <c r="AT30" i="48"/>
  <c r="AR8" i="48"/>
  <c r="AS8" i="48"/>
  <c r="AT8" i="48"/>
  <c r="AQ8" i="48"/>
  <c r="AQ176" i="48"/>
  <c r="AR176" i="48"/>
  <c r="AS176" i="48"/>
  <c r="AT176" i="48"/>
  <c r="AS149" i="48"/>
  <c r="AR149" i="48"/>
  <c r="AQ149" i="48"/>
  <c r="AT149" i="48"/>
  <c r="AS39" i="48"/>
  <c r="AQ39" i="48"/>
  <c r="AT39" i="48"/>
  <c r="AR39" i="48"/>
  <c r="AR87" i="48"/>
  <c r="AQ87" i="48"/>
  <c r="AS87" i="48"/>
  <c r="AT87" i="48"/>
  <c r="AT95" i="48"/>
  <c r="AQ95" i="48"/>
  <c r="AR95" i="48"/>
  <c r="AS95" i="48"/>
  <c r="AS126" i="48"/>
  <c r="AQ126" i="48"/>
  <c r="AR126" i="48"/>
  <c r="AT126" i="48"/>
  <c r="AR180" i="48"/>
  <c r="AT180" i="48"/>
  <c r="AQ180" i="48"/>
  <c r="AS180" i="48"/>
  <c r="AR197" i="48"/>
  <c r="AS197" i="48"/>
  <c r="AQ197" i="48"/>
  <c r="AT197" i="48"/>
  <c r="AQ56" i="48"/>
  <c r="AT56" i="48"/>
  <c r="AR56" i="48"/>
  <c r="AS56" i="48"/>
  <c r="AQ45" i="48"/>
  <c r="AS45" i="48"/>
  <c r="AT45" i="48"/>
  <c r="AR45" i="48"/>
  <c r="AR48" i="48"/>
  <c r="AQ48" i="48"/>
  <c r="AS48" i="48"/>
  <c r="AT48" i="48"/>
  <c r="AS275" i="48"/>
  <c r="AT275" i="48"/>
  <c r="AQ275" i="48"/>
  <c r="AR275" i="48"/>
  <c r="AT71" i="48"/>
  <c r="AQ71" i="48"/>
  <c r="AS71" i="48"/>
  <c r="AR71" i="48"/>
  <c r="AS86" i="48"/>
  <c r="AT86" i="48"/>
  <c r="AR86" i="48"/>
  <c r="AQ86" i="48"/>
  <c r="AS7" i="48"/>
  <c r="AQ7" i="48"/>
  <c r="AR7" i="48"/>
  <c r="AT7" i="48"/>
  <c r="AT267" i="48"/>
  <c r="AS267" i="48"/>
  <c r="AQ267" i="48"/>
  <c r="AR267" i="48"/>
  <c r="AS207" i="48"/>
  <c r="AQ207" i="48"/>
  <c r="AR207" i="48"/>
  <c r="AT207" i="48"/>
  <c r="AS133" i="48"/>
  <c r="AR133" i="48"/>
  <c r="AQ133" i="48"/>
  <c r="AT133" i="48"/>
  <c r="AR2" i="48"/>
  <c r="AS2" i="48"/>
  <c r="AQ2" i="48"/>
  <c r="AT2" i="48"/>
  <c r="AR84" i="48"/>
  <c r="AQ84" i="48"/>
  <c r="AR26" i="48"/>
  <c r="AT26" i="48"/>
  <c r="AQ26" i="48"/>
  <c r="AS26" i="48"/>
  <c r="AS29" i="48"/>
  <c r="AR29" i="48"/>
  <c r="AQ29" i="48"/>
  <c r="AT29" i="48"/>
  <c r="AR187" i="48"/>
  <c r="AS187" i="48"/>
  <c r="AT187" i="48"/>
  <c r="AQ187" i="48"/>
  <c r="AQ184" i="48"/>
  <c r="AS184" i="48"/>
  <c r="AT184" i="48"/>
  <c r="AR184" i="48"/>
  <c r="AQ134" i="48"/>
  <c r="AR134" i="48"/>
  <c r="AS134" i="48"/>
  <c r="AT134" i="48"/>
  <c r="AS91" i="48"/>
  <c r="AQ91" i="48"/>
  <c r="AT91" i="48"/>
  <c r="AR91" i="48"/>
  <c r="AQ291" i="48"/>
  <c r="AR291" i="48"/>
  <c r="AT291" i="48"/>
  <c r="AS291" i="48"/>
  <c r="AS271" i="48"/>
  <c r="AQ271" i="48"/>
  <c r="AT271" i="48"/>
  <c r="AR271" i="48"/>
  <c r="AS261" i="48"/>
  <c r="AR261" i="48"/>
  <c r="AT261" i="48"/>
  <c r="AQ261" i="48"/>
  <c r="AR27" i="48"/>
  <c r="AQ27" i="48"/>
  <c r="AS27" i="48"/>
  <c r="AT27" i="48"/>
  <c r="AR28" i="48"/>
  <c r="AT28" i="48"/>
  <c r="AS28" i="48"/>
  <c r="AQ28" i="48"/>
  <c r="AS109" i="48"/>
  <c r="AR109" i="48"/>
  <c r="AT109" i="48"/>
  <c r="AQ109" i="48"/>
  <c r="AR294" i="48"/>
  <c r="AS294" i="48"/>
  <c r="AQ294" i="48"/>
  <c r="AT294" i="48"/>
  <c r="AR165" i="48"/>
  <c r="AS165" i="48"/>
  <c r="AT165" i="48"/>
  <c r="AQ165" i="48"/>
  <c r="AT153" i="48"/>
  <c r="AS153" i="48"/>
  <c r="AQ153" i="48"/>
  <c r="AR153" i="48"/>
  <c r="AQ234" i="48"/>
  <c r="AR234" i="48"/>
  <c r="AS234" i="48"/>
  <c r="AT234" i="48"/>
  <c r="AS66" i="48"/>
  <c r="AR66" i="48"/>
  <c r="AQ66" i="48"/>
  <c r="AT66" i="48"/>
  <c r="AQ4" i="48"/>
  <c r="AT4" i="48"/>
  <c r="AS4" i="48"/>
  <c r="AR4" i="48"/>
  <c r="AQ201" i="48"/>
  <c r="AT201" i="48"/>
  <c r="AR201" i="48"/>
  <c r="AS201" i="48"/>
  <c r="AR169" i="48"/>
  <c r="AT169" i="48"/>
  <c r="AQ169" i="48"/>
  <c r="AS169" i="48"/>
  <c r="AR208" i="48"/>
  <c r="AS208" i="48"/>
  <c r="AT208" i="48"/>
  <c r="AQ208" i="48"/>
  <c r="AR158" i="48"/>
  <c r="AT158" i="48"/>
  <c r="AQ158" i="48"/>
  <c r="AS158" i="48"/>
  <c r="AS74" i="48"/>
  <c r="AQ74" i="48"/>
  <c r="AR74" i="48"/>
  <c r="AT74" i="48"/>
  <c r="AR273" i="48"/>
  <c r="AT273" i="48"/>
  <c r="AS273" i="48"/>
  <c r="AQ273" i="48"/>
  <c r="AT229" i="48"/>
  <c r="AQ229" i="48"/>
  <c r="AR229" i="48"/>
  <c r="AS229" i="48"/>
  <c r="AQ143" i="48"/>
  <c r="AT143" i="48"/>
  <c r="AR143" i="48"/>
  <c r="AS143" i="48"/>
  <c r="AS147" i="48"/>
  <c r="AR147" i="48"/>
  <c r="AT147" i="48"/>
  <c r="AQ147" i="48"/>
  <c r="AS255" i="48"/>
  <c r="AR255" i="48"/>
  <c r="AQ255" i="48"/>
  <c r="AT255" i="48"/>
  <c r="AS62" i="48"/>
  <c r="AQ62" i="48"/>
  <c r="AT62" i="48"/>
  <c r="AR62" i="48"/>
  <c r="AT38" i="48"/>
  <c r="AR38" i="48"/>
  <c r="AS38" i="48"/>
  <c r="AQ38" i="48"/>
  <c r="AT128" i="48"/>
  <c r="AS128" i="48"/>
  <c r="AR128" i="48"/>
  <c r="AQ128" i="48"/>
  <c r="AS94" i="48"/>
  <c r="AR94" i="48"/>
  <c r="AQ94" i="48"/>
  <c r="AT94" i="48"/>
  <c r="AQ242" i="48"/>
  <c r="AS242" i="48"/>
  <c r="AT242" i="48"/>
  <c r="AR242" i="48"/>
  <c r="AR173" i="48"/>
  <c r="AS173" i="48"/>
  <c r="AQ173" i="48"/>
  <c r="AT173" i="48"/>
  <c r="AR70" i="48"/>
  <c r="AS70" i="48"/>
  <c r="AQ70" i="48"/>
  <c r="AT70" i="48"/>
  <c r="AR64" i="48"/>
  <c r="AT64" i="48"/>
  <c r="AS64" i="48"/>
  <c r="AQ64" i="48"/>
  <c r="AS99" i="48"/>
  <c r="AQ99" i="48"/>
  <c r="AT99" i="48"/>
  <c r="AR99" i="48"/>
  <c r="AR215" i="48"/>
  <c r="AQ215" i="48"/>
  <c r="AT215" i="48"/>
  <c r="AS215" i="48"/>
  <c r="AT110" i="48"/>
  <c r="AS110" i="48"/>
  <c r="AQ110" i="48"/>
  <c r="AR110" i="48"/>
  <c r="AQ6" i="48"/>
  <c r="AR6" i="48"/>
  <c r="AT6" i="48"/>
  <c r="AS6" i="48"/>
  <c r="AS10" i="48"/>
  <c r="AR10" i="48"/>
  <c r="AT10" i="48"/>
  <c r="AQ10" i="48"/>
  <c r="AT296" i="48"/>
  <c r="AR296" i="48"/>
  <c r="AS296" i="48"/>
  <c r="AQ296" i="48"/>
  <c r="AS300" i="48"/>
  <c r="AQ300" i="48"/>
  <c r="AT300" i="48"/>
  <c r="AR300" i="48"/>
  <c r="AT280" i="48"/>
  <c r="AS280" i="48"/>
  <c r="AR280" i="48"/>
  <c r="AQ280" i="48"/>
  <c r="AT19" i="48"/>
  <c r="AQ19" i="48"/>
  <c r="AR19" i="48"/>
  <c r="AS19" i="48"/>
  <c r="AQ21" i="48"/>
  <c r="AR21" i="48"/>
  <c r="AS21" i="48"/>
  <c r="AT21" i="48"/>
  <c r="AQ189" i="48"/>
  <c r="AR189" i="48"/>
  <c r="AT189" i="48"/>
  <c r="AS189" i="48"/>
  <c r="AQ170" i="48"/>
  <c r="AR170" i="48"/>
  <c r="AS170" i="48"/>
  <c r="AT170" i="48"/>
  <c r="AS129" i="48"/>
  <c r="AQ129" i="48"/>
  <c r="AT129" i="48"/>
  <c r="AR129" i="48"/>
  <c r="AS136" i="48"/>
  <c r="AR136" i="48"/>
  <c r="AQ136" i="48"/>
  <c r="AT136" i="48"/>
  <c r="AQ83" i="48"/>
  <c r="AR83" i="48"/>
  <c r="AT83" i="48"/>
  <c r="AS83" i="48"/>
  <c r="AT231" i="48"/>
  <c r="AQ231" i="48"/>
  <c r="AS231" i="48"/>
  <c r="AR231" i="48"/>
  <c r="AR299" i="48"/>
  <c r="AS299" i="48"/>
  <c r="AQ299" i="48"/>
  <c r="AT299" i="48"/>
  <c r="AR161" i="48"/>
  <c r="AT161" i="48"/>
  <c r="AS161" i="48"/>
  <c r="AQ161" i="48"/>
  <c r="AR111" i="48"/>
  <c r="AS111" i="48"/>
  <c r="AT111" i="48"/>
  <c r="AQ111" i="48"/>
  <c r="AS116" i="48"/>
  <c r="AQ116" i="48"/>
  <c r="AR116" i="48"/>
  <c r="AT116" i="48"/>
  <c r="AS44" i="48"/>
  <c r="AR44" i="48"/>
  <c r="AT44" i="48"/>
  <c r="AQ44" i="48"/>
  <c r="AT51" i="48"/>
  <c r="AS51" i="48"/>
  <c r="AQ51" i="48"/>
  <c r="AR51" i="48"/>
  <c r="AQ216" i="48"/>
  <c r="AR216" i="48"/>
  <c r="AT216" i="48"/>
  <c r="AS216" i="48"/>
  <c r="AR50" i="48"/>
  <c r="AT50" i="48"/>
  <c r="AS50" i="48"/>
  <c r="AQ50" i="48"/>
  <c r="AQ289" i="48"/>
  <c r="AT289" i="48"/>
  <c r="AS289" i="48"/>
  <c r="AR289" i="48"/>
  <c r="AQ90" i="48"/>
  <c r="AT90" i="48"/>
  <c r="AR90" i="48"/>
  <c r="AS90" i="48"/>
  <c r="AR245" i="48"/>
  <c r="AT245" i="48"/>
  <c r="AQ245" i="48"/>
  <c r="AS245" i="48"/>
  <c r="AQ103" i="48"/>
  <c r="AT103" i="48"/>
  <c r="AS103" i="48"/>
  <c r="AR103" i="48"/>
  <c r="AT212" i="48"/>
  <c r="AQ212" i="48"/>
  <c r="AS212" i="48"/>
  <c r="AR212" i="48"/>
  <c r="AQ222" i="48"/>
  <c r="AR222" i="48"/>
  <c r="AT222" i="48"/>
  <c r="AS222" i="48"/>
  <c r="AT221" i="48"/>
  <c r="AS221" i="48"/>
  <c r="AR221" i="48"/>
  <c r="AQ221" i="48"/>
  <c r="AQ69" i="48"/>
  <c r="AR69" i="48"/>
  <c r="AT69" i="48"/>
  <c r="AS69" i="48"/>
  <c r="AR107" i="48"/>
  <c r="AT107" i="48"/>
  <c r="AS107" i="48"/>
  <c r="AQ107" i="48"/>
  <c r="AQ96" i="48"/>
  <c r="AR96" i="48"/>
  <c r="AT96" i="48"/>
  <c r="AS96" i="48"/>
  <c r="AQ58" i="48"/>
  <c r="AS58" i="48"/>
  <c r="AR58" i="48"/>
  <c r="AT58" i="48"/>
  <c r="AQ73" i="48"/>
  <c r="AT73" i="48"/>
  <c r="AR73" i="48"/>
  <c r="AS73" i="48"/>
  <c r="AS93" i="48"/>
  <c r="AT93" i="48"/>
  <c r="AQ93" i="48"/>
  <c r="AR93" i="48"/>
  <c r="AR236" i="48"/>
  <c r="AS236" i="48"/>
  <c r="AT236" i="48"/>
  <c r="AQ236" i="48"/>
  <c r="AS243" i="48"/>
  <c r="AT243" i="48"/>
  <c r="AQ243" i="48"/>
  <c r="AR243" i="48"/>
  <c r="AR163" i="48"/>
  <c r="AQ163" i="48"/>
  <c r="AS163" i="48"/>
  <c r="AT163" i="48"/>
  <c r="AS54" i="48"/>
  <c r="AT54" i="48"/>
  <c r="AQ54" i="48"/>
  <c r="AR54" i="48"/>
  <c r="AQ288" i="48"/>
  <c r="AS288" i="48"/>
  <c r="AT288" i="48"/>
  <c r="AR288" i="48"/>
  <c r="AS182" i="48"/>
  <c r="AT182" i="48"/>
  <c r="AQ182" i="48"/>
  <c r="AR182" i="48"/>
  <c r="AT117" i="48"/>
  <c r="AR117" i="48"/>
  <c r="AQ117" i="48"/>
  <c r="AS117" i="48"/>
  <c r="AR214" i="48"/>
  <c r="AT214" i="48"/>
  <c r="AQ214" i="48"/>
  <c r="AS214" i="48"/>
  <c r="AR256" i="48"/>
  <c r="AS256" i="48"/>
  <c r="AT256" i="48"/>
  <c r="AQ256" i="48"/>
  <c r="AR281" i="48"/>
  <c r="AS281" i="48"/>
  <c r="AT281" i="48"/>
  <c r="AQ281" i="48"/>
  <c r="AT268" i="48"/>
  <c r="AS268" i="48"/>
  <c r="AQ268" i="48"/>
  <c r="AR268" i="48"/>
  <c r="AS220" i="48"/>
  <c r="AT220" i="48"/>
  <c r="AQ220" i="48"/>
  <c r="AR220" i="48"/>
  <c r="AS295" i="48"/>
  <c r="AR295" i="48"/>
  <c r="AT295" i="48"/>
  <c r="AQ295" i="48"/>
  <c r="AQ9" i="48"/>
  <c r="AT9" i="48"/>
  <c r="AR9" i="48"/>
  <c r="AS9" i="48"/>
  <c r="AT53" i="48"/>
  <c r="AQ53" i="48"/>
  <c r="AR53" i="48"/>
  <c r="AS53" i="48"/>
  <c r="AT193" i="48"/>
  <c r="AQ193" i="48"/>
  <c r="AR193" i="48"/>
  <c r="AS193" i="48"/>
  <c r="AR12" i="48"/>
  <c r="AT12" i="48"/>
  <c r="AS12" i="48"/>
  <c r="AQ12" i="48"/>
  <c r="AR168" i="48"/>
  <c r="AS168" i="48"/>
  <c r="AT168" i="48"/>
  <c r="AQ168" i="48"/>
  <c r="AQ263" i="48"/>
  <c r="AS263" i="48"/>
  <c r="AR263" i="48"/>
  <c r="AT263" i="48"/>
  <c r="AS57" i="48"/>
  <c r="AQ57" i="48"/>
  <c r="AR57" i="48"/>
  <c r="AT57" i="48"/>
  <c r="AS237" i="48"/>
  <c r="AQ237" i="48"/>
  <c r="AR237" i="48"/>
  <c r="AT237" i="48"/>
  <c r="AT199" i="48"/>
  <c r="AQ199" i="48"/>
  <c r="AS199" i="48"/>
  <c r="AR199" i="48"/>
  <c r="AS198" i="48"/>
  <c r="AQ198" i="48"/>
  <c r="AT198" i="48"/>
  <c r="AR198" i="48"/>
  <c r="AR104" i="48"/>
  <c r="AT104" i="48"/>
  <c r="AS104" i="48"/>
  <c r="AQ104" i="48"/>
  <c r="AT252" i="48"/>
  <c r="AR252" i="48"/>
  <c r="AQ252" i="48"/>
  <c r="AS252" i="48"/>
  <c r="AT156" i="48"/>
  <c r="AR156" i="48"/>
  <c r="AQ156" i="48"/>
  <c r="AS156" i="48"/>
  <c r="AR219" i="48"/>
  <c r="AQ219" i="48"/>
  <c r="AT219" i="48"/>
  <c r="AS219" i="48"/>
  <c r="AR194" i="48"/>
  <c r="AQ194" i="48"/>
  <c r="AT194" i="48"/>
  <c r="AS194" i="48"/>
  <c r="AS115" i="48"/>
  <c r="AQ115" i="48"/>
  <c r="AR115" i="48"/>
  <c r="AT115" i="48"/>
  <c r="AQ130" i="48"/>
  <c r="AR130" i="48"/>
  <c r="AS130" i="48"/>
  <c r="AT130" i="48"/>
  <c r="AS227" i="48"/>
  <c r="AR227" i="48"/>
  <c r="AQ227" i="48"/>
  <c r="AT227" i="48"/>
  <c r="AT232" i="48"/>
  <c r="AS232" i="48"/>
  <c r="AR232" i="48"/>
  <c r="AQ232" i="48"/>
  <c r="AT292" i="48"/>
  <c r="AR292" i="48"/>
  <c r="AQ292" i="48"/>
  <c r="AS292" i="48"/>
  <c r="AQ114" i="48"/>
  <c r="AT114" i="48"/>
  <c r="AR114" i="48"/>
  <c r="AS114" i="48"/>
  <c r="AR121" i="48"/>
  <c r="AQ121" i="48"/>
  <c r="AT121" i="48"/>
  <c r="AS121" i="48"/>
  <c r="AS49" i="48"/>
  <c r="AR49" i="48"/>
  <c r="AQ49" i="48"/>
  <c r="AT49" i="48"/>
  <c r="AR239" i="48"/>
  <c r="AT239" i="48"/>
  <c r="AQ239" i="48"/>
  <c r="AS239" i="48"/>
  <c r="AR65" i="48"/>
  <c r="AQ65" i="48"/>
  <c r="AS65" i="48"/>
  <c r="AT65" i="48"/>
  <c r="AT249" i="48"/>
  <c r="AR249" i="48"/>
  <c r="AQ249" i="48"/>
  <c r="AS249" i="48"/>
  <c r="AS195" i="48"/>
  <c r="AQ195" i="48"/>
  <c r="AT195" i="48"/>
  <c r="AR195" i="48"/>
  <c r="AS59" i="48"/>
  <c r="AT59" i="48"/>
  <c r="AQ59" i="48"/>
  <c r="AR59" i="48"/>
  <c r="AT297" i="48"/>
  <c r="AQ297" i="48"/>
  <c r="AR297" i="48"/>
  <c r="AS297" i="48"/>
  <c r="AS88" i="48"/>
  <c r="AT88" i="48"/>
  <c r="AR88" i="48"/>
  <c r="AQ88" i="48"/>
  <c r="AR35" i="48"/>
  <c r="AQ35" i="48"/>
  <c r="AT35" i="48"/>
  <c r="AS35" i="48"/>
  <c r="AT274" i="48"/>
  <c r="AR274" i="48"/>
  <c r="AQ274" i="48"/>
  <c r="AS274" i="48"/>
  <c r="AQ20" i="48"/>
  <c r="AS20" i="48"/>
  <c r="AT20" i="48"/>
  <c r="AR20" i="48"/>
  <c r="AS101" i="48"/>
  <c r="AT101" i="48"/>
  <c r="AQ101" i="48"/>
  <c r="AR101" i="48"/>
  <c r="AR186" i="48"/>
  <c r="AT186" i="48"/>
  <c r="AQ186" i="48"/>
  <c r="AS186" i="48"/>
  <c r="AS40" i="48"/>
  <c r="AQ40" i="48"/>
  <c r="AT40" i="48"/>
  <c r="AR40" i="48"/>
  <c r="AT228" i="48"/>
  <c r="AS228" i="48"/>
  <c r="AQ228" i="48"/>
  <c r="AR228" i="48"/>
  <c r="AS139" i="48"/>
  <c r="AQ139" i="48"/>
  <c r="AR139" i="48"/>
  <c r="AT139" i="48"/>
  <c r="AT230" i="48"/>
  <c r="AS230" i="48"/>
  <c r="AQ230" i="48"/>
  <c r="AR230" i="48"/>
  <c r="AT37" i="48"/>
  <c r="AQ37" i="48"/>
  <c r="AR37" i="48"/>
  <c r="AS37" i="48"/>
  <c r="AT102" i="48"/>
  <c r="AQ102" i="48"/>
  <c r="AR102" i="48"/>
  <c r="AS102" i="48"/>
  <c r="AT122" i="48"/>
  <c r="AQ122" i="48"/>
  <c r="AR122" i="48"/>
  <c r="AS122" i="48"/>
  <c r="AT259" i="48"/>
  <c r="AR259" i="48"/>
  <c r="AS259" i="48"/>
  <c r="AQ259" i="48"/>
  <c r="AR60" i="48"/>
  <c r="AT60" i="48"/>
  <c r="AS60" i="48"/>
  <c r="AQ60" i="48"/>
  <c r="AQ135" i="48"/>
  <c r="AR135" i="48"/>
  <c r="AT135" i="48"/>
  <c r="AS135" i="48"/>
  <c r="AR241" i="48"/>
  <c r="AQ241" i="48"/>
  <c r="AS241" i="48"/>
  <c r="AT241" i="48"/>
  <c r="AS81" i="48"/>
  <c r="AT81" i="48"/>
  <c r="AQ81" i="48"/>
  <c r="AR81" i="48"/>
  <c r="AQ254" i="48"/>
  <c r="AS254" i="48"/>
  <c r="AT254" i="48"/>
  <c r="AR254" i="48"/>
  <c r="AR89" i="48"/>
  <c r="AQ89" i="48"/>
  <c r="AS89" i="48"/>
  <c r="AT89" i="48"/>
  <c r="AQ196" i="48"/>
  <c r="AS196" i="48"/>
  <c r="AT196" i="48"/>
  <c r="AR196" i="48"/>
  <c r="AT32" i="48"/>
  <c r="AQ32" i="48"/>
  <c r="AS32" i="48"/>
  <c r="AR32" i="48"/>
  <c r="AR244" i="48"/>
  <c r="AQ244" i="48"/>
  <c r="AS244" i="48"/>
  <c r="AT244" i="48"/>
  <c r="AR279" i="48"/>
  <c r="AS279" i="48"/>
  <c r="AQ279" i="48"/>
  <c r="AT279" i="48"/>
  <c r="AQ43" i="48"/>
  <c r="AT43" i="48"/>
  <c r="AR43" i="48"/>
  <c r="AS43" i="48"/>
  <c r="AT127" i="48"/>
  <c r="AS127" i="48"/>
  <c r="AQ127" i="48"/>
  <c r="AR127" i="48"/>
  <c r="AR250" i="48"/>
  <c r="AS250" i="48"/>
  <c r="AQ250" i="48"/>
  <c r="AT250" i="48"/>
  <c r="AR233" i="48"/>
  <c r="AQ233" i="48"/>
  <c r="AT233" i="48"/>
  <c r="AS233" i="48"/>
  <c r="AT125" i="48"/>
  <c r="AS125" i="48"/>
  <c r="AR125" i="48"/>
  <c r="AQ125" i="48"/>
  <c r="AQ290" i="48"/>
  <c r="AR290" i="48"/>
  <c r="AS290" i="48"/>
  <c r="AT290" i="48"/>
  <c r="AQ100" i="48"/>
  <c r="AR100" i="48"/>
  <c r="AS100" i="48"/>
  <c r="AT100" i="48"/>
  <c r="AT80" i="48"/>
  <c r="AQ80" i="48"/>
  <c r="AR80" i="48"/>
  <c r="AS80" i="48"/>
  <c r="AQ240" i="48"/>
  <c r="AR240" i="48"/>
  <c r="AS240" i="48"/>
  <c r="AT240" i="48"/>
  <c r="AS272" i="48"/>
  <c r="AQ272" i="48"/>
  <c r="AR272" i="48"/>
  <c r="AT272" i="48"/>
  <c r="AS269" i="48"/>
  <c r="AT269" i="48"/>
  <c r="AR269" i="48"/>
  <c r="AQ269" i="48"/>
  <c r="AQ171" i="48"/>
  <c r="AR171" i="48"/>
  <c r="AS171" i="48"/>
  <c r="AT171" i="48"/>
  <c r="AQ82" i="48"/>
  <c r="AS82" i="48"/>
  <c r="AR82" i="48"/>
  <c r="AT82" i="48"/>
  <c r="AT238" i="48"/>
  <c r="AS238" i="48"/>
  <c r="AR238" i="48"/>
  <c r="AQ238" i="48"/>
  <c r="AR209" i="48"/>
  <c r="AQ209" i="48"/>
  <c r="AS209" i="48"/>
  <c r="AT209" i="48"/>
  <c r="AQ120" i="48"/>
  <c r="AR120" i="48"/>
  <c r="AT120" i="48"/>
  <c r="AS120" i="48"/>
  <c r="AR77" i="48"/>
  <c r="AQ77" i="48"/>
  <c r="AT77" i="48"/>
  <c r="AS77" i="48"/>
  <c r="AT25" i="48"/>
  <c r="AR25" i="48"/>
  <c r="AS25" i="48"/>
  <c r="AQ25" i="48"/>
  <c r="AS264" i="48"/>
  <c r="AT264" i="48"/>
  <c r="AR264" i="48"/>
  <c r="AQ264" i="48"/>
  <c r="AR76" i="48"/>
  <c r="AQ76" i="48"/>
  <c r="AS76" i="48"/>
  <c r="AT76" i="48"/>
  <c r="AS253" i="48"/>
  <c r="AR253" i="48"/>
  <c r="AQ253" i="48"/>
  <c r="AT253" i="48"/>
  <c r="AQ190" i="48"/>
  <c r="AT190" i="48"/>
  <c r="AS190" i="48"/>
  <c r="AR190" i="48"/>
  <c r="AR92" i="48"/>
  <c r="AS92" i="48"/>
  <c r="AQ92" i="48"/>
  <c r="AT92" i="48"/>
  <c r="AT235" i="48"/>
  <c r="AQ235" i="48"/>
  <c r="AR235" i="48"/>
  <c r="AS235" i="48"/>
  <c r="AT218" i="48"/>
  <c r="AQ218" i="48"/>
  <c r="AS218" i="48"/>
  <c r="AR218" i="48"/>
  <c r="AR205" i="48"/>
  <c r="AT205" i="48"/>
  <c r="AQ205" i="48"/>
  <c r="AS205" i="48"/>
  <c r="AT78" i="48"/>
  <c r="AR78" i="48"/>
  <c r="AS78" i="48"/>
  <c r="AQ78" i="48"/>
  <c r="AT24" i="48"/>
  <c r="AR24" i="48"/>
  <c r="AS24" i="48"/>
  <c r="AQ24" i="48"/>
  <c r="AT112" i="48"/>
  <c r="AQ112" i="48"/>
  <c r="AS112" i="48"/>
  <c r="AR112" i="48"/>
  <c r="AS22" i="48"/>
  <c r="AR22" i="48"/>
  <c r="AQ22" i="48"/>
  <c r="AT22" i="48"/>
  <c r="AR178" i="48"/>
  <c r="AQ178" i="48"/>
  <c r="AS178" i="48"/>
  <c r="AT178" i="48"/>
  <c r="AQ287" i="48"/>
  <c r="AS287" i="48"/>
  <c r="AT287" i="48"/>
  <c r="AR287" i="48"/>
  <c r="AT150" i="48"/>
  <c r="AR150" i="48"/>
  <c r="AQ150" i="48"/>
  <c r="AS150" i="48"/>
  <c r="AQ257" i="48"/>
  <c r="AT257" i="48"/>
  <c r="AR257" i="48"/>
  <c r="AS257" i="48"/>
  <c r="AQ179" i="48"/>
  <c r="AR179" i="48"/>
  <c r="AT179" i="48"/>
  <c r="AS179" i="48"/>
  <c r="AS217" i="48"/>
  <c r="AT217" i="48"/>
  <c r="AQ217" i="48"/>
  <c r="AR217" i="48"/>
  <c r="AQ75" i="48"/>
  <c r="AT75" i="48"/>
  <c r="AS75" i="48"/>
  <c r="AR75" i="48"/>
  <c r="AT131" i="48"/>
  <c r="AR131" i="48"/>
  <c r="AS131" i="48"/>
  <c r="AQ131" i="48"/>
  <c r="AR61" i="48"/>
  <c r="AS61" i="48"/>
  <c r="AT61" i="48"/>
  <c r="AQ61" i="48"/>
  <c r="AT55" i="48"/>
  <c r="AS55" i="48"/>
  <c r="AQ55" i="48"/>
  <c r="AR55" i="48"/>
  <c r="AS67" i="48"/>
  <c r="AR67" i="48"/>
  <c r="AT67" i="48"/>
  <c r="AQ67" i="48"/>
  <c r="AR286" i="48"/>
  <c r="AQ286" i="48"/>
  <c r="AS286" i="48"/>
  <c r="AT286" i="48"/>
  <c r="AT119" i="48"/>
  <c r="AQ119" i="48"/>
  <c r="AR119" i="48"/>
  <c r="AS119" i="48"/>
  <c r="AQ151" i="48"/>
  <c r="AR151" i="48"/>
  <c r="AT151" i="48"/>
  <c r="AS151" i="48"/>
  <c r="AT33" i="48"/>
  <c r="AR33" i="48"/>
  <c r="AQ33" i="48"/>
  <c r="AS33" i="48"/>
  <c r="AS34" i="48"/>
  <c r="AR34" i="48"/>
  <c r="AQ34" i="48"/>
  <c r="AT34" i="48"/>
  <c r="AR47" i="48"/>
  <c r="AT47" i="48"/>
  <c r="AQ47" i="48"/>
  <c r="AS47" i="48"/>
  <c r="AR283" i="48"/>
  <c r="AS283" i="48"/>
  <c r="AT283" i="48"/>
  <c r="AQ283" i="48"/>
  <c r="AT68" i="48"/>
  <c r="AR68" i="48"/>
  <c r="AQ68" i="48"/>
  <c r="AS68" i="48"/>
  <c r="AQ13" i="48"/>
  <c r="AR13" i="48"/>
  <c r="AS13" i="48"/>
  <c r="AT13" i="48"/>
  <c r="AS213" i="48"/>
  <c r="AQ213" i="48"/>
  <c r="AT213" i="48"/>
  <c r="AR213" i="48"/>
  <c r="AR72" i="48"/>
  <c r="AQ72" i="48"/>
  <c r="AS72" i="48"/>
  <c r="AT72" i="48"/>
  <c r="AT203" i="48"/>
  <c r="AS203" i="48"/>
  <c r="AQ203" i="48"/>
  <c r="AR203" i="48"/>
  <c r="AQ85" i="48"/>
  <c r="AT85" i="48"/>
  <c r="AS85" i="48"/>
  <c r="AR85" i="48"/>
  <c r="AT63" i="48"/>
  <c r="AS63" i="48"/>
  <c r="AR63" i="48"/>
  <c r="AQ63" i="48"/>
  <c r="AS226" i="48"/>
  <c r="AT226" i="48"/>
  <c r="AR226" i="48"/>
  <c r="AQ226" i="48"/>
  <c r="AT266" i="48"/>
  <c r="AQ266" i="48"/>
  <c r="AR266" i="48"/>
  <c r="AS266" i="48"/>
  <c r="AR159" i="48"/>
  <c r="AS159" i="48"/>
  <c r="AQ159" i="48"/>
  <c r="AT159" i="48"/>
  <c r="AT23" i="48"/>
  <c r="AQ23" i="48"/>
  <c r="AS23" i="48"/>
  <c r="AR23" i="48"/>
  <c r="AQ98" i="48"/>
  <c r="AT98" i="48"/>
  <c r="AR98" i="48"/>
  <c r="AS98" i="48"/>
  <c r="AT140" i="48"/>
  <c r="AQ140" i="48"/>
  <c r="AS140" i="48"/>
  <c r="AR140" i="48"/>
  <c r="AR277" i="48"/>
  <c r="AS277" i="48"/>
  <c r="AQ277" i="48"/>
  <c r="AT277" i="48"/>
  <c r="AQ293" i="48"/>
  <c r="AS293" i="48"/>
  <c r="AT293" i="48"/>
  <c r="AR293" i="48"/>
  <c r="AQ108" i="48"/>
  <c r="AR108" i="48"/>
  <c r="AT108" i="48"/>
  <c r="AS108" i="48"/>
  <c r="AS175" i="48"/>
  <c r="AR175" i="48"/>
  <c r="AT175" i="48"/>
  <c r="AQ175" i="48"/>
  <c r="AR138" i="48"/>
  <c r="AT138" i="48"/>
  <c r="AS138" i="48"/>
  <c r="AQ138" i="48"/>
  <c r="AR265" i="48"/>
  <c r="AS265" i="48"/>
  <c r="AT265" i="48"/>
  <c r="AQ265" i="48"/>
  <c r="AS200" i="48"/>
  <c r="AQ200" i="48"/>
  <c r="AT200" i="48"/>
  <c r="AR200" i="48"/>
  <c r="AR154" i="48"/>
  <c r="AQ154" i="48"/>
  <c r="AT154" i="48"/>
  <c r="AS154" i="48"/>
  <c r="AR31" i="48"/>
  <c r="AT31" i="48"/>
  <c r="AS31" i="48"/>
  <c r="AQ31" i="48"/>
  <c r="AQ137" i="48"/>
  <c r="AS137" i="48"/>
  <c r="AT137" i="48"/>
  <c r="AR137" i="48"/>
  <c r="AS270" i="48"/>
  <c r="AQ270" i="48"/>
  <c r="AT270" i="48"/>
  <c r="AR270" i="48"/>
  <c r="AR16" i="48"/>
  <c r="AS16" i="48"/>
  <c r="AQ16" i="48"/>
  <c r="AT16" i="48"/>
  <c r="AT41" i="48"/>
  <c r="AR41" i="48"/>
  <c r="AS41" i="48"/>
  <c r="AQ41" i="48"/>
  <c r="AQ142" i="48"/>
  <c r="AR142" i="48"/>
  <c r="AS142" i="48"/>
  <c r="AT142" i="48"/>
  <c r="AQ204" i="48"/>
  <c r="AR204" i="48"/>
  <c r="AS204" i="48"/>
  <c r="AT204" i="48"/>
  <c r="AQ3" i="48"/>
  <c r="AT3" i="48"/>
  <c r="AS3" i="48"/>
  <c r="AR3" i="48"/>
  <c r="AS157" i="48"/>
  <c r="AQ157" i="48"/>
  <c r="AR157" i="48"/>
  <c r="AT157" i="48"/>
  <c r="AR105" i="48"/>
  <c r="AQ105" i="48"/>
  <c r="AS105" i="48"/>
  <c r="AT105" i="48"/>
  <c r="AS211" i="48"/>
  <c r="AQ211" i="48"/>
  <c r="AT211" i="48"/>
  <c r="AR211" i="48"/>
  <c r="AR225" i="48"/>
  <c r="AS225" i="48"/>
  <c r="AQ225" i="48"/>
  <c r="AT225" i="48"/>
  <c r="AT79" i="48"/>
  <c r="AR79" i="48"/>
  <c r="AS79" i="48"/>
  <c r="AQ79" i="48"/>
  <c r="AR247" i="48"/>
  <c r="AS247" i="48"/>
  <c r="AQ247" i="48"/>
  <c r="AT247" i="48"/>
  <c r="AS278" i="48"/>
  <c r="AT278" i="48"/>
  <c r="AR278" i="48"/>
  <c r="AQ278" i="48"/>
  <c r="AT84" i="48"/>
  <c r="AS84" i="48"/>
  <c r="AS42" i="48"/>
  <c r="AT42" i="48"/>
  <c r="AR42" i="48"/>
  <c r="AQ42" i="48"/>
  <c r="AS246" i="48"/>
  <c r="AQ246" i="48"/>
  <c r="AT246" i="48"/>
  <c r="AR246" i="48"/>
  <c r="AS174" i="48"/>
  <c r="AQ174" i="48"/>
  <c r="AT174" i="48"/>
  <c r="AR174" i="48"/>
  <c r="AQ15" i="48"/>
  <c r="AR15" i="48"/>
  <c r="AS15" i="48"/>
  <c r="AT15" i="48"/>
  <c r="AT181" i="48"/>
  <c r="AQ181" i="48"/>
  <c r="AR181" i="48"/>
  <c r="AS181" i="48"/>
  <c r="AQ52" i="48"/>
  <c r="AR52" i="48"/>
  <c r="AS52" i="48"/>
  <c r="AT52" i="48"/>
  <c r="AS167" i="48"/>
  <c r="AR167" i="48"/>
  <c r="AQ167" i="48"/>
  <c r="AT167" i="48"/>
  <c r="AS124" i="48"/>
  <c r="AR124" i="48"/>
  <c r="AT124" i="48"/>
  <c r="AQ124" i="48"/>
  <c r="AR14" i="48"/>
  <c r="AT14" i="48"/>
  <c r="AQ14" i="48"/>
  <c r="AS14" i="48"/>
  <c r="AR251" i="48"/>
  <c r="AS251" i="48"/>
  <c r="AQ251" i="48"/>
  <c r="AT251" i="48"/>
  <c r="AQ183" i="48"/>
  <c r="AS183" i="48"/>
  <c r="AT183" i="48"/>
  <c r="AR183" i="48"/>
  <c r="AT188" i="48"/>
  <c r="AR188" i="48"/>
  <c r="AS188" i="48"/>
  <c r="AQ188" i="48"/>
  <c r="AQ164" i="48"/>
  <c r="AR164" i="48"/>
  <c r="AS164" i="48"/>
  <c r="AT164" i="48"/>
  <c r="AS202" i="48"/>
  <c r="AR202" i="48"/>
  <c r="AQ202" i="48"/>
  <c r="AT202" i="48"/>
  <c r="AQ260" i="48"/>
  <c r="AS260" i="48"/>
  <c r="AT260" i="48"/>
  <c r="AR260" i="48"/>
  <c r="AT166" i="48"/>
  <c r="AR166" i="48"/>
  <c r="AQ166" i="48"/>
  <c r="AS166" i="48"/>
  <c r="AT162" i="48"/>
  <c r="AQ162" i="48"/>
  <c r="AS162" i="48"/>
  <c r="AR162" i="48"/>
</calcChain>
</file>

<file path=xl/sharedStrings.xml><?xml version="1.0" encoding="utf-8"?>
<sst xmlns="http://schemas.openxmlformats.org/spreadsheetml/2006/main" count="7693" uniqueCount="727">
  <si>
    <t>PLAYER</t>
  </si>
  <si>
    <t>COMP</t>
  </si>
  <si>
    <t>INT</t>
  </si>
  <si>
    <t>TGT</t>
  </si>
  <si>
    <t>REC</t>
  </si>
  <si>
    <t>Christian McCaffrey</t>
  </si>
  <si>
    <t>POS</t>
  </si>
  <si>
    <t>QB</t>
  </si>
  <si>
    <t>TE</t>
  </si>
  <si>
    <t>Deebo Samuel</t>
  </si>
  <si>
    <t>George Kittle</t>
  </si>
  <si>
    <t>Hunter Henry</t>
  </si>
  <si>
    <t>Lamar Jackson</t>
  </si>
  <si>
    <t>Mark Andrews</t>
  </si>
  <si>
    <t>Dawson Knox</t>
  </si>
  <si>
    <t>Devin Singletary</t>
  </si>
  <si>
    <t>Josh Allen</t>
  </si>
  <si>
    <t>David Montgomery</t>
  </si>
  <si>
    <t>Andy Dalton</t>
  </si>
  <si>
    <t>David Njoku</t>
  </si>
  <si>
    <t>Tony Pollard</t>
  </si>
  <si>
    <t>Dak Prescott</t>
  </si>
  <si>
    <t>Courtland Sutton</t>
  </si>
  <si>
    <t>T.J. Hockenson</t>
  </si>
  <si>
    <t>Matthew Stafford</t>
  </si>
  <si>
    <t>Aaron Rodgers</t>
  </si>
  <si>
    <t>Aaron Jones</t>
  </si>
  <si>
    <t>Davante Adams</t>
  </si>
  <si>
    <t>Patrick Mahomes</t>
  </si>
  <si>
    <t>Travis Kelce</t>
  </si>
  <si>
    <t>Tyler Higbee</t>
  </si>
  <si>
    <t>Cooper Kupp</t>
  </si>
  <si>
    <t>Jared Goff</t>
  </si>
  <si>
    <t>Mike Gesicki</t>
  </si>
  <si>
    <t>Terry McLaurin</t>
  </si>
  <si>
    <t>Derrick Henry</t>
  </si>
  <si>
    <t>Mike Evans</t>
  </si>
  <si>
    <t>Chris Godwin</t>
  </si>
  <si>
    <t>James Conner</t>
  </si>
  <si>
    <t>Dallas Goedert</t>
  </si>
  <si>
    <t>Josh Jacobs</t>
  </si>
  <si>
    <t>Sam Darnold</t>
  </si>
  <si>
    <t>Evan Engram</t>
  </si>
  <si>
    <t>Darius Slayton</t>
  </si>
  <si>
    <t>Saquon Barkley</t>
  </si>
  <si>
    <t>Daniel Jones</t>
  </si>
  <si>
    <t>Alvin Kamara</t>
  </si>
  <si>
    <t>Kirk Cousins</t>
  </si>
  <si>
    <t>Stefon Diggs</t>
  </si>
  <si>
    <t>Christian Kirk</t>
  </si>
  <si>
    <t>Kyler Murray</t>
  </si>
  <si>
    <t>TM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</si>
  <si>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</si>
  <si>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</si>
  <si>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</si>
  <si>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</si>
  <si>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</si>
  <si>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</si>
  <si>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</si>
  <si>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</si>
  <si>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</si>
  <si>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</si>
  <si>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</si>
  <si>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</si>
  <si>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</si>
  <si>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</si>
  <si>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Mo Alie-Cox</t>
  </si>
  <si>
    <t>KC</t>
  </si>
  <si>
    <t>LAC</t>
  </si>
  <si>
    <t>LAR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</si>
  <si>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</si>
  <si>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</si>
  <si>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</si>
  <si>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</si>
  <si>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</si>
  <si>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</si>
  <si>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</si>
  <si>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</si>
  <si>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</si>
  <si>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</si>
  <si>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</si>
  <si>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</si>
  <si>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FPS</t>
  </si>
  <si>
    <t>JAX</t>
  </si>
  <si>
    <t>WSH</t>
  </si>
  <si>
    <t>HALF</t>
  </si>
  <si>
    <t>PPR</t>
  </si>
  <si>
    <t>BYE</t>
  </si>
  <si>
    <t>Jacoby Brissett</t>
  </si>
  <si>
    <t>PATT</t>
  </si>
  <si>
    <t>CMP</t>
  </si>
  <si>
    <t>PAYD</t>
  </si>
  <si>
    <t>PATD</t>
  </si>
  <si>
    <t>RUAT</t>
  </si>
  <si>
    <t>RUYD</t>
  </si>
  <si>
    <t>RUTD</t>
  </si>
  <si>
    <t>Jakobi Meyers</t>
  </si>
  <si>
    <t>Dalton Schultz</t>
  </si>
  <si>
    <t>RK</t>
  </si>
  <si>
    <t>TD</t>
  </si>
  <si>
    <t>RCYD</t>
  </si>
  <si>
    <t>RCTD</t>
  </si>
  <si>
    <t>Devin Duvernay</t>
  </si>
  <si>
    <t>Cole Kmet</t>
  </si>
  <si>
    <t>Joe Burrow</t>
  </si>
  <si>
    <t>Tee Higgins</t>
  </si>
  <si>
    <t>CeeDee Lamb</t>
  </si>
  <si>
    <t>Jerry Jeudy</t>
  </si>
  <si>
    <t>Jordan Love</t>
  </si>
  <si>
    <t>Jonathan Taylor</t>
  </si>
  <si>
    <t>Justin Herbert</t>
  </si>
  <si>
    <t>Tua Tagovailoa</t>
  </si>
  <si>
    <t>Justin Jefferson</t>
  </si>
  <si>
    <t>Adam Trautman</t>
  </si>
  <si>
    <t>Jalen Hurts</t>
  </si>
  <si>
    <t>LV</t>
  </si>
  <si>
    <t>D'Andre Swift</t>
  </si>
  <si>
    <t>DK Metcalf</t>
  </si>
  <si>
    <t>TEAM</t>
  </si>
  <si>
    <t>Justin Fields</t>
  </si>
  <si>
    <t>Trevor Lawrence</t>
  </si>
  <si>
    <t>Marcus Mariota</t>
  </si>
  <si>
    <t>Mac Jones</t>
  </si>
  <si>
    <t>Jameis Winston</t>
  </si>
  <si>
    <t>Geno Smith</t>
  </si>
  <si>
    <t>Kyle Pitts</t>
  </si>
  <si>
    <t>Tommy Tremble</t>
  </si>
  <si>
    <t>Pat Freiermuth</t>
  </si>
  <si>
    <t>Colby Parkinson</t>
  </si>
  <si>
    <t>Charlie Woerner</t>
  </si>
  <si>
    <t>Chuba Hubbard</t>
  </si>
  <si>
    <t>Samaje Perine</t>
  </si>
  <si>
    <t>Javonte Williams</t>
  </si>
  <si>
    <t>Rhamondre Stevenson</t>
  </si>
  <si>
    <t>Najee Harris</t>
  </si>
  <si>
    <t>Rashod Bateman</t>
  </si>
  <si>
    <t>DJ Moore</t>
  </si>
  <si>
    <t>Darnell Mooney</t>
  </si>
  <si>
    <t>Ja'Marr Chase</t>
  </si>
  <si>
    <t>Amon-Ra St. Brown</t>
  </si>
  <si>
    <t>Nico Collins</t>
  </si>
  <si>
    <t>Tutu Atwell</t>
  </si>
  <si>
    <t>Jaylen Waddle</t>
  </si>
  <si>
    <t>DeVonta Smith</t>
  </si>
  <si>
    <t>Nick Westbrook-Ikhine</t>
  </si>
  <si>
    <t>Dyami Brown</t>
  </si>
  <si>
    <t>TD%</t>
  </si>
  <si>
    <t>RB</t>
  </si>
  <si>
    <t>WR</t>
  </si>
  <si>
    <t>INT%</t>
  </si>
  <si>
    <t>PASS ATT</t>
  </si>
  <si>
    <t>COMPLETIONS</t>
  </si>
  <si>
    <t>PASS ATTEMPTS</t>
  </si>
  <si>
    <t>PASS YARDS</t>
  </si>
  <si>
    <t>PASS TDS</t>
  </si>
  <si>
    <t>INTERCEPTIONS</t>
  </si>
  <si>
    <t>RUSH ATTEMPTS</t>
  </si>
  <si>
    <t>RUSH YARDS</t>
  </si>
  <si>
    <t>RUSH TDS</t>
  </si>
  <si>
    <t>TARGETS</t>
  </si>
  <si>
    <t>RECEPTIONS (RB)</t>
  </si>
  <si>
    <t>RECEPTIONS (WR)</t>
  </si>
  <si>
    <t>RECEPTIONS (TE)</t>
  </si>
  <si>
    <t>RECV YARDS</t>
  </si>
  <si>
    <t>RECV TDS</t>
  </si>
  <si>
    <t>SACKS</t>
  </si>
  <si>
    <t>SAFETIES</t>
  </si>
  <si>
    <t>DEF TD</t>
  </si>
  <si>
    <t>PASS TD</t>
  </si>
  <si>
    <t>RUSH ATT</t>
  </si>
  <si>
    <t>RUSH TD</t>
  </si>
  <si>
    <t>RECV TD</t>
  </si>
  <si>
    <t>COMP%</t>
  </si>
  <si>
    <t>TD PER CAR%</t>
  </si>
  <si>
    <t>RECP%</t>
  </si>
  <si>
    <t>YD PER RECP</t>
  </si>
  <si>
    <t>TGT SHARE</t>
  </si>
  <si>
    <t>PTS PER GAME</t>
  </si>
  <si>
    <t>YD PER GAME</t>
  </si>
  <si>
    <t>RECOV'D FUMBLE</t>
  </si>
  <si>
    <t>FORCED FUMBLE</t>
  </si>
  <si>
    <t>DEF SACKS</t>
  </si>
  <si>
    <t>DEF INT</t>
  </si>
  <si>
    <t>DEF SAFETIES</t>
  </si>
  <si>
    <t>DEF TOUCHDOWN</t>
  </si>
  <si>
    <t>DEF 0 PTS ALLOW</t>
  </si>
  <si>
    <t>DEF 1-6 PTS ALLOW</t>
  </si>
  <si>
    <t>DEF 7-13 PTS ALLOW</t>
  </si>
  <si>
    <t>DEF 14-21 PTS ALLOW</t>
  </si>
  <si>
    <t>DEF 22-27 PTS ALLOW</t>
  </si>
  <si>
    <t>DEF 28-35 PTS ALLOW</t>
  </si>
  <si>
    <t>DEF RECOVER FUMBLE</t>
  </si>
  <si>
    <t>DEF FORCE FUMBLE</t>
  </si>
  <si>
    <t>DEF 35+ PTS ALLOW</t>
  </si>
  <si>
    <t>0 PT GAMES</t>
  </si>
  <si>
    <t>1-6 PT GAMES</t>
  </si>
  <si>
    <t>7-13 PT GAMES</t>
  </si>
  <si>
    <t>14-21 PT GAMES</t>
  </si>
  <si>
    <t>35+ PT GAMES</t>
  </si>
  <si>
    <t>22-26 PT GAMES</t>
  </si>
  <si>
    <t>27-34 PT GAMES</t>
  </si>
  <si>
    <t>TD SHARE</t>
  </si>
  <si>
    <t>YDS</t>
  </si>
  <si>
    <t>TOT SHR</t>
  </si>
  <si>
    <t>TEAM NUMBERS</t>
  </si>
  <si>
    <t>PASS%</t>
  </si>
  <si>
    <t>RUSH%</t>
  </si>
  <si>
    <t>PLAYS</t>
  </si>
  <si>
    <t>TM RUSH</t>
  </si>
  <si>
    <t>TM TGT</t>
  </si>
  <si>
    <t>TM REC</t>
  </si>
  <si>
    <t>TM RUSH YD</t>
  </si>
  <si>
    <t>TM RUSH TD</t>
  </si>
  <si>
    <t>TM REC YD</t>
  </si>
  <si>
    <t>TM REC TD</t>
  </si>
  <si>
    <t>TM PASS</t>
  </si>
  <si>
    <t>TEAM TOTAL DIFFERENCES</t>
  </si>
  <si>
    <t>YD PER CARRY</t>
  </si>
  <si>
    <t>PASS SHARE</t>
  </si>
  <si>
    <t>RUSH SHARE</t>
  </si>
  <si>
    <t>EDIT PASS SHARE</t>
  </si>
  <si>
    <t>EDIT RUSH SHARE</t>
  </si>
  <si>
    <t>EDIT TGT SHARE</t>
  </si>
  <si>
    <t>RU YPC</t>
  </si>
  <si>
    <t>TEAMS</t>
  </si>
  <si>
    <t>STARTING QB</t>
  </si>
  <si>
    <t>STARTING RB</t>
  </si>
  <si>
    <t>STARTING WR</t>
  </si>
  <si>
    <t>STARTING TE</t>
  </si>
  <si>
    <t>STARTING DST</t>
  </si>
  <si>
    <t>STARTING FLEX</t>
  </si>
  <si>
    <t>STARTING SUPERFLEX</t>
  </si>
  <si>
    <t>AUC$</t>
  </si>
  <si>
    <t>STATS TO EDIT</t>
  </si>
  <si>
    <t>STAT TOTALS</t>
  </si>
  <si>
    <t>CELLS</t>
  </si>
  <si>
    <t>POSITION DIFFERENCES</t>
  </si>
  <si>
    <t>QB attempt total can't be manipulated manually - you must change TEAM PLAYS, TEAM PASS% and/or QB PASS SHARE</t>
  </si>
  <si>
    <t>BENCHMARKS QB</t>
  </si>
  <si>
    <t>BENCHMARKS RB</t>
  </si>
  <si>
    <t>BENCHMARKS WR</t>
  </si>
  <si>
    <t>BENCHMARKS TE</t>
  </si>
  <si>
    <t>MORE TEAM STATS/TOTALS</t>
  </si>
  <si>
    <t>There are cells all the way to the right, up to Column AH - make sure you see/use all of them if changing numbers</t>
  </si>
  <si>
    <t>Only change stats in YELLOW - the rest will auto-calculate after you make changes</t>
  </si>
  <si>
    <t>LINK TO THE SITE WITH STEP-BY-STEP DEEPER INSTRUCTIONS AND PICTURES</t>
  </si>
  <si>
    <t>OPEN IN EXCEL</t>
  </si>
  <si>
    <t>If you don't have Excel, you can access Office 365 online (just have to create an account if you don't have one), so…</t>
  </si>
  <si>
    <t>GO HERE to access Excel online and open the file</t>
  </si>
  <si>
    <t>Custom</t>
  </si>
  <si>
    <t>Points</t>
  </si>
  <si>
    <t>Category</t>
  </si>
  <si>
    <t>Player</t>
  </si>
  <si>
    <t>Ref</t>
  </si>
  <si>
    <t>DST1</t>
  </si>
  <si>
    <t>DST6</t>
  </si>
  <si>
    <t>DST8</t>
  </si>
  <si>
    <t>DST7</t>
  </si>
  <si>
    <t>DST9</t>
  </si>
  <si>
    <t>DST2</t>
  </si>
  <si>
    <t>DST3</t>
  </si>
  <si>
    <t>DST4</t>
  </si>
  <si>
    <t>DST5</t>
  </si>
  <si>
    <t>DST10</t>
  </si>
  <si>
    <t>DST11</t>
  </si>
  <si>
    <t>DST12</t>
  </si>
  <si>
    <t>DST13</t>
  </si>
  <si>
    <t>DST14</t>
  </si>
  <si>
    <t>DST15</t>
  </si>
  <si>
    <t>DST16</t>
  </si>
  <si>
    <t>DST17</t>
  </si>
  <si>
    <t>DST18</t>
  </si>
  <si>
    <t>DST19</t>
  </si>
  <si>
    <t>DST20</t>
  </si>
  <si>
    <t>DST21</t>
  </si>
  <si>
    <t>DST22</t>
  </si>
  <si>
    <t>DST23</t>
  </si>
  <si>
    <t>DST24</t>
  </si>
  <si>
    <t>DST25</t>
  </si>
  <si>
    <t>DST26</t>
  </si>
  <si>
    <t>DST27</t>
  </si>
  <si>
    <t>DST28</t>
  </si>
  <si>
    <t>DST29</t>
  </si>
  <si>
    <t>DST30</t>
  </si>
  <si>
    <t>DST31</t>
  </si>
  <si>
    <t>DST32</t>
  </si>
  <si>
    <t>AUCTION BUDGET</t>
  </si>
  <si>
    <t>QBRef</t>
  </si>
  <si>
    <t>RBRef</t>
  </si>
  <si>
    <t>WRRef</t>
  </si>
  <si>
    <t>TERef</t>
  </si>
  <si>
    <t>DSTRef</t>
  </si>
  <si>
    <t>Value</t>
  </si>
  <si>
    <t>SFLEX</t>
  </si>
  <si>
    <t>FLEX</t>
  </si>
  <si>
    <t>VORP</t>
  </si>
  <si>
    <t>WR and TE COMBINED</t>
  </si>
  <si>
    <t>OVERALL PLAYER</t>
  </si>
  <si>
    <t>TIGHT END</t>
  </si>
  <si>
    <t>WIDE RECEIVER</t>
  </si>
  <si>
    <t>RUNNING BACK</t>
  </si>
  <si>
    <t>QUARTERBACK</t>
  </si>
  <si>
    <t>Pos</t>
  </si>
  <si>
    <t>Calc</t>
  </si>
  <si>
    <t>OVR RK</t>
  </si>
  <si>
    <t>DO NOT EDIT THIS SHEET</t>
  </si>
  <si>
    <t>POS RK</t>
  </si>
  <si>
    <t>POSRef</t>
  </si>
  <si>
    <t>WRTE</t>
  </si>
  <si>
    <t>Gardner Minshew</t>
  </si>
  <si>
    <t>Jauan Jennings</t>
  </si>
  <si>
    <t>Juwan Johnson</t>
  </si>
  <si>
    <t>Mack Hollins</t>
  </si>
  <si>
    <t>Drake London</t>
  </si>
  <si>
    <t>J.K. Dobbins</t>
  </si>
  <si>
    <t>Jameson Williams</t>
  </si>
  <si>
    <t>Brock Wright</t>
  </si>
  <si>
    <t>Travis Etienne</t>
  </si>
  <si>
    <t>Nick Mullens</t>
  </si>
  <si>
    <t>Jahan Dotson</t>
  </si>
  <si>
    <t>Garrett Wilson</t>
  </si>
  <si>
    <t>Chris Olave</t>
  </si>
  <si>
    <t>Tyler Allgeier</t>
  </si>
  <si>
    <t>Charlie Kolar</t>
  </si>
  <si>
    <t>Isaiah Likely</t>
  </si>
  <si>
    <t>Khalil Shakir</t>
  </si>
  <si>
    <t>Jake Ferguson</t>
  </si>
  <si>
    <t>Romeo Doubs</t>
  </si>
  <si>
    <t>Breece Hall</t>
  </si>
  <si>
    <t>Jeremy Ruckert</t>
  </si>
  <si>
    <t>George Pickens</t>
  </si>
  <si>
    <t>Calvin Austin</t>
  </si>
  <si>
    <t>Brian Robinson</t>
  </si>
  <si>
    <t>Cade Otton</t>
  </si>
  <si>
    <t>Rachaad White</t>
  </si>
  <si>
    <t>Kyren Williams</t>
  </si>
  <si>
    <t>Alec Pierce</t>
  </si>
  <si>
    <t>Jalen Tolbert</t>
  </si>
  <si>
    <t>James Cook</t>
  </si>
  <si>
    <t>Daniel Bellinger</t>
  </si>
  <si>
    <t>Wan'Dale Robinson</t>
  </si>
  <si>
    <t>WAS</t>
  </si>
  <si>
    <t>Tyrod Taylor</t>
  </si>
  <si>
    <t>Jarrett Stidham</t>
  </si>
  <si>
    <t>JAC</t>
  </si>
  <si>
    <t>Team</t>
  </si>
  <si>
    <t>Kenneth Gainwell</t>
  </si>
  <si>
    <t>Jalen Nailor</t>
  </si>
  <si>
    <t>Michael Pittman</t>
  </si>
  <si>
    <t>Trey McBride</t>
  </si>
  <si>
    <t>EDIT TD PER REC</t>
  </si>
  <si>
    <t>YDS PER COMP</t>
  </si>
  <si>
    <t>ABBREV</t>
  </si>
  <si>
    <t>TGTS</t>
  </si>
  <si>
    <t>Name</t>
  </si>
  <si>
    <t>Position</t>
  </si>
  <si>
    <t>Baker Mayfield</t>
  </si>
  <si>
    <t>Isiah Pacheco</t>
  </si>
  <si>
    <t>Jaylen Warren</t>
  </si>
  <si>
    <t>Jordan Mason</t>
  </si>
  <si>
    <t>Greg Dortch</t>
  </si>
  <si>
    <t>Calvin Ridley</t>
  </si>
  <si>
    <t>Brock Purdy</t>
  </si>
  <si>
    <t>Rashid Shaheed</t>
  </si>
  <si>
    <t>Josh Oliver</t>
  </si>
  <si>
    <t>KaVontae Turpin</t>
  </si>
  <si>
    <t>Michael Wilson</t>
  </si>
  <si>
    <t>Bijan Robinson</t>
  </si>
  <si>
    <t>Zay Flowers</t>
  </si>
  <si>
    <t>Dalton Kincaid</t>
  </si>
  <si>
    <t>Bryce Young</t>
  </si>
  <si>
    <t>Chase Brown</t>
  </si>
  <si>
    <t>Charlie Jones</t>
  </si>
  <si>
    <t>Cedric Tillman</t>
  </si>
  <si>
    <t>Luke Schoonmaker</t>
  </si>
  <si>
    <t>Marvin Mims</t>
  </si>
  <si>
    <t>Jahmyr Gibbs</t>
  </si>
  <si>
    <t>Sam LaPorta</t>
  </si>
  <si>
    <t>Jayden Reed</t>
  </si>
  <si>
    <t>Luke Musgrave</t>
  </si>
  <si>
    <t>Tucker Kraft</t>
  </si>
  <si>
    <t>C.J. Stroud</t>
  </si>
  <si>
    <t>Xavier Hutchinson</t>
  </si>
  <si>
    <t>Anthony Richardson</t>
  </si>
  <si>
    <t>Josh Downs</t>
  </si>
  <si>
    <t>Tank Bigsby</t>
  </si>
  <si>
    <t>Parker Washington</t>
  </si>
  <si>
    <t>Brenton Strange</t>
  </si>
  <si>
    <t>Rashee Rice</t>
  </si>
  <si>
    <t>Tre Tucker</t>
  </si>
  <si>
    <t>Michael Mayer</t>
  </si>
  <si>
    <t>Quentin Johnston</t>
  </si>
  <si>
    <t>Derius Davis</t>
  </si>
  <si>
    <t>Puka Nacua</t>
  </si>
  <si>
    <t>Jordan Addison</t>
  </si>
  <si>
    <t>Kendre Miller</t>
  </si>
  <si>
    <t>Darnell Washington</t>
  </si>
  <si>
    <t>Zach Charbonnet</t>
  </si>
  <si>
    <t>Jaxon Smith-Njigba</t>
  </si>
  <si>
    <t>Sean Tucker</t>
  </si>
  <si>
    <t>Payne Durham</t>
  </si>
  <si>
    <t>Tyjae Spears</t>
  </si>
  <si>
    <t>Roschon Johnson</t>
  </si>
  <si>
    <t>Kenneth Walker</t>
  </si>
  <si>
    <t>De'Von Achane</t>
  </si>
  <si>
    <t xml:space="preserve"> </t>
  </si>
  <si>
    <t>Joshua Palmer</t>
  </si>
  <si>
    <t>Keaton Mitchell</t>
  </si>
  <si>
    <t>Rico Dowdle</t>
  </si>
  <si>
    <t>Jaleel McLaughlin</t>
  </si>
  <si>
    <t>Tyson Bagent</t>
  </si>
  <si>
    <t>Andrei Iosivas</t>
  </si>
  <si>
    <t>Justice Hill</t>
  </si>
  <si>
    <t>Jake Browning</t>
  </si>
  <si>
    <t>Jake Bobo</t>
  </si>
  <si>
    <t>Elijah Higgins</t>
  </si>
  <si>
    <t>Ty Johnson</t>
  </si>
  <si>
    <t>Caleb Williams</t>
  </si>
  <si>
    <t>Kalif Raymond</t>
  </si>
  <si>
    <t>Dontayvion Wicks</t>
  </si>
  <si>
    <t>Joe Flacco</t>
  </si>
  <si>
    <t>Jayden Daniels</t>
  </si>
  <si>
    <t>Julian Hill</t>
  </si>
  <si>
    <t>Olamide Zaccheaus</t>
  </si>
  <si>
    <t>Rome Odunze</t>
  </si>
  <si>
    <t>Drake Maye</t>
  </si>
  <si>
    <t>Marvin Harrison</t>
  </si>
  <si>
    <t>Malik Nabers</t>
  </si>
  <si>
    <t>Michael Penix</t>
  </si>
  <si>
    <t>Bo Nix</t>
  </si>
  <si>
    <t>Brock Bowers</t>
  </si>
  <si>
    <t>Brian Thomas</t>
  </si>
  <si>
    <t>Xavier Worthy</t>
  </si>
  <si>
    <t>Xavier Legette</t>
  </si>
  <si>
    <t>Keon Coleman</t>
  </si>
  <si>
    <t>Ladd McConkey</t>
  </si>
  <si>
    <t>Adonai Mitchell</t>
  </si>
  <si>
    <t>Ben Sinnott</t>
  </si>
  <si>
    <t>Tip Reiman</t>
  </si>
  <si>
    <t>Trey Benson</t>
  </si>
  <si>
    <t>Casey Washington</t>
  </si>
  <si>
    <t>Devontez Walker</t>
  </si>
  <si>
    <t>Ray Davis</t>
  </si>
  <si>
    <t>Ja'Tavion Sanders</t>
  </si>
  <si>
    <t>Ryan Flournoy</t>
  </si>
  <si>
    <t>Troy Franklin</t>
  </si>
  <si>
    <t>MarShawn Lloyd</t>
  </si>
  <si>
    <t>Anthony Gould</t>
  </si>
  <si>
    <t>Blake Corum</t>
  </si>
  <si>
    <t>Jordan Whittington</t>
  </si>
  <si>
    <t>Jaylen Wright</t>
  </si>
  <si>
    <t>Malik Washington</t>
  </si>
  <si>
    <t>Theo Johnson</t>
  </si>
  <si>
    <t>Tyrone Tracy</t>
  </si>
  <si>
    <t>Braelon Allen</t>
  </si>
  <si>
    <t>Isaiah Davis</t>
  </si>
  <si>
    <t>Will Shipley</t>
  </si>
  <si>
    <t>Roman Wilson</t>
  </si>
  <si>
    <t>AJ Barner</t>
  </si>
  <si>
    <t>Jalen McMillan</t>
  </si>
  <si>
    <t>Bucky Irving</t>
  </si>
  <si>
    <t>Luke McCaffrey</t>
  </si>
  <si>
    <t>DeMario Douglas</t>
  </si>
  <si>
    <t>Rasheen Ali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</si>
  <si>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</si>
  <si>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</si>
  <si>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</si>
  <si>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</si>
  <si>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</si>
  <si>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</si>
  <si>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</si>
  <si>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</si>
  <si>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</si>
  <si>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</si>
  <si>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</si>
  <si>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</si>
  <si>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</si>
  <si>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</si>
  <si>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</si>
  <si>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</si>
  <si>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</si>
  <si>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</si>
  <si>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</si>
  <si>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</si>
  <si>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</si>
  <si>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</si>
  <si>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</si>
  <si>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</si>
  <si>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</si>
  <si>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</si>
  <si>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</si>
  <si>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</si>
  <si>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</si>
  <si>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</si>
  <si>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</si>
  <si>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</si>
  <si>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Devaughn Vele</t>
  </si>
  <si>
    <t>Spencer Rattler</t>
  </si>
  <si>
    <t>Drew Ogletree</t>
  </si>
  <si>
    <t>Emanuel Wilson</t>
  </si>
  <si>
    <t>Grant Calcaterra</t>
  </si>
  <si>
    <t>Malik Willis</t>
  </si>
  <si>
    <t>Davis Mills</t>
  </si>
  <si>
    <t>J.J. McCarthy</t>
  </si>
  <si>
    <t>Jaxson Dart</t>
  </si>
  <si>
    <t>Cam Ward</t>
  </si>
  <si>
    <t>Ashton Jeanty</t>
  </si>
  <si>
    <t>Omarion Hampton</t>
  </si>
  <si>
    <t>Xavier Weaver</t>
  </si>
  <si>
    <t>Tylan Wallace</t>
  </si>
  <si>
    <t>Trevor Etienne</t>
  </si>
  <si>
    <t>Tetairoa McMillan</t>
  </si>
  <si>
    <t>Jalen Coker</t>
  </si>
  <si>
    <t>Mitchell Evans</t>
  </si>
  <si>
    <t>Kyle Monangai</t>
  </si>
  <si>
    <t>Luther Burden</t>
  </si>
  <si>
    <t>Colston Loveland</t>
  </si>
  <si>
    <t>Tahj Brooks</t>
  </si>
  <si>
    <t>Shedeur Sanders</t>
  </si>
  <si>
    <t>Dylan Sampson</t>
  </si>
  <si>
    <t>Harold Fannin</t>
  </si>
  <si>
    <t>Jaydon Blue</t>
  </si>
  <si>
    <t>Phil Mafah</t>
  </si>
  <si>
    <t>RJ Harvey</t>
  </si>
  <si>
    <t>Pat Bryant</t>
  </si>
  <si>
    <t>Isaac TeSlaa</t>
  </si>
  <si>
    <t>Savion Williams</t>
  </si>
  <si>
    <t>Woody Marks</t>
  </si>
  <si>
    <t>Jayden Higgins</t>
  </si>
  <si>
    <t>Jaylin Noel</t>
  </si>
  <si>
    <t>DJ Giddens</t>
  </si>
  <si>
    <t>Tyler Warren</t>
  </si>
  <si>
    <t>Bhayshul Tuten</t>
  </si>
  <si>
    <t>LeQuint Allen</t>
  </si>
  <si>
    <t>Travis Hunter</t>
  </si>
  <si>
    <t>Brashard Smith</t>
  </si>
  <si>
    <t>Jalen Royals</t>
  </si>
  <si>
    <t>Noah Gray</t>
  </si>
  <si>
    <t>KeAndre Lambert-Smith</t>
  </si>
  <si>
    <t>Oronde Gadsden</t>
  </si>
  <si>
    <t>Jarquez Hunter</t>
  </si>
  <si>
    <t>Konata Mumpfield</t>
  </si>
  <si>
    <t>Terrance Ferguson</t>
  </si>
  <si>
    <t>Jack Bech</t>
  </si>
  <si>
    <t>Tai Felton</t>
  </si>
  <si>
    <t>TreVeyon Henderson</t>
  </si>
  <si>
    <t>Kyle Williams</t>
  </si>
  <si>
    <t>Kayshon Boutte</t>
  </si>
  <si>
    <t>Tyler Shough</t>
  </si>
  <si>
    <t>Devin Neal</t>
  </si>
  <si>
    <t>Cam Skattebo</t>
  </si>
  <si>
    <t>Arian Smith</t>
  </si>
  <si>
    <t>Mason Taylor</t>
  </si>
  <si>
    <t>Will Howard</t>
  </si>
  <si>
    <t>Kaleb Johnson</t>
  </si>
  <si>
    <t>Jalen Milroe</t>
  </si>
  <si>
    <t>Tory Horton</t>
  </si>
  <si>
    <t>Jordan James</t>
  </si>
  <si>
    <t>Dermarcus Robinson</t>
  </si>
  <si>
    <t>Jordan Watkins</t>
  </si>
  <si>
    <t>Tez Johnson</t>
  </si>
  <si>
    <t>Elic Ayomanor</t>
  </si>
  <si>
    <t>Chimere Dike</t>
  </si>
  <si>
    <t>Gunnar Helm</t>
  </si>
  <si>
    <t>Jacory Croskey-Merritt</t>
  </si>
  <si>
    <t>Jaylin Lane</t>
  </si>
  <si>
    <t>Ollie Gordon</t>
  </si>
  <si>
    <t>Quinn Ewers</t>
  </si>
  <si>
    <t>TM RSH ATT</t>
  </si>
  <si>
    <t>Ben Skowronek</t>
  </si>
  <si>
    <t>Elijah Arroyo</t>
  </si>
  <si>
    <t>Chig Okonkwo</t>
  </si>
  <si>
    <t>Matthew Golden</t>
  </si>
  <si>
    <t>Emeka Egbuka</t>
  </si>
  <si>
    <t>Columns AE-AH should total 100% or less -- the calcuations will still adjust to 98% (Columns W, AA, AC), but it's forcing the numbers if you're over 100% and/or inflating them if way low</t>
  </si>
  <si>
    <t>You can only edit PASS% (RUSH% auto adjusts to equal 100). Also, TEAM YPC and TD% affect "available" rushing yards and TDs -- QB YPA and PASS TD% affect "available" targets, receptions (yards and TDs)</t>
  </si>
  <si>
    <t>League average for TD% per COMP is around 7.1-7.2</t>
  </si>
  <si>
    <t>League average for TD% per RUSH ATT is around 3.8</t>
  </si>
  <si>
    <t>League average for TGT% is around 9.0</t>
  </si>
  <si>
    <t>League average for TGT% is around 5.5</t>
  </si>
  <si>
    <t>Dont'e Thornton</t>
  </si>
  <si>
    <t>Noah Fant</t>
  </si>
  <si>
    <t>Tre' Harris</t>
  </si>
  <si>
    <t>Tyquan Thornton</t>
  </si>
  <si>
    <t>Quinshon Judkins</t>
  </si>
  <si>
    <t>Beaux Collins</t>
  </si>
  <si>
    <t>Isaiah Bond</t>
  </si>
  <si>
    <t>Chris Brooks</t>
  </si>
  <si>
    <t>Chris Rodriguez</t>
  </si>
  <si>
    <t>AUC Calc</t>
  </si>
  <si>
    <t>Tanner McKee</t>
  </si>
  <si>
    <t>Mitchell Tinsley</t>
  </si>
  <si>
    <t>Thomas Fidone</t>
  </si>
  <si>
    <t>Darius Cooper</t>
  </si>
  <si>
    <t>George Holani</t>
  </si>
  <si>
    <t>Jeremy McNichols</t>
  </si>
  <si>
    <t>Jahdae Walker</t>
  </si>
  <si>
    <t>Kyle Allen</t>
  </si>
  <si>
    <t>Tyler Goodson</t>
  </si>
  <si>
    <t>Kenny Pickett</t>
  </si>
  <si>
    <t>Ben Yurosek</t>
  </si>
  <si>
    <t>Trey Lance</t>
  </si>
  <si>
    <t>Jimmy Horn</t>
  </si>
  <si>
    <t>Raheim Sanders</t>
  </si>
  <si>
    <t>Kendrick Bourne</t>
  </si>
  <si>
    <t>Durham Smythe</t>
  </si>
  <si>
    <t>Jonathon Brooks</t>
  </si>
  <si>
    <t>Christian Watson</t>
  </si>
  <si>
    <t>Jawhar Jordan</t>
  </si>
  <si>
    <t>Emari Demercado</t>
  </si>
  <si>
    <t>Greg Dulcich</t>
  </si>
  <si>
    <t>Ben Sims</t>
  </si>
  <si>
    <t>Brady Cook</t>
  </si>
  <si>
    <t>Isaiah Williams</t>
  </si>
  <si>
    <t>Jake Tonges</t>
  </si>
  <si>
    <t>Treylon Burks</t>
  </si>
  <si>
    <t>Austin Hooper</t>
  </si>
  <si>
    <t>Tyler Huntley</t>
  </si>
  <si>
    <t>AJ Dillon</t>
  </si>
  <si>
    <t>John Metchie</t>
  </si>
  <si>
    <t>Drew Sample</t>
  </si>
  <si>
    <t>Deshaun Watson</t>
  </si>
  <si>
    <t>Jack Stoll</t>
  </si>
  <si>
    <t>Sam Howell</t>
  </si>
  <si>
    <t>Malik Davis</t>
  </si>
  <si>
    <t>Jonathan Mingo</t>
  </si>
  <si>
    <t>Teddy Bridgewater</t>
  </si>
  <si>
    <t>Jacob Saylors</t>
  </si>
  <si>
    <t>Tyler Conklin</t>
  </si>
  <si>
    <t>Pierre Strong</t>
  </si>
  <si>
    <t>Skyy Moore</t>
  </si>
  <si>
    <t>Tank Dell</t>
  </si>
  <si>
    <t>Justin Watson</t>
  </si>
  <si>
    <t>Riley Leonard</t>
  </si>
  <si>
    <t>Ashton Dulin</t>
  </si>
  <si>
    <t>Fernando Mendoza</t>
  </si>
  <si>
    <t>Dylan Laube</t>
  </si>
  <si>
    <t>Dareke Young</t>
  </si>
  <si>
    <t>Kimani Vidal</t>
  </si>
  <si>
    <t>Xavier Smith</t>
  </si>
  <si>
    <t>Jeshaun Jones</t>
  </si>
  <si>
    <t>Tommy DeVito</t>
  </si>
  <si>
    <t>Zach Wilson</t>
  </si>
  <si>
    <t>Mason Tipton</t>
  </si>
  <si>
    <t>Hollywood Brown</t>
  </si>
  <si>
    <t>Elijah Moore</t>
  </si>
  <si>
    <t>Drew Lock</t>
  </si>
  <si>
    <t>Mitchell Trubisky</t>
  </si>
  <si>
    <t>K.J. Osborn</t>
  </si>
  <si>
    <t>Carson Beck</t>
  </si>
  <si>
    <t>Taylen Green</t>
  </si>
  <si>
    <t>Garrett Nussmeier</t>
  </si>
  <si>
    <t>Ty Simpson</t>
  </si>
  <si>
    <t>Cade Klubnik</t>
  </si>
  <si>
    <t>Drew Allar</t>
  </si>
  <si>
    <t>Kaytron Allen</t>
  </si>
  <si>
    <t>Nicholas Singleton</t>
  </si>
  <si>
    <t>Jadarian Price</t>
  </si>
  <si>
    <t>Kaelon Black</t>
  </si>
  <si>
    <t>Eli Heidenreich</t>
  </si>
  <si>
    <t>Jam Miller</t>
  </si>
  <si>
    <t>Demond Claiborne</t>
  </si>
  <si>
    <t>Mike Washington</t>
  </si>
  <si>
    <t>Emmett Johnson</t>
  </si>
  <si>
    <t>Seth McGowan</t>
  </si>
  <si>
    <t>Jonah Coleman</t>
  </si>
  <si>
    <t>Adam Randall</t>
  </si>
  <si>
    <t>Jeremiyah Love</t>
  </si>
  <si>
    <t>Reggie Virgil</t>
  </si>
  <si>
    <t>Zachariah Branch</t>
  </si>
  <si>
    <t>Elijah Sarratt</t>
  </si>
  <si>
    <t>Ja'Kobi Lane</t>
  </si>
  <si>
    <t>Skyler Bell</t>
  </si>
  <si>
    <t>Mecole Hardman</t>
  </si>
  <si>
    <t>Zavion Thomas</t>
  </si>
  <si>
    <t>Scotty Miller</t>
  </si>
  <si>
    <t>Colbie Young</t>
  </si>
  <si>
    <t>KC Concepcion</t>
  </si>
  <si>
    <t>Denzel Boston</t>
  </si>
  <si>
    <t>Marquez Valdes-Scantling</t>
  </si>
  <si>
    <t>Cedrick Wilson</t>
  </si>
  <si>
    <t>Bo Melton</t>
  </si>
  <si>
    <t>Deion Burks</t>
  </si>
  <si>
    <t>Josh Cameron</t>
  </si>
  <si>
    <t>CJ Williams</t>
  </si>
  <si>
    <t>Cyrus Allen</t>
  </si>
  <si>
    <t>Jeff Caldwell</t>
  </si>
  <si>
    <t>Malik Benson</t>
  </si>
  <si>
    <t>Brenen Thompson</t>
  </si>
  <si>
    <t>CJ Daniels</t>
  </si>
  <si>
    <t>Chris Bell</t>
  </si>
  <si>
    <t>Caleb Douglas</t>
  </si>
  <si>
    <t>Jordyn Tyson</t>
  </si>
  <si>
    <t>Bryce Lance</t>
  </si>
  <si>
    <t>Malachi Fields</t>
  </si>
  <si>
    <t>Omar Cooper</t>
  </si>
  <si>
    <t>Tim Patrick</t>
  </si>
  <si>
    <t>Makai Lemon</t>
  </si>
  <si>
    <t>Germie Bernard</t>
  </si>
  <si>
    <t>De'Zhaun Stribling</t>
  </si>
  <si>
    <t>Emmanuel Henderson</t>
  </si>
  <si>
    <t>Ted Hurst</t>
  </si>
  <si>
    <t>Kameron Johnson</t>
  </si>
  <si>
    <t>Carnell Tate</t>
  </si>
  <si>
    <t>Antonio Williams</t>
  </si>
  <si>
    <t>Eli Stowers</t>
  </si>
  <si>
    <t>Kenyon Sadiq</t>
  </si>
  <si>
    <t>Oscar Delp</t>
  </si>
  <si>
    <t>Eli Raridon</t>
  </si>
  <si>
    <t>Will Kacmarek</t>
  </si>
  <si>
    <t>Max Klare</t>
  </si>
  <si>
    <t>Jared Wiley</t>
  </si>
  <si>
    <t>Nate Boerkircher</t>
  </si>
  <si>
    <t>Tanner Koziol</t>
  </si>
  <si>
    <t>Foster Moreau</t>
  </si>
  <si>
    <t>Marlin Klein</t>
  </si>
  <si>
    <t>Justin Joly</t>
  </si>
  <si>
    <t>Michael Trigg</t>
  </si>
  <si>
    <t>Joe Royer</t>
  </si>
  <si>
    <t>Sam Roush</t>
  </si>
  <si>
    <t>Josh Cuevas</t>
  </si>
  <si>
    <t>Player ID</t>
  </si>
  <si>
    <t>FA</t>
  </si>
  <si>
    <t>Kevin Coleman</t>
  </si>
  <si>
    <t>A.J. Brown</t>
  </si>
  <si>
    <t>Isaac Guerendo</t>
  </si>
  <si>
    <t>Erick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</si>
</sst>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%"/>
    <numFmt numFmtId="166" formatCode="0.0000"/>
    <numFmt numFmtId="167" formatCode="&quot;$&quot;#,##0.0"/>
    <numFmt numFmtId="168" formatCode="&quot;$&quot;#,##0"/>
    <numFmt numFmtId="169" formatCode="#,##0.0"/>
  </numFmts>
  <fonts count="27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9"/>
      <name val="Calibri"/>
      <family val="2"/>
    </font>
    <font>
      <sz val="11"/>
      <color theme="1"/>
      <name val="Calibri"/>
      <family val="2"/>
    </font>
    <font>
      <b/>
      <sz val="10"/>
      <color indexed="8"/>
      <name val="Segoe UI Emoji"/>
      <family val="2"/>
    </font>
    <font>
      <b/>
      <sz val="10"/>
      <color theme="1"/>
      <name val="Segoe UI Emoji"/>
      <family val="2"/>
    </font>
    <font>
      <sz val="10"/>
      <color theme="1"/>
      <name val="Segoe UI Emoji"/>
      <family val="2"/>
    </font>
    <font>
      <sz val="10"/>
      <color indexed="8"/>
      <name val="Segoe UI Emoji"/>
      <family val="2"/>
    </font>
    <font>
      <i/>
      <sz val="10"/>
      <color indexed="8"/>
      <name val="Segoe UI Emoji"/>
      <family val="2"/>
    </font>
    <font>
      <i/>
      <sz val="10"/>
      <color theme="1"/>
      <name val="Segoe UI Emoji"/>
      <family val="2"/>
    </font>
    <font>
      <b/>
      <i/>
      <sz val="10"/>
      <color indexed="8"/>
      <name val="Segoe UI Emoji"/>
      <family val="2"/>
    </font>
    <font>
      <b/>
      <i/>
      <sz val="10"/>
      <color theme="1"/>
      <name val="Segoe UI Emoji"/>
      <family val="2"/>
    </font>
    <font>
      <b/>
      <u/>
      <sz val="12"/>
      <color theme="10"/>
      <name val="Segoe UI Emoji"/>
      <family val="2"/>
    </font>
    <font>
      <u/>
      <sz val="10"/>
      <color theme="10"/>
      <name val="Segoe UI Emoji"/>
      <family val="2"/>
    </font>
    <font>
      <b/>
      <sz val="10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Segoe UI Emoji"/>
      <family val="2"/>
    </font>
  </fonts>
  <fills count="1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D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FEBD7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69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92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4" fontId="10" fillId="9" borderId="0" xfId="0" applyNumberFormat="1" applyFont="1" applyFill="1"/>
    <xf numFmtId="168" fontId="10" fillId="0" borderId="0" xfId="0" applyNumberFormat="1" applyFont="1"/>
    <xf numFmtId="164" fontId="5" fillId="9" borderId="0" xfId="0" applyNumberFormat="1" applyFont="1" applyFill="1"/>
    <xf numFmtId="168" fontId="5" fillId="0" borderId="0" xfId="0" applyNumberFormat="1" applyFont="1"/>
    <xf numFmtId="0" fontId="11" fillId="0" borderId="0" xfId="0" applyFont="1" applyAlignment="1">
      <alignment horizontal="center"/>
    </xf>
    <xf numFmtId="167" fontId="5" fillId="0" borderId="0" xfId="0" applyNumberFormat="1" applyFont="1"/>
    <xf numFmtId="0" fontId="12" fillId="0" borderId="0" xfId="0" applyFont="1"/>
    <xf numFmtId="164" fontId="13" fillId="0" borderId="0" xfId="0" applyNumberFormat="1" applyFont="1"/>
    <xf numFmtId="164" fontId="13" fillId="9" borderId="0" xfId="0" applyNumberFormat="1" applyFont="1" applyFill="1"/>
    <xf numFmtId="0" fontId="13" fillId="0" borderId="0" xfId="0" applyFont="1"/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1" xfId="0" applyNumberFormat="1" applyFont="1" applyBorder="1" applyAlignment="1">
      <alignment horizontal="center" vertical="center" wrapText="1"/>
    </xf>
    <xf numFmtId="165" fontId="14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1" xfId="1" applyNumberFormat="1" applyFont="1" applyBorder="1" applyAlignment="1" applyProtection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2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164" fontId="16" fillId="0" borderId="1" xfId="0" applyNumberFormat="1" applyFont="1" applyBorder="1" applyAlignment="1">
      <alignment horizontal="center"/>
    </xf>
    <xf numFmtId="164" fontId="16" fillId="3" borderId="1" xfId="0" applyNumberFormat="1" applyFont="1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5" fontId="16" fillId="4" borderId="1" xfId="1" applyNumberFormat="1" applyFont="1" applyFill="1" applyBorder="1" applyAlignment="1" applyProtection="1">
      <alignment horizontal="center"/>
      <protection locked="0"/>
    </xf>
    <xf numFmtId="2" fontId="16" fillId="4" borderId="1" xfId="1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  <protection locked="0"/>
    </xf>
    <xf numFmtId="2" fontId="16" fillId="2" borderId="1" xfId="0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</xf>
    <xf numFmtId="165" fontId="16" fillId="3" borderId="1" xfId="0" applyNumberFormat="1" applyFont="1" applyFill="1" applyBorder="1" applyProtection="1">
      <protection locked="0"/>
    </xf>
    <xf numFmtId="165" fontId="16" fillId="0" borderId="0" xfId="1" applyNumberFormat="1" applyFont="1" applyProtection="1">
      <protection locked="0"/>
    </xf>
    <xf numFmtId="164" fontId="16" fillId="0" borderId="0" xfId="0" applyNumberFormat="1" applyFont="1" applyAlignment="1">
      <alignment horizontal="center"/>
    </xf>
    <xf numFmtId="165" fontId="16" fillId="0" borderId="0" xfId="1" applyNumberFormat="1" applyFont="1" applyAlignment="1" applyProtection="1">
      <alignment horizontal="center"/>
    </xf>
    <xf numFmtId="165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Alignment="1" applyProtection="1">
      <alignment horizontal="center"/>
      <protection locked="0"/>
    </xf>
    <xf numFmtId="2" fontId="16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Protection="1"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65" fontId="16" fillId="3" borderId="1" xfId="1" applyNumberFormat="1" applyFont="1" applyFill="1" applyBorder="1" applyAlignment="1" applyProtection="1">
      <alignment horizontal="center"/>
    </xf>
    <xf numFmtId="165" fontId="16" fillId="3" borderId="1" xfId="1" applyNumberFormat="1" applyFont="1" applyFill="1" applyBorder="1" applyAlignment="1" applyProtection="1">
      <alignment horizontal="center"/>
      <protection locked="0"/>
    </xf>
    <xf numFmtId="164" fontId="16" fillId="3" borderId="1" xfId="0" applyNumberFormat="1" applyFont="1" applyFill="1" applyBorder="1" applyAlignment="1" applyProtection="1">
      <alignment horizontal="center"/>
      <protection locked="0"/>
    </xf>
    <xf numFmtId="2" fontId="16" fillId="4" borderId="1" xfId="0" applyNumberFormat="1" applyFont="1" applyFill="1" applyBorder="1" applyAlignment="1" applyProtection="1">
      <alignment horizontal="center"/>
      <protection locked="0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2" fontId="16" fillId="3" borderId="1" xfId="0" applyNumberFormat="1" applyFont="1" applyFill="1" applyBorder="1" applyAlignment="1" applyProtection="1">
      <alignment horizontal="center"/>
      <protection locked="0"/>
    </xf>
    <xf numFmtId="2" fontId="16" fillId="3" borderId="1" xfId="0" applyNumberFormat="1" applyFont="1" applyFill="1" applyBorder="1" applyAlignment="1">
      <alignment horizontal="center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64" fontId="19" fillId="0" borderId="0" xfId="0" applyNumberFormat="1" applyFont="1" applyAlignment="1" applyProtection="1">
      <alignment horizontal="center"/>
      <protection locked="0"/>
    </xf>
    <xf numFmtId="165" fontId="19" fillId="0" borderId="0" xfId="1" applyNumberFormat="1" applyFont="1" applyAlignment="1" applyProtection="1">
      <alignment horizontal="center"/>
      <protection locked="0"/>
    </xf>
    <xf numFmtId="2" fontId="19" fillId="0" borderId="0" xfId="0" applyNumberFormat="1" applyFont="1" applyAlignment="1" applyProtection="1">
      <alignment horizontal="center"/>
      <protection locked="0"/>
    </xf>
    <xf numFmtId="165" fontId="14" fillId="0" borderId="1" xfId="1" applyNumberFormat="1" applyFont="1" applyBorder="1" applyAlignment="1" applyProtection="1">
      <alignment horizontal="center"/>
    </xf>
    <xf numFmtId="165" fontId="14" fillId="0" borderId="5" xfId="1" applyNumberFormat="1" applyFont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164" fontId="21" fillId="4" borderId="1" xfId="0" applyNumberFormat="1" applyFont="1" applyFill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5" fontId="16" fillId="0" borderId="5" xfId="0" applyNumberFormat="1" applyFont="1" applyBorder="1" applyAlignment="1" applyProtection="1">
      <alignment horizontal="center"/>
      <protection locked="0"/>
    </xf>
    <xf numFmtId="1" fontId="18" fillId="4" borderId="1" xfId="0" applyNumberFormat="1" applyFont="1" applyFill="1" applyBorder="1" applyAlignment="1" applyProtection="1">
      <alignment horizontal="center"/>
      <protection locked="0"/>
    </xf>
    <xf numFmtId="165" fontId="18" fillId="4" borderId="1" xfId="1" applyNumberFormat="1" applyFont="1" applyFill="1" applyBorder="1" applyAlignment="1" applyProtection="1">
      <alignment horizontal="center"/>
      <protection locked="0"/>
    </xf>
    <xf numFmtId="165" fontId="18" fillId="0" borderId="1" xfId="1" applyNumberFormat="1" applyFont="1" applyBorder="1" applyAlignment="1" applyProtection="1">
      <alignment horizontal="center"/>
    </xf>
    <xf numFmtId="2" fontId="18" fillId="4" borderId="1" xfId="1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0" xfId="1" applyNumberFormat="1" applyFont="1" applyAlignment="1" applyProtection="1">
      <alignment horizontal="center"/>
      <protection locked="0"/>
    </xf>
    <xf numFmtId="2" fontId="19" fillId="0" borderId="0" xfId="1" applyNumberFormat="1" applyFont="1" applyAlignment="1" applyProtection="1">
      <alignment horizontal="center"/>
      <protection locked="0"/>
    </xf>
    <xf numFmtId="164" fontId="18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vertical="center" wrapText="1"/>
      <protection locked="0"/>
    </xf>
    <xf numFmtId="165" fontId="16" fillId="0" borderId="0" xfId="1" applyNumberFormat="1" applyFont="1" applyAlignment="1" applyProtection="1">
      <alignment horizontal="center" vertical="center" wrapText="1"/>
      <protection locked="0"/>
    </xf>
    <xf numFmtId="164" fontId="16" fillId="0" borderId="0" xfId="0" applyNumberFormat="1" applyFont="1" applyAlignment="1" applyProtection="1">
      <alignment horizontal="center" vertical="center" wrapText="1"/>
      <protection locked="0"/>
    </xf>
    <xf numFmtId="2" fontId="16" fillId="0" borderId="0" xfId="0" applyNumberFormat="1" applyFont="1" applyAlignment="1" applyProtection="1">
      <alignment horizontal="center" vertical="center" wrapText="1"/>
      <protection locked="0"/>
    </xf>
    <xf numFmtId="164" fontId="16" fillId="0" borderId="3" xfId="0" applyNumberFormat="1" applyFont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164" fontId="16" fillId="0" borderId="0" xfId="0" applyNumberFormat="1" applyFont="1"/>
    <xf numFmtId="1" fontId="16" fillId="0" borderId="0" xfId="0" applyNumberFormat="1" applyFont="1" applyAlignment="1">
      <alignment horizontal="center"/>
    </xf>
    <xf numFmtId="164" fontId="16" fillId="10" borderId="0" xfId="0" applyNumberFormat="1" applyFont="1" applyFill="1" applyAlignment="1">
      <alignment horizontal="center"/>
    </xf>
    <xf numFmtId="166" fontId="16" fillId="0" borderId="0" xfId="0" applyNumberFormat="1" applyFont="1"/>
    <xf numFmtId="2" fontId="16" fillId="0" borderId="0" xfId="0" applyNumberFormat="1" applyFont="1"/>
    <xf numFmtId="1" fontId="16" fillId="0" borderId="0" xfId="0" applyNumberFormat="1" applyFont="1"/>
    <xf numFmtId="0" fontId="15" fillId="0" borderId="0" xfId="0" applyFont="1" applyAlignment="1" applyProtection="1">
      <alignment horizontal="center" vertical="center" wrapText="1"/>
      <protection locked="0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15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5" fillId="0" borderId="1" xfId="0" applyNumberFormat="1" applyFont="1" applyBorder="1" applyAlignment="1">
      <alignment horizontal="center" vertical="center" wrapText="1"/>
    </xf>
    <xf numFmtId="165" fontId="15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5" fillId="0" borderId="1" xfId="1" applyNumberFormat="1" applyFont="1" applyBorder="1" applyAlignment="1" applyProtection="1">
      <alignment horizontal="center" vertical="center" wrapText="1"/>
    </xf>
    <xf numFmtId="165" fontId="15" fillId="0" borderId="1" xfId="1" applyNumberFormat="1" applyFont="1" applyBorder="1" applyAlignment="1" applyProtection="1">
      <alignment horizontal="center"/>
    </xf>
    <xf numFmtId="165" fontId="15" fillId="0" borderId="5" xfId="1" applyNumberFormat="1" applyFon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165" fontId="16" fillId="0" borderId="1" xfId="1" applyNumberFormat="1" applyFont="1" applyBorder="1" applyAlignment="1">
      <alignment horizontal="center"/>
    </xf>
    <xf numFmtId="0" fontId="21" fillId="0" borderId="0" xfId="0" applyFont="1" applyAlignment="1" applyProtection="1">
      <alignment vertical="center" wrapText="1"/>
      <protection locked="0"/>
    </xf>
    <xf numFmtId="165" fontId="16" fillId="3" borderId="1" xfId="0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>
      <alignment horizontal="center"/>
    </xf>
    <xf numFmtId="165" fontId="16" fillId="0" borderId="2" xfId="1" applyNumberFormat="1" applyFont="1" applyFill="1" applyBorder="1" applyAlignment="1" applyProtection="1">
      <alignment horizontal="center"/>
    </xf>
    <xf numFmtId="165" fontId="16" fillId="0" borderId="2" xfId="1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>
      <alignment horizontal="center"/>
    </xf>
    <xf numFmtId="165" fontId="16" fillId="0" borderId="0" xfId="1" applyNumberFormat="1" applyFont="1" applyFill="1" applyBorder="1" applyProtection="1">
      <protection locked="0"/>
    </xf>
    <xf numFmtId="0" fontId="16" fillId="0" borderId="0" xfId="4" applyFont="1" applyProtection="1">
      <protection locked="0"/>
    </xf>
    <xf numFmtId="165" fontId="16" fillId="0" borderId="0" xfId="1" applyNumberFormat="1" applyFont="1" applyFill="1" applyBorder="1" applyAlignment="1" applyProtection="1">
      <alignment horizontal="center"/>
    </xf>
    <xf numFmtId="165" fontId="16" fillId="0" borderId="0" xfId="1" applyNumberFormat="1" applyFont="1" applyFill="1" applyBorder="1" applyAlignment="1" applyProtection="1">
      <alignment horizontal="center"/>
      <protection locked="0"/>
    </xf>
    <xf numFmtId="165" fontId="16" fillId="0" borderId="0" xfId="1" applyNumberFormat="1" applyFont="1" applyBorder="1" applyAlignment="1" applyProtection="1">
      <alignment horizontal="center"/>
    </xf>
    <xf numFmtId="165" fontId="16" fillId="0" borderId="0" xfId="1" applyNumberFormat="1" applyFont="1" applyBorder="1" applyAlignment="1" applyProtection="1">
      <alignment horizontal="center"/>
      <protection locked="0"/>
    </xf>
    <xf numFmtId="164" fontId="18" fillId="0" borderId="1" xfId="1" applyNumberFormat="1" applyFont="1" applyBorder="1" applyAlignment="1" applyProtection="1">
      <alignment horizontal="center"/>
    </xf>
    <xf numFmtId="164" fontId="18" fillId="0" borderId="0" xfId="1" applyNumberFormat="1" applyFont="1" applyBorder="1" applyAlignment="1" applyProtection="1">
      <alignment horizontal="center"/>
      <protection locked="0"/>
    </xf>
    <xf numFmtId="165" fontId="20" fillId="0" borderId="1" xfId="1" applyNumberFormat="1" applyFont="1" applyBorder="1" applyAlignment="1" applyProtection="1">
      <alignment horizontal="center"/>
    </xf>
    <xf numFmtId="2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Protection="1"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wrapText="1"/>
    </xf>
    <xf numFmtId="0" fontId="15" fillId="0" borderId="0" xfId="0" applyFont="1"/>
    <xf numFmtId="0" fontId="23" fillId="0" borderId="0" xfId="2" applyFont="1" applyAlignment="1">
      <alignment horizontal="left"/>
    </xf>
    <xf numFmtId="0" fontId="24" fillId="15" borderId="1" xfId="0" applyFont="1" applyFill="1" applyBorder="1" applyAlignment="1">
      <alignment horizontal="center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8" fontId="16" fillId="0" borderId="0" xfId="3" applyNumberFormat="1" applyFont="1" applyProtection="1"/>
    <xf numFmtId="0" fontId="24" fillId="14" borderId="1" xfId="0" applyFont="1" applyFill="1" applyBorder="1" applyAlignment="1">
      <alignment horizontal="center" vertical="center" wrapText="1"/>
    </xf>
    <xf numFmtId="1" fontId="24" fillId="14" borderId="1" xfId="0" applyNumberFormat="1" applyFont="1" applyFill="1" applyBorder="1" applyAlignment="1">
      <alignment horizontal="center" vertical="center" wrapText="1"/>
    </xf>
    <xf numFmtId="167" fontId="24" fillId="14" borderId="1" xfId="0" applyNumberFormat="1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16" fillId="0" borderId="1" xfId="0" applyFont="1" applyBorder="1"/>
    <xf numFmtId="1" fontId="16" fillId="0" borderId="1" xfId="0" applyNumberFormat="1" applyFont="1" applyBorder="1"/>
    <xf numFmtId="164" fontId="16" fillId="0" borderId="1" xfId="0" applyNumberFormat="1" applyFont="1" applyBorder="1"/>
    <xf numFmtId="168" fontId="16" fillId="0" borderId="1" xfId="3" applyNumberFormat="1" applyFont="1" applyBorder="1" applyProtection="1"/>
    <xf numFmtId="167" fontId="16" fillId="0" borderId="0" xfId="0" applyNumberFormat="1" applyFont="1"/>
    <xf numFmtId="0" fontId="15" fillId="0" borderId="0" xfId="0" applyFont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2" fontId="15" fillId="0" borderId="0" xfId="0" applyNumberFormat="1" applyFont="1" applyAlignment="1" applyProtection="1">
      <alignment horizontal="center"/>
      <protection locked="0"/>
    </xf>
    <xf numFmtId="0" fontId="16" fillId="13" borderId="0" xfId="0" applyFont="1" applyFill="1"/>
    <xf numFmtId="164" fontId="16" fillId="13" borderId="0" xfId="0" applyNumberFormat="1" applyFont="1" applyFill="1"/>
    <xf numFmtId="2" fontId="16" fillId="0" borderId="0" xfId="1" applyNumberFormat="1" applyFont="1" applyFill="1" applyAlignment="1" applyProtection="1">
      <protection locked="0"/>
    </xf>
    <xf numFmtId="0" fontId="16" fillId="12" borderId="0" xfId="0" applyFont="1" applyFill="1"/>
    <xf numFmtId="164" fontId="16" fillId="12" borderId="0" xfId="0" applyNumberFormat="1" applyFont="1" applyFill="1"/>
    <xf numFmtId="2" fontId="16" fillId="12" borderId="0" xfId="1" applyNumberFormat="1" applyFont="1" applyFill="1" applyAlignment="1"/>
    <xf numFmtId="0" fontId="16" fillId="11" borderId="0" xfId="0" applyFont="1" applyFill="1"/>
    <xf numFmtId="164" fontId="16" fillId="11" borderId="0" xfId="0" applyNumberFormat="1" applyFont="1" applyFill="1"/>
    <xf numFmtId="1" fontId="16" fillId="11" borderId="0" xfId="0" applyNumberFormat="1" applyFont="1" applyFill="1"/>
    <xf numFmtId="2" fontId="16" fillId="11" borderId="0" xfId="1" applyNumberFormat="1" applyFont="1" applyFill="1" applyAlignment="1"/>
    <xf numFmtId="0" fontId="16" fillId="10" borderId="0" xfId="0" applyFont="1" applyFill="1"/>
    <xf numFmtId="164" fontId="16" fillId="10" borderId="0" xfId="0" applyNumberFormat="1" applyFont="1" applyFill="1"/>
    <xf numFmtId="2" fontId="16" fillId="10" borderId="0" xfId="1" applyNumberFormat="1" applyFont="1" applyFill="1" applyAlignment="1" applyProtection="1">
      <protection locked="0"/>
    </xf>
    <xf numFmtId="165" fontId="16" fillId="0" borderId="0" xfId="1" applyNumberFormat="1" applyFont="1" applyAlignment="1"/>
    <xf numFmtId="165" fontId="16" fillId="0" borderId="0" xfId="1" applyNumberFormat="1" applyFont="1" applyFill="1" applyAlignment="1" applyProtection="1">
      <protection locked="0"/>
    </xf>
    <xf numFmtId="0" fontId="25" fillId="0" borderId="8" xfId="0" applyFont="1" applyBorder="1"/>
    <xf numFmtId="2" fontId="25" fillId="0" borderId="9" xfId="0" applyNumberFormat="1" applyFont="1" applyBorder="1" applyProtection="1">
      <protection locked="0"/>
    </xf>
    <xf numFmtId="0" fontId="25" fillId="0" borderId="0" xfId="0" applyFont="1" applyProtection="1">
      <protection locked="0"/>
    </xf>
    <xf numFmtId="0" fontId="25" fillId="0" borderId="8" xfId="0" applyFont="1" applyBorder="1" applyProtection="1">
      <protection locked="0"/>
    </xf>
    <xf numFmtId="0" fontId="26" fillId="5" borderId="6" xfId="0" applyFont="1" applyFill="1" applyBorder="1" applyProtection="1">
      <protection locked="0"/>
    </xf>
    <xf numFmtId="2" fontId="26" fillId="5" borderId="7" xfId="0" applyNumberFormat="1" applyFont="1" applyFill="1" applyBorder="1" applyProtection="1">
      <protection locked="0"/>
    </xf>
    <xf numFmtId="0" fontId="26" fillId="0" borderId="0" xfId="0" applyFont="1" applyProtection="1">
      <protection locked="0"/>
    </xf>
    <xf numFmtId="0" fontId="26" fillId="8" borderId="6" xfId="0" applyFont="1" applyFill="1" applyBorder="1" applyProtection="1">
      <protection locked="0"/>
    </xf>
    <xf numFmtId="1" fontId="26" fillId="8" borderId="7" xfId="0" applyNumberFormat="1" applyFont="1" applyFill="1" applyBorder="1" applyProtection="1">
      <protection locked="0"/>
    </xf>
    <xf numFmtId="0" fontId="26" fillId="4" borderId="6" xfId="0" applyFont="1" applyFill="1" applyBorder="1" applyProtection="1">
      <protection locked="0"/>
    </xf>
    <xf numFmtId="2" fontId="26" fillId="4" borderId="7" xfId="0" applyNumberFormat="1" applyFont="1" applyFill="1" applyBorder="1" applyProtection="1">
      <protection locked="0"/>
    </xf>
    <xf numFmtId="0" fontId="26" fillId="8" borderId="10" xfId="0" applyFont="1" applyFill="1" applyBorder="1" applyProtection="1">
      <protection locked="0"/>
    </xf>
    <xf numFmtId="1" fontId="26" fillId="8" borderId="11" xfId="0" applyNumberFormat="1" applyFont="1" applyFill="1" applyBorder="1" applyProtection="1">
      <protection locked="0"/>
    </xf>
    <xf numFmtId="0" fontId="26" fillId="6" borderId="6" xfId="0" applyFont="1" applyFill="1" applyBorder="1" applyProtection="1">
      <protection locked="0"/>
    </xf>
    <xf numFmtId="2" fontId="26" fillId="6" borderId="7" xfId="0" applyNumberFormat="1" applyFont="1" applyFill="1" applyBorder="1" applyProtection="1">
      <protection locked="0"/>
    </xf>
    <xf numFmtId="168" fontId="26" fillId="8" borderId="11" xfId="0" applyNumberFormat="1" applyFont="1" applyFill="1" applyBorder="1" applyProtection="1">
      <protection locked="0"/>
    </xf>
    <xf numFmtId="2" fontId="26" fillId="0" borderId="0" xfId="0" applyNumberFormat="1" applyFont="1" applyProtection="1">
      <protection locked="0"/>
    </xf>
    <xf numFmtId="0" fontId="26" fillId="7" borderId="6" xfId="0" applyFont="1" applyFill="1" applyBorder="1" applyProtection="1">
      <protection locked="0"/>
    </xf>
    <xf numFmtId="2" fontId="26" fillId="7" borderId="7" xfId="0" applyNumberFormat="1" applyFont="1" applyFill="1" applyBorder="1" applyProtection="1">
      <protection locked="0"/>
    </xf>
    <xf numFmtId="0" fontId="0" fillId="6" borderId="0" xfId="0" applyFill="1"/>
    <xf numFmtId="0" fontId="0" fillId="10" borderId="0" xfId="0" applyFill="1"/>
    <xf numFmtId="169" fontId="16" fillId="0" borderId="0" xfId="3" applyNumberFormat="1" applyFont="1" applyProtection="1"/>
    <xf numFmtId="0" fontId="22" fillId="0" borderId="0" xfId="2" applyFont="1" applyAlignment="1">
      <alignment horizontal="left"/>
    </xf>
  </cellXfs>
  <cellStyles count="7">
    <cellStyle name="Currency" xfId="3" builtinId="4"/>
    <cellStyle name="Hyperlink" xfId="2" builtinId="8"/>
    <cellStyle name="Normal" xfId="0" builtinId="0"/>
    <cellStyle name="Normal 2" xfId="4" xr:uid="{00000000-0005-0000-0000-000003000000}"/>
    <cellStyle name="Normal 3" xfId="6" xr:uid="{F8DF75A6-D24A-40CA-8916-96F5776511E1}"/>
    <cellStyle name="Percent" xfId="1" builtinId="5"/>
    <cellStyle name="Percent 2" xfId="5" xr:uid="{00000000-0005-0000-0000-000005000000}"/>
  </cellStyles>
  <dxfs count="57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&quot;$&quot;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&quot;$&quot;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Light8" defaultPivotStyle="PivotStyleLight16"/>
  <colors>
    <mruColors>
      <color rgb="FFFFD69F"/>
      <color rgb="FFFFD5D5"/>
      <color rgb="FFFFC87D"/>
      <color rgb="FFEAF3FA"/>
      <color rgb="FFF1F7ED"/>
      <color rgb="FFFFEBD7"/>
      <color rgb="FFFFE6B9"/>
      <color rgb="FFF5DCFF"/>
      <color rgb="FFC8E6FA"/>
      <color rgb="FFE6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ivin/Desktop/FF2021%20Custom%20Cheatsheet%20Updated.xlsm" TargetMode="External"/><Relationship Id="rId1" Type="http://schemas.openxmlformats.org/officeDocument/2006/relationships/externalLinkPath" Target="/Users/livin/Desktop/FF2021%20Custom%20Cheatsheet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ting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LeagueSettings" displayName="TableLeagueSettings" ref="A1:B28" totalsRowShown="0" headerRowDxfId="570" dataDxfId="568" headerRowBorderDxfId="569" tableBorderDxfId="567" totalsRowBorderDxfId="566">
  <tableColumns count="2">
    <tableColumn id="1" xr3:uid="{00000000-0010-0000-0000-000001000000}" name="Category" dataDxfId="565"/>
    <tableColumn id="2" xr3:uid="{00000000-0010-0000-0000-000002000000}" name="Points" dataDxfId="5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Roster" displayName="TableRoster" ref="D1:E10" totalsRowShown="0" headerRowDxfId="563" dataDxfId="561" headerRowBorderDxfId="562" tableBorderDxfId="560" totalsRowBorderDxfId="559">
  <tableColumns count="2">
    <tableColumn id="1" xr3:uid="{00000000-0010-0000-0100-000001000000}" name="Category" dataDxfId="558"/>
    <tableColumn id="2" xr3:uid="{00000000-0010-0000-0100-000002000000}" name="Value" dataDxfId="5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QBRanks" displayName="TableQBRanks" ref="A1:F80" totalsRowShown="0" headerRowDxfId="556" dataDxfId="555">
  <sortState xmlns:xlrd2="http://schemas.microsoft.com/office/spreadsheetml/2017/richdata2" ref="A2:F68">
    <sortCondition ref="A1:A68"/>
  </sortState>
  <tableColumns count="6">
    <tableColumn id="1" xr3:uid="{00000000-0010-0000-0200-000001000000}" name="RK" dataDxfId="554">
      <calculatedColumnFormula>RANK(TableQBRanks[[#This Row],[FPS]],TableQBRanks[FPS],0)</calculatedColumnFormula>
    </tableColumn>
    <tableColumn id="2" xr3:uid="{00000000-0010-0000-0200-000002000000}" name="Player" dataDxfId="553">
      <calculatedColumnFormula>IFERROR(INDEX(TableQBCalcPts[PLAYER],MATCH(TableQBRanks[[#This Row],[RK]],TableQBCalcPts[RK],0)),"")</calculatedColumnFormula>
    </tableColumn>
    <tableColumn id="3" xr3:uid="{00000000-0010-0000-0200-000003000000}" name="TM" dataDxfId="552">
      <calculatedColumnFormula>IFERROR(INDEX(TableQBCalcPts[TM],MATCH(TableQBRanks[[#This Row],[RK]],TableQBCalcPts[RK],0)),"")</calculatedColumnFormula>
    </tableColumn>
    <tableColumn id="4" xr3:uid="{00000000-0010-0000-0200-000004000000}" name="BYE" dataDxfId="551">
      <calculatedColumnFormula>IFERROR(INDEX(TableQBCalcPts[BYE],MATCH(TableQBRanks[[#This Row],[RK]],TableQBCalcPts[RK],0)),"")</calculatedColumnFormula>
    </tableColumn>
    <tableColumn id="5" xr3:uid="{00000000-0010-0000-0200-000005000000}" name="FPS" dataDxfId="550">
      <calculatedColumnFormula>IFERROR(INDEX(TableQBCalcPts[Custom],MATCH(TableQBRanks[[#This Row],[RK]],TableQBCalcPts[RK],0)),"")</calculatedColumnFormula>
    </tableColumn>
    <tableColumn id="6" xr3:uid="{00000000-0010-0000-0200-000006000000}" name="AUC$" dataDxfId="549" dataCellStyle="Currency">
      <calculatedColumnFormula>IF(VLOOKUP(TableQBRanks[[#This Row],[Player]],'Ranks w Proj'!$B:$N,13,FALSE)&lt;0,0,VLOOKUP(TableQBRanks[[#This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ableRBRanks" displayName="TableRBRanks" ref="H1:M171" totalsRowShown="0" headerRowDxfId="548" dataDxfId="547">
  <sortState xmlns:xlrd2="http://schemas.microsoft.com/office/spreadsheetml/2017/richdata2" ref="H2:M153">
    <sortCondition ref="H1:H153"/>
  </sortState>
  <tableColumns count="6">
    <tableColumn id="1" xr3:uid="{00000000-0010-0000-0300-000001000000}" name="RK" dataDxfId="546">
      <calculatedColumnFormula>RANK(TableRBRanks[[#This Row],[FPS]],TableRBRanks[FPS],0)</calculatedColumnFormula>
    </tableColumn>
    <tableColumn id="2" xr3:uid="{00000000-0010-0000-0300-000002000000}" name="Player" dataDxfId="545">
      <calculatedColumnFormula>IFERROR(INDEX(TableRBCalcPts[PLAYER],MATCH(TableRBRanks[[#This Row],[RK]],TableRBCalcPts[RK],0)),"")</calculatedColumnFormula>
    </tableColumn>
    <tableColumn id="3" xr3:uid="{00000000-0010-0000-0300-000003000000}" name="TM" dataDxfId="544">
      <calculatedColumnFormula>IFERROR(INDEX(TableRBCalcPts[TM],MATCH(TableRBRanks[[#This Row],[RK]],TableRBCalcPts[RK],0)),"")</calculatedColumnFormula>
    </tableColumn>
    <tableColumn id="4" xr3:uid="{00000000-0010-0000-0300-000004000000}" name="BYE" dataDxfId="543">
      <calculatedColumnFormula>IFERROR(INDEX(TableRBCalcPts[BYE],MATCH(TableRBRanks[[#This Row],[RK]],TableRBCalcPts[RK],0)),"")</calculatedColumnFormula>
    </tableColumn>
    <tableColumn id="5" xr3:uid="{00000000-0010-0000-0300-000005000000}" name="FPS" dataDxfId="542">
      <calculatedColumnFormula>IFERROR(INDEX(TableRBCalcPts[Custom],MATCH(TableRBRanks[[#This Row],[RK]],TableRBCalcPts[RK],0)),"")</calculatedColumnFormula>
    </tableColumn>
    <tableColumn id="6" xr3:uid="{00000000-0010-0000-0300-000006000000}" name="AUC$" dataDxfId="541" dataCellStyle="Currency">
      <calculatedColumnFormula>IF(VLOOKUP(TableRBRanks[[#This Row],[Player]],'Ranks w Proj'!$Q:$AB,12,FALSE)&lt;0,0,VLOOKUP(TableRBRanks[[#This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4000000}" name="TableWRRanks" displayName="TableWRRanks" ref="O1:T221" totalsRowShown="0" headerRowDxfId="540" dataDxfId="539">
  <sortState xmlns:xlrd2="http://schemas.microsoft.com/office/spreadsheetml/2017/richdata2" ref="O2:T221">
    <sortCondition ref="O1:O203"/>
  </sortState>
  <tableColumns count="6">
    <tableColumn id="1" xr3:uid="{00000000-0010-0000-0400-000001000000}" name="RK" dataDxfId="538">
      <calculatedColumnFormula>RANK(TableWRRanks[[#This Row],[FPS]],TableWRRanks[FPS],0)</calculatedColumnFormula>
    </tableColumn>
    <tableColumn id="2" xr3:uid="{00000000-0010-0000-0400-000002000000}" name="Player" dataDxfId="537">
      <calculatedColumnFormula>IFERROR(INDEX(TableWRCalcPts[PLAYER],MATCH(TableWRRanks[[#This Row],[RK]],TableWRCalcPts[RK],0)),"")</calculatedColumnFormula>
    </tableColumn>
    <tableColumn id="3" xr3:uid="{00000000-0010-0000-0400-000003000000}" name="TM" dataDxfId="536">
      <calculatedColumnFormula>IFERROR(INDEX(TableWRCalcPts[TM],MATCH(TableWRRanks[[#This Row],[RK]],TableWRCalcPts[RK],0)),"")</calculatedColumnFormula>
    </tableColumn>
    <tableColumn id="4" xr3:uid="{00000000-0010-0000-0400-000004000000}" name="BYE" dataDxfId="535">
      <calculatedColumnFormula>IFERROR(INDEX(TableWRCalcPts[BYE],MATCH(TableWRRanks[[#This Row],[RK]],TableWRCalcPts[RK],0)),"")</calculatedColumnFormula>
    </tableColumn>
    <tableColumn id="5" xr3:uid="{00000000-0010-0000-0400-000005000000}" name="FPS" dataDxfId="534">
      <calculatedColumnFormula>IFERROR(INDEX(TableWRCalcPts[Custom],MATCH(TableWRRanks[[#This Row],[RK]],TableWRCalcPts[RK],0)),"")</calculatedColumnFormula>
    </tableColumn>
    <tableColumn id="6" xr3:uid="{00000000-0010-0000-0400-000006000000}" name="AUC$" dataDxfId="533" dataCellStyle="Currency">
      <calculatedColumnFormula>IF(VLOOKUP(TableWRRanks[[#This Row],[Player]],'Ranks w Proj'!$AE:$AO,11,FALSE)&lt;0,0,VLOOKUP(TableWRRanks[[#This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5000000}" name="TableTERanks" displayName="TableTERanks" ref="V1:AA101" totalsRowShown="0" headerRowDxfId="532" dataDxfId="531">
  <sortState xmlns:xlrd2="http://schemas.microsoft.com/office/spreadsheetml/2017/richdata2" ref="V2:AA97">
    <sortCondition ref="V1:V97"/>
  </sortState>
  <tableColumns count="6">
    <tableColumn id="1" xr3:uid="{00000000-0010-0000-0500-000001000000}" name="RK" dataDxfId="530">
      <calculatedColumnFormula>RANK(TableTERanks[[#This Row],[FPS]],TableTERanks[FPS],0)</calculatedColumnFormula>
    </tableColumn>
    <tableColumn id="2" xr3:uid="{00000000-0010-0000-0500-000002000000}" name="Player" dataDxfId="529">
      <calculatedColumnFormula>IFERROR(INDEX(TableTECalcPts[PLAYER],MATCH(TableTERanks[[#This Row],[RK]],TableTECalcPts[RK],0)),"")</calculatedColumnFormula>
    </tableColumn>
    <tableColumn id="3" xr3:uid="{00000000-0010-0000-0500-000003000000}" name="TM" dataDxfId="528">
      <calculatedColumnFormula>IFERROR(INDEX(TableTECalcPts[TM],MATCH(TableTERanks[[#This Row],[RK]],TableTECalcPts[RK],0)),"")</calculatedColumnFormula>
    </tableColumn>
    <tableColumn id="4" xr3:uid="{00000000-0010-0000-0500-000004000000}" name="BYE" dataDxfId="527">
      <calculatedColumnFormula>IFERROR(INDEX(TableTECalcPts[BYE],MATCH(TableTERanks[[#This Row],[RK]],TableTECalcPts[RK],0)),"")</calculatedColumnFormula>
    </tableColumn>
    <tableColumn id="5" xr3:uid="{00000000-0010-0000-0500-000005000000}" name="FPS" dataDxfId="526">
      <calculatedColumnFormula>IFERROR(INDEX(TableTECalcPts[Custom],MATCH(TableTERanks[[#This Row],[RK]],TableTECalcPts[RK],0)),"")</calculatedColumnFormula>
    </tableColumn>
    <tableColumn id="6" xr3:uid="{00000000-0010-0000-0500-000006000000}" name="AUC$" dataDxfId="525" dataCellStyle="Currency">
      <calculatedColumnFormula>IF(VLOOKUP(TableTERanks[[#This Row],[Player]],'Ranks w Proj'!$AR:$AZ,9,FALSE)&lt;0,0,VLOOKUP(TableTERanks[[#This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6000000}" name="TableDSTRanks" displayName="TableDSTRanks" ref="AC1:AG33" totalsRowShown="0" headerRowDxfId="524" dataDxfId="523">
  <sortState xmlns:xlrd2="http://schemas.microsoft.com/office/spreadsheetml/2017/richdata2" ref="AC2:AG33">
    <sortCondition ref="AC1:AC33"/>
  </sortState>
  <tableColumns count="5">
    <tableColumn id="1" xr3:uid="{00000000-0010-0000-0600-000001000000}" name="RK" dataDxfId="522">
      <calculatedColumnFormula>RANK(TableDSTRanks[[#This Row],[FPS]],TableDSTRanks[FPS],0)</calculatedColumnFormula>
    </tableColumn>
    <tableColumn id="2" xr3:uid="{00000000-0010-0000-0600-000002000000}" name="Player" dataDxfId="521">
      <calculatedColumnFormula>IFERROR(INDEX(TableDSTCalcPts[PLAYER],MATCH(TableDSTRanks[[#This Row],[RK]],TableDSTCalcPts[RK],0)),"")</calculatedColumnFormula>
    </tableColumn>
    <tableColumn id="4" xr3:uid="{00000000-0010-0000-0600-000004000000}" name="BYE" dataDxfId="520">
      <calculatedColumnFormula>IFERROR(INDEX(TableDSTCalcPts[BYE],MATCH(TableDSTRanks[[#This Row],[RK]],TableDSTCalcPts[RK],0)),"")</calculatedColumnFormula>
    </tableColumn>
    <tableColumn id="5" xr3:uid="{00000000-0010-0000-0600-000005000000}" name="FPS" dataDxfId="519">
      <calculatedColumnFormula>IFERROR(INDEX(TableDSTCalcPts[Custom],MATCH(TableDSTRanks[[#This Row],[RK]],TableDSTCalcPts[RK],0)),"")</calculatedColumnFormula>
    </tableColumn>
    <tableColumn id="6" xr3:uid="{00000000-0010-0000-0600-000006000000}" name="AUC$" dataDxfId="518" dataCellStyle="Currency">
      <calculatedColumnFormula>IFERROR(INDEX(TableDSTMaster[AUC$],MATCH(TableDSTRanks[[#This Row],[Player]],TableDSTMaster[Player],0)),"")</calculatedColumnFormula>
    </tableColumn>
  </tableColumns>
  <tableStyleInfo name="TableStyleLight8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QBVORP" displayName="TableQBVORP" ref="A1:F101" totalsRowShown="0" headerRowDxfId="517" dataDxfId="516">
  <sortState xmlns:xlrd2="http://schemas.microsoft.com/office/spreadsheetml/2017/richdata2" ref="A2:F101">
    <sortCondition ref="A1:A101"/>
  </sortState>
  <tableColumns count="6">
    <tableColumn id="1" xr3:uid="{00000000-0010-0000-0700-000001000000}" name="RK" dataDxfId="515">
      <calculatedColumnFormula>IFERROR(RANK(TableQBVORP[[#This Row],[FPS]],TableQBVORP[FPS],0),"")</calculatedColumnFormula>
    </tableColumn>
    <tableColumn id="2" xr3:uid="{00000000-0010-0000-0700-000002000000}" name="QUARTERBACK" dataDxfId="514">
      <calculatedColumnFormula>IFERROR(INDEX(TableQBCalcPts[PLAYER],MATCH(TableQBVORP[[#This Row],[RK]],TableQBCalcPts[RK],0)),"")</calculatedColumnFormula>
    </tableColumn>
    <tableColumn id="3" xr3:uid="{00000000-0010-0000-0700-000003000000}" name="TM" dataDxfId="513">
      <calculatedColumnFormula>IFERROR(INDEX(TableQBCalcPts[TM],MATCH(TableQBVORP[[#This Row],[RK]],TableQBCalcPts[RK],0)),"")</calculatedColumnFormula>
    </tableColumn>
    <tableColumn id="4" xr3:uid="{00000000-0010-0000-0700-000004000000}" name="BYE" dataDxfId="512">
      <calculatedColumnFormula>IFERROR(INDEX(TableQBCalcPts[BYE],MATCH(TableQBVORP[[#This Row],[RK]],TableQBCalcPts[RK],0)),"")</calculatedColumnFormula>
    </tableColumn>
    <tableColumn id="5" xr3:uid="{00000000-0010-0000-0700-000005000000}" name="FPS" dataDxfId="511">
      <calculatedColumnFormula>IFERROR(INDEX(TableQBCalcPts[Custom],MATCH(TableQBVORP[[#This Row],[RK]],TableQBCalcPts[RK],0)),"")</calculatedColumnFormula>
    </tableColumn>
    <tableColumn id="6" xr3:uid="{00000000-0010-0000-0700-000006000000}" name="VORP" dataDxfId="510" dataCellStyle="Percent">
      <calculatedColumnFormula>(IFERROR((TableQBVORP[[#This Row],[FPS]]-INDEX(TableQBVORP[FPS],MATCH(QBVORPCalc,TableQBVORP[RK],0))),""))+(TableRBVORP[[#This Row],[VORP]]*0.45)</calculatedColumnFormula>
    </tableColumn>
  </tableColumns>
  <tableStyleInfo name="TableStyleLight8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VORPVari" displayName="TableVORPVari" ref="AC1:AD8" totalsRowShown="0" headerRowDxfId="509" dataDxfId="508">
  <tableColumns count="2">
    <tableColumn id="1" xr3:uid="{00000000-0010-0000-0800-000001000000}" name="Pos" dataDxfId="507"/>
    <tableColumn id="2" xr3:uid="{00000000-0010-0000-0800-000002000000}" name="Calc" dataDxfId="506"/>
  </tableColumns>
  <tableStyleInfo name="TableStyleLight8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bleRBVORP" displayName="TableRBVORP" ref="H1:M176" totalsRowShown="0" headerRowDxfId="505" dataDxfId="504">
  <sortState xmlns:xlrd2="http://schemas.microsoft.com/office/spreadsheetml/2017/richdata2" ref="H2:M176">
    <sortCondition ref="H1:H176"/>
  </sortState>
  <tableColumns count="6">
    <tableColumn id="1" xr3:uid="{00000000-0010-0000-0900-000001000000}" name="RK" dataDxfId="503">
      <calculatedColumnFormula>IFERROR(RANK(TableRBVORP[[#This Row],[FPS]],TableRBVORP[FPS],0),"")</calculatedColumnFormula>
    </tableColumn>
    <tableColumn id="2" xr3:uid="{00000000-0010-0000-0900-000002000000}" name="RUNNING BACK" dataDxfId="502">
      <calculatedColumnFormula>IFERROR(INDEX(TableRBCalcPts[PLAYER],MATCH(TableRBVORP[[#This Row],[RK]],TableRBCalcPts[RK],0)),"")</calculatedColumnFormula>
    </tableColumn>
    <tableColumn id="3" xr3:uid="{00000000-0010-0000-0900-000003000000}" name="TM" dataDxfId="501">
      <calculatedColumnFormula>IFERROR(INDEX(TableRBCalcPts[TM],MATCH(TableRBVORP[[#This Row],[RK]],TableRBCalcPts[RK],0)),"")</calculatedColumnFormula>
    </tableColumn>
    <tableColumn id="4" xr3:uid="{00000000-0010-0000-0900-000004000000}" name="BYE" dataDxfId="500">
      <calculatedColumnFormula>IFERROR(INDEX(TableRBCalcPts[BYE],MATCH(TableRBVORP[[#This Row],[RK]],TableRBCalcPts[RK],0)),"")</calculatedColumnFormula>
    </tableColumn>
    <tableColumn id="5" xr3:uid="{00000000-0010-0000-0900-000005000000}" name="FPS" dataDxfId="499">
      <calculatedColumnFormula>IFERROR(INDEX(TableRBCalcPts[Custom],MATCH(TableRBVORP[[#This Row],[RK]],TableRBCalcPts[RK],0)),"")</calculatedColumnFormula>
    </tableColumn>
    <tableColumn id="6" xr3:uid="{00000000-0010-0000-0900-000006000000}" name="VORP" dataDxfId="498" dataCellStyle="Percent">
      <calculatedColumnFormula>(IFERROR((TableRBVORP[[#This Row],[FPS]]-INDEX(TableRBVORP[FPS],MATCH(RBVORPCalc,TableRBVORP[RK],0))),""))*0.8</calculatedColumnFormula>
    </tableColumn>
  </tableColumns>
  <tableStyleInfo name="TableStyleLight8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ableWRVORP" displayName="TableWRVORP" ref="O1:T226" totalsRowShown="0" headerRowDxfId="497" dataDxfId="496">
  <sortState xmlns:xlrd2="http://schemas.microsoft.com/office/spreadsheetml/2017/richdata2" ref="O2:T226">
    <sortCondition ref="O1:O226"/>
  </sortState>
  <tableColumns count="6">
    <tableColumn id="1" xr3:uid="{00000000-0010-0000-0A00-000001000000}" name="RK" dataDxfId="495">
      <calculatedColumnFormula>IFERROR(RANK(TableWRVORP[[#This Row],[FPS]],TableWRVORP[FPS],0),"")</calculatedColumnFormula>
    </tableColumn>
    <tableColumn id="2" xr3:uid="{00000000-0010-0000-0A00-000002000000}" name="WIDE RECEIVER" dataDxfId="494">
      <calculatedColumnFormula>IFERROR(INDEX(TableWRCalcPts[PLAYER],MATCH(TableWRVORP[[#This Row],[RK]],TableWRCalcPts[RK],0)),"")</calculatedColumnFormula>
    </tableColumn>
    <tableColumn id="3" xr3:uid="{00000000-0010-0000-0A00-000003000000}" name="TM" dataDxfId="493">
      <calculatedColumnFormula>IFERROR(INDEX(TableWRCalcPts[TM],MATCH(TableWRVORP[[#This Row],[RK]],TableWRCalcPts[RK],0)),"")</calculatedColumnFormula>
    </tableColumn>
    <tableColumn id="4" xr3:uid="{00000000-0010-0000-0A00-000004000000}" name="BYE" dataDxfId="492">
      <calculatedColumnFormula>IFERROR(INDEX(TableWRCalcPts[BYE],MATCH(TableWRVORP[[#This Row],[RK]],TableWRCalcPts[RK],0)),"")</calculatedColumnFormula>
    </tableColumn>
    <tableColumn id="5" xr3:uid="{00000000-0010-0000-0A00-000005000000}" name="FPS" dataDxfId="491">
      <calculatedColumnFormula>IFERROR(INDEX(TableWRCalcPts[Custom],MATCH(TableWRVORP[[#This Row],[RK]],TableWRCalcPts[RK],0)),"")</calculatedColumnFormula>
    </tableColumn>
    <tableColumn id="6" xr3:uid="{00000000-0010-0000-0A00-000006000000}" name="VORP" dataDxfId="490" dataCellStyle="Percent">
      <calculatedColumnFormula>(IFERROR((TableWRVORP[[#This Row],[FPS]]-INDEX(TableWRVORP[FPS],MATCH(WRVORPCalc,TableWRVORP[RK],0))),""))</calculatedColumnFormula>
    </tableColumn>
  </tableColumns>
  <tableStyleInfo name="TableStyleLight8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B000000}" name="TableTEVORP" displayName="TableTEVORP" ref="V1:AA101" totalsRowShown="0" headerRowDxfId="489" dataDxfId="488">
  <sortState xmlns:xlrd2="http://schemas.microsoft.com/office/spreadsheetml/2017/richdata2" ref="V2:AA101">
    <sortCondition ref="V1:V101"/>
  </sortState>
  <tableColumns count="6">
    <tableColumn id="1" xr3:uid="{00000000-0010-0000-0B00-000001000000}" name="RK" dataDxfId="487">
      <calculatedColumnFormula>IFERROR(RANK(TableTEVORP[[#This Row],[FPS]],TableTEVORP[FPS],0),"")</calculatedColumnFormula>
    </tableColumn>
    <tableColumn id="2" xr3:uid="{00000000-0010-0000-0B00-000002000000}" name="TIGHT END" dataDxfId="486">
      <calculatedColumnFormula>IFERROR(INDEX(TableTECalcPts[PLAYER],MATCH(TableTEVORP[[#This Row],[RK]],TableTECalcPts[RK],0)),"")</calculatedColumnFormula>
    </tableColumn>
    <tableColumn id="3" xr3:uid="{00000000-0010-0000-0B00-000003000000}" name="TM" dataDxfId="485">
      <calculatedColumnFormula>IFERROR(INDEX(TableTECalcPts[TM],MATCH(TableTEVORP[[#This Row],[RK]],TableTECalcPts[RK],0)),"")</calculatedColumnFormula>
    </tableColumn>
    <tableColumn id="4" xr3:uid="{00000000-0010-0000-0B00-000004000000}" name="BYE" dataDxfId="484">
      <calculatedColumnFormula>IFERROR(INDEX(TableTECalcPts[BYE],MATCH(TableTEVORP[[#This Row],[RK]],TableTECalcPts[RK],0)),"")</calculatedColumnFormula>
    </tableColumn>
    <tableColumn id="5" xr3:uid="{00000000-0010-0000-0B00-000005000000}" name="FPS" dataDxfId="483">
      <calculatedColumnFormula>IFERROR(INDEX(TableTECalcPts[Custom],MATCH(TableTEVORP[[#This Row],[RK]],TableTECalcPts[RK],0)),"")</calculatedColumnFormula>
    </tableColumn>
    <tableColumn id="6" xr3:uid="{00000000-0010-0000-0B00-000006000000}" name="VORP" dataDxfId="482" dataCellStyle="Percent">
      <calculatedColumnFormula>IFERROR((TableTEVORP[[#This Row],[FPS]]-INDEX(TableTEVORP[FPS],MATCH(TEVORPCalc,TableTEVORP[RK],0))),"")</calculatedColumnFormula>
    </tableColumn>
  </tableColumns>
  <tableStyleInfo name="TableStyleLight8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eOverallMaster" displayName="TableOverallMaster" ref="AF1:AM301" totalsRowShown="0" headerRowDxfId="481" dataDxfId="480">
  <tableColumns count="8">
    <tableColumn id="1" xr3:uid="{00000000-0010-0000-0C00-000001000000}" name="POS" dataDxfId="479"/>
    <tableColumn id="2" xr3:uid="{00000000-0010-0000-0C00-000002000000}" name="RK" dataDxfId="478"/>
    <tableColumn id="7" xr3:uid="{00000000-0010-0000-0C00-000007000000}" name="OVR RK" dataDxfId="477">
      <calculatedColumnFormula>RANK(TableOverallMaster[[#This Row],[VORP]],TableOverallMaster[VORP])+COUNTIF($AM$2:AM2,AM2)-1</calculatedColumnFormula>
    </tableColumn>
    <tableColumn id="3" xr3:uid="{00000000-0010-0000-0C00-000003000000}" name="OVERALL PLAYER" dataDxfId="476">
      <calculatedColumnFormula>IFERROR(INDEX(TableQBVORP[QUARTERBACK],MATCH(TableOverallMaster[[#This Row],[RK]],TableQBVORP[RK],0)),"")</calculatedColumnFormula>
    </tableColumn>
    <tableColumn id="4" xr3:uid="{00000000-0010-0000-0C00-000004000000}" name="POS RK" dataDxfId="475">
      <calculatedColumnFormula>CONCATENATE(AF2,AG2)</calculatedColumnFormula>
    </tableColumn>
    <tableColumn id="9" xr3:uid="{00000000-0010-0000-0C00-000009000000}" name="BYE" dataDxfId="474">
      <calculatedColumnFormula>IFERROR(INDEX(TableQBVORP[BYE],MATCH(TableOverallMaster[[#This Row],[RK]],TableQBVORP[RK],0)),"")</calculatedColumnFormula>
    </tableColumn>
    <tableColumn id="5" xr3:uid="{00000000-0010-0000-0C00-000005000000}" name="Custom" dataDxfId="473">
      <calculatedColumnFormula>VLOOKUP(AG2,V$1:AA$101,5,FALSE)</calculatedColumnFormula>
    </tableColumn>
    <tableColumn id="6" xr3:uid="{00000000-0010-0000-0C00-000006000000}" name="VORP" dataDxfId="472" dataCellStyle="Percent">
      <calculatedColumnFormula>IFERROR(INDEX(TableQBVORP[VORP],MATCH(TableOverallMaster[[#This Row],[RK]],TableQBVORP[RK],0)),"")</calculatedColumnFormula>
    </tableColumn>
  </tableColumns>
  <tableStyleInfo name="TableStyleLight8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TableOverallRank" displayName="TableOverallRank" ref="AO1:AT301" totalsRowShown="0" headerRowDxfId="471" dataDxfId="470">
  <sortState xmlns:xlrd2="http://schemas.microsoft.com/office/spreadsheetml/2017/richdata2" ref="AO2:AT301">
    <sortCondition descending="1" ref="AT2:AT301"/>
  </sortState>
  <tableColumns count="6">
    <tableColumn id="1" xr3:uid="{00000000-0010-0000-0D00-000001000000}" name="RK" dataDxfId="469"/>
    <tableColumn id="2" xr3:uid="{00000000-0010-0000-0D00-000002000000}" name="OVERALL PLAYER" dataDxfId="468">
      <calculatedColumnFormula>IFERROR(INDEX(TableOverallMaster[OVERALL PLAYER],MATCH(TableOverallRank[[#This Row],[RK]],TableOverallMaster[OVR RK],0)),"")</calculatedColumnFormula>
    </tableColumn>
    <tableColumn id="3" xr3:uid="{00000000-0010-0000-0D00-000003000000}" name="POS RK" dataDxfId="467">
      <calculatedColumnFormula>IFERROR(INDEX(TableOverallMaster[POS RK],MATCH(TableOverallRank[[#This Row],[OVERALL PLAYER]],TableOverallMaster[OVERALL PLAYER],0)),"")</calculatedColumnFormula>
    </tableColumn>
    <tableColumn id="6" xr3:uid="{00000000-0010-0000-0D00-000006000000}" name="BYE" dataDxfId="466">
      <calculatedColumnFormula>IFERROR(INDEX(TableOverallMaster[BYE],MATCH(TableOverallRank[[#This Row],[OVERALL PLAYER]],TableOverallMaster[OVERALL PLAYER],0)),"")</calculatedColumnFormula>
    </tableColumn>
    <tableColumn id="4" xr3:uid="{00000000-0010-0000-0D00-000004000000}" name="FPS" dataDxfId="465">
      <calculatedColumnFormula>IFERROR(INDEX(TableOverallMaster[Custom],MATCH(TableOverallRank[[#This Row],[OVERALL PLAYER]],TableOverallMaster[OVERALL PLAYER],0)),"")</calculatedColumnFormula>
    </tableColumn>
    <tableColumn id="5" xr3:uid="{00000000-0010-0000-0D00-000005000000}" name="VORP" dataDxfId="464" dataCellStyle="Percent">
      <calculatedColumnFormula>IFERROR(INDEX(TableOverallMaster[VORP],MATCH(TableOverallRank[[#This Row],[OVERALL PLAYER]],TableOverallMaster[OVERALL PLAYER],0)),"")</calculatedColumnFormula>
    </tableColumn>
  </tableColumns>
  <tableStyleInfo name="TableStyleLight8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leWRTERank" displayName="TableWRTERank" ref="AV1:BA281" totalsRowShown="0" headerRowDxfId="463" dataDxfId="462">
  <tableColumns count="6">
    <tableColumn id="1" xr3:uid="{00000000-0010-0000-0E00-000001000000}" name="RK" dataDxfId="461"/>
    <tableColumn id="2" xr3:uid="{00000000-0010-0000-0E00-000002000000}" name="WR and TE COMBINED" dataDxfId="460">
      <calculatedColumnFormula>IFERROR(INDEX(TableWRTECalcPts[PLAYER],MATCH(TableWRTERank[[#This Row],[RK]],TableWRTECalcPts[RK],0)),"")</calculatedColumnFormula>
    </tableColumn>
    <tableColumn id="3" xr3:uid="{00000000-0010-0000-0E00-000003000000}" name="POS RK" dataDxfId="459">
      <calculatedColumnFormula>IFERROR(INDEX(TableWRTECalcPts[POS RK],MATCH(TableWRTERank[[#This Row],[WR and TE COMBINED]],TableWRTECalcPts[PLAYER],0)),"")</calculatedColumnFormula>
    </tableColumn>
    <tableColumn id="4" xr3:uid="{00000000-0010-0000-0E00-000004000000}" name="BYE" dataDxfId="458">
      <calculatedColumnFormula>IFERROR(INDEX(TableWRTECalcPts[BYE],MATCH(TableWRTERank[[#This Row],[RK]],TableWRTECalcPts[RK],0)),"")</calculatedColumnFormula>
    </tableColumn>
    <tableColumn id="5" xr3:uid="{00000000-0010-0000-0E00-000005000000}" name="FPS" dataDxfId="457">
      <calculatedColumnFormula>IFERROR(INDEX(TableWRTECalcPts[Custom],MATCH(TableWRTERank[[#This Row],[RK]],TableWRTECalcPts[RK],0)),"")</calculatedColumnFormula>
    </tableColumn>
    <tableColumn id="6" xr3:uid="{00000000-0010-0000-0E00-000006000000}" name="VORP" dataDxfId="456" dataCellStyle="Percent">
      <calculatedColumnFormula>IFERROR((TableWRTERank[[#This Row],[FPS]]-INDEX(TableWRTERank[FPS],MATCH(WRTEVORPCalc,TableWRTERank[RK],0))),"")</calculatedColumnFormula>
    </tableColumn>
  </tableColumns>
  <tableStyleInfo name="TableStyleLight8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leWRTEMaster" displayName="TableWRTEMaster" ref="BC1:BC281" totalsRowShown="0" headerRowDxfId="455" dataDxfId="454">
  <tableColumns count="1">
    <tableColumn id="1" xr3:uid="{00000000-0010-0000-0F00-000001000000}" name="POS" dataDxfId="453"/>
  </tableColumns>
  <tableStyleInfo name="TableStyleLight8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8412A6-82F9-4959-A243-0271E6A9084C}" name="TableQBRanks30" displayName="TableQBRanks30" ref="A1:N80" totalsRowShown="0" headerRowDxfId="452" dataDxfId="450" headerRowBorderDxfId="451">
  <sortState xmlns:xlrd2="http://schemas.microsoft.com/office/spreadsheetml/2017/richdata2" ref="A2:N68">
    <sortCondition ref="A1:A68"/>
  </sortState>
  <tableColumns count="14">
    <tableColumn id="1" xr3:uid="{DD294E2D-5990-4AF8-8878-BE34A05D93D2}" name="RK" dataDxfId="449">
      <calculatedColumnFormula>RANK(TableQBRanks30[[#This Row],[FPS]],TableQBRanks30[FPS],0)</calculatedColumnFormula>
    </tableColumn>
    <tableColumn id="2" xr3:uid="{EB4C05A1-12CE-49AE-B841-2DE35B064106}" name="Player" dataDxfId="448">
      <calculatedColumnFormula>IFERROR(INDEX(TableQBCalcPts[PLAYER],MATCH(TableQBRanks30[[#This Row],[RK]],TableQBCalcPts[RK],0)),"")</calculatedColumnFormula>
    </tableColumn>
    <tableColumn id="3" xr3:uid="{904CD835-3612-42DA-BB5B-114E20C8FAE3}" name="TM" dataDxfId="447">
      <calculatedColumnFormula>IFERROR(INDEX(TableQBCalcPts[TM],MATCH(TableQBRanks30[[#This Row],[Player]],TableQBCalcPts[PLAYER],0)),"")</calculatedColumnFormula>
    </tableColumn>
    <tableColumn id="4" xr3:uid="{4A0C9585-18CB-4A5F-AA2C-71D7F53C6180}" name="BYE" dataDxfId="446">
      <calculatedColumnFormula>IFERROR(INDEX(TableQBCalcPts[BYE],MATCH(TableQBRanks30[[#This Row],[Player]],TableQBCalcPts[PLAYER],0)),"")</calculatedColumnFormula>
    </tableColumn>
    <tableColumn id="8" xr3:uid="{67E015BD-1FE5-477A-BFC1-3F737DDEE4C5}" name="PASS ATT" dataDxfId="445">
      <calculatedColumnFormula>IFERROR((VLOOKUP(TableQBRanks30[[#This Row],[Player]],QB!B:O,4,FALSE)),"")</calculatedColumnFormula>
    </tableColumn>
    <tableColumn id="10" xr3:uid="{4749D8FF-DDAD-474E-B69C-C62F500B154F}" name="COMP" dataDxfId="444">
      <calculatedColumnFormula>IFERROR((VLOOKUP(TableQBRanks30[[#This Row],[Player]],QB!B:O,5,FALSE)),"")</calculatedColumnFormula>
    </tableColumn>
    <tableColumn id="9" xr3:uid="{2E281FD5-CDAC-468F-8B8E-F8A9686E01E4}" name="PASS YARDS" dataDxfId="443">
      <calculatedColumnFormula>IFERROR((VLOOKUP(TableQBRanks30[[#This Row],[Player]],QB!B:O,6,FALSE)),"")</calculatedColumnFormula>
    </tableColumn>
    <tableColumn id="14" xr3:uid="{999EC3A5-5EF5-43EE-A502-39A8B180D38B}" name="PASS TD" dataDxfId="442">
      <calculatedColumnFormula>IFERROR((VLOOKUP(TableQBRanks30[[#This Row],[Player]],QB!B:O,7,FALSE)),"")</calculatedColumnFormula>
    </tableColumn>
    <tableColumn id="13" xr3:uid="{20DD91C2-1ACB-4E68-91C4-6404151A74FA}" name="INT" dataDxfId="441">
      <calculatedColumnFormula>IFERROR((VLOOKUP(TableQBRanks30[[#This Row],[Player]],QB!B:O,8,FALSE)),"")</calculatedColumnFormula>
    </tableColumn>
    <tableColumn id="12" xr3:uid="{A3B3A3B7-B512-4584-BB8F-5A8EE269157D}" name="RUSH ATT" dataDxfId="440">
      <calculatedColumnFormula>IFERROR((VLOOKUP(TableQBRanks30[[#This Row],[Player]],QB!B:O,9,FALSE)),"")</calculatedColumnFormula>
    </tableColumn>
    <tableColumn id="11" xr3:uid="{D8FF2F81-4F78-45B3-8213-6C6E15807121}" name="RUSH YARDS" dataDxfId="439">
      <calculatedColumnFormula>IFERROR((VLOOKUP(TableQBRanks30[[#This Row],[Player]],QB!B:O,10,FALSE)),"")</calculatedColumnFormula>
    </tableColumn>
    <tableColumn id="7" xr3:uid="{B7BD51F5-F492-466D-AC1C-D200C03341CA}" name="RUSH TD" dataDxfId="438">
      <calculatedColumnFormula>IFERROR((VLOOKUP(TableQBRanks30[[#This Row],[Player]],QB!B:O,11,FALSE)),"")</calculatedColumnFormula>
    </tableColumn>
    <tableColumn id="5" xr3:uid="{DF1DA9CD-A230-40B5-AD00-5888E844A574}" name="FPS" dataDxfId="437">
      <calculatedColumnFormula>IFERROR(INDEX(TableQBCalcPts[Custom],MATCH(TableQBRanks30[[#This Row],[RK]],TableQBCalcPts[RK],0)),"")</calculatedColumnFormula>
    </tableColumn>
    <tableColumn id="17" xr3:uid="{4126F055-46B1-4012-BAE3-10EF493CAFD7}" name="AUC$" dataDxfId="436">
      <calculatedColumnFormula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074BF76-C86B-400B-9D4A-A1EF83A27677}" name="TableRBRanks31" displayName="TableRBRanks31" ref="P1:AB171" totalsRowShown="0" headerRowDxfId="435" dataDxfId="433" headerRowBorderDxfId="434">
  <sortState xmlns:xlrd2="http://schemas.microsoft.com/office/spreadsheetml/2017/richdata2" ref="P2:AB153">
    <sortCondition ref="P1:P153"/>
  </sortState>
  <tableColumns count="13">
    <tableColumn id="1" xr3:uid="{F8589C02-6C6A-4551-9B26-0AA53FFC4360}" name="RK" dataDxfId="432">
      <calculatedColumnFormula>RANK(TableRBRanks31[[#This Row],[FPS]],TableRBRanks31[FPS],0)</calculatedColumnFormula>
    </tableColumn>
    <tableColumn id="2" xr3:uid="{AA98FD46-655D-4881-A86F-7DC0F21E65D7}" name="Player" dataDxfId="431">
      <calculatedColumnFormula>IFERROR(INDEX(TableRBCalcPts[PLAYER],MATCH(TableRBRanks31[[#This Row],[RK]],TableRBCalcPts[RK],0)),"")</calculatedColumnFormula>
    </tableColumn>
    <tableColumn id="3" xr3:uid="{F1CE2B10-9FA7-40C6-8F57-7006F8593A6A}" name="TM" dataDxfId="430">
      <calculatedColumnFormula>IFERROR(INDEX(TableRBCalcPts[TM],MATCH(TableRBRanks31[[#This Row],[Player]],TableRBCalcPts[PLAYER],0)),"")</calculatedColumnFormula>
    </tableColumn>
    <tableColumn id="4" xr3:uid="{88D3ED97-5373-4CCF-A7B6-EC9F46DBAF12}" name="BYE" dataDxfId="429">
      <calculatedColumnFormula>IFERROR(INDEX(TableRBCalcPts[BYE],MATCH(TableRBRanks31[[#This Row],[Player]],TableRBCalcPts[PLAYER],0)),"")</calculatedColumnFormula>
    </tableColumn>
    <tableColumn id="7" xr3:uid="{CCCE3814-EAC0-47AD-9790-C63A6C9F7A84}" name="RUSH ATT" dataDxfId="428">
      <calculatedColumnFormula>IFERROR((VLOOKUP(TableRBRanks31[[#This Row],[Player]],RB!B:O,4,FALSE)),"")</calculatedColumnFormula>
    </tableColumn>
    <tableColumn id="10" xr3:uid="{46F8E04E-E137-4779-A056-F32C6C79D8ED}" name="RUSH YARDS" dataDxfId="427">
      <calculatedColumnFormula>IFERROR((VLOOKUP(TableRBRanks31[[#This Row],[Player]],RB!B:O,5,FALSE)),"")</calculatedColumnFormula>
    </tableColumn>
    <tableColumn id="9" xr3:uid="{69D6945E-A322-4EA8-8C9F-F64B8C207CE9}" name="RUSH TD" dataDxfId="426">
      <calculatedColumnFormula>IFERROR((VLOOKUP(TableRBRanks31[[#This Row],[Player]],RB!B:O,6,FALSE)),"")</calculatedColumnFormula>
    </tableColumn>
    <tableColumn id="13" xr3:uid="{E88ADEB9-929B-4902-97DB-B92524823CD7}" name="TGTS" dataDxfId="425">
      <calculatedColumnFormula>IFERROR((VLOOKUP(TableRBRanks31[[#This Row],[Player]],RB!B:O,7,FALSE)),"")</calculatedColumnFormula>
    </tableColumn>
    <tableColumn id="12" xr3:uid="{DB54F68E-08C0-4C71-9252-DE6AED1BE87A}" name="REC" dataDxfId="424">
      <calculatedColumnFormula>IFERROR((VLOOKUP(TableRBRanks31[[#This Row],[Player]],RB!B:O,8,FALSE)),"")</calculatedColumnFormula>
    </tableColumn>
    <tableColumn id="11" xr3:uid="{303F7563-DF84-4B47-9C7B-C24D317CBFF2}" name="RECV YARDS" dataDxfId="423">
      <calculatedColumnFormula>IFERROR((VLOOKUP(TableRBRanks31[[#This Row],[Player]],RB!B:O,9,FALSE)),"")</calculatedColumnFormula>
    </tableColumn>
    <tableColumn id="8" xr3:uid="{FA6E86C1-2B15-41FB-95FB-04444BAE609A}" name="RECV TD" dataDxfId="422">
      <calculatedColumnFormula>IFERROR((VLOOKUP(TableRBRanks31[[#This Row],[Player]],RB!B:O,10,FALSE)),"")</calculatedColumnFormula>
    </tableColumn>
    <tableColumn id="5" xr3:uid="{D33B3F1A-7BDB-4CC5-B0DB-EC2951D467F6}" name="FPS" dataDxfId="421">
      <calculatedColumnFormula>IFERROR((IFERROR(INDEX(TableRBCalcPts[Custom],MATCH(TableRBRanks31[[#This Row],[RK]],TableRBCalcPts[RK],0)),"")),"")</calculatedColumnFormula>
    </tableColumn>
    <tableColumn id="14" xr3:uid="{ECC73272-B5AE-4365-9D62-EF7934B1B92C}" name="AUC$" dataDxfId="420">
      <calculatedColumnFormula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4A6F5E5-A022-4994-AB6A-48459B2A5A50}" name="TableWRRanks32" displayName="TableWRRanks32" ref="AD1:AO221" totalsRowShown="0" headerRowDxfId="419" dataDxfId="417" headerRowBorderDxfId="418">
  <sortState xmlns:xlrd2="http://schemas.microsoft.com/office/spreadsheetml/2017/richdata2" ref="AD2:AO221">
    <sortCondition ref="AD1:AD203"/>
  </sortState>
  <tableColumns count="12">
    <tableColumn id="1" xr3:uid="{C133D361-2632-4065-9AF7-A1B699836ED1}" name="RK" dataDxfId="416">
      <calculatedColumnFormula>RANK(TableWRRanks32[[#This Row],[FPS]],TableWRRanks32[FPS],0)</calculatedColumnFormula>
    </tableColumn>
    <tableColumn id="2" xr3:uid="{F9BD7CF4-3EB9-49FC-9B83-8BD0A485D56C}" name="Player" dataDxfId="415">
      <calculatedColumnFormula>IFERROR(INDEX(TableWRCalcPts[PLAYER],MATCH(TableWRRanks32[[#This Row],[RK]],TableWRCalcPts[RK],0)),"")</calculatedColumnFormula>
    </tableColumn>
    <tableColumn id="3" xr3:uid="{A42D73C2-AFF4-42C6-A34E-C3FAC648562F}" name="TM" dataDxfId="414">
      <calculatedColumnFormula>IFERROR(INDEX(TableWRCalcPts[TM],MATCH(TableWRRanks32[[#This Row],[Player]],TableWRCalcPts[PLAYER],0)),"")</calculatedColumnFormula>
    </tableColumn>
    <tableColumn id="4" xr3:uid="{51B6DEB7-D4AE-4BAA-AD0F-7E2FAE3B8FA9}" name="BYE" dataDxfId="413">
      <calculatedColumnFormula>IFERROR(INDEX(TableWRCalcPts[BYE],MATCH(TableWRRanks32[[#This Row],[Player]],TableWRCalcPts[PLAYER],0)),"")</calculatedColumnFormula>
    </tableColumn>
    <tableColumn id="7" xr3:uid="{00F93329-FD97-4880-940E-D5B397F75F7C}" name="RUSH YARDS" dataDxfId="412">
      <calculatedColumnFormula>IFERROR((VLOOKUP(TableWRRanks32[[#This Row],[Player]],WR!B:O,4,FALSE)),"")</calculatedColumnFormula>
    </tableColumn>
    <tableColumn id="10" xr3:uid="{6F6CC6D8-08CF-48E4-B039-BA17647C357D}" name="RUSH TD" dataDxfId="411">
      <calculatedColumnFormula>IFERROR((VLOOKUP(TableWRRanks32[[#This Row],[Player]],WR!B:O,5,FALSE)),"")</calculatedColumnFormula>
    </tableColumn>
    <tableColumn id="13" xr3:uid="{DA79B0A4-BFF6-4BAE-AD35-90EC96A524A1}" name="TGTS" dataDxfId="410">
      <calculatedColumnFormula>IFERROR((VLOOKUP(TableWRRanks32[[#This Row],[Player]],WR!B:O,6,FALSE)),"")</calculatedColumnFormula>
    </tableColumn>
    <tableColumn id="12" xr3:uid="{7F5C25DD-85A3-4423-AF94-30286042FF9F}" name="REC" dataDxfId="409">
      <calculatedColumnFormula>IFERROR((VLOOKUP(TableWRRanks32[[#This Row],[Player]],WR!B:O,7,FALSE)),"")</calculatedColumnFormula>
    </tableColumn>
    <tableColumn id="11" xr3:uid="{32B83406-21A1-4BAC-81BA-F5EF20C28DEF}" name="RECV YARDS" dataDxfId="408">
      <calculatedColumnFormula>IFERROR((VLOOKUP(TableWRRanks32[[#This Row],[Player]],WR!B:O,8,FALSE)),"")</calculatedColumnFormula>
    </tableColumn>
    <tableColumn id="9" xr3:uid="{C046BF52-ED02-48F1-8A0D-A443BF83B1BA}" name="RECV TD" dataDxfId="407">
      <calculatedColumnFormula>IFERROR((VLOOKUP(TableWRRanks32[[#This Row],[Player]],WR!B:O,9,FALSE)),"")</calculatedColumnFormula>
    </tableColumn>
    <tableColumn id="5" xr3:uid="{AAD449F3-E594-415F-9EA3-23F4C2701976}" name="FPS" dataDxfId="406">
      <calculatedColumnFormula>IFERROR((IFERROR(INDEX(TableWRCalcPts[Custom],MATCH(TableWRRanks32[[#This Row],[RK]],TableWRCalcPts[RK],0)),"")),"")</calculatedColumnFormula>
    </tableColumn>
    <tableColumn id="8" xr3:uid="{F30816B3-E120-4F8E-A640-0FE257A67C08}" name="AUC$" dataDxfId="405">
      <calculatedColumnFormula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F5D489-B040-44F4-9169-40D5BE9B80CA}" name="TableTERanks33" displayName="TableTERanks33" ref="AQ1:BA101" totalsRowShown="0" headerRowDxfId="404" dataDxfId="402" headerRowBorderDxfId="403">
  <sortState xmlns:xlrd2="http://schemas.microsoft.com/office/spreadsheetml/2017/richdata2" ref="AQ2:BA97">
    <sortCondition ref="AQ1:AQ97"/>
  </sortState>
  <tableColumns count="11">
    <tableColumn id="1" xr3:uid="{3B2F49A9-3410-44C7-AA89-529A298B4F79}" name="RK" dataDxfId="401">
      <calculatedColumnFormula>RANK(TableTERanks33[[#This Row],[FPS]],TableTERanks33[FPS],0)</calculatedColumnFormula>
    </tableColumn>
    <tableColumn id="2" xr3:uid="{C86B85C4-F335-40B4-B3CA-FA027C842AE9}" name="Player" dataDxfId="400">
      <calculatedColumnFormula>IFERROR(INDEX(TableTECalcPts[PLAYER],MATCH(TableTERanks33[[#This Row],[RK]],TableTECalcPts[RK],0)),"")</calculatedColumnFormula>
    </tableColumn>
    <tableColumn id="3" xr3:uid="{B1AABAA8-6838-49B0-9C33-401B7367D67D}" name="TM" dataDxfId="399">
      <calculatedColumnFormula>IFERROR(INDEX(TableTECalcPts[TM],MATCH(TableTERanks33[[#This Row],[Player]],TableTECalcPts[PLAYER],0)),"")</calculatedColumnFormula>
    </tableColumn>
    <tableColumn id="4" xr3:uid="{8D0666B6-E022-419F-86F4-4E7DDBA3CFA2}" name="BYE" dataDxfId="398">
      <calculatedColumnFormula>IFERROR(INDEX(TableTECalcPts[BYE],MATCH(TableTERanks33[[#This Row],[Player]],TableTECalcPts[PLAYER],0)),"")</calculatedColumnFormula>
    </tableColumn>
    <tableColumn id="7" xr3:uid="{79C7883E-3123-452F-951D-5CD0F099C1D6}" name="TGTS" dataDxfId="397">
      <calculatedColumnFormula>IFERROR((VLOOKUP(TableTERanks33[[#This Row],[Player]],TE!B:O,4,FALSE)),"")</calculatedColumnFormula>
    </tableColumn>
    <tableColumn id="10" xr3:uid="{928C04D5-7572-4757-B4DD-582E2294DCCC}" name="REC" dataDxfId="396">
      <calculatedColumnFormula>IFERROR((VLOOKUP(TableTERanks33[[#This Row],[Player]],TE!B:O,5,FALSE)),"")</calculatedColumnFormula>
    </tableColumn>
    <tableColumn id="9" xr3:uid="{D6ECB8ED-6792-4CCC-80FE-59D1DCF8BF2C}" name="RECV YARDS" dataDxfId="395">
      <calculatedColumnFormula>IFERROR((VLOOKUP(TableTERanks33[[#This Row],[Player]],TE!B:O,6,FALSE)),"")</calculatedColumnFormula>
    </tableColumn>
    <tableColumn id="8" xr3:uid="{2E2BBA19-5E03-4B2C-9D14-196B82B3B86B}" name="RECV TD" dataDxfId="394">
      <calculatedColumnFormula>IFERROR((VLOOKUP(TableTERanks33[[#This Row],[Player]],TE!B:O,7,FALSE)),"")</calculatedColumnFormula>
    </tableColumn>
    <tableColumn id="5" xr3:uid="{E32F372B-7FFB-435A-B73C-80F3590D4E15}" name="FPS" dataDxfId="393">
      <calculatedColumnFormula>IFERROR((IFERROR(INDEX(TableTECalcPts[Custom],MATCH(TableTERanks33[[#This Row],[RK]],TableTECalcPts[RK],0)),"")),"")</calculatedColumnFormula>
    </tableColumn>
    <tableColumn id="11" xr3:uid="{9DFBDD7E-3DE3-43E8-A202-FEA0615BA32B}" name="AUC$" dataDxfId="392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  <tableColumn id="6" xr3:uid="{DE95DB89-5087-4CE2-9742-2FFA1C1C9ACC}" name="AUC Calc" dataDxfId="391" dataCellStyle="Currency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468F97-B760-475C-A247-A5CE31C704ED}" name="TableQBRanks3040" displayName="TableQBRanks3040" ref="A1:N80" totalsRowShown="0" headerRowDxfId="390" dataDxfId="388" headerRowBorderDxfId="389">
  <sortState xmlns:xlrd2="http://schemas.microsoft.com/office/spreadsheetml/2017/richdata2" ref="A2:N68">
    <sortCondition ref="A1:A68"/>
  </sortState>
  <tableColumns count="14">
    <tableColumn id="1" xr3:uid="{F98CCEBD-C873-4336-8E83-75AFA588B8B9}" name="RK" dataDxfId="387">
      <calculatedColumnFormula>RANK(TableQBRanks3040[[#This Row],[FPS]],TableQBRanks3040[FPS],0)</calculatedColumnFormula>
    </tableColumn>
    <tableColumn id="2" xr3:uid="{1F973880-EA9F-4C6D-8E7E-6FBB94C39DE5}" name="Player" dataDxfId="386">
      <calculatedColumnFormula>VLOOKUP(TableQBRanks3040[[#This Row],[RK]],Rankings!A:T,3,FALSE)</calculatedColumnFormula>
    </tableColumn>
    <tableColumn id="3" xr3:uid="{C45E752E-64BD-402C-B7B3-18B2269AF0AE}" name="TM" dataDxfId="385">
      <calculatedColumnFormula>IFERROR(INDEX(TableQBCalcPts[TM],MATCH(TableQBRanks3040[[#This Row],[Player]],TableQBCalcPts[PLAYER],0)),"")</calculatedColumnFormula>
    </tableColumn>
    <tableColumn id="4" xr3:uid="{DEA61075-A102-4F66-AAA4-364FACCCDEBE}" name="BYE" dataDxfId="384">
      <calculatedColumnFormula>IFERROR(INDEX(TableQBCalcPts[BYE],MATCH(TableQBRanks3040[[#This Row],[Player]],TableQBCalcPts[PLAYER],0)),"")</calculatedColumnFormula>
    </tableColumn>
    <tableColumn id="8" xr3:uid="{84F3C1A7-54AE-4763-B55D-25BA03BF7BD8}" name="PASS ATT" dataDxfId="383">
      <calculatedColumnFormula>VLOOKUP(TableQBRanks3040[[#This Row],[Player]],QB!B:O,4,FALSE)</calculatedColumnFormula>
    </tableColumn>
    <tableColumn id="10" xr3:uid="{120049A0-F76C-494D-87D5-5BF456348B29}" name="COMP" dataDxfId="382">
      <calculatedColumnFormula>VLOOKUP(TableQBRanks3040[[#This Row],[Player]],QB!B:O,5,FALSE)</calculatedColumnFormula>
    </tableColumn>
    <tableColumn id="9" xr3:uid="{394E9AB7-F047-48B5-BFF3-68A93D163BD3}" name="PASS YARDS" dataDxfId="381">
      <calculatedColumnFormula>VLOOKUP(TableQBRanks3040[[#This Row],[Player]],QB!B:O,6,FALSE)</calculatedColumnFormula>
    </tableColumn>
    <tableColumn id="14" xr3:uid="{F7615B7E-4B61-4C77-AD4B-64BE3F70B618}" name="PASS TD" dataDxfId="380">
      <calculatedColumnFormula>VLOOKUP(TableQBRanks3040[[#This Row],[Player]],QB!B:O,7,FALSE)</calculatedColumnFormula>
    </tableColumn>
    <tableColumn id="13" xr3:uid="{210B4AB8-D1D5-4ED7-83EA-D39FF8D066FD}" name="INT" dataDxfId="379">
      <calculatedColumnFormula>VLOOKUP(TableQBRanks3040[[#This Row],[Player]],QB!B:O,8,FALSE)</calculatedColumnFormula>
    </tableColumn>
    <tableColumn id="12" xr3:uid="{3CAF741E-9C82-466A-BA97-BA2C236672D3}" name="RUSH ATT" dataDxfId="378">
      <calculatedColumnFormula>VLOOKUP(TableQBRanks3040[[#This Row],[Player]],QB!B:O,9,FALSE)</calculatedColumnFormula>
    </tableColumn>
    <tableColumn id="11" xr3:uid="{2EA94DD6-0E5B-4955-9492-1C4CC236C9A5}" name="RUSH YARDS" dataDxfId="377">
      <calculatedColumnFormula>VLOOKUP(TableQBRanks3040[[#This Row],[Player]],QB!B:O,10,FALSE)</calculatedColumnFormula>
    </tableColumn>
    <tableColumn id="7" xr3:uid="{4B95F803-D4E3-4BCF-9BE9-793F197177F2}" name="RUSH TD" dataDxfId="376">
      <calculatedColumnFormula>VLOOKUP(TableQBRanks3040[[#This Row],[Player]],QB!B:O,11,FALSE)</calculatedColumnFormula>
    </tableColumn>
    <tableColumn id="5" xr3:uid="{9088CACE-41B9-425B-BA6E-3F98CE94EDF6}" name="FPS" dataDxfId="375">
      <calculatedColumnFormula>VLOOKUP(TableQBRanks3040[[#This Row],[Player]],QB!B:O,13,FALSE)</calculatedColumnFormula>
    </tableColumn>
    <tableColumn id="6" xr3:uid="{C52D43B9-18E7-4EBA-BD09-FF454090EE15}" name="AUC$" dataDxfId="374" dataCellStyle="Currency">
      <calculatedColumnFormula>IF(VLOOKUP(TableQBRanks3040[[#This Row],[Player]],'Ranks w Proj'!$B:$N,13,FALSE)&lt;0,0,VLOOKUP(TableQBRanks3040[[#This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CB85CA-EAC8-4F88-8732-C09763166654}" name="TableRBRanks3141" displayName="TableRBRanks3141" ref="P1:AB171" totalsRowShown="0" headerRowDxfId="373" dataDxfId="371" headerRowBorderDxfId="372">
  <sortState xmlns:xlrd2="http://schemas.microsoft.com/office/spreadsheetml/2017/richdata2" ref="P2:AB153">
    <sortCondition ref="P1:P153"/>
  </sortState>
  <tableColumns count="13">
    <tableColumn id="1" xr3:uid="{AF88C4A6-CF7E-43D5-8544-2C7F0F428205}" name="RK" dataDxfId="370">
      <calculatedColumnFormula>RANK(TableRBRanks3141[[#This Row],[FPS]],TableRBRanks3141[FPS],0)</calculatedColumnFormula>
    </tableColumn>
    <tableColumn id="2" xr3:uid="{6BDD58F0-BD6D-4F74-8C6E-F5391DE80615}" name="Player" dataDxfId="369">
      <calculatedColumnFormula>VLOOKUP(TableRBRanks3141[[#This Row],[RK]],Rankings!A:T,8,FALSE)</calculatedColumnFormula>
    </tableColumn>
    <tableColumn id="3" xr3:uid="{2AFEF5B4-6A47-4FEF-B593-7702FF90640A}" name="TM" dataDxfId="368">
      <calculatedColumnFormula>IFERROR(INDEX(TableRBCalcPts[TM],MATCH(TableRBRanks3141[[#This Row],[Player]],TableRBCalcPts[PLAYER],0)),"")</calculatedColumnFormula>
    </tableColumn>
    <tableColumn id="4" xr3:uid="{E338865D-3DE8-462E-AD54-F7DCE2A2A148}" name="BYE" dataDxfId="367">
      <calculatedColumnFormula>IFERROR(INDEX(TableRBCalcPts[BYE],MATCH(TableRBRanks3141[[#This Row],[Player]],TableRBCalcPts[PLAYER],0)),"")</calculatedColumnFormula>
    </tableColumn>
    <tableColumn id="7" xr3:uid="{AE3D60FA-1D38-4E3A-BBCE-40225D089A2B}" name="RUSH ATT" dataDxfId="366">
      <calculatedColumnFormula>VLOOKUP(TableRBRanks3141[[#This Row],[Player]],RB!B:O,4,FALSE)</calculatedColumnFormula>
    </tableColumn>
    <tableColumn id="10" xr3:uid="{90E4DB17-8074-4BAB-864A-E29B8FDFB321}" name="RUSH YARDS" dataDxfId="365">
      <calculatedColumnFormula>VLOOKUP(TableRBRanks3141[[#This Row],[Player]],RB!B:O,5,FALSE)</calculatedColumnFormula>
    </tableColumn>
    <tableColumn id="9" xr3:uid="{A0B2390F-B4B0-4263-AABA-1DBFF701AB18}" name="RUSH TD" dataDxfId="364">
      <calculatedColumnFormula>VLOOKUP(TableRBRanks3141[[#This Row],[Player]],RB!B:O,6,FALSE)</calculatedColumnFormula>
    </tableColumn>
    <tableColumn id="13" xr3:uid="{AAE21B35-7DC3-4531-980A-6E295E92F217}" name="TGTS" dataDxfId="363">
      <calculatedColumnFormula>VLOOKUP(TableRBRanks3141[[#This Row],[Player]],RB!B:O,7,FALSE)</calculatedColumnFormula>
    </tableColumn>
    <tableColumn id="12" xr3:uid="{56573855-32BB-49FA-865B-92C6F8E99EEA}" name="REC" dataDxfId="362">
      <calculatedColumnFormula>VLOOKUP(TableRBRanks3141[[#This Row],[Player]],RB!B:O,8,FALSE)</calculatedColumnFormula>
    </tableColumn>
    <tableColumn id="11" xr3:uid="{ED0B008A-989B-43C2-BFCD-9D9CF902EFEE}" name="RECV YARDS" dataDxfId="361">
      <calculatedColumnFormula>VLOOKUP(TableRBRanks3141[[#This Row],[Player]],RB!B:O,9,FALSE)</calculatedColumnFormula>
    </tableColumn>
    <tableColumn id="8" xr3:uid="{D276DC31-3125-49B8-AB42-93FC53C5B258}" name="RECV TD" dataDxfId="360">
      <calculatedColumnFormula>VLOOKUP(TableRBRanks3141[[#This Row],[Player]],RB!B:O,10,FALSE)</calculatedColumnFormula>
    </tableColumn>
    <tableColumn id="5" xr3:uid="{AC6C6385-E0F3-4E38-874E-D3FD44904935}" name="FPS" dataDxfId="359">
      <calculatedColumnFormula>VLOOKUP(TableRBRanks3141[[#This Row],[Player]],RB!B:O,14,FALSE)</calculatedColumnFormula>
    </tableColumn>
    <tableColumn id="6" xr3:uid="{76D5C035-6884-4478-9B5A-355F1692BFB6}" name="AUC$" dataDxfId="358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97FDE5-3C7D-40E5-A086-E284E77778CE}" name="TableWRRanks3242" displayName="TableWRRanks3242" ref="AD1:AO221" totalsRowShown="0" headerRowDxfId="357" dataDxfId="355" headerRowBorderDxfId="356">
  <sortState xmlns:xlrd2="http://schemas.microsoft.com/office/spreadsheetml/2017/richdata2" ref="AD2:AO221">
    <sortCondition ref="AD1:AD203"/>
  </sortState>
  <tableColumns count="12">
    <tableColumn id="1" xr3:uid="{17718EBB-2698-44E8-A091-DC356478EE0C}" name="RK" dataDxfId="354">
      <calculatedColumnFormula>RANK(TableWRRanks3242[[#This Row],[FPS]],TableWRRanks3242[FPS],0)</calculatedColumnFormula>
    </tableColumn>
    <tableColumn id="2" xr3:uid="{4E2F1325-7C1A-4DBA-808A-67BE5F454653}" name="Player" dataDxfId="353">
      <calculatedColumnFormula>VLOOKUP(TableWRRanks3242[[#This Row],[RK]],Rankings!A:T,13,FALSE)</calculatedColumnFormula>
    </tableColumn>
    <tableColumn id="3" xr3:uid="{4E930866-C328-40DA-8527-AA83D74F0DD9}" name="TM" dataDxfId="352">
      <calculatedColumnFormula>IFERROR(INDEX(TableWRCalcPts[TM],MATCH(TableWRRanks3242[[#This Row],[Player]],TableWRCalcPts[PLAYER],0)),"")</calculatedColumnFormula>
    </tableColumn>
    <tableColumn id="4" xr3:uid="{4839F7E0-88B5-4D83-BE5C-13BE0DE818A7}" name="BYE" dataDxfId="351">
      <calculatedColumnFormula>IFERROR(INDEX(TableWRCalcPts[BYE],MATCH(TableWRRanks3242[[#This Row],[Player]],TableWRCalcPts[PLAYER],0)),"")</calculatedColumnFormula>
    </tableColumn>
    <tableColumn id="7" xr3:uid="{E8E8F316-8A7D-4F0D-9BE1-BB12B6A9BE92}" name="RUSH YARDS" dataDxfId="350">
      <calculatedColumnFormula>VLOOKUP(TableWRRanks3242[[#This Row],[Player]],WR!B:O,4,FALSE)</calculatedColumnFormula>
    </tableColumn>
    <tableColumn id="10" xr3:uid="{2238F9D8-3C2F-430D-BD37-853D87BA89FE}" name="RUSH TD" dataDxfId="349">
      <calculatedColumnFormula>VLOOKUP(TableWRRanks3242[[#This Row],[Player]],WR!B:O,5,FALSE)</calculatedColumnFormula>
    </tableColumn>
    <tableColumn id="13" xr3:uid="{35352F7D-0F9D-4650-838D-6BCEEDC1E5C2}" name="TGTS" dataDxfId="348">
      <calculatedColumnFormula>VLOOKUP(TableWRRanks3242[[#This Row],[Player]],WR!B:O,6,FALSE)</calculatedColumnFormula>
    </tableColumn>
    <tableColumn id="12" xr3:uid="{34758BC4-A805-4FC1-B7D9-9C09FCBF3B38}" name="REC" dataDxfId="347">
      <calculatedColumnFormula>VLOOKUP(TableWRRanks3242[[#This Row],[Player]],WR!B:O,7,FALSE)</calculatedColumnFormula>
    </tableColumn>
    <tableColumn id="11" xr3:uid="{15ECAF3E-D50B-4A09-92B1-AFF99D96A46B}" name="RECV YARDS" dataDxfId="346">
      <calculatedColumnFormula>VLOOKUP(TableWRRanks3242[[#This Row],[Player]],WR!B:O,8,FALSE)</calculatedColumnFormula>
    </tableColumn>
    <tableColumn id="9" xr3:uid="{C48C0CB4-3BC5-4FF8-8E35-89BEABAB57D2}" name="RECV TD" dataDxfId="345">
      <calculatedColumnFormula>VLOOKUP(TableWRRanks3242[[#This Row],[Player]],WR!B:O,9,FALSE)</calculatedColumnFormula>
    </tableColumn>
    <tableColumn id="5" xr3:uid="{7FE6090D-A368-4A75-9F7F-A3DF9206E1DC}" name="FPS" dataDxfId="344">
      <calculatedColumnFormula>VLOOKUP(TableWRRanks3242[[#This Row],[Player]],WR!B:O,13,FALSE)</calculatedColumnFormula>
    </tableColumn>
    <tableColumn id="6" xr3:uid="{075E308E-09F6-4CC2-9E50-D0739ABAEBFE}" name="AUC$" dataDxfId="343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F771C98-D01E-4851-B7F7-FD8853D14161}" name="TableTERanks3343" displayName="TableTERanks3343" ref="AQ1:AZ101" totalsRowShown="0" headerRowDxfId="342" dataDxfId="340" headerRowBorderDxfId="341">
  <sortState xmlns:xlrd2="http://schemas.microsoft.com/office/spreadsheetml/2017/richdata2" ref="AQ2:AZ97">
    <sortCondition ref="AQ1:AQ97"/>
  </sortState>
  <tableColumns count="10">
    <tableColumn id="1" xr3:uid="{1DE8B555-0B01-4E23-A3B9-F1E54B658BF5}" name="RK" dataDxfId="339">
      <calculatedColumnFormula>RANK(TableTERanks3343[[#This Row],[FPS]],TableTERanks3343[FPS],0)</calculatedColumnFormula>
    </tableColumn>
    <tableColumn id="2" xr3:uid="{399EB10C-1E56-46FE-9A7E-C5D26C22D252}" name="Player" dataDxfId="338">
      <calculatedColumnFormula>VLOOKUP(TableTERanks3343[[#This Row],[RK]],Rankings!A:T,18,FALSE)</calculatedColumnFormula>
    </tableColumn>
    <tableColumn id="3" xr3:uid="{0DB04BD7-A8D8-4C87-B996-68F9C25DCBD0}" name="TM" dataDxfId="337">
      <calculatedColumnFormula>IFERROR(INDEX(TableTECalcPts[TM],MATCH(TableTERanks3343[[#This Row],[Player]],TableTECalcPts[PLAYER],0)),"")</calculatedColumnFormula>
    </tableColumn>
    <tableColumn id="4" xr3:uid="{5702DA98-7FE8-4E0B-920D-BB01FFCF4E19}" name="BYE" dataDxfId="336">
      <calculatedColumnFormula>IFERROR(INDEX(TableTECalcPts[BYE],MATCH(TableTERanks3343[[#This Row],[Player]],TableTECalcPts[PLAYER],0)),"")</calculatedColumnFormula>
    </tableColumn>
    <tableColumn id="7" xr3:uid="{6EAFB157-7942-4226-9D34-99E5270657EB}" name="TGTS" dataDxfId="335">
      <calculatedColumnFormula>VLOOKUP(TableTERanks3343[[#This Row],[Player]],TE!B:O,4,FALSE)</calculatedColumnFormula>
    </tableColumn>
    <tableColumn id="10" xr3:uid="{57A234B1-A0FB-4E71-9A3A-6569ADD0B783}" name="REC" dataDxfId="334">
      <calculatedColumnFormula>VLOOKUP(TableTERanks3343[[#This Row],[Player]],TE!B:O,5,FALSE)</calculatedColumnFormula>
    </tableColumn>
    <tableColumn id="9" xr3:uid="{14A8750E-E072-4AA9-9BAA-8A61C7574381}" name="RECV YARDS" dataDxfId="333">
      <calculatedColumnFormula>VLOOKUP(TableTERanks3343[[#This Row],[Player]],TE!B:O,6,FALSE)</calculatedColumnFormula>
    </tableColumn>
    <tableColumn id="8" xr3:uid="{2C8495D7-E2AE-4484-ABDB-85C493308728}" name="RECV TD" dataDxfId="332">
      <calculatedColumnFormula>VLOOKUP(TableTERanks3343[[#This Row],[Player]],TE!B:O,7,FALSE)</calculatedColumnFormula>
    </tableColumn>
    <tableColumn id="5" xr3:uid="{57F3B59C-E84B-4E30-9FBA-62A421D9B00A}" name="FPS" dataDxfId="331">
      <calculatedColumnFormula>VLOOKUP(TableTERanks3343[[#This Row],[Player]],TE!B:O,11,FALSE)</calculatedColumnFormula>
    </tableColumn>
    <tableColumn id="6" xr3:uid="{2EC6160C-D456-423B-A400-AE67C2D32CAB}" name="AUC$" dataDxfId="330" dataCellStyle="Currency">
      <calculatedColumnFormula>IF(VLOOKUP(TableTERanks3343[[#This Row],[Player]],'Ranks w Proj'!$AR:$AZ,9,FALSE)&lt;0,0,VLOOKUP(TableTERanks3343[[#This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0000000}" name="TableDSTOverall" displayName="TableDSTOverall" ref="A1:S33" totalsRowShown="0" headerRowDxfId="329" dataDxfId="328">
  <autoFilter ref="A1:S33" xr:uid="{00000000-0009-0000-0100-000018000000}"/>
  <tableColumns count="19">
    <tableColumn id="18" xr3:uid="{00000000-0010-0000-1000-000012000000}" name="Ref" dataDxfId="327"/>
    <tableColumn id="1" xr3:uid="{00000000-0010-0000-1000-000001000000}" name="TEAM" dataDxfId="326"/>
    <tableColumn id="19" xr3:uid="{E0B1E5CE-99E0-4122-BCB6-105E4C24EB2C}" name="ABBREV" dataDxfId="325"/>
    <tableColumn id="2" xr3:uid="{00000000-0010-0000-1000-000002000000}" name="BYE" dataDxfId="324"/>
    <tableColumn id="3" xr3:uid="{00000000-0010-0000-1000-000003000000}" name="SACKS" dataDxfId="323"/>
    <tableColumn id="4" xr3:uid="{00000000-0010-0000-1000-000004000000}" name="INT" dataDxfId="322"/>
    <tableColumn id="5" xr3:uid="{00000000-0010-0000-1000-000005000000}" name="FORCED FUMBLE" dataDxfId="321"/>
    <tableColumn id="6" xr3:uid="{00000000-0010-0000-1000-000006000000}" name="RECOV'D FUMBLE" dataDxfId="320"/>
    <tableColumn id="7" xr3:uid="{00000000-0010-0000-1000-000007000000}" name="SAFETIES" dataDxfId="319"/>
    <tableColumn id="8" xr3:uid="{00000000-0010-0000-1000-000008000000}" name="DEF TD" dataDxfId="318"/>
    <tableColumn id="9" xr3:uid="{00000000-0010-0000-1000-000009000000}" name="PTS PER GAME" dataDxfId="317"/>
    <tableColumn id="10" xr3:uid="{00000000-0010-0000-1000-00000A000000}" name="0 PT GAMES" dataDxfId="316"/>
    <tableColumn id="11" xr3:uid="{00000000-0010-0000-1000-00000B000000}" name="1-6 PT GAMES" dataDxfId="315"/>
    <tableColumn id="12" xr3:uid="{00000000-0010-0000-1000-00000C000000}" name="7-13 PT GAMES" dataDxfId="314"/>
    <tableColumn id="13" xr3:uid="{00000000-0010-0000-1000-00000D000000}" name="14-21 PT GAMES" dataDxfId="313"/>
    <tableColumn id="14" xr3:uid="{00000000-0010-0000-1000-00000E000000}" name="22-26 PT GAMES" dataDxfId="312"/>
    <tableColumn id="15" xr3:uid="{00000000-0010-0000-1000-00000F000000}" name="27-34 PT GAMES" dataDxfId="311"/>
    <tableColumn id="16" xr3:uid="{00000000-0010-0000-1000-000010000000}" name="35+ PT GAMES" dataDxfId="310"/>
    <tableColumn id="17" xr3:uid="{00000000-0010-0000-1000-000011000000}" name="YD PER GAME" dataDxfId="309"/>
  </tableColumns>
  <tableStyleInfo name="TableStyleLight8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A670C38-0673-4CC9-9F06-5DD8B23B0C9D}" name="TableQBRanks304034" displayName="TableQBRanks304034" ref="A1:N80" totalsRowShown="0" headerRowDxfId="308" dataDxfId="306" headerRowBorderDxfId="307">
  <sortState xmlns:xlrd2="http://schemas.microsoft.com/office/spreadsheetml/2017/richdata2" ref="A2:N68">
    <sortCondition ref="A1:A68"/>
  </sortState>
  <tableColumns count="14">
    <tableColumn id="1" xr3:uid="{CED32C05-7A12-49C4-8B06-53EB4BC84A35}" name="RK" dataDxfId="305">
      <calculatedColumnFormula>RANK(TableQBRanks304034[[#This Row],[FPS]],TableQBRanks304034[FPS],0)</calculatedColumnFormula>
    </tableColumn>
    <tableColumn id="2" xr3:uid="{6990F51A-FF31-4FF5-9359-3B48F8D86E7E}" name="Player" dataDxfId="304">
      <calculatedColumnFormula>VLOOKUP(TableQBRanks304034[[#This Row],[RK]],Rankings!A:T,3,FALSE)</calculatedColumnFormula>
    </tableColumn>
    <tableColumn id="3" xr3:uid="{1C8DF4AB-39AA-44CE-AA03-5DC29314FB2F}" name="TM" dataDxfId="303">
      <calculatedColumnFormula>IFERROR(INDEX(TableQBCalcPts[TM],MATCH(TableQBRanks304034[[#This Row],[Player]],TableQBCalcPts[PLAYER],0)),"")</calculatedColumnFormula>
    </tableColumn>
    <tableColumn id="4" xr3:uid="{C0960396-B04B-486E-9CD4-C432B3D221E7}" name="BYE" dataDxfId="302">
      <calculatedColumnFormula>IFERROR(INDEX(TableQBCalcPts[BYE],MATCH(TableQBRanks304034[[#This Row],[Player]],TableQBCalcPts[PLAYER],0)),"")</calculatedColumnFormula>
    </tableColumn>
    <tableColumn id="8" xr3:uid="{65F49693-89FD-4775-B4BE-146A2C37B87C}" name="PASS ATT" dataDxfId="301">
      <calculatedColumnFormula>VLOOKUP(TableQBRanks304034[[#This Row],[Player]],QB!B:O,4,FALSE)</calculatedColumnFormula>
    </tableColumn>
    <tableColumn id="10" xr3:uid="{6C112C6C-37B6-4ED7-8B12-6AD125A428AF}" name="COMP" dataDxfId="300">
      <calculatedColumnFormula>VLOOKUP(TableQBRanks304034[[#This Row],[Player]],QB!B:O,5,FALSE)</calculatedColumnFormula>
    </tableColumn>
    <tableColumn id="9" xr3:uid="{36DFB98C-08D0-4B2C-8186-7CB234E5BCA6}" name="PASS YARDS" dataDxfId="299">
      <calculatedColumnFormula>VLOOKUP(TableQBRanks304034[[#This Row],[Player]],QB!B:O,6,FALSE)</calculatedColumnFormula>
    </tableColumn>
    <tableColumn id="14" xr3:uid="{04981056-EE6D-4932-A577-00B38B31E1A4}" name="PASS TD" dataDxfId="298">
      <calculatedColumnFormula>VLOOKUP(TableQBRanks304034[[#This Row],[Player]],QB!B:O,7,FALSE)</calculatedColumnFormula>
    </tableColumn>
    <tableColumn id="13" xr3:uid="{C0860C4D-84DB-4E17-85FC-0DBEF71AA586}" name="INT" dataDxfId="297">
      <calculatedColumnFormula>VLOOKUP(TableQBRanks304034[[#This Row],[Player]],QB!B:O,8,FALSE)</calculatedColumnFormula>
    </tableColumn>
    <tableColumn id="12" xr3:uid="{D6B9128A-5773-41FC-B9F2-205C439DD6D8}" name="RUSH ATT" dataDxfId="296">
      <calculatedColumnFormula>VLOOKUP(TableQBRanks304034[[#This Row],[Player]],QB!B:O,9,FALSE)</calculatedColumnFormula>
    </tableColumn>
    <tableColumn id="11" xr3:uid="{2B920F10-342B-4700-8F1A-6D3D7DE264CB}" name="RUSH YARDS" dataDxfId="295">
      <calculatedColumnFormula>VLOOKUP(TableQBRanks304034[[#This Row],[Player]],QB!B:O,10,FALSE)</calculatedColumnFormula>
    </tableColumn>
    <tableColumn id="7" xr3:uid="{3786A10E-015C-44E3-89EC-5B087CB6C6FA}" name="RUSH TD" dataDxfId="294">
      <calculatedColumnFormula>VLOOKUP(TableQBRanks304034[[#This Row],[Player]],QB!B:O,11,FALSE)</calculatedColumnFormula>
    </tableColumn>
    <tableColumn id="5" xr3:uid="{E63A9772-23FF-4CC1-9722-8F16E44898EA}" name="FPS" dataDxfId="293">
      <calculatedColumnFormula>VLOOKUP(TableQBRanks304034[[#This Row],[Player]],QB!B:O,13,FALSE)</calculatedColumnFormula>
    </tableColumn>
    <tableColumn id="6" xr3:uid="{7E43A82F-F6B1-42BA-8B33-00A3B2C14146}" name="AUC$" dataDxfId="292" dataCellStyle="Currency">
      <calculatedColumnFormula>IF(VLOOKUP(TableQBRanks304034[[#This Row],[Player]],'Ranks w Proj'!$B:$N,13,FALSE)&lt;0,0,VLOOKUP(TableQBRanks304034[[#This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6D120B9-D521-4BE2-BC79-F360890714FF}" name="TableRBRanks314135" displayName="TableRBRanks314135" ref="P1:AB171" totalsRowShown="0" headerRowDxfId="291" dataDxfId="289" headerRowBorderDxfId="290">
  <sortState xmlns:xlrd2="http://schemas.microsoft.com/office/spreadsheetml/2017/richdata2" ref="P2:AB153">
    <sortCondition ref="P1:P153"/>
  </sortState>
  <tableColumns count="13">
    <tableColumn id="1" xr3:uid="{FEAFB766-A536-447B-B7CC-29C93A741BE5}" name="RK" dataDxfId="288">
      <calculatedColumnFormula>RANK(TableRBRanks314135[[#This Row],[FPS]],TableRBRanks314135[FPS],0)</calculatedColumnFormula>
    </tableColumn>
    <tableColumn id="2" xr3:uid="{BC9BF3A3-8709-4467-AAED-CFC8EB89350A}" name="Player" dataDxfId="287">
      <calculatedColumnFormula>VLOOKUP(TableRBRanks314135[[#This Row],[RK]],Rankings!A:AI,23,FALSE)</calculatedColumnFormula>
    </tableColumn>
    <tableColumn id="3" xr3:uid="{D7794F8E-F777-44E6-85CD-4FB628C45D51}" name="TM" dataDxfId="286">
      <calculatedColumnFormula>IFERROR(INDEX(TableRBCalcPts[TM],MATCH(TableRBRanks314135[[#This Row],[Player]],TableRBCalcPts[PLAYER],0)),"")</calculatedColumnFormula>
    </tableColumn>
    <tableColumn id="4" xr3:uid="{58104F26-CCCC-421E-8CC6-8EF290658681}" name="BYE" dataDxfId="285">
      <calculatedColumnFormula>IFERROR(INDEX(TableRBCalcPts[BYE],MATCH(TableRBRanks314135[[#This Row],[Player]],TableRBCalcPts[PLAYER],0)),"")</calculatedColumnFormula>
    </tableColumn>
    <tableColumn id="7" xr3:uid="{D5677140-40D7-4A52-813C-A80E1C6A733E}" name="RUSH ATT" dataDxfId="284">
      <calculatedColumnFormula>VLOOKUP(TableRBRanks314135[[#This Row],[Player]],RB!B:O,4,FALSE)</calculatedColumnFormula>
    </tableColumn>
    <tableColumn id="10" xr3:uid="{09D317BD-F3F5-47F5-9835-F2C09BC3E7F3}" name="RUSH YARDS" dataDxfId="283">
      <calculatedColumnFormula>VLOOKUP(TableRBRanks314135[[#This Row],[Player]],RB!B:O,5,FALSE)</calculatedColumnFormula>
    </tableColumn>
    <tableColumn id="9" xr3:uid="{CEAC229A-868B-4805-89D0-04CBB73148BB}" name="RUSH TD" dataDxfId="282">
      <calculatedColumnFormula>VLOOKUP(TableRBRanks314135[[#This Row],[Player]],RB!B:O,6,FALSE)</calculatedColumnFormula>
    </tableColumn>
    <tableColumn id="13" xr3:uid="{8844E951-0A47-4508-8B7E-6F39D023B248}" name="TGTS" dataDxfId="281">
      <calculatedColumnFormula>VLOOKUP(TableRBRanks314135[[#This Row],[Player]],RB!B:O,7,FALSE)</calculatedColumnFormula>
    </tableColumn>
    <tableColumn id="12" xr3:uid="{403CD5FF-2556-42CE-9724-8C616144B6DB}" name="REC" dataDxfId="280">
      <calculatedColumnFormula>VLOOKUP(TableRBRanks314135[[#This Row],[Player]],RB!B:O,8,FALSE)</calculatedColumnFormula>
    </tableColumn>
    <tableColumn id="11" xr3:uid="{292A2023-5E5B-4791-9E6F-71C6F17CF973}" name="RECV YARDS" dataDxfId="279">
      <calculatedColumnFormula>VLOOKUP(TableRBRanks314135[[#This Row],[Player]],RB!B:O,9,FALSE)</calculatedColumnFormula>
    </tableColumn>
    <tableColumn id="8" xr3:uid="{EDB280DB-E018-46F6-B853-066B48D3C110}" name="RECV TD" dataDxfId="278">
      <calculatedColumnFormula>VLOOKUP(TableRBRanks314135[[#This Row],[Player]],RB!B:O,10,FALSE)</calculatedColumnFormula>
    </tableColumn>
    <tableColumn id="5" xr3:uid="{03301B79-40E0-44A4-BAE1-3C4F8A0B8B4A}" name="FPS" dataDxfId="277">
      <calculatedColumnFormula>VLOOKUP(TableRBRanks314135[[#This Row],[Player]],RB!B:O,14,FALSE)</calculatedColumnFormula>
    </tableColumn>
    <tableColumn id="6" xr3:uid="{5FAE8F01-350F-4F6C-9B8E-57DDD5DF2B4A}" name="AUC$" dataDxfId="276" dataCellStyle="Currency">
      <calculatedColumnFormula>TableRBRanks314135[[#This Row],[FPS]]+(TableRBRanks314135[[#This Row],[REC]]*0.5)</calculatedColumnFormula>
    </tableColumn>
  </tableColumns>
  <tableStyleInfo name="TableStyleLight8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DCD048E-CF9D-4F36-B021-0CFC5EB8526E}" name="TableWRRanks324236" displayName="TableWRRanks324236" ref="AD1:AO221" totalsRowShown="0" headerRowDxfId="275" dataDxfId="273" headerRowBorderDxfId="274">
  <sortState xmlns:xlrd2="http://schemas.microsoft.com/office/spreadsheetml/2017/richdata2" ref="AD2:AO221">
    <sortCondition ref="AD1:AD203"/>
  </sortState>
  <tableColumns count="12">
    <tableColumn id="1" xr3:uid="{1998304D-206D-4568-AB6C-7DD4067E4659}" name="RK" dataDxfId="272">
      <calculatedColumnFormula>RANK(TableWRRanks324236[[#This Row],[FPS]],TableWRRanks324236[FPS],0)</calculatedColumnFormula>
    </tableColumn>
    <tableColumn id="2" xr3:uid="{EC411B43-89CF-4BE3-8691-F34D7728BC3D}" name="Player" dataDxfId="271">
      <calculatedColumnFormula>VLOOKUP(TableWRRanks324236[[#This Row],[RK]],Rankings!A:AI,28,FALSE)</calculatedColumnFormula>
    </tableColumn>
    <tableColumn id="3" xr3:uid="{9BACB6D1-9859-4970-A18A-ACBC5F042ECE}" name="TM" dataDxfId="270">
      <calculatedColumnFormula>IFERROR(INDEX(TableWRCalcPts[TM],MATCH(TableWRRanks324236[[#This Row],[Player]],TableWRCalcPts[PLAYER],0)),"")</calculatedColumnFormula>
    </tableColumn>
    <tableColumn id="4" xr3:uid="{83180449-A635-412C-A0F4-BD5A39FE8171}" name="BYE" dataDxfId="269">
      <calculatedColumnFormula>IFERROR(INDEX(TableWRCalcPts[BYE],MATCH(TableWRRanks324236[[#This Row],[Player]],TableWRCalcPts[PLAYER],0)),"")</calculatedColumnFormula>
    </tableColumn>
    <tableColumn id="7" xr3:uid="{4F7B8794-CC89-4EF0-9444-00F5DC555115}" name="RUSH YARDS" dataDxfId="268">
      <calculatedColumnFormula>VLOOKUP(TableWRRanks324236[[#This Row],[Player]],WR!B:O,4,FALSE)</calculatedColumnFormula>
    </tableColumn>
    <tableColumn id="10" xr3:uid="{D7D7D19B-F9CE-4999-A801-73A7CCBED5B8}" name="RUSH TD" dataDxfId="267">
      <calculatedColumnFormula>VLOOKUP(TableWRRanks324236[[#This Row],[Player]],WR!B:O,5,FALSE)</calculatedColumnFormula>
    </tableColumn>
    <tableColumn id="13" xr3:uid="{CEF453D6-7849-4FDB-BF92-80E65483F64C}" name="TGTS" dataDxfId="266">
      <calculatedColumnFormula>VLOOKUP(TableWRRanks324236[[#This Row],[Player]],WR!B:O,6,FALSE)</calculatedColumnFormula>
    </tableColumn>
    <tableColumn id="12" xr3:uid="{CF9866CD-FF74-4465-BA24-E615A9CE61E2}" name="REC" dataDxfId="265">
      <calculatedColumnFormula>VLOOKUP(TableWRRanks324236[[#This Row],[Player]],WR!B:O,7,FALSE)</calculatedColumnFormula>
    </tableColumn>
    <tableColumn id="11" xr3:uid="{1521DADB-E981-4572-BD31-16473CE07680}" name="RECV YARDS" dataDxfId="264">
      <calculatedColumnFormula>VLOOKUP(TableWRRanks324236[[#This Row],[Player]],WR!B:O,8,FALSE)</calculatedColumnFormula>
    </tableColumn>
    <tableColumn id="9" xr3:uid="{A4FF0037-4D8D-49DE-BB5D-09F941B86933}" name="RECV TD" dataDxfId="263">
      <calculatedColumnFormula>VLOOKUP(TableWRRanks324236[[#This Row],[Player]],WR!B:O,9,FALSE)</calculatedColumnFormula>
    </tableColumn>
    <tableColumn id="5" xr3:uid="{9A570A84-3A7C-479A-A8B9-4BE0E059AB69}" name="FPS" dataDxfId="262">
      <calculatedColumnFormula>VLOOKUP(TableWRRanks324236[[#This Row],[Player]],WR!B:O,13,FALSE)</calculatedColumnFormula>
    </tableColumn>
    <tableColumn id="6" xr3:uid="{5948F0D4-FB53-45E0-9191-59579DE7990C}" name="AUC$" dataDxfId="261" dataCellStyle="Currency">
      <calculatedColumnFormula>TableWRRanks324236[[#This Row],[FPS]]+(TableWRRanks324236[[#This Row],[REC]]*0.5)</calculatedColumnFormula>
    </tableColumn>
  </tableColumns>
  <tableStyleInfo name="TableStyleLight8" showFirstColumn="0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818E97C-BC93-4279-B120-6E38000A7EA2}" name="TableTERanks334337" displayName="TableTERanks334337" ref="AQ1:AZ101" totalsRowShown="0" headerRowDxfId="260" dataDxfId="258" headerRowBorderDxfId="259">
  <sortState xmlns:xlrd2="http://schemas.microsoft.com/office/spreadsheetml/2017/richdata2" ref="AQ2:AZ97">
    <sortCondition ref="AQ1:AQ97"/>
  </sortState>
  <tableColumns count="10">
    <tableColumn id="1" xr3:uid="{C6A5B698-5E41-4B04-A3A5-87964073F886}" name="RK" dataDxfId="257">
      <calculatedColumnFormula>RANK(TableTERanks334337[[#This Row],[FPS]],TableTERanks334337[FPS],0)</calculatedColumnFormula>
    </tableColumn>
    <tableColumn id="2" xr3:uid="{16C09E61-3C40-4A93-920A-0A5897ECDF59}" name="Player" dataDxfId="256">
      <calculatedColumnFormula>VLOOKUP(TableTERanks334337[[#This Row],[RK]],Rankings!A:AI,33,FALSE)</calculatedColumnFormula>
    </tableColumn>
    <tableColumn id="3" xr3:uid="{C76363DE-F875-4357-B9F8-2363BE9B431B}" name="TM" dataDxfId="255">
      <calculatedColumnFormula>IFERROR(INDEX(TableTECalcPts[TM],MATCH(TableTERanks334337[[#This Row],[Player]],TableTECalcPts[PLAYER],0)),"")</calculatedColumnFormula>
    </tableColumn>
    <tableColumn id="4" xr3:uid="{63A549A8-FCD0-45D3-B5A0-C3AD8CFF49BD}" name="BYE" dataDxfId="254">
      <calculatedColumnFormula>IFERROR(INDEX(TableTECalcPts[BYE],MATCH(TableTERanks334337[[#This Row],[Player]],TableTECalcPts[PLAYER],0)),"")</calculatedColumnFormula>
    </tableColumn>
    <tableColumn id="7" xr3:uid="{CEF5D4E3-AD25-455B-9DE3-8EBE008C9E52}" name="TGTS" dataDxfId="253">
      <calculatedColumnFormula>VLOOKUP(TableTERanks334337[[#This Row],[Player]],TE!B:O,4,FALSE)</calculatedColumnFormula>
    </tableColumn>
    <tableColumn id="10" xr3:uid="{30D1E1A1-2F5B-44DE-BAFD-7E3C24279D47}" name="REC" dataDxfId="252">
      <calculatedColumnFormula>VLOOKUP(TableTERanks334337[[#This Row],[Player]],TE!B:O,5,FALSE)</calculatedColumnFormula>
    </tableColumn>
    <tableColumn id="9" xr3:uid="{CF622EE6-C523-4B14-A938-8C289E9C6AB1}" name="RECV YARDS" dataDxfId="251">
      <calculatedColumnFormula>VLOOKUP(TableTERanks334337[[#This Row],[Player]],TE!B:O,6,FALSE)</calculatedColumnFormula>
    </tableColumn>
    <tableColumn id="8" xr3:uid="{989D3216-2C8F-4854-BF9F-6F9CA5977116}" name="RECV TD" dataDxfId="250">
      <calculatedColumnFormula>VLOOKUP(TableTERanks334337[[#This Row],[Player]],TE!B:O,7,FALSE)</calculatedColumnFormula>
    </tableColumn>
    <tableColumn id="5" xr3:uid="{225974A4-38BE-4DFB-8F0E-C7C465E4EE3A}" name="FPS" dataDxfId="249">
      <calculatedColumnFormula>VLOOKUP(TableTERanks334337[[#This Row],[Player]],TE!B:O,11,FALSE)</calculatedColumnFormula>
    </tableColumn>
    <tableColumn id="6" xr3:uid="{D465A340-C518-4AE1-B685-0A33FF85F71C}" name="AUC$" dataDxfId="248" dataCellStyle="Currency">
      <calculatedColumnFormula>TableTERanks334337[[#This Row],[FPS]]+(TableTERanks334337[[#This Row],[REC]]*0.5)</calculatedColumnFormula>
    </tableColumn>
  </tableColumns>
  <tableStyleInfo name="TableStyleLight8" showFirstColumn="0" showLastColumn="0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D00EF6F-CD5F-446C-9F06-86867F654419}" name="TableQBRanks30403438" displayName="TableQBRanks30403438" ref="A1:N80" totalsRowShown="0" headerRowDxfId="247" dataDxfId="245" headerRowBorderDxfId="246">
  <sortState xmlns:xlrd2="http://schemas.microsoft.com/office/spreadsheetml/2017/richdata2" ref="A2:N68">
    <sortCondition ref="A1:A68"/>
  </sortState>
  <tableColumns count="14">
    <tableColumn id="1" xr3:uid="{9C3B1D73-27C3-4BFB-B409-D305E0FFCAA8}" name="RK" dataDxfId="244">
      <calculatedColumnFormula>RANK(TableQBRanks30403438[[#This Row],[FPS]],TableQBRanks30403438[FPS],0)</calculatedColumnFormula>
    </tableColumn>
    <tableColumn id="2" xr3:uid="{66372B54-952B-4666-A496-564361B358D4}" name="Player" dataDxfId="243">
      <calculatedColumnFormula>VLOOKUP(TableQBRanks30403438[[#This Row],[RK]],Rankings!A:T,3,FALSE)</calculatedColumnFormula>
    </tableColumn>
    <tableColumn id="3" xr3:uid="{834BC9DD-095B-44DD-B57D-3E18F77C3B5E}" name="TM" dataDxfId="242">
      <calculatedColumnFormula>IFERROR(INDEX(TableQBCalcPts[TM],MATCH(TableQBRanks30403438[[#This Row],[Player]],TableQBCalcPts[PLAYER],0)),"")</calculatedColumnFormula>
    </tableColumn>
    <tableColumn id="4" xr3:uid="{2570C166-3503-4C87-819A-1D9DEE11D96D}" name="BYE" dataDxfId="241">
      <calculatedColumnFormula>IFERROR(INDEX(TableQBCalcPts[BYE],MATCH(TableQBRanks30403438[[#This Row],[Player]],TableQBCalcPts[PLAYER],0)),"")</calculatedColumnFormula>
    </tableColumn>
    <tableColumn id="8" xr3:uid="{77EF14FC-399B-4C72-81B5-16F26BACE1AB}" name="PASS ATT" dataDxfId="240">
      <calculatedColumnFormula>VLOOKUP(TableQBRanks30403438[[#This Row],[Player]],QB!B:O,4,FALSE)</calculatedColumnFormula>
    </tableColumn>
    <tableColumn id="10" xr3:uid="{9B8EEB89-55BC-407A-94BD-88CF457D3E8E}" name="COMP" dataDxfId="239">
      <calculatedColumnFormula>VLOOKUP(TableQBRanks30403438[[#This Row],[Player]],QB!B:O,5,FALSE)</calculatedColumnFormula>
    </tableColumn>
    <tableColumn id="9" xr3:uid="{FAB73A1E-F9F6-4E11-87AF-654691250970}" name="PASS YARDS" dataDxfId="238">
      <calculatedColumnFormula>VLOOKUP(TableQBRanks30403438[[#This Row],[Player]],QB!B:O,6,FALSE)</calculatedColumnFormula>
    </tableColumn>
    <tableColumn id="14" xr3:uid="{C1BBFB18-661F-4B2C-8F3D-3DF945F8B9F4}" name="PASS TD" dataDxfId="237">
      <calculatedColumnFormula>VLOOKUP(TableQBRanks30403438[[#This Row],[Player]],QB!B:O,7,FALSE)</calculatedColumnFormula>
    </tableColumn>
    <tableColumn id="13" xr3:uid="{91AFECFA-B3D5-4545-994B-E6F127C59404}" name="INT" dataDxfId="236">
      <calculatedColumnFormula>VLOOKUP(TableQBRanks30403438[[#This Row],[Player]],QB!B:O,8,FALSE)</calculatedColumnFormula>
    </tableColumn>
    <tableColumn id="12" xr3:uid="{2007472A-8C61-47DA-B71C-619AA262A63D}" name="RUSH ATT" dataDxfId="235">
      <calculatedColumnFormula>VLOOKUP(TableQBRanks30403438[[#This Row],[Player]],QB!B:O,9,FALSE)</calculatedColumnFormula>
    </tableColumn>
    <tableColumn id="11" xr3:uid="{D9B7ADA1-B47D-4B67-81E9-31F46474D317}" name="RUSH YARDS" dataDxfId="234">
      <calculatedColumnFormula>VLOOKUP(TableQBRanks30403438[[#This Row],[Player]],QB!B:O,10,FALSE)</calculatedColumnFormula>
    </tableColumn>
    <tableColumn id="7" xr3:uid="{166EBAD4-6C9E-46D5-9C01-2AD1CD893E59}" name="RUSH TD" dataDxfId="233">
      <calculatedColumnFormula>VLOOKUP(TableQBRanks30403438[[#This Row],[Player]],QB!B:O,11,FALSE)</calculatedColumnFormula>
    </tableColumn>
    <tableColumn id="5" xr3:uid="{4351A01F-DE54-49F5-B0F2-D78BAFA31E0F}" name="FPS" dataDxfId="232">
      <calculatedColumnFormula>VLOOKUP(TableQBRanks30403438[[#This Row],[Player]],QB!B:O,13,FALSE)</calculatedColumnFormula>
    </tableColumn>
    <tableColumn id="6" xr3:uid="{429E5CEE-23EC-4E47-A2CD-79755CC20752}" name="AUC$" dataDxfId="231" dataCellStyle="Currency">
      <calculatedColumnFormula>IF(VLOOKUP(TableQBRanks30403438[[#This Row],[Player]],'Ranks w Proj'!$B:$N,13,FALSE)&lt;0,0,VLOOKUP(TableQBRanks30403438[[#This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59AAEF3-5552-483C-BA07-BF7A120023EF}" name="TableRBRanks31413539" displayName="TableRBRanks31413539" ref="P1:AB171" totalsRowShown="0" headerRowDxfId="230" dataDxfId="228" headerRowBorderDxfId="229">
  <sortState xmlns:xlrd2="http://schemas.microsoft.com/office/spreadsheetml/2017/richdata2" ref="P2:AB153">
    <sortCondition ref="P1:P153"/>
  </sortState>
  <tableColumns count="13">
    <tableColumn id="1" xr3:uid="{43C52031-57E2-47B5-9FFD-29E1A4CC6F32}" name="RK" dataDxfId="227">
      <calculatedColumnFormula>RANK(TableRBRanks31413539[[#This Row],[FPS]],TableRBRanks31413539[FPS],0)</calculatedColumnFormula>
    </tableColumn>
    <tableColumn id="2" xr3:uid="{722BDC81-C2A5-4783-8742-0A083DB5BD68}" name="Player" dataDxfId="226">
      <calculatedColumnFormula>VLOOKUP(TableRBRanks31413539[[#This Row],[RK]],Rankings!A:AY,38,FALSE)</calculatedColumnFormula>
    </tableColumn>
    <tableColumn id="3" xr3:uid="{83EE87F3-8546-491A-AC17-D642C84D2064}" name="TM" dataDxfId="225">
      <calculatedColumnFormula>IFERROR(INDEX(TableRBCalcPts[TM],MATCH(TableRBRanks31413539[[#This Row],[Player]],TableRBCalcPts[PLAYER],0)),"")</calculatedColumnFormula>
    </tableColumn>
    <tableColumn id="4" xr3:uid="{E8F32AA7-C656-4459-A077-B00248546BA1}" name="BYE" dataDxfId="224">
      <calculatedColumnFormula>IFERROR(INDEX(TableRBCalcPts[BYE],MATCH(TableRBRanks31413539[[#This Row],[Player]],TableRBCalcPts[PLAYER],0)),"")</calculatedColumnFormula>
    </tableColumn>
    <tableColumn id="7" xr3:uid="{45A4B8A0-72F9-49B2-9ECB-054D72F3FCD2}" name="RUSH ATT" dataDxfId="223">
      <calculatedColumnFormula>VLOOKUP(TableRBRanks31413539[[#This Row],[Player]],RB!B:O,4,FALSE)</calculatedColumnFormula>
    </tableColumn>
    <tableColumn id="10" xr3:uid="{DAEC6DEC-8325-4471-8BE4-D2E2ED3EA8BD}" name="RUSH YARDS" dataDxfId="222">
      <calculatedColumnFormula>VLOOKUP(TableRBRanks31413539[[#This Row],[Player]],RB!B:O,5,FALSE)</calculatedColumnFormula>
    </tableColumn>
    <tableColumn id="9" xr3:uid="{9B2907E9-B5C1-442F-B35D-9D740B5A8A9A}" name="RUSH TD" dataDxfId="221">
      <calculatedColumnFormula>VLOOKUP(TableRBRanks31413539[[#This Row],[Player]],RB!B:O,6,FALSE)</calculatedColumnFormula>
    </tableColumn>
    <tableColumn id="13" xr3:uid="{57CBF210-956B-4083-BC1F-1E50C26FC1C2}" name="TGTS" dataDxfId="220">
      <calculatedColumnFormula>VLOOKUP(TableRBRanks31413539[[#This Row],[Player]],RB!B:O,7,FALSE)</calculatedColumnFormula>
    </tableColumn>
    <tableColumn id="12" xr3:uid="{D43780EE-76C0-461F-90DD-84B85F436C63}" name="REC" dataDxfId="219">
      <calculatedColumnFormula>VLOOKUP(TableRBRanks31413539[[#This Row],[Player]],RB!B:O,8,FALSE)</calculatedColumnFormula>
    </tableColumn>
    <tableColumn id="11" xr3:uid="{73A773BA-BB93-41C5-9045-C78332C16CAB}" name="RECV YARDS" dataDxfId="218">
      <calculatedColumnFormula>VLOOKUP(TableRBRanks31413539[[#This Row],[Player]],RB!B:O,9,FALSE)</calculatedColumnFormula>
    </tableColumn>
    <tableColumn id="8" xr3:uid="{0D7B2878-CAF3-4AEC-8E21-A1CA29E5ADDD}" name="RECV TD" dataDxfId="217">
      <calculatedColumnFormula>VLOOKUP(TableRBRanks31413539[[#This Row],[Player]],RB!B:O,10,FALSE)</calculatedColumnFormula>
    </tableColumn>
    <tableColumn id="5" xr3:uid="{525D5E1C-CA83-4A39-BB73-027CFB44C00D}" name="FPS" dataDxfId="216">
      <calculatedColumnFormula>VLOOKUP(TableRBRanks31413539[[#This Row],[Player]],RB!B:O,14,FALSE)</calculatedColumnFormula>
    </tableColumn>
    <tableColumn id="6" xr3:uid="{41F5D350-9CFB-426B-AC16-E17FD9A33778}" name="AUC$" dataDxfId="215" dataCellStyle="Currency">
      <calculatedColumnFormula>TableRBRanks31413539[[#This Row],[FPS]]-(TableRBRanks31413539[[#This Row],[REC]]*0.5)</calculatedColumnFormula>
    </tableColumn>
  </tableColumns>
  <tableStyleInfo name="TableStyleLight8" showFirstColumn="0" showLastColumn="0" showRowStripes="1" showColumnStripes="1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4C7F92E-2D16-4811-8C55-6ABD5B50A601}" name="TableWRRanks32423644" displayName="TableWRRanks32423644" ref="AD1:AO221" totalsRowShown="0" headerRowDxfId="214" dataDxfId="212" headerRowBorderDxfId="213">
  <sortState xmlns:xlrd2="http://schemas.microsoft.com/office/spreadsheetml/2017/richdata2" ref="AD2:AO221">
    <sortCondition ref="AD1:AD203"/>
  </sortState>
  <tableColumns count="12">
    <tableColumn id="1" xr3:uid="{D3A9B678-7A0A-4E85-B1F7-512AA2CF6DF8}" name="RK" dataDxfId="211">
      <calculatedColumnFormula>RANK(TableWRRanks32423644[[#This Row],[FPS]],TableWRRanks32423644[FPS],0)</calculatedColumnFormula>
    </tableColumn>
    <tableColumn id="2" xr3:uid="{B3244F03-4B14-462B-98C4-30C22AD40A2F}" name="Player" dataDxfId="210">
      <calculatedColumnFormula>VLOOKUP(TableWRRanks32423644[[#This Row],[RK]],Rankings!A:AZ,43,FALSE)</calculatedColumnFormula>
    </tableColumn>
    <tableColumn id="3" xr3:uid="{B4118DDC-1192-4CCC-BD56-BDE3CA671B42}" name="TM" dataDxfId="209">
      <calculatedColumnFormula>IFERROR(INDEX(TableWRCalcPts[TM],MATCH(TableWRRanks32423644[[#This Row],[Player]],TableWRCalcPts[PLAYER],0)),"")</calculatedColumnFormula>
    </tableColumn>
    <tableColumn id="4" xr3:uid="{E96E6267-4A69-44BB-8632-966AF939DD7F}" name="BYE" dataDxfId="208">
      <calculatedColumnFormula>IFERROR(INDEX(TableWRCalcPts[BYE],MATCH(TableWRRanks32423644[[#This Row],[Player]],TableWRCalcPts[PLAYER],0)),"")</calculatedColumnFormula>
    </tableColumn>
    <tableColumn id="7" xr3:uid="{9775A6AD-A668-43D4-AE72-7D6130DFE830}" name="RUSH YARDS" dataDxfId="207">
      <calculatedColumnFormula>VLOOKUP(TableWRRanks32423644[[#This Row],[Player]],WR!B:O,4,FALSE)</calculatedColumnFormula>
    </tableColumn>
    <tableColumn id="10" xr3:uid="{0BBE48B1-5BE9-4371-93E6-F0939D183D44}" name="RUSH TD" dataDxfId="206">
      <calculatedColumnFormula>VLOOKUP(TableWRRanks32423644[[#This Row],[Player]],WR!B:O,5,FALSE)</calculatedColumnFormula>
    </tableColumn>
    <tableColumn id="13" xr3:uid="{1F766727-F8D0-4AAC-8BA6-39DBBDC6BB00}" name="TGTS" dataDxfId="205">
      <calculatedColumnFormula>VLOOKUP(TableWRRanks32423644[[#This Row],[Player]],WR!B:O,6,FALSE)</calculatedColumnFormula>
    </tableColumn>
    <tableColumn id="12" xr3:uid="{A5622F7D-26C8-47DB-B4C6-108FB816013F}" name="REC" dataDxfId="204">
      <calculatedColumnFormula>VLOOKUP(TableWRRanks32423644[[#This Row],[Player]],WR!B:O,7,FALSE)</calculatedColumnFormula>
    </tableColumn>
    <tableColumn id="11" xr3:uid="{C952BB1B-B4FF-4889-9100-00C94CACE228}" name="RECV YARDS" dataDxfId="203">
      <calculatedColumnFormula>VLOOKUP(TableWRRanks32423644[[#This Row],[Player]],WR!B:O,8,FALSE)</calculatedColumnFormula>
    </tableColumn>
    <tableColumn id="9" xr3:uid="{5501A1F2-5903-4255-AAAE-9750E98C5618}" name="RECV TD" dataDxfId="202">
      <calculatedColumnFormula>VLOOKUP(TableWRRanks32423644[[#This Row],[Player]],WR!B:O,9,FALSE)</calculatedColumnFormula>
    </tableColumn>
    <tableColumn id="5" xr3:uid="{57A91637-AC4D-4AD5-A72D-26C110270A73}" name="FPS" dataDxfId="201">
      <calculatedColumnFormula>VLOOKUP(TableWRRanks32423644[[#This Row],[Player]],WR!B:O,13,FALSE)</calculatedColumnFormula>
    </tableColumn>
    <tableColumn id="6" xr3:uid="{8CF4CEF4-1781-4472-8179-6485C6F40B9E}" name="AUC$" dataDxfId="200" dataCellStyle="Currency">
      <calculatedColumnFormula>TableWRRanks32423644[[#This Row],[FPS]]-(TableWRRanks32423644[[#This Row],[REC]]*0.5)</calculatedColumnFormula>
    </tableColumn>
  </tableColumns>
  <tableStyleInfo name="TableStyleLight8" showFirstColumn="0" showLastColumn="0" showRowStripes="1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E6C1C62-374F-4E15-8F39-EF8E5C02A9BF}" name="TableTERanks33433745" displayName="TableTERanks33433745" ref="AQ1:AZ101" totalsRowShown="0" headerRowDxfId="199" dataDxfId="197" headerRowBorderDxfId="198">
  <sortState xmlns:xlrd2="http://schemas.microsoft.com/office/spreadsheetml/2017/richdata2" ref="AQ2:AZ97">
    <sortCondition ref="AQ1:AQ97"/>
  </sortState>
  <tableColumns count="10">
    <tableColumn id="1" xr3:uid="{6ADD9D99-14AD-466A-8890-7C1E17890BD0}" name="RK" dataDxfId="196">
      <calculatedColumnFormula>RANK(TableTERanks33433745[[#This Row],[FPS]],TableTERanks33433745[FPS],0)</calculatedColumnFormula>
    </tableColumn>
    <tableColumn id="2" xr3:uid="{4F6B4A6E-07CD-4629-9608-3DECAD922199}" name="Player" dataDxfId="195">
      <calculatedColumnFormula>VLOOKUP(TableTERanks33433745[[#This Row],[RK]],Rankings!A:AZ,48,FALSE)</calculatedColumnFormula>
    </tableColumn>
    <tableColumn id="3" xr3:uid="{4634FD37-B47D-496E-A997-4C4D50FA4662}" name="TM" dataDxfId="194">
      <calculatedColumnFormula>IFERROR(INDEX(TableTECalcPts[TM],MATCH(TableTERanks33433745[[#This Row],[Player]],TableTECalcPts[PLAYER],0)),"")</calculatedColumnFormula>
    </tableColumn>
    <tableColumn id="4" xr3:uid="{4056F8D1-ECCD-4B8B-8397-37F1DA313E8E}" name="BYE" dataDxfId="193">
      <calculatedColumnFormula>IFERROR(INDEX(TableTECalcPts[BYE],MATCH(TableTERanks33433745[[#This Row],[Player]],TableTECalcPts[PLAYER],0)),"")</calculatedColumnFormula>
    </tableColumn>
    <tableColumn id="7" xr3:uid="{FE50FC58-8918-442C-896C-C1675045EF92}" name="TGTS" dataDxfId="192">
      <calculatedColumnFormula>VLOOKUP(TableTERanks33433745[[#This Row],[Player]],TE!B:O,4,FALSE)</calculatedColumnFormula>
    </tableColumn>
    <tableColumn id="10" xr3:uid="{C33DCB47-A739-4035-A452-939D0F6C383F}" name="REC" dataDxfId="191">
      <calculatedColumnFormula>VLOOKUP(TableTERanks33433745[[#This Row],[Player]],TE!B:O,5,FALSE)</calculatedColumnFormula>
    </tableColumn>
    <tableColumn id="9" xr3:uid="{695FC00A-5DFB-4FA2-A747-E1E8FFD44F4D}" name="RECV YARDS" dataDxfId="190">
      <calculatedColumnFormula>VLOOKUP(TableTERanks33433745[[#This Row],[Player]],TE!B:O,6,FALSE)</calculatedColumnFormula>
    </tableColumn>
    <tableColumn id="8" xr3:uid="{EFD0205A-FD0E-46FA-B903-1ACAA1518FE5}" name="RECV TD" dataDxfId="189">
      <calculatedColumnFormula>VLOOKUP(TableTERanks33433745[[#This Row],[Player]],TE!B:O,7,FALSE)</calculatedColumnFormula>
    </tableColumn>
    <tableColumn id="5" xr3:uid="{F4958DEA-D4E8-4444-A436-5D4027E7D1DB}" name="FPS" dataDxfId="188">
      <calculatedColumnFormula>VLOOKUP(TableTERanks33433745[[#This Row],[Player]],TE!B:O,11,FALSE)</calculatedColumnFormula>
    </tableColumn>
    <tableColumn id="6" xr3:uid="{36B73B88-5AE3-4D8E-93D0-16E6D677BA19}" name="AUC$" dataDxfId="187" dataCellStyle="Currency">
      <calculatedColumnFormula>TableTERanks33433745[[#This Row],[FPS]]-(TableTERanks33433745[[#This Row],[REC]]*0.5)</calculatedColumnFormula>
    </tableColumn>
  </tableColumns>
  <tableStyleInfo name="TableStyleLight8" showFirstColumn="0" showLastColumn="0" showRowStripes="1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1000000}" name="TableQBCalcPts" displayName="TableQBCalcPts" ref="A2:F102" totalsRowShown="0" headerRowDxfId="186" dataDxfId="185">
  <tableColumns count="6">
    <tableColumn id="1" xr3:uid="{00000000-0010-0000-1100-000001000000}" name="RK" dataDxfId="184">
      <calculatedColumnFormula>IFERROR(RANK(TableQBCalcPts[[#This Row],[Custom]],TableQBCalcPts[Custom])+COUNTIF($F$3:F3,F3)-1,"")</calculatedColumnFormula>
    </tableColumn>
    <tableColumn id="6" xr3:uid="{00000000-0010-0000-1100-000006000000}" name="QBRef" dataDxfId="183"/>
    <tableColumn id="2" xr3:uid="{00000000-0010-0000-1100-000002000000}" name="PLAYER" dataDxfId="182">
      <calculatedColumnFormula>IFERROR(INDEX(TableQBMaster[Player],MATCH(TableQBCalcPts[[#This Row],[QBRef]],TableQBMaster[QBRef],0)),"")</calculatedColumnFormula>
    </tableColumn>
    <tableColumn id="3" xr3:uid="{00000000-0010-0000-1100-000003000000}" name="TM" dataDxfId="181">
      <calculatedColumnFormula>IFERROR(INDEX(TableQBMaster[TM],MATCH(TableQBCalcPts[[#This Row],[QBRef]],TableQBMaster[QBRef],0)),"")</calculatedColumnFormula>
    </tableColumn>
    <tableColumn id="4" xr3:uid="{00000000-0010-0000-1100-000004000000}" name="BYE" dataDxfId="180">
      <calculatedColumnFormula>IFERROR(INDEX(TableQBMaster[BYE],MATCH(TableQBCalcPts[[#This Row],[QBRef]],TableQBMaster[QBRef],0)),"")</calculatedColumnFormula>
    </tableColumn>
    <tableColumn id="5" xr3:uid="{00000000-0010-0000-1100-000005000000}" name="Custom" dataDxfId="179">
      <calculatedColumnFormula>IFERROR(INDEX(TableQBMaster[Custom],MATCH(TableQBCalcPts[[#This Row],[QBRef]],TableQBMaster[QBRef],0)),"")</calculatedColumnFormula>
    </tableColumn>
  </tableColumns>
  <tableStyleInfo name="TableStyleLight8" showFirstColumn="0" showLastColumn="0" showRowStripes="1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TableRBCalcPts" displayName="TableRBCalcPts" ref="H2:M177" totalsRowShown="0" headerRowDxfId="178" dataDxfId="177">
  <tableColumns count="6">
    <tableColumn id="1" xr3:uid="{00000000-0010-0000-1200-000001000000}" name="RK" dataDxfId="176">
      <calculatedColumnFormula>IFERROR(RANK(TableRBCalcPts[[#This Row],[Custom]],TableRBCalcPts[Custom])+COUNTIF($M$3:M3,M3)-1,"")</calculatedColumnFormula>
    </tableColumn>
    <tableColumn id="6" xr3:uid="{00000000-0010-0000-1200-000006000000}" name="RBRef" dataDxfId="175"/>
    <tableColumn id="2" xr3:uid="{00000000-0010-0000-1200-000002000000}" name="PLAYER" dataDxfId="174">
      <calculatedColumnFormula>IFERROR(INDEX(TableRBMaster[Player],MATCH(TableRBCalcPts[[#This Row],[RBRef]],TableRBMaster[RBRef],0)),"")</calculatedColumnFormula>
    </tableColumn>
    <tableColumn id="3" xr3:uid="{00000000-0010-0000-1200-000003000000}" name="TM" dataDxfId="173">
      <calculatedColumnFormula>IFERROR(INDEX(TableRBMaster[TM],MATCH(TableRBCalcPts[[#This Row],[RBRef]],TableRBMaster[RBRef],0)),"")</calculatedColumnFormula>
    </tableColumn>
    <tableColumn id="4" xr3:uid="{00000000-0010-0000-1200-000004000000}" name="BYE" dataDxfId="172">
      <calculatedColumnFormula>IFERROR(INDEX(TableRBMaster[BYE],MATCH(TableRBCalcPts[[#This Row],[RBRef]],TableRBMaster[RBRef],0)),"")</calculatedColumnFormula>
    </tableColumn>
    <tableColumn id="5" xr3:uid="{00000000-0010-0000-1200-000005000000}" name="Custom" dataDxfId="171">
      <calculatedColumnFormula>IFERROR(INDEX(TableRBMaster[Custom],MATCH(TableRBCalcPts[[#This Row],[RBRef]],TableRBMaster[RBRef],0)),"")</calculatedColumnFormula>
    </tableColumn>
  </tableColumns>
  <tableStyleInfo name="TableStyleLight8" showFirstColumn="0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3000000}" name="TableWRCalcPts" displayName="TableWRCalcPts" ref="O2:T227" totalsRowShown="0" headerRowDxfId="170" dataDxfId="169">
  <tableColumns count="6">
    <tableColumn id="1" xr3:uid="{00000000-0010-0000-1300-000001000000}" name="RK" dataDxfId="168">
      <calculatedColumnFormula>IFERROR(RANK(TableWRCalcPts[[#This Row],[Custom]],TableWRCalcPts[Custom])+COUNTIF($T$3:T3,T3)-1,"")</calculatedColumnFormula>
    </tableColumn>
    <tableColumn id="6" xr3:uid="{00000000-0010-0000-1300-000006000000}" name="WRRef" dataDxfId="167"/>
    <tableColumn id="2" xr3:uid="{00000000-0010-0000-1300-000002000000}" name="PLAYER" dataDxfId="166">
      <calculatedColumnFormula>IFERROR(INDEX(TableWRMaster[Player],MATCH(TableWRCalcPts[[#This Row],[WRRef]],TableWRMaster[WRRef],0)),"")</calculatedColumnFormula>
    </tableColumn>
    <tableColumn id="3" xr3:uid="{00000000-0010-0000-1300-000003000000}" name="TM" dataDxfId="165">
      <calculatedColumnFormula>IFERROR(INDEX(TableWRMaster[TM],MATCH(TableWRCalcPts[[#This Row],[WRRef]],TableWRMaster[WRRef],0)),"")</calculatedColumnFormula>
    </tableColumn>
    <tableColumn id="4" xr3:uid="{00000000-0010-0000-1300-000004000000}" name="BYE" dataDxfId="164">
      <calculatedColumnFormula>IFERROR(INDEX(TableWRMaster[BYE],MATCH(TableWRCalcPts[[#This Row],[WRRef]],TableWRMaster[WRRef],0)),"")</calculatedColumnFormula>
    </tableColumn>
    <tableColumn id="5" xr3:uid="{00000000-0010-0000-1300-000005000000}" name="Custom" dataDxfId="163">
      <calculatedColumnFormula>IFERROR(INDEX(TableWRMaster[Custom],MATCH(TableWRCalcPts[[#This Row],[WRRef]],TableWRMaster[WRRef],0)),"")</calculatedColumnFormula>
    </tableColumn>
  </tableColumns>
  <tableStyleInfo name="TableStyleLight8" showFirstColumn="0" showLastColumn="0" showRowStripes="1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TECalcPts" displayName="TableTECalcPts" ref="V2:AA102" totalsRowShown="0" headerRowDxfId="162" dataDxfId="161">
  <tableColumns count="6">
    <tableColumn id="1" xr3:uid="{00000000-0010-0000-1400-000001000000}" name="RK" dataDxfId="160">
      <calculatedColumnFormula>IFERROR(RANK(TableTECalcPts[[#This Row],[Custom]],TableTECalcPts[Custom])+COUNTIF($AA$3:AA3,AA3)-1,"")</calculatedColumnFormula>
    </tableColumn>
    <tableColumn id="6" xr3:uid="{00000000-0010-0000-1400-000006000000}" name="TERef" dataDxfId="159"/>
    <tableColumn id="2" xr3:uid="{00000000-0010-0000-1400-000002000000}" name="PLAYER" dataDxfId="158">
      <calculatedColumnFormula>IFERROR(INDEX(TableTEMaster[Player],MATCH(TableTECalcPts[[#This Row],[TERef]],TableTEMaster[TERef],0)),"")</calculatedColumnFormula>
    </tableColumn>
    <tableColumn id="3" xr3:uid="{00000000-0010-0000-1400-000003000000}" name="TM" dataDxfId="157">
      <calculatedColumnFormula>IFERROR(INDEX(TableTEMaster[TM],MATCH(TableTECalcPts[[#This Row],[TERef]],TableTEMaster[TERef],0)),"")</calculatedColumnFormula>
    </tableColumn>
    <tableColumn id="4" xr3:uid="{00000000-0010-0000-1400-000004000000}" name="BYE" dataDxfId="156">
      <calculatedColumnFormula>IFERROR(INDEX(TableTEMaster[BYE],MATCH(TableTECalcPts[[#This Row],[TERef]],TableTEMaster[TERef],0)),"")</calculatedColumnFormula>
    </tableColumn>
    <tableColumn id="5" xr3:uid="{00000000-0010-0000-1400-000005000000}" name="Custom" dataDxfId="155">
      <calculatedColumnFormula>IFERROR(INDEX(TableTEMaster[Custom],MATCH(TableTECalcPts[[#This Row],[TERef]],TableTEMaster[TERef],0)),"")</calculatedColumnFormula>
    </tableColumn>
  </tableColumns>
  <tableStyleInfo name="TableStyleLight8" showFirstColumn="0" showLastColumn="0" showRowStripes="1" showColumnStripes="1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5000000}" name="TableDSTCalcPts" displayName="TableDSTCalcPts" ref="AC2:AG34" totalsRowShown="0" headerRowDxfId="154" dataDxfId="153">
  <tableColumns count="5">
    <tableColumn id="1" xr3:uid="{00000000-0010-0000-1500-000001000000}" name="RK" dataDxfId="152">
      <calculatedColumnFormula>IFERROR(RANK(TableDSTCalcPts[[#This Row],[Custom]],TableDSTCalcPts[Custom],0),"")</calculatedColumnFormula>
    </tableColumn>
    <tableColumn id="5" xr3:uid="{00000000-0010-0000-1500-000005000000}" name="DSTRef" dataDxfId="151"/>
    <tableColumn id="2" xr3:uid="{00000000-0010-0000-1500-000002000000}" name="PLAYER" dataDxfId="150">
      <calculatedColumnFormula>IFERROR(INDEX(TableDSTMaster[Player],MATCH(TableDSTCalcPts[[#This Row],[DSTRef]],TableDSTMaster[DSTRef],0)),"")</calculatedColumnFormula>
    </tableColumn>
    <tableColumn id="3" xr3:uid="{00000000-0010-0000-1500-000003000000}" name="BYE" dataDxfId="149">
      <calculatedColumnFormula>IFERROR(INDEX(TableDSTMaster[BYE],MATCH(TableDSTCalcPts[[#This Row],[DSTRef]],TableDSTMaster[DSTRef],0)),"")</calculatedColumnFormula>
    </tableColumn>
    <tableColumn id="4" xr3:uid="{00000000-0010-0000-1500-000004000000}" name="Custom" dataDxfId="148">
      <calculatedColumnFormula>IFERROR(INDEX(TableDSTMaster[Custom],MATCH(TableDSTCalcPts[[#This Row],[DSTRef]],TableDSTMaster[DSTRef],0)),"")</calculatedColumnFormula>
    </tableColumn>
  </tableColumns>
  <tableStyleInfo name="TableStyleLight8" showFirstColumn="0" showLastColumn="0" showRowStripes="1" showColumnStripes="1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6000000}" name="TableWRTECalcPts" displayName="TableWRTECalcPts" ref="AI2:AP327" totalsRowShown="0" headerRowDxfId="147" dataDxfId="146">
  <tableColumns count="8">
    <tableColumn id="8" xr3:uid="{00000000-0010-0000-1600-000008000000}" name="POS" dataDxfId="145"/>
    <tableColumn id="1" xr3:uid="{00000000-0010-0000-1600-000001000000}" name="RK" dataDxfId="144">
      <calculatedColumnFormula>IFERROR(RANK(TableWRTECalcPts[[#This Row],[Custom]],TableWRTECalcPts[Custom])+COUNTIF($AP$3:AP3,AP3)-1,"")</calculatedColumnFormula>
    </tableColumn>
    <tableColumn id="6" xr3:uid="{00000000-0010-0000-1600-000006000000}" name="POSRef" dataDxfId="143"/>
    <tableColumn id="2" xr3:uid="{00000000-0010-0000-1600-000002000000}" name="PLAYER" dataDxfId="142"/>
    <tableColumn id="9" xr3:uid="{00000000-0010-0000-1600-000009000000}" name="POS RK" dataDxfId="141">
      <calculatedColumnFormula>_xlfn.CONCAT(TableWRTECalcPts[[#This Row],[POS]],INDEX(TableTERanks[RK],MATCH(TableWRTECalcPts[[#This Row],[PLAYER]],TableTERanks[Player],0)))</calculatedColumnFormula>
    </tableColumn>
    <tableColumn id="3" xr3:uid="{00000000-0010-0000-1600-000003000000}" name="TM" dataDxfId="140"/>
    <tableColumn id="4" xr3:uid="{00000000-0010-0000-1600-000004000000}" name="BYE" dataDxfId="139"/>
    <tableColumn id="5" xr3:uid="{00000000-0010-0000-1600-000005000000}" name="Custom" dataDxfId="138"/>
  </tableColumns>
  <tableStyleInfo name="TableStyleLight9" showFirstColumn="0" showLastColumn="0" showRowStripes="1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7000000}" name="TableQBMaster" displayName="TableQBMaster" ref="A1:O76" totalsRowShown="0" headerRowDxfId="137" dataDxfId="136">
  <autoFilter ref="A1:O76" xr:uid="{00000000-0009-0000-0100-000004000000}"/>
  <sortState xmlns:xlrd2="http://schemas.microsoft.com/office/spreadsheetml/2017/richdata2" ref="B2:M75">
    <sortCondition ref="C1:C75"/>
  </sortState>
  <tableColumns count="15">
    <tableColumn id="14" xr3:uid="{00000000-0010-0000-1700-00000E000000}" name="QBRef" dataDxfId="135"/>
    <tableColumn id="1" xr3:uid="{00000000-0010-0000-1700-000001000000}" name="Player" dataDxfId="134"/>
    <tableColumn id="2" xr3:uid="{00000000-0010-0000-1700-000002000000}" name="TM" dataDxfId="133"/>
    <tableColumn id="3" xr3:uid="{00000000-0010-0000-1700-000003000000}" name="BYE" dataDxfId="132"/>
    <tableColumn id="4" xr3:uid="{00000000-0010-0000-1700-000004000000}" name="PATT" dataDxfId="131"/>
    <tableColumn id="5" xr3:uid="{00000000-0010-0000-1700-000005000000}" name="CMP" dataDxfId="130"/>
    <tableColumn id="6" xr3:uid="{00000000-0010-0000-1700-000006000000}" name="PAYD" dataDxfId="129"/>
    <tableColumn id="7" xr3:uid="{00000000-0010-0000-1700-000007000000}" name="PATD" dataDxfId="128"/>
    <tableColumn id="8" xr3:uid="{00000000-0010-0000-1700-000008000000}" name="INT" dataDxfId="127"/>
    <tableColumn id="9" xr3:uid="{00000000-0010-0000-1700-000009000000}" name="RUAT" dataDxfId="126"/>
    <tableColumn id="10" xr3:uid="{00000000-0010-0000-1700-00000A000000}" name="RUYD" dataDxfId="125"/>
    <tableColumn id="11" xr3:uid="{00000000-0010-0000-1700-00000B000000}" name="RUTD" dataDxfId="124"/>
    <tableColumn id="12" xr3:uid="{00000000-0010-0000-1700-00000C000000}" name="FPS" dataDxfId="123">
      <calculatedColumnFormula>(G2/25)+(H2*4)+(I2*-1.5)+(K2/10)+(L2*6)</calculatedColumnFormula>
    </tableColumn>
    <tableColumn id="13" xr3:uid="{00000000-0010-0000-1700-00000D000000}" name="Custom" dataDxfId="122">
      <calculatedColumnFormula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calculatedColumnFormula>
    </tableColumn>
    <tableColumn id="15" xr3:uid="{00000000-0010-0000-1700-00000F000000}" name="AUC$" dataDxfId="121"/>
  </tableColumns>
  <tableStyleInfo name="TableStyleLight8" showFirstColumn="0" showLastColumn="0" showRowStripes="1" showColumnStripes="1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8000000}" name="TableRBMaster" displayName="TableRBMaster" ref="A1:P161" totalsRowShown="0" headerRowDxfId="120" dataDxfId="119">
  <autoFilter ref="A1:P161" xr:uid="{00000000-0009-0000-0100-000005000000}"/>
  <sortState xmlns:xlrd2="http://schemas.microsoft.com/office/spreadsheetml/2017/richdata2" ref="B2:N152">
    <sortCondition ref="C1:C152"/>
  </sortState>
  <tableColumns count="16">
    <tableColumn id="16" xr3:uid="{00000000-0010-0000-1800-000010000000}" name="RBRef" dataDxfId="118"/>
    <tableColumn id="1" xr3:uid="{00000000-0010-0000-1800-000001000000}" name="Player" dataDxfId="117"/>
    <tableColumn id="2" xr3:uid="{00000000-0010-0000-1800-000002000000}" name="TM" dataDxfId="116"/>
    <tableColumn id="3" xr3:uid="{00000000-0010-0000-1800-000003000000}" name="BYE" dataDxfId="115"/>
    <tableColumn id="4" xr3:uid="{00000000-0010-0000-1800-000004000000}" name="RUAT" dataDxfId="114"/>
    <tableColumn id="5" xr3:uid="{00000000-0010-0000-1800-000005000000}" name="RUYD" dataDxfId="113"/>
    <tableColumn id="6" xr3:uid="{00000000-0010-0000-1800-000006000000}" name="RUTD" dataDxfId="112"/>
    <tableColumn id="7" xr3:uid="{00000000-0010-0000-1800-000007000000}" name="TGT" dataDxfId="111"/>
    <tableColumn id="8" xr3:uid="{00000000-0010-0000-1800-000008000000}" name="REC" dataDxfId="110"/>
    <tableColumn id="9" xr3:uid="{00000000-0010-0000-1800-000009000000}" name="RCYD" dataDxfId="109"/>
    <tableColumn id="10" xr3:uid="{00000000-0010-0000-1800-00000A000000}" name="RCTD" dataDxfId="108"/>
    <tableColumn id="11" xr3:uid="{00000000-0010-0000-1800-00000B000000}" name="FPS" dataDxfId="107">
      <calculatedColumnFormula>(F2/10)+(G2*6)+(J2/10)+(K2*6)</calculatedColumnFormula>
    </tableColumn>
    <tableColumn id="12" xr3:uid="{00000000-0010-0000-1800-00000C000000}" name="HALF" dataDxfId="106">
      <calculatedColumnFormula>L2+(I2*0.5)</calculatedColumnFormula>
    </tableColumn>
    <tableColumn id="13" xr3:uid="{00000000-0010-0000-1800-00000D000000}" name="PPR" dataDxfId="105">
      <calculatedColumnFormula>L2+I2</calculatedColumnFormula>
    </tableColumn>
    <tableColumn id="14" xr3:uid="{00000000-0010-0000-1800-00000E000000}" name="Custom" dataDxfId="104">
      <calculatedColumnFormula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calculatedColumnFormula>
    </tableColumn>
    <tableColumn id="15" xr3:uid="{00000000-0010-0000-1800-00000F000000}" name="AUC$" dataDxfId="103"/>
  </tableColumns>
  <tableStyleInfo name="TableStyleLight8" showFirstColumn="0" showLastColumn="0" showRowStripes="1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9000000}" name="TableWRMaster" displayName="TableWRMaster" ref="A1:O203" totalsRowShown="0" headerRowDxfId="102" dataDxfId="101">
  <autoFilter ref="A1:O203" xr:uid="{00000000-0009-0000-0100-000006000000}"/>
  <sortState xmlns:xlrd2="http://schemas.microsoft.com/office/spreadsheetml/2017/richdata2" ref="B2:M203">
    <sortCondition ref="C1:C203"/>
  </sortState>
  <tableColumns count="15">
    <tableColumn id="15" xr3:uid="{00000000-0010-0000-1900-00000F000000}" name="WRRef" dataDxfId="100"/>
    <tableColumn id="1" xr3:uid="{00000000-0010-0000-1900-000001000000}" name="Player" dataDxfId="99"/>
    <tableColumn id="2" xr3:uid="{00000000-0010-0000-1900-000002000000}" name="TM" dataDxfId="98"/>
    <tableColumn id="3" xr3:uid="{00000000-0010-0000-1900-000003000000}" name="BYE" dataDxfId="97"/>
    <tableColumn id="4" xr3:uid="{00000000-0010-0000-1900-000004000000}" name="RUYD" dataDxfId="96"/>
    <tableColumn id="5" xr3:uid="{00000000-0010-0000-1900-000005000000}" name="RUTD" dataDxfId="95"/>
    <tableColumn id="6" xr3:uid="{00000000-0010-0000-1900-000006000000}" name="TGT" dataDxfId="94"/>
    <tableColumn id="7" xr3:uid="{00000000-0010-0000-1900-000007000000}" name="REC" dataDxfId="93"/>
    <tableColumn id="8" xr3:uid="{00000000-0010-0000-1900-000008000000}" name="RCYD" dataDxfId="92"/>
    <tableColumn id="9" xr3:uid="{00000000-0010-0000-1900-000009000000}" name="RCTD" dataDxfId="91"/>
    <tableColumn id="10" xr3:uid="{00000000-0010-0000-1900-00000A000000}" name="FPS" dataDxfId="90">
      <calculatedColumnFormula>(E2/10)+(F2*6)+(I2/10)+(J2*6)</calculatedColumnFormula>
    </tableColumn>
    <tableColumn id="11" xr3:uid="{00000000-0010-0000-1900-00000B000000}" name="HALF" dataDxfId="89">
      <calculatedColumnFormula>K2+(H2*0.5)</calculatedColumnFormula>
    </tableColumn>
    <tableColumn id="12" xr3:uid="{00000000-0010-0000-1900-00000C000000}" name="PPR" dataDxfId="88">
      <calculatedColumnFormula>K2+H2</calculatedColumnFormula>
    </tableColumn>
    <tableColumn id="13" xr3:uid="{00000000-0010-0000-1900-00000D000000}" name="Custom" dataDxfId="87">
      <calculatedColumnFormula>(TableWRMaster[[#This Row],[RUYD]]*RUSH_YARDS)+(TableWRMaster[[#This Row],[RUTD]]*RUSH_TDS)+(TableWRMaster[[#This Row],[TGT]]*TARGETS)+(TableWRMaster[[#This Row],[REC]]*RECEPTIONS_WR)+(TableWRMaster[[#This Row],[RCYD]]*RECV_YARDS)+(TableWRMaster[[#This Row],[RCTD]]*RECV_TDS)</calculatedColumnFormula>
    </tableColumn>
    <tableColumn id="14" xr3:uid="{00000000-0010-0000-1900-00000E000000}" name="AUC$" dataDxfId="86"/>
  </tableColumns>
  <tableStyleInfo name="TableStyleLight8" showFirstColumn="0" showLastColumn="0" showRowStripes="1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A000000}" name="TableTEMaster" displayName="TableTEMaster" ref="A1:M97" totalsRowShown="0" headerRowDxfId="85" dataDxfId="84">
  <autoFilter ref="A1:M97" xr:uid="{00000000-0009-0000-0100-000007000000}"/>
  <tableColumns count="13">
    <tableColumn id="13" xr3:uid="{00000000-0010-0000-1A00-00000D000000}" name="TERef" dataDxfId="83"/>
    <tableColumn id="1" xr3:uid="{00000000-0010-0000-1A00-000001000000}" name="Player" dataDxfId="82"/>
    <tableColumn id="2" xr3:uid="{00000000-0010-0000-1A00-000002000000}" name="TM" dataDxfId="81"/>
    <tableColumn id="3" xr3:uid="{00000000-0010-0000-1A00-000003000000}" name="BYE" dataDxfId="80"/>
    <tableColumn id="4" xr3:uid="{00000000-0010-0000-1A00-000004000000}" name="TGT" dataDxfId="79"/>
    <tableColumn id="5" xr3:uid="{00000000-0010-0000-1A00-000005000000}" name="REC" dataDxfId="78"/>
    <tableColumn id="6" xr3:uid="{00000000-0010-0000-1A00-000006000000}" name="RCYD" dataDxfId="77"/>
    <tableColumn id="7" xr3:uid="{00000000-0010-0000-1A00-000007000000}" name="RCTD" dataDxfId="76"/>
    <tableColumn id="8" xr3:uid="{00000000-0010-0000-1A00-000008000000}" name="FPS" dataDxfId="75">
      <calculatedColumnFormula>(G2/10)+(H2*6)</calculatedColumnFormula>
    </tableColumn>
    <tableColumn id="9" xr3:uid="{00000000-0010-0000-1A00-000009000000}" name="HALF" dataDxfId="74">
      <calculatedColumnFormula>I2+(F2*0.5)</calculatedColumnFormula>
    </tableColumn>
    <tableColumn id="10" xr3:uid="{00000000-0010-0000-1A00-00000A000000}" name="PPR" dataDxfId="73">
      <calculatedColumnFormula>I2+F2</calculatedColumnFormula>
    </tableColumn>
    <tableColumn id="11" xr3:uid="{00000000-0010-0000-1A00-00000B000000}" name="Custom" dataDxfId="72">
      <calculatedColumnFormula>(TableTEMaster[[#This Row],[TGT]]*TARGETS)+(TableTEMaster[[#This Row],[REC]]*RECEPTIONS_TE)+(TableTEMaster[[#This Row],[RCYD]]*RECV_YARDS)+(TableTEMaster[[#This Row],[RCTD]]*RECV_TDS)</calculatedColumnFormula>
    </tableColumn>
    <tableColumn id="12" xr3:uid="{00000000-0010-0000-1A00-00000C000000}" name="AUC$" dataDxfId="71"/>
  </tableColumns>
  <tableStyleInfo name="TableStyleLight8" showFirstColumn="0" showLastColumn="0" showRowStripes="1" showColumnStripes="1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B000000}" name="TableDSTMaster" displayName="TableDSTMaster" ref="A1:E33" totalsRowShown="0" headerRowDxfId="70" dataDxfId="69">
  <autoFilter ref="A1:E33" xr:uid="{00000000-0009-0000-0100-00000C000000}"/>
  <tableColumns count="5">
    <tableColumn id="1" xr3:uid="{00000000-0010-0000-1B00-000001000000}" name="DSTRef" dataDxfId="68"/>
    <tableColumn id="2" xr3:uid="{00000000-0010-0000-1B00-000002000000}" name="Player" dataDxfId="67">
      <calculatedColumnFormula>DST!B2</calculatedColumnFormula>
    </tableColumn>
    <tableColumn id="3" xr3:uid="{00000000-0010-0000-1B00-000003000000}" name="BYE" dataDxfId="66">
      <calculatedColumnFormula>DST!D2</calculatedColumnFormula>
    </tableColumn>
    <tableColumn id="4" xr3:uid="{00000000-0010-0000-1B00-000004000000}" name="Custom" dataDxfId="65">
      <calculatedColumnFormula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calculatedColumnFormula>
    </tableColumn>
    <tableColumn id="5" xr3:uid="{00000000-0010-0000-1B00-000005000000}" name="AUC$" dataDxfId="64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times.com/athletic/6432965/2025/06/18/2025-fantasy-football-projections-cheat-sheet-rankings/" TargetMode="External"/><Relationship Id="rId2" Type="http://schemas.openxmlformats.org/officeDocument/2006/relationships/hyperlink" Target="https://www.microsoft.com/en-us/microsoft-365/excel" TargetMode="External"/><Relationship Id="rId1" Type="http://schemas.openxmlformats.org/officeDocument/2006/relationships/hyperlink" Target="https://theathletic.com/2705029/2021/07/14/fantasy-football-cheat-sheet-a-fully-customizable-rankings-and-projection-tool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0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41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42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2">
    <tabColor theme="7" tint="0.79998168889431442"/>
  </sheetPr>
  <dimension ref="A1:B14"/>
  <sheetViews>
    <sheetView showGridLines="0" workbookViewId="0">
      <selection activeCell="B6" sqref="B6"/>
    </sheetView>
  </sheetViews>
  <sheetFormatPr defaultColWidth="9" defaultRowHeight="14.25" x14ac:dyDescent="0.25"/>
  <cols>
    <col min="1" max="1" width="28.28515625" style="58" bestFit="1" customWidth="1"/>
    <col min="2" max="2" width="208" style="58" bestFit="1" customWidth="1"/>
    <col min="3" max="16384" width="9" style="58"/>
  </cols>
  <sheetData>
    <row r="1" spans="1:2" ht="17.25" x14ac:dyDescent="0.3">
      <c r="A1" s="191" t="s">
        <v>245</v>
      </c>
      <c r="B1" s="191"/>
    </row>
    <row r="3" spans="1:2" x14ac:dyDescent="0.25">
      <c r="A3" s="135" t="s">
        <v>246</v>
      </c>
      <c r="B3" s="58" t="s">
        <v>247</v>
      </c>
    </row>
    <row r="4" spans="1:2" x14ac:dyDescent="0.25">
      <c r="A4" s="135"/>
      <c r="B4" s="136" t="s">
        <v>248</v>
      </c>
    </row>
    <row r="5" spans="1:2" x14ac:dyDescent="0.25">
      <c r="A5" s="135" t="s">
        <v>235</v>
      </c>
      <c r="B5" s="58" t="s">
        <v>243</v>
      </c>
    </row>
    <row r="6" spans="1:2" x14ac:dyDescent="0.25">
      <c r="A6" s="135" t="s">
        <v>233</v>
      </c>
      <c r="B6" s="58" t="s">
        <v>244</v>
      </c>
    </row>
    <row r="7" spans="1:2" x14ac:dyDescent="0.25">
      <c r="A7" s="135" t="s">
        <v>234</v>
      </c>
      <c r="B7" s="58" t="s">
        <v>574</v>
      </c>
    </row>
    <row r="8" spans="1:2" x14ac:dyDescent="0.25">
      <c r="A8" s="135" t="s">
        <v>236</v>
      </c>
      <c r="B8" s="58" t="s">
        <v>237</v>
      </c>
    </row>
    <row r="9" spans="1:2" x14ac:dyDescent="0.25">
      <c r="A9" s="135" t="s">
        <v>242</v>
      </c>
      <c r="B9" s="58" t="s">
        <v>575</v>
      </c>
    </row>
    <row r="10" spans="1:2" x14ac:dyDescent="0.25">
      <c r="A10" s="135"/>
    </row>
    <row r="11" spans="1:2" x14ac:dyDescent="0.25">
      <c r="A11" s="135" t="s">
        <v>238</v>
      </c>
      <c r="B11" s="58" t="s">
        <v>576</v>
      </c>
    </row>
    <row r="12" spans="1:2" x14ac:dyDescent="0.25">
      <c r="A12" s="135" t="s">
        <v>239</v>
      </c>
      <c r="B12" s="58" t="s">
        <v>577</v>
      </c>
    </row>
    <row r="13" spans="1:2" x14ac:dyDescent="0.25">
      <c r="A13" s="135" t="s">
        <v>240</v>
      </c>
      <c r="B13" s="58" t="s">
        <v>578</v>
      </c>
    </row>
    <row r="14" spans="1:2" x14ac:dyDescent="0.25">
      <c r="A14" s="135" t="s">
        <v>241</v>
      </c>
      <c r="B14" s="58" t="s">
        <v>579</v>
      </c>
    </row>
  </sheetData>
  <mergeCells count="1">
    <mergeCell ref="A1:B1"/>
  </mergeCells>
  <hyperlinks>
    <hyperlink ref="A1" r:id="rId1" xr:uid="{00000000-0004-0000-0000-000000000000}"/>
    <hyperlink ref="B4" r:id="rId2" xr:uid="{00000000-0004-0000-0000-000001000000}"/>
    <hyperlink ref="A1:B1" r:id="rId3" display="LINK TO THE SITE WITH STEP-BY-STEP DEEPER INSTRUCTIONS AND PICTURES" xr:uid="{05403A2C-21A9-44A0-A133-FAADE465E33F}"/>
  </hyperlinks>
  <pageMargins left="0.7" right="0.7" top="0.75" bottom="0.75" header="0.3" footer="0.3"/>
  <pageSetup orientation="portrait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8">
    <tabColor rgb="FFC8E6FA"/>
  </sheetPr>
  <dimension ref="A1:E28"/>
  <sheetViews>
    <sheetView showGridLines="0" tabSelected="1" zoomScaleNormal="100" workbookViewId="0">
      <selection activeCell="E6" sqref="E6"/>
    </sheetView>
  </sheetViews>
  <sheetFormatPr defaultColWidth="9.140625" defaultRowHeight="16.5" x14ac:dyDescent="0.3"/>
  <cols>
    <col min="1" max="1" width="23" style="175" bestFit="1" customWidth="1"/>
    <col min="2" max="2" width="7.85546875" style="185" bestFit="1" customWidth="1"/>
    <col min="3" max="3" width="5.85546875" style="175" customWidth="1"/>
    <col min="4" max="4" width="22.28515625" style="175" bestFit="1" customWidth="1"/>
    <col min="5" max="5" width="7.28515625" style="185" bestFit="1" customWidth="1"/>
    <col min="6" max="16384" width="9.140625" style="175"/>
  </cols>
  <sheetData>
    <row r="1" spans="1:5" s="171" customFormat="1" x14ac:dyDescent="0.3">
      <c r="A1" s="169" t="s">
        <v>251</v>
      </c>
      <c r="B1" s="170" t="s">
        <v>250</v>
      </c>
      <c r="D1" s="172" t="s">
        <v>251</v>
      </c>
      <c r="E1" s="170" t="s">
        <v>292</v>
      </c>
    </row>
    <row r="2" spans="1:5" x14ac:dyDescent="0.3">
      <c r="A2" s="173" t="s">
        <v>152</v>
      </c>
      <c r="B2" s="174">
        <v>0</v>
      </c>
      <c r="D2" s="176" t="s">
        <v>224</v>
      </c>
      <c r="E2" s="177">
        <v>12</v>
      </c>
    </row>
    <row r="3" spans="1:5" x14ac:dyDescent="0.3">
      <c r="A3" s="173" t="s">
        <v>151</v>
      </c>
      <c r="B3" s="174">
        <v>0.1</v>
      </c>
      <c r="D3" s="176" t="s">
        <v>225</v>
      </c>
      <c r="E3" s="177">
        <v>1</v>
      </c>
    </row>
    <row r="4" spans="1:5" x14ac:dyDescent="0.3">
      <c r="A4" s="173" t="s">
        <v>153</v>
      </c>
      <c r="B4" s="174">
        <v>0.04</v>
      </c>
      <c r="D4" s="176" t="s">
        <v>226</v>
      </c>
      <c r="E4" s="177">
        <v>2</v>
      </c>
    </row>
    <row r="5" spans="1:5" x14ac:dyDescent="0.3">
      <c r="A5" s="173" t="s">
        <v>154</v>
      </c>
      <c r="B5" s="174">
        <v>6</v>
      </c>
      <c r="D5" s="176" t="s">
        <v>227</v>
      </c>
      <c r="E5" s="177">
        <v>3</v>
      </c>
    </row>
    <row r="6" spans="1:5" x14ac:dyDescent="0.3">
      <c r="A6" s="173" t="s">
        <v>155</v>
      </c>
      <c r="B6" s="174">
        <v>-1</v>
      </c>
      <c r="D6" s="176" t="s">
        <v>228</v>
      </c>
      <c r="E6" s="177">
        <v>1</v>
      </c>
    </row>
    <row r="7" spans="1:5" x14ac:dyDescent="0.3">
      <c r="A7" s="178" t="s">
        <v>156</v>
      </c>
      <c r="B7" s="179">
        <v>0</v>
      </c>
      <c r="D7" s="176" t="s">
        <v>229</v>
      </c>
      <c r="E7" s="177">
        <v>1</v>
      </c>
    </row>
    <row r="8" spans="1:5" x14ac:dyDescent="0.3">
      <c r="A8" s="178" t="s">
        <v>157</v>
      </c>
      <c r="B8" s="179">
        <v>0.1</v>
      </c>
      <c r="D8" s="176" t="s">
        <v>231</v>
      </c>
      <c r="E8" s="177">
        <v>1</v>
      </c>
    </row>
    <row r="9" spans="1:5" x14ac:dyDescent="0.3">
      <c r="A9" s="178" t="s">
        <v>158</v>
      </c>
      <c r="B9" s="179">
        <v>6</v>
      </c>
      <c r="D9" s="180" t="s">
        <v>230</v>
      </c>
      <c r="E9" s="181">
        <v>1</v>
      </c>
    </row>
    <row r="10" spans="1:5" x14ac:dyDescent="0.3">
      <c r="A10" s="182" t="s">
        <v>159</v>
      </c>
      <c r="B10" s="183">
        <v>0</v>
      </c>
      <c r="D10" s="180" t="s">
        <v>286</v>
      </c>
      <c r="E10" s="184">
        <v>200</v>
      </c>
    </row>
    <row r="11" spans="1:5" x14ac:dyDescent="0.3">
      <c r="A11" s="182" t="s">
        <v>160</v>
      </c>
      <c r="B11" s="183">
        <v>0.5</v>
      </c>
    </row>
    <row r="12" spans="1:5" x14ac:dyDescent="0.3">
      <c r="A12" s="182" t="s">
        <v>161</v>
      </c>
      <c r="B12" s="183">
        <v>0.5</v>
      </c>
    </row>
    <row r="13" spans="1:5" x14ac:dyDescent="0.3">
      <c r="A13" s="182" t="s">
        <v>162</v>
      </c>
      <c r="B13" s="183">
        <v>0.5</v>
      </c>
    </row>
    <row r="14" spans="1:5" x14ac:dyDescent="0.3">
      <c r="A14" s="182" t="s">
        <v>163</v>
      </c>
      <c r="B14" s="183">
        <v>0.1</v>
      </c>
    </row>
    <row r="15" spans="1:5" x14ac:dyDescent="0.3">
      <c r="A15" s="182" t="s">
        <v>164</v>
      </c>
      <c r="B15" s="183">
        <v>6</v>
      </c>
    </row>
    <row r="16" spans="1:5" x14ac:dyDescent="0.3">
      <c r="A16" s="186" t="s">
        <v>181</v>
      </c>
      <c r="B16" s="187">
        <v>1</v>
      </c>
    </row>
    <row r="17" spans="1:2" x14ac:dyDescent="0.3">
      <c r="A17" s="186" t="s">
        <v>182</v>
      </c>
      <c r="B17" s="187">
        <v>2</v>
      </c>
    </row>
    <row r="18" spans="1:2" x14ac:dyDescent="0.3">
      <c r="A18" s="186" t="s">
        <v>192</v>
      </c>
      <c r="B18" s="187">
        <v>1</v>
      </c>
    </row>
    <row r="19" spans="1:2" x14ac:dyDescent="0.3">
      <c r="A19" s="186" t="s">
        <v>191</v>
      </c>
      <c r="B19" s="187">
        <v>2</v>
      </c>
    </row>
    <row r="20" spans="1:2" x14ac:dyDescent="0.3">
      <c r="A20" s="186" t="s">
        <v>183</v>
      </c>
      <c r="B20" s="187">
        <v>2</v>
      </c>
    </row>
    <row r="21" spans="1:2" x14ac:dyDescent="0.3">
      <c r="A21" s="186" t="s">
        <v>184</v>
      </c>
      <c r="B21" s="187">
        <v>6</v>
      </c>
    </row>
    <row r="22" spans="1:2" x14ac:dyDescent="0.3">
      <c r="A22" s="186" t="s">
        <v>185</v>
      </c>
      <c r="B22" s="187">
        <v>5</v>
      </c>
    </row>
    <row r="23" spans="1:2" x14ac:dyDescent="0.3">
      <c r="A23" s="186" t="s">
        <v>186</v>
      </c>
      <c r="B23" s="187">
        <v>4</v>
      </c>
    </row>
    <row r="24" spans="1:2" x14ac:dyDescent="0.3">
      <c r="A24" s="186" t="s">
        <v>187</v>
      </c>
      <c r="B24" s="187">
        <v>3</v>
      </c>
    </row>
    <row r="25" spans="1:2" x14ac:dyDescent="0.3">
      <c r="A25" s="186" t="s">
        <v>188</v>
      </c>
      <c r="B25" s="187">
        <v>1</v>
      </c>
    </row>
    <row r="26" spans="1:2" x14ac:dyDescent="0.3">
      <c r="A26" s="186" t="s">
        <v>189</v>
      </c>
      <c r="B26" s="187">
        <v>0</v>
      </c>
    </row>
    <row r="27" spans="1:2" x14ac:dyDescent="0.3">
      <c r="A27" s="186" t="s">
        <v>190</v>
      </c>
      <c r="B27" s="187">
        <v>-1</v>
      </c>
    </row>
    <row r="28" spans="1:2" x14ac:dyDescent="0.3">
      <c r="A28" s="186" t="s">
        <v>193</v>
      </c>
      <c r="B28" s="187">
        <v>-3</v>
      </c>
    </row>
  </sheetData>
  <pageMargins left="0.7" right="0.7" top="0.75" bottom="0.75" header="0.3" footer="0.3"/>
  <pageSetup orientation="portrait" horizontalDpi="90" verticalDpi="9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3">
    <tabColor theme="9" tint="0.79998168889431442"/>
  </sheetPr>
  <dimension ref="A1:AG221"/>
  <sheetViews>
    <sheetView showGridLines="0" zoomScale="85" zoomScaleNormal="85" workbookViewId="0"/>
  </sheetViews>
  <sheetFormatPr defaultColWidth="9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58" bestFit="1" customWidth="1"/>
    <col min="6" max="6" width="6.5703125" style="58" bestFit="1" customWidth="1"/>
    <col min="7" max="7" width="5.855468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58" bestFit="1" customWidth="1"/>
    <col min="13" max="13" width="6.5703125" style="58" bestFit="1" customWidth="1"/>
    <col min="14" max="14" width="5.855468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58" bestFit="1" customWidth="1"/>
    <col min="20" max="20" width="6.5703125" style="58" bestFit="1" customWidth="1"/>
    <col min="21" max="21" width="5.855468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58" bestFit="1" customWidth="1"/>
    <col min="27" max="27" width="6.5703125" style="58" bestFit="1" customWidth="1"/>
    <col min="28" max="28" width="5.85546875" style="58" customWidth="1"/>
    <col min="29" max="29" width="3.7109375" style="58" bestFit="1" customWidth="1"/>
    <col min="30" max="30" width="24.140625" style="58" bestFit="1" customWidth="1"/>
    <col min="31" max="31" width="4.7109375" style="58" bestFit="1" customWidth="1"/>
    <col min="32" max="32" width="5.7109375" style="58" bestFit="1" customWidth="1"/>
    <col min="33" max="33" width="6.5703125" style="58" bestFit="1" customWidth="1"/>
    <col min="34" max="16384" width="9" style="58"/>
  </cols>
  <sheetData>
    <row r="1" spans="1:33" s="50" customFormat="1" x14ac:dyDescent="0.25">
      <c r="A1" s="50" t="s">
        <v>98</v>
      </c>
      <c r="B1" s="50" t="s">
        <v>252</v>
      </c>
      <c r="C1" s="50" t="s">
        <v>51</v>
      </c>
      <c r="D1" s="50" t="s">
        <v>87</v>
      </c>
      <c r="E1" s="50" t="s">
        <v>82</v>
      </c>
      <c r="F1" s="50" t="s">
        <v>232</v>
      </c>
      <c r="H1" s="50" t="s">
        <v>98</v>
      </c>
      <c r="I1" s="50" t="s">
        <v>252</v>
      </c>
      <c r="J1" s="50" t="s">
        <v>51</v>
      </c>
      <c r="K1" s="50" t="s">
        <v>87</v>
      </c>
      <c r="L1" s="50" t="s">
        <v>82</v>
      </c>
      <c r="M1" s="50" t="s">
        <v>232</v>
      </c>
      <c r="O1" s="50" t="s">
        <v>98</v>
      </c>
      <c r="P1" s="50" t="s">
        <v>252</v>
      </c>
      <c r="Q1" s="50" t="s">
        <v>51</v>
      </c>
      <c r="R1" s="50" t="s">
        <v>87</v>
      </c>
      <c r="S1" s="50" t="s">
        <v>82</v>
      </c>
      <c r="T1" s="50" t="s">
        <v>232</v>
      </c>
      <c r="V1" s="50" t="s">
        <v>98</v>
      </c>
      <c r="W1" s="50" t="s">
        <v>252</v>
      </c>
      <c r="X1" s="50" t="s">
        <v>51</v>
      </c>
      <c r="Y1" s="50" t="s">
        <v>87</v>
      </c>
      <c r="Z1" s="50" t="s">
        <v>82</v>
      </c>
      <c r="AA1" s="50" t="s">
        <v>232</v>
      </c>
      <c r="AC1" s="50" t="s">
        <v>98</v>
      </c>
      <c r="AD1" s="50" t="s">
        <v>252</v>
      </c>
      <c r="AE1" s="50" t="s">
        <v>87</v>
      </c>
      <c r="AF1" s="50" t="s">
        <v>82</v>
      </c>
      <c r="AG1" s="50" t="s">
        <v>232</v>
      </c>
    </row>
    <row r="2" spans="1:33" x14ac:dyDescent="0.25">
      <c r="A2" s="58">
        <v>1</v>
      </c>
      <c r="B2" s="58" t="str">
        <f>IFERROR(INDEX(TableQBCalcPts[PLAYER],MATCH(TableQBRanks[[#This Row],[RK]],TableQBCalcPts[RK],0)),"")</f>
        <v>Josh Allen</v>
      </c>
      <c r="C2" s="58" t="str">
        <f>IFERROR(INDEX(TableQBCalcPts[TM],MATCH(TableQBRanks[[#This Row],[RK]],TableQBCalcPts[RK],0)),"")</f>
        <v>BUF</v>
      </c>
      <c r="D2" s="58">
        <f>IFERROR(INDEX(TableQBCalcPts[BYE],MATCH(TableQBRanks[[#This Row],[RK]],TableQBCalcPts[RK],0)),"")</f>
        <v>7</v>
      </c>
      <c r="E2" s="95">
        <f>IFERROR(INDEX(TableQBCalcPts[Custom],MATCH(TableQBRanks[[#This Row],[RK]],TableQBCalcPts[RK],0)),"")</f>
        <v>471.56584130967269</v>
      </c>
      <c r="F2" s="140">
        <f>IF(VLOOKUP(TableQBRanks[[#This Row],[Player]],'Ranks w Proj'!$B:$N,13,FALSE)&lt;0,0,VLOOKUP(TableQBRanks[[#This Row],[Player]],'Ranks w Proj'!$B:$N,13,FALSE))</f>
        <v>40.077402131621454</v>
      </c>
      <c r="H2" s="58">
        <v>1</v>
      </c>
      <c r="I2" s="58" t="str">
        <f>IFERROR(INDEX(TableRBCalcPts[PLAYER],MATCH(TableRBRanks[[#This Row],[RK]],TableRBCalcPts[RK],0)),"")</f>
        <v>Jahmyr Gibbs</v>
      </c>
      <c r="J2" s="58" t="str">
        <f>IFERROR(INDEX(TableRBCalcPts[TM],MATCH(TableRBRanks[[#This Row],[RK]],TableRBCalcPts[RK],0)),"")</f>
        <v>DET</v>
      </c>
      <c r="K2" s="58">
        <f>IFERROR(INDEX(TableRBCalcPts[BYE],MATCH(TableRBRanks[[#This Row],[RK]],TableRBCalcPts[RK],0)),"")</f>
        <v>6</v>
      </c>
      <c r="L2" s="95">
        <f>IFERROR(INDEX(TableRBCalcPts[Custom],MATCH(TableRBRanks[[#This Row],[RK]],TableRBCalcPts[RK],0)),"")</f>
        <v>324.15018072686019</v>
      </c>
      <c r="M2" s="140">
        <f>IF(VLOOKUP(TableRBRanks[[#This Row],[Player]],'Ranks w Proj'!$Q:$AB,12,FALSE)&lt;0,0,VLOOKUP(TableRBRanks[[#This Row],[Player]],'Ranks w Proj'!$Q:$AB,12,FALSE))</f>
        <v>33.087955403678862</v>
      </c>
      <c r="O2" s="58">
        <v>1</v>
      </c>
      <c r="P2" s="58" t="str">
        <f>IFERROR(INDEX(TableWRCalcPts[PLAYER],MATCH(TableWRRanks[[#This Row],[RK]],TableWRCalcPts[RK],0)),"")</f>
        <v>Jaxon Smith-Njigba</v>
      </c>
      <c r="Q2" s="58" t="str">
        <f>IFERROR(INDEX(TableWRCalcPts[TM],MATCH(TableWRRanks[[#This Row],[RK]],TableWRCalcPts[RK],0)),"")</f>
        <v>SEA</v>
      </c>
      <c r="R2" s="58">
        <f>IFERROR(INDEX(TableWRCalcPts[BYE],MATCH(TableWRRanks[[#This Row],[RK]],TableWRCalcPts[RK],0)),"")</f>
        <v>11</v>
      </c>
      <c r="S2" s="95">
        <f>IFERROR(INDEX(TableWRCalcPts[Custom],MATCH(TableWRRanks[[#This Row],[RK]],TableWRCalcPts[RK],0)),"")</f>
        <v>300.17510590598198</v>
      </c>
      <c r="T2" s="140">
        <f>IF(VLOOKUP(TableWRRanks[[#This Row],[Player]],'Ranks w Proj'!$AE:$AO,11,FALSE)&lt;0,0,VLOOKUP(TableWRRanks[[#This Row],[Player]],'Ranks w Proj'!$AE:$AO,11,FALSE))</f>
        <v>39.433925854906846</v>
      </c>
      <c r="V2" s="58">
        <v>1</v>
      </c>
      <c r="W2" s="58" t="str">
        <f>IFERROR(INDEX(TableTECalcPts[PLAYER],MATCH(TableTERanks[[#This Row],[RK]],TableTECalcPts[RK],0)),"")</f>
        <v>Colston Loveland</v>
      </c>
      <c r="X2" s="58" t="str">
        <f>IFERROR(INDEX(TableTECalcPts[TM],MATCH(TableTERanks[[#This Row],[RK]],TableTECalcPts[RK],0)),"")</f>
        <v>CHI</v>
      </c>
      <c r="Y2" s="58">
        <f>IFERROR(INDEX(TableTECalcPts[BYE],MATCH(TableTERanks[[#This Row],[RK]],TableTECalcPts[RK],0)),"")</f>
        <v>10</v>
      </c>
      <c r="Z2" s="95">
        <f>IFERROR(INDEX(TableTECalcPts[Custom],MATCH(TableTERanks[[#This Row],[RK]],TableTECalcPts[RK],0)),"")</f>
        <v>193.51107011578497</v>
      </c>
      <c r="AA2" s="140">
        <f>IF(VLOOKUP(TableTERanks[[#This Row],[Player]],'Ranks w Proj'!$AR:$AZ,9,FALSE)&lt;0,0,VLOOKUP(TableTERanks[[#This Row],[Player]],'Ranks w Proj'!$AR:$AZ,9,FALSE))</f>
        <v>21.723467385053699</v>
      </c>
      <c r="AC2" s="58">
        <v>1</v>
      </c>
      <c r="AD2" s="58" t="str">
        <f>IFERROR(INDEX(TableDSTCalcPts[PLAYER],MATCH(TableDSTRanks[[#This Row],[RK]],TableDSTCalcPts[RK],0)),"")</f>
        <v>Houston Texans</v>
      </c>
      <c r="AE2" s="58">
        <f>IFERROR(INDEX(TableDSTCalcPts[BYE],MATCH(TableDSTRanks[[#This Row],[RK]],TableDSTCalcPts[RK],0)),"")</f>
        <v>8</v>
      </c>
      <c r="AF2" s="95">
        <f>IFERROR(INDEX(TableDSTCalcPts[Custom],MATCH(TableDSTRanks[[#This Row],[RK]],TableDSTCalcPts[RK],0)),"")</f>
        <v>147.00238095238095</v>
      </c>
      <c r="AG2" s="140">
        <v>2</v>
      </c>
    </row>
    <row r="3" spans="1:33" x14ac:dyDescent="0.25">
      <c r="A3" s="58">
        <v>2</v>
      </c>
      <c r="B3" s="58" t="str">
        <f>IFERROR(INDEX(TableQBCalcPts[PLAYER],MATCH(TableQBRanks[[#This Row],[RK]],TableQBCalcPts[RK],0)),"")</f>
        <v>Joe Burrow</v>
      </c>
      <c r="C3" s="58" t="str">
        <f>IFERROR(INDEX(TableQBCalcPts[TM],MATCH(TableQBRanks[[#This Row],[RK]],TableQBCalcPts[RK],0)),"")</f>
        <v>CIN</v>
      </c>
      <c r="D3" s="58">
        <f>IFERROR(INDEX(TableQBCalcPts[BYE],MATCH(TableQBRanks[[#This Row],[RK]],TableQBCalcPts[RK],0)),"")</f>
        <v>6</v>
      </c>
      <c r="E3" s="95">
        <f>IFERROR(INDEX(TableQBCalcPts[Custom],MATCH(TableQBRanks[[#This Row],[RK]],TableQBCalcPts[RK],0)),"")</f>
        <v>448.82704920258811</v>
      </c>
      <c r="F3" s="140">
        <f>IF(VLOOKUP(TableQBRanks[[#This Row],[Player]],'Ranks w Proj'!$B:$N,13,FALSE)&lt;0,0,VLOOKUP(TableQBRanks[[#This Row],[Player]],'Ranks w Proj'!$B:$N,13,FALSE))</f>
        <v>35.720992523403901</v>
      </c>
      <c r="H3" s="58">
        <v>2</v>
      </c>
      <c r="I3" s="58" t="str">
        <f>IFERROR(INDEX(TableRBCalcPts[PLAYER],MATCH(TableRBRanks[[#This Row],[RK]],TableRBCalcPts[RK],0)),"")</f>
        <v>Bijan Robinson</v>
      </c>
      <c r="J3" s="58" t="str">
        <f>IFERROR(INDEX(TableRBCalcPts[TM],MATCH(TableRBRanks[[#This Row],[RK]],TableRBCalcPts[RK],0)),"")</f>
        <v>ATL</v>
      </c>
      <c r="K3" s="58">
        <f>IFERROR(INDEX(TableRBCalcPts[BYE],MATCH(TableRBRanks[[#This Row],[RK]],TableRBCalcPts[RK],0)),"")</f>
        <v>11</v>
      </c>
      <c r="L3" s="95">
        <f>IFERROR(INDEX(TableRBCalcPts[Custom],MATCH(TableRBRanks[[#This Row],[RK]],TableRBCalcPts[RK],0)),"")</f>
        <v>322.90400469051792</v>
      </c>
      <c r="M3" s="140">
        <f>IF(VLOOKUP(TableRBRanks[[#This Row],[Player]],'Ranks w Proj'!$Q:$AB,12,FALSE)&lt;0,0,VLOOKUP(TableRBRanks[[#This Row],[Player]],'Ranks w Proj'!$Q:$AB,12,FALSE))</f>
        <v>32.900651967023052</v>
      </c>
      <c r="O3" s="58">
        <v>2</v>
      </c>
      <c r="P3" s="58" t="str">
        <f>IFERROR(INDEX(TableWRCalcPts[PLAYER],MATCH(TableWRRanks[[#This Row],[RK]],TableWRCalcPts[RK],0)),"")</f>
        <v>Ja'Marr Chase</v>
      </c>
      <c r="Q3" s="58" t="str">
        <f>IFERROR(INDEX(TableWRCalcPts[TM],MATCH(TableWRRanks[[#This Row],[RK]],TableWRCalcPts[RK],0)),"")</f>
        <v>CIN</v>
      </c>
      <c r="R3" s="58">
        <f>IFERROR(INDEX(TableWRCalcPts[BYE],MATCH(TableWRRanks[[#This Row],[RK]],TableWRCalcPts[RK],0)),"")</f>
        <v>6</v>
      </c>
      <c r="S3" s="95">
        <f>IFERROR(INDEX(TableWRCalcPts[Custom],MATCH(TableWRRanks[[#This Row],[RK]],TableWRCalcPts[RK],0)),"")</f>
        <v>298.87383220968559</v>
      </c>
      <c r="T3" s="140">
        <f>IF(VLOOKUP(TableWRRanks[[#This Row],[Player]],'Ranks w Proj'!$AE:$AO,11,FALSE)&lt;0,0,VLOOKUP(TableWRRanks[[#This Row],[Player]],'Ranks w Proj'!$AE:$AO,11,FALSE))</f>
        <v>39.189444910563786</v>
      </c>
      <c r="V3" s="58">
        <v>2</v>
      </c>
      <c r="W3" s="58" t="str">
        <f>IFERROR(INDEX(TableTECalcPts[PLAYER],MATCH(TableTERanks[[#This Row],[RK]],TableTECalcPts[RK],0)),"")</f>
        <v>Brock Bowers</v>
      </c>
      <c r="X3" s="58" t="str">
        <f>IFERROR(INDEX(TableTECalcPts[TM],MATCH(TableTERanks[[#This Row],[RK]],TableTECalcPts[RK],0)),"")</f>
        <v>LV</v>
      </c>
      <c r="Y3" s="58">
        <f>IFERROR(INDEX(TableTECalcPts[BYE],MATCH(TableTERanks[[#This Row],[RK]],TableTECalcPts[RK],0)),"")</f>
        <v>13</v>
      </c>
      <c r="Z3" s="95">
        <f>IFERROR(INDEX(TableTECalcPts[Custom],MATCH(TableTERanks[[#This Row],[RK]],TableTECalcPts[RK],0)),"")</f>
        <v>189.22979775372039</v>
      </c>
      <c r="AA3" s="140">
        <f>IF(VLOOKUP(TableTERanks[[#This Row],[Player]],'Ranks w Proj'!$AR:$AZ,9,FALSE)&lt;0,0,VLOOKUP(TableTERanks[[#This Row],[Player]],'Ranks w Proj'!$AR:$AZ,9,FALSE))</f>
        <v>20.919109690706669</v>
      </c>
      <c r="AC3" s="58">
        <v>2</v>
      </c>
      <c r="AD3" s="58" t="str">
        <f>IFERROR(INDEX(TableDSTCalcPts[PLAYER],MATCH(TableDSTRanks[[#This Row],[RK]],TableDSTCalcPts[RK],0)),"")</f>
        <v>Seattle Seahawks</v>
      </c>
      <c r="AE3" s="58">
        <f>IFERROR(INDEX(TableDSTCalcPts[BYE],MATCH(TableDSTRanks[[#This Row],[RK]],TableDSTCalcPts[RK],0)),"")</f>
        <v>11</v>
      </c>
      <c r="AF3" s="95">
        <f>IFERROR(INDEX(TableDSTCalcPts[Custom],MATCH(TableDSTRanks[[#This Row],[RK]],TableDSTCalcPts[RK],0)),"")</f>
        <v>142.73571428571427</v>
      </c>
      <c r="AG3" s="140">
        <v>2</v>
      </c>
    </row>
    <row r="4" spans="1:33" x14ac:dyDescent="0.25">
      <c r="A4" s="58">
        <v>3</v>
      </c>
      <c r="B4" s="58" t="str">
        <f>IFERROR(INDEX(TableQBCalcPts[PLAYER],MATCH(TableQBRanks[[#This Row],[RK]],TableQBCalcPts[RK],0)),"")</f>
        <v>Drake Maye</v>
      </c>
      <c r="C4" s="58" t="str">
        <f>IFERROR(INDEX(TableQBCalcPts[TM],MATCH(TableQBRanks[[#This Row],[RK]],TableQBCalcPts[RK],0)),"")</f>
        <v>NE</v>
      </c>
      <c r="D4" s="58">
        <f>IFERROR(INDEX(TableQBCalcPts[BYE],MATCH(TableQBRanks[[#This Row],[RK]],TableQBCalcPts[RK],0)),"")</f>
        <v>11</v>
      </c>
      <c r="E4" s="95">
        <f>IFERROR(INDEX(TableQBCalcPts[Custom],MATCH(TableQBRanks[[#This Row],[RK]],TableQBCalcPts[RK],0)),"")</f>
        <v>445.96284008366393</v>
      </c>
      <c r="F4" s="140">
        <f>IF(VLOOKUP(TableQBRanks[[#This Row],[Player]],'Ranks w Proj'!$B:$N,13,FALSE)&lt;0,0,VLOOKUP(TableQBRanks[[#This Row],[Player]],'Ranks w Proj'!$B:$N,13,FALSE))</f>
        <v>34.159683353746708</v>
      </c>
      <c r="H4" s="58">
        <v>3</v>
      </c>
      <c r="I4" s="58" t="str">
        <f>IFERROR(INDEX(TableRBCalcPts[PLAYER],MATCH(TableRBRanks[[#This Row],[RK]],TableRBCalcPts[RK],0)),"")</f>
        <v>Christian McCaffrey</v>
      </c>
      <c r="J4" s="58" t="str">
        <f>IFERROR(INDEX(TableRBCalcPts[TM],MATCH(TableRBRanks[[#This Row],[RK]],TableRBCalcPts[RK],0)),"")</f>
        <v>SF</v>
      </c>
      <c r="K4" s="58">
        <f>IFERROR(INDEX(TableRBCalcPts[BYE],MATCH(TableRBRanks[[#This Row],[RK]],TableRBCalcPts[RK],0)),"")</f>
        <v>8</v>
      </c>
      <c r="L4" s="95">
        <f>IFERROR(INDEX(TableRBCalcPts[Custom],MATCH(TableRBRanks[[#This Row],[RK]],TableRBCalcPts[RK],0)),"")</f>
        <v>307.77619531315895</v>
      </c>
      <c r="M4" s="140">
        <f>IF(VLOOKUP(TableRBRanks[[#This Row],[Player]],'Ranks w Proj'!$Q:$AB,12,FALSE)&lt;0,0,VLOOKUP(TableRBRanks[[#This Row],[Player]],'Ranks w Proj'!$Q:$AB,12,FALSE))</f>
        <v>30.626903633866146</v>
      </c>
      <c r="O4" s="58">
        <v>3</v>
      </c>
      <c r="P4" s="58" t="str">
        <f>IFERROR(INDEX(TableWRCalcPts[PLAYER],MATCH(TableWRRanks[[#This Row],[RK]],TableWRCalcPts[RK],0)),"")</f>
        <v>Puka Nacua</v>
      </c>
      <c r="Q4" s="58" t="str">
        <f>IFERROR(INDEX(TableWRCalcPts[TM],MATCH(TableWRRanks[[#This Row],[RK]],TableWRCalcPts[RK],0)),"")</f>
        <v>LAR</v>
      </c>
      <c r="R4" s="58">
        <f>IFERROR(INDEX(TableWRCalcPts[BYE],MATCH(TableWRRanks[[#This Row],[RK]],TableWRCalcPts[RK],0)),"")</f>
        <v>11</v>
      </c>
      <c r="S4" s="95">
        <f>IFERROR(INDEX(TableWRCalcPts[Custom],MATCH(TableWRRanks[[#This Row],[RK]],TableWRCalcPts[RK],0)),"")</f>
        <v>288.94554919043696</v>
      </c>
      <c r="T4" s="140">
        <f>IF(VLOOKUP(TableWRRanks[[#This Row],[Player]],'Ranks w Proj'!$AE:$AO,11,FALSE)&lt;0,0,VLOOKUP(TableWRRanks[[#This Row],[Player]],'Ranks w Proj'!$AE:$AO,11,FALSE))</f>
        <v>37.324137085500183</v>
      </c>
      <c r="V4" s="58">
        <v>3</v>
      </c>
      <c r="W4" s="58" t="str">
        <f>IFERROR(INDEX(TableTECalcPts[PLAYER],MATCH(TableTERanks[[#This Row],[RK]],TableTECalcPts[RK],0)),"")</f>
        <v>Trey McBride</v>
      </c>
      <c r="X4" s="58" t="str">
        <f>IFERROR(INDEX(TableTECalcPts[TM],MATCH(TableTERanks[[#This Row],[RK]],TableTECalcPts[RK],0)),"")</f>
        <v>ARI</v>
      </c>
      <c r="Y4" s="58">
        <f>IFERROR(INDEX(TableTECalcPts[BYE],MATCH(TableTERanks[[#This Row],[RK]],TableTECalcPts[RK],0)),"")</f>
        <v>14</v>
      </c>
      <c r="Z4" s="95">
        <f>IFERROR(INDEX(TableTECalcPts[Custom],MATCH(TableTERanks[[#This Row],[RK]],TableTECalcPts[RK],0)),"")</f>
        <v>183.17818580821358</v>
      </c>
      <c r="AA4" s="140">
        <f>IF(VLOOKUP(TableTERanks[[#This Row],[Player]],'Ranks w Proj'!$AR:$AZ,9,FALSE)&lt;0,0,VLOOKUP(TableTERanks[[#This Row],[Player]],'Ranks w Proj'!$AR:$AZ,9,FALSE))</f>
        <v>19.782143803018215</v>
      </c>
      <c r="AC4" s="58">
        <v>3</v>
      </c>
      <c r="AD4" s="58" t="str">
        <f>IFERROR(INDEX(TableDSTCalcPts[PLAYER],MATCH(TableDSTRanks[[#This Row],[RK]],TableDSTCalcPts[RK],0)),"")</f>
        <v>Denver Broncos</v>
      </c>
      <c r="AE4" s="58">
        <f>IFERROR(INDEX(TableDSTCalcPts[BYE],MATCH(TableDSTRanks[[#This Row],[RK]],TableDSTCalcPts[RK],0)),"")</f>
        <v>10</v>
      </c>
      <c r="AF4" s="95">
        <f>IFERROR(INDEX(TableDSTCalcPts[Custom],MATCH(TableDSTRanks[[#This Row],[RK]],TableDSTCalcPts[RK],0)),"")</f>
        <v>140.82142857142858</v>
      </c>
      <c r="AG4" s="140">
        <v>1</v>
      </c>
    </row>
    <row r="5" spans="1:33" x14ac:dyDescent="0.25">
      <c r="A5" s="58">
        <v>4</v>
      </c>
      <c r="B5" s="58" t="str">
        <f>IFERROR(INDEX(TableQBCalcPts[PLAYER],MATCH(TableQBRanks[[#This Row],[RK]],TableQBCalcPts[RK],0)),"")</f>
        <v>Lamar Jackson</v>
      </c>
      <c r="C5" s="58" t="str">
        <f>IFERROR(INDEX(TableQBCalcPts[TM],MATCH(TableQBRanks[[#This Row],[RK]],TableQBCalcPts[RK],0)),"")</f>
        <v>BAL</v>
      </c>
      <c r="D5" s="58">
        <f>IFERROR(INDEX(TableQBCalcPts[BYE],MATCH(TableQBRanks[[#This Row],[RK]],TableQBCalcPts[RK],0)),"")</f>
        <v>13</v>
      </c>
      <c r="E5" s="95">
        <f>IFERROR(INDEX(TableQBCalcPts[Custom],MATCH(TableQBRanks[[#This Row],[RK]],TableQBCalcPts[RK],0)),"")</f>
        <v>425.38038576336101</v>
      </c>
      <c r="F5" s="140">
        <f>IF(VLOOKUP(TableQBRanks[[#This Row],[Player]],'Ranks w Proj'!$B:$N,13,FALSE)&lt;0,0,VLOOKUP(TableQBRanks[[#This Row],[Player]],'Ranks w Proj'!$B:$N,13,FALSE))</f>
        <v>28.94425009689326</v>
      </c>
      <c r="H5" s="58">
        <v>4</v>
      </c>
      <c r="I5" s="58" t="str">
        <f>IFERROR(INDEX(TableRBCalcPts[PLAYER],MATCH(TableRBRanks[[#This Row],[RK]],TableRBCalcPts[RK],0)),"")</f>
        <v>Jonathan Taylor</v>
      </c>
      <c r="J5" s="58" t="str">
        <f>IFERROR(INDEX(TableRBCalcPts[TM],MATCH(TableRBRanks[[#This Row],[RK]],TableRBCalcPts[RK],0)),"")</f>
        <v>IND</v>
      </c>
      <c r="K5" s="58">
        <f>IFERROR(INDEX(TableRBCalcPts[BYE],MATCH(TableRBRanks[[#This Row],[RK]],TableRBCalcPts[RK],0)),"")</f>
        <v>13</v>
      </c>
      <c r="L5" s="95">
        <f>IFERROR(INDEX(TableRBCalcPts[Custom],MATCH(TableRBRanks[[#This Row],[RK]],TableRBCalcPts[RK],0)),"")</f>
        <v>287.83953308823624</v>
      </c>
      <c r="M5" s="140">
        <f>IF(VLOOKUP(TableRBRanks[[#This Row],[Player]],'Ranks w Proj'!$Q:$AB,12,FALSE)&lt;0,0,VLOOKUP(TableRBRanks[[#This Row],[Player]],'Ranks w Proj'!$Q:$AB,12,FALSE))</f>
        <v>27.630372452657923</v>
      </c>
      <c r="O5" s="58">
        <v>4</v>
      </c>
      <c r="P5" s="58" t="str">
        <f>IFERROR(INDEX(TableWRCalcPts[PLAYER],MATCH(TableWRRanks[[#This Row],[RK]],TableWRCalcPts[RK],0)),"")</f>
        <v>Amon-Ra St. Brown</v>
      </c>
      <c r="Q5" s="58" t="str">
        <f>IFERROR(INDEX(TableWRCalcPts[TM],MATCH(TableWRRanks[[#This Row],[RK]],TableWRCalcPts[RK],0)),"")</f>
        <v>DET</v>
      </c>
      <c r="R5" s="58">
        <f>IFERROR(INDEX(TableWRCalcPts[BYE],MATCH(TableWRRanks[[#This Row],[RK]],TableWRCalcPts[RK],0)),"")</f>
        <v>6</v>
      </c>
      <c r="S5" s="95">
        <f>IFERROR(INDEX(TableWRCalcPts[Custom],MATCH(TableWRRanks[[#This Row],[RK]],TableWRCalcPts[RK],0)),"")</f>
        <v>263.19537961810715</v>
      </c>
      <c r="T5" s="140">
        <f>IF(VLOOKUP(TableWRRanks[[#This Row],[Player]],'Ranks w Proj'!$AE:$AO,11,FALSE)&lt;0,0,VLOOKUP(TableWRRanks[[#This Row],[Player]],'Ranks w Proj'!$AE:$AO,11,FALSE))</f>
        <v>32.486241881781815</v>
      </c>
      <c r="V5" s="58">
        <v>4</v>
      </c>
      <c r="W5" s="58" t="str">
        <f>IFERROR(INDEX(TableTECalcPts[PLAYER],MATCH(TableTERanks[[#This Row],[RK]],TableTECalcPts[RK],0)),"")</f>
        <v>Tyler Warren</v>
      </c>
      <c r="X5" s="58" t="str">
        <f>IFERROR(INDEX(TableTECalcPts[TM],MATCH(TableTERanks[[#This Row],[RK]],TableTECalcPts[RK],0)),"")</f>
        <v>IND</v>
      </c>
      <c r="Y5" s="58">
        <f>IFERROR(INDEX(TableTECalcPts[BYE],MATCH(TableTERanks[[#This Row],[RK]],TableTECalcPts[RK],0)),"")</f>
        <v>13</v>
      </c>
      <c r="Z5" s="95">
        <f>IFERROR(INDEX(TableTECalcPts[Custom],MATCH(TableTERanks[[#This Row],[RK]],TableTECalcPts[RK],0)),"")</f>
        <v>168.31977546975355</v>
      </c>
      <c r="AA5" s="140">
        <f>IF(VLOOKUP(TableTERanks[[#This Row],[Player]],'Ranks w Proj'!$AR:$AZ,9,FALSE)&lt;0,0,VLOOKUP(TableTERanks[[#This Row],[Player]],'Ranks w Proj'!$AR:$AZ,9,FALSE))</f>
        <v>16.990572589888863</v>
      </c>
      <c r="AC5" s="58">
        <v>4</v>
      </c>
      <c r="AD5" s="58" t="str">
        <f>IFERROR(INDEX(TableDSTCalcPts[PLAYER],MATCH(TableDSTRanks[[#This Row],[RK]],TableDSTCalcPts[RK],0)),"")</f>
        <v>Los Angeles Rams</v>
      </c>
      <c r="AE5" s="58">
        <f>IFERROR(INDEX(TableDSTCalcPts[BYE],MATCH(TableDSTRanks[[#This Row],[RK]],TableDSTCalcPts[RK],0)),"")</f>
        <v>11</v>
      </c>
      <c r="AF5" s="95">
        <f>IFERROR(INDEX(TableDSTCalcPts[Custom],MATCH(TableDSTRanks[[#This Row],[RK]],TableDSTCalcPts[RK],0)),"")</f>
        <v>138.21190476190475</v>
      </c>
      <c r="AG5" s="140">
        <v>1</v>
      </c>
    </row>
    <row r="6" spans="1:33" x14ac:dyDescent="0.25">
      <c r="A6" s="58">
        <v>5</v>
      </c>
      <c r="B6" s="58" t="str">
        <f>IFERROR(INDEX(TableQBCalcPts[PLAYER],MATCH(TableQBRanks[[#This Row],[RK]],TableQBCalcPts[RK],0)),"")</f>
        <v>Dak Prescott</v>
      </c>
      <c r="C6" s="58" t="str">
        <f>IFERROR(INDEX(TableQBCalcPts[TM],MATCH(TableQBRanks[[#This Row],[RK]],TableQBCalcPts[RK],0)),"")</f>
        <v>DAL</v>
      </c>
      <c r="D6" s="58">
        <f>IFERROR(INDEX(TableQBCalcPts[BYE],MATCH(TableQBRanks[[#This Row],[RK]],TableQBCalcPts[RK],0)),"")</f>
        <v>14</v>
      </c>
      <c r="E6" s="95">
        <f>IFERROR(INDEX(TableQBCalcPts[Custom],MATCH(TableQBRanks[[#This Row],[RK]],TableQBCalcPts[RK],0)),"")</f>
        <v>424.26156978062608</v>
      </c>
      <c r="F6" s="140">
        <f>IF(VLOOKUP(TableQBRanks[[#This Row],[Player]],'Ranks w Proj'!$B:$N,13,FALSE)&lt;0,0,VLOOKUP(TableQBRanks[[#This Row],[Player]],'Ranks w Proj'!$B:$N,13,FALSE))</f>
        <v>26.377587629938926</v>
      </c>
      <c r="H6" s="58">
        <v>5</v>
      </c>
      <c r="I6" s="58" t="str">
        <f>IFERROR(INDEX(TableRBCalcPts[PLAYER],MATCH(TableRBRanks[[#This Row],[RK]],TableRBCalcPts[RK],0)),"")</f>
        <v>James Cook</v>
      </c>
      <c r="J6" s="58" t="str">
        <f>IFERROR(INDEX(TableRBCalcPts[TM],MATCH(TableRBRanks[[#This Row],[RK]],TableRBCalcPts[RK],0)),"")</f>
        <v>BUF</v>
      </c>
      <c r="K6" s="58">
        <f>IFERROR(INDEX(TableRBCalcPts[BYE],MATCH(TableRBRanks[[#This Row],[RK]],TableRBCalcPts[RK],0)),"")</f>
        <v>7</v>
      </c>
      <c r="L6" s="95">
        <f>IFERROR(INDEX(TableRBCalcPts[Custom],MATCH(TableRBRanks[[#This Row],[RK]],TableRBCalcPts[RK],0)),"")</f>
        <v>252.99926754623516</v>
      </c>
      <c r="M6" s="140">
        <f>IF(VLOOKUP(TableRBRanks[[#This Row],[Player]],'Ranks w Proj'!$Q:$AB,12,FALSE)&lt;0,0,VLOOKUP(TableRBRanks[[#This Row],[Player]],'Ranks w Proj'!$Q:$AB,12,FALSE))</f>
        <v>22.393791680994408</v>
      </c>
      <c r="O6" s="58">
        <v>5</v>
      </c>
      <c r="P6" s="58" t="str">
        <f>IFERROR(INDEX(TableWRCalcPts[PLAYER],MATCH(TableWRRanks[[#This Row],[RK]],TableWRCalcPts[RK],0)),"")</f>
        <v>George Pickens</v>
      </c>
      <c r="Q6" s="58" t="str">
        <f>IFERROR(INDEX(TableWRCalcPts[TM],MATCH(TableWRRanks[[#This Row],[RK]],TableWRCalcPts[RK],0)),"")</f>
        <v>DAL</v>
      </c>
      <c r="R6" s="58">
        <f>IFERROR(INDEX(TableWRCalcPts[BYE],MATCH(TableWRRanks[[#This Row],[RK]],TableWRCalcPts[RK],0)),"")</f>
        <v>14</v>
      </c>
      <c r="S6" s="95">
        <f>IFERROR(INDEX(TableWRCalcPts[Custom],MATCH(TableWRRanks[[#This Row],[RK]],TableWRCalcPts[RK],0)),"")</f>
        <v>232.51214033920755</v>
      </c>
      <c r="T6" s="140">
        <f>IF(VLOOKUP(TableWRRanks[[#This Row],[Player]],'Ranks w Proj'!$AE:$AO,11,FALSE)&lt;0,0,VLOOKUP(TableWRRanks[[#This Row],[Player]],'Ranks w Proj'!$AE:$AO,11,FALSE))</f>
        <v>26.721530479591976</v>
      </c>
      <c r="V6" s="58">
        <v>5</v>
      </c>
      <c r="W6" s="58" t="str">
        <f>IFERROR(INDEX(TableTECalcPts[PLAYER],MATCH(TableTERanks[[#This Row],[RK]],TableTECalcPts[RK],0)),"")</f>
        <v>Sam LaPorta</v>
      </c>
      <c r="X6" s="58" t="str">
        <f>IFERROR(INDEX(TableTECalcPts[TM],MATCH(TableTERanks[[#This Row],[RK]],TableTECalcPts[RK],0)),"")</f>
        <v>DET</v>
      </c>
      <c r="Y6" s="58">
        <f>IFERROR(INDEX(TableTECalcPts[BYE],MATCH(TableTERanks[[#This Row],[RK]],TableTECalcPts[RK],0)),"")</f>
        <v>6</v>
      </c>
      <c r="Z6" s="95">
        <f>IFERROR(INDEX(TableTECalcPts[Custom],MATCH(TableTERanks[[#This Row],[RK]],TableTECalcPts[RK],0)),"")</f>
        <v>155.89636881295675</v>
      </c>
      <c r="AA6" s="140">
        <f>IF(VLOOKUP(TableTERanks[[#This Row],[Player]],'Ranks w Proj'!$AR:$AZ,9,FALSE)&lt;0,0,VLOOKUP(TableTERanks[[#This Row],[Player]],'Ranks w Proj'!$AR:$AZ,9,FALSE))</f>
        <v>14.656485456600825</v>
      </c>
      <c r="AC6" s="58">
        <v>5</v>
      </c>
      <c r="AD6" s="58" t="str">
        <f>IFERROR(INDEX(TableDSTCalcPts[PLAYER],MATCH(TableDSTRanks[[#This Row],[RK]],TableDSTCalcPts[RK],0)),"")</f>
        <v>Pittsburgh Steelers</v>
      </c>
      <c r="AE6" s="58">
        <f>IFERROR(INDEX(TableDSTCalcPts[BYE],MATCH(TableDSTRanks[[#This Row],[RK]],TableDSTCalcPts[RK],0)),"")</f>
        <v>9</v>
      </c>
      <c r="AF6" s="95">
        <f>IFERROR(INDEX(TableDSTCalcPts[Custom],MATCH(TableDSTRanks[[#This Row],[RK]],TableDSTCalcPts[RK],0)),"")</f>
        <v>137.51428571428571</v>
      </c>
      <c r="AG6" s="140">
        <v>1</v>
      </c>
    </row>
    <row r="7" spans="1:33" x14ac:dyDescent="0.25">
      <c r="A7" s="58">
        <v>6</v>
      </c>
      <c r="B7" s="58" t="str">
        <f>IFERROR(INDEX(TableQBCalcPts[PLAYER],MATCH(TableQBRanks[[#This Row],[RK]],TableQBCalcPts[RK],0)),"")</f>
        <v>Brock Purdy</v>
      </c>
      <c r="C7" s="58" t="str">
        <f>IFERROR(INDEX(TableQBCalcPts[TM],MATCH(TableQBRanks[[#This Row],[RK]],TableQBCalcPts[RK],0)),"")</f>
        <v>SF</v>
      </c>
      <c r="D7" s="58">
        <f>IFERROR(INDEX(TableQBCalcPts[BYE],MATCH(TableQBRanks[[#This Row],[RK]],TableQBCalcPts[RK],0)),"")</f>
        <v>8</v>
      </c>
      <c r="E7" s="95">
        <f>IFERROR(INDEX(TableQBCalcPts[Custom],MATCH(TableQBRanks[[#This Row],[RK]],TableQBCalcPts[RK],0)),"")</f>
        <v>421.55036691030688</v>
      </c>
      <c r="F7" s="140">
        <f>IF(VLOOKUP(TableQBRanks[[#This Row],[Player]],'Ranks w Proj'!$B:$N,13,FALSE)&lt;0,0,VLOOKUP(TableQBRanks[[#This Row],[Player]],'Ranks w Proj'!$B:$N,13,FALSE))</f>
        <v>25.622801754329171</v>
      </c>
      <c r="H7" s="58">
        <v>6</v>
      </c>
      <c r="I7" s="58" t="str">
        <f>IFERROR(INDEX(TableRBCalcPts[PLAYER],MATCH(TableRBRanks[[#This Row],[RK]],TableRBCalcPts[RK],0)),"")</f>
        <v>De'Von Achane</v>
      </c>
      <c r="J7" s="58" t="str">
        <f>IFERROR(INDEX(TableRBCalcPts[TM],MATCH(TableRBRanks[[#This Row],[RK]],TableRBCalcPts[RK],0)),"")</f>
        <v>MIA</v>
      </c>
      <c r="K7" s="58">
        <f>IFERROR(INDEX(TableRBCalcPts[BYE],MATCH(TableRBRanks[[#This Row],[RK]],TableRBCalcPts[RK],0)),"")</f>
        <v>6</v>
      </c>
      <c r="L7" s="95">
        <f>IFERROR(INDEX(TableRBCalcPts[Custom],MATCH(TableRBRanks[[#This Row],[RK]],TableRBCalcPts[RK],0)),"")</f>
        <v>249.37088241694448</v>
      </c>
      <c r="M7" s="140">
        <f>IF(VLOOKUP(TableRBRanks[[#This Row],[Player]],'Ranks w Proj'!$Q:$AB,12,FALSE)&lt;0,0,VLOOKUP(TableRBRanks[[#This Row],[Player]],'Ranks w Proj'!$Q:$AB,12,FALSE))</f>
        <v>21.848436141802896</v>
      </c>
      <c r="O7" s="58">
        <v>6</v>
      </c>
      <c r="P7" s="58" t="str">
        <f>IFERROR(INDEX(TableWRCalcPts[PLAYER],MATCH(TableWRRanks[[#This Row],[RK]],TableWRCalcPts[RK],0)),"")</f>
        <v>Drake London</v>
      </c>
      <c r="Q7" s="58" t="str">
        <f>IFERROR(INDEX(TableWRCalcPts[TM],MATCH(TableWRRanks[[#This Row],[RK]],TableWRCalcPts[RK],0)),"")</f>
        <v>ATL</v>
      </c>
      <c r="R7" s="58">
        <f>IFERROR(INDEX(TableWRCalcPts[BYE],MATCH(TableWRRanks[[#This Row],[RK]],TableWRCalcPts[RK],0)),"")</f>
        <v>11</v>
      </c>
      <c r="S7" s="95">
        <f>IFERROR(INDEX(TableWRCalcPts[Custom],MATCH(TableWRRanks[[#This Row],[RK]],TableWRCalcPts[RK],0)),"")</f>
        <v>228.86490868413486</v>
      </c>
      <c r="T7" s="140">
        <f>IF(VLOOKUP(TableWRRanks[[#This Row],[Player]],'Ranks w Proj'!$AE:$AO,11,FALSE)&lt;0,0,VLOOKUP(TableWRRanks[[#This Row],[Player]],'Ranks w Proj'!$AE:$AO,11,FALSE))</f>
        <v>26.036295204485807</v>
      </c>
      <c r="V7" s="58">
        <v>6</v>
      </c>
      <c r="W7" s="58" t="str">
        <f>IFERROR(INDEX(TableTECalcPts[PLAYER],MATCH(TableTERanks[[#This Row],[RK]],TableTECalcPts[RK],0)),"")</f>
        <v>George Kittle</v>
      </c>
      <c r="X7" s="58" t="str">
        <f>IFERROR(INDEX(TableTECalcPts[TM],MATCH(TableTERanks[[#This Row],[RK]],TableTECalcPts[RK],0)),"")</f>
        <v>SF</v>
      </c>
      <c r="Y7" s="58">
        <f>IFERROR(INDEX(TableTECalcPts[BYE],MATCH(TableTERanks[[#This Row],[RK]],TableTECalcPts[RK],0)),"")</f>
        <v>8</v>
      </c>
      <c r="Z7" s="95">
        <f>IFERROR(INDEX(TableTECalcPts[Custom],MATCH(TableTERanks[[#This Row],[RK]],TableTECalcPts[RK],0)),"")</f>
        <v>155.06993486799362</v>
      </c>
      <c r="AA7" s="140">
        <f>IF(VLOOKUP(TableTERanks[[#This Row],[Player]],'Ranks w Proj'!$AR:$AZ,9,FALSE)&lt;0,0,VLOOKUP(TableTERanks[[#This Row],[Player]],'Ranks w Proj'!$AR:$AZ,9,FALSE))</f>
        <v>14.501216544398261</v>
      </c>
      <c r="AC7" s="58">
        <v>6</v>
      </c>
      <c r="AD7" s="58" t="str">
        <f>IFERROR(INDEX(TableDSTCalcPts[PLAYER],MATCH(TableDSTRanks[[#This Row],[RK]],TableDSTCalcPts[RK],0)),"")</f>
        <v>Minnesota Vikings</v>
      </c>
      <c r="AE7" s="58">
        <f>IFERROR(INDEX(TableDSTCalcPts[BYE],MATCH(TableDSTRanks[[#This Row],[RK]],TableDSTCalcPts[RK],0)),"")</f>
        <v>6</v>
      </c>
      <c r="AF7" s="95">
        <f>IFERROR(INDEX(TableDSTCalcPts[Custom],MATCH(TableDSTRanks[[#This Row],[RK]],TableDSTCalcPts[RK],0)),"")</f>
        <v>135.89761904761903</v>
      </c>
      <c r="AG7" s="140">
        <v>1</v>
      </c>
    </row>
    <row r="8" spans="1:33" x14ac:dyDescent="0.25">
      <c r="A8" s="58">
        <v>7</v>
      </c>
      <c r="B8" s="58" t="str">
        <f>IFERROR(INDEX(TableQBCalcPts[PLAYER],MATCH(TableQBRanks[[#This Row],[RK]],TableQBCalcPts[RK],0)),"")</f>
        <v>Patrick Mahomes</v>
      </c>
      <c r="C8" s="58" t="str">
        <f>IFERROR(INDEX(TableQBCalcPts[TM],MATCH(TableQBRanks[[#This Row],[RK]],TableQBCalcPts[RK],0)),"")</f>
        <v>KC</v>
      </c>
      <c r="D8" s="58">
        <f>IFERROR(INDEX(TableQBCalcPts[BYE],MATCH(TableQBRanks[[#This Row],[RK]],TableQBCalcPts[RK],0)),"")</f>
        <v>5</v>
      </c>
      <c r="E8" s="95">
        <f>IFERROR(INDEX(TableQBCalcPts[Custom],MATCH(TableQBRanks[[#This Row],[RK]],TableQBCalcPts[RK],0)),"")</f>
        <v>417.24225265291568</v>
      </c>
      <c r="F8" s="140">
        <f>IF(VLOOKUP(TableQBRanks[[#This Row],[Player]],'Ranks w Proj'!$B:$N,13,FALSE)&lt;0,0,VLOOKUP(TableQBRanks[[#This Row],[Player]],'Ranks w Proj'!$B:$N,13,FALSE))</f>
        <v>24.766975066461786</v>
      </c>
      <c r="H8" s="58">
        <v>7</v>
      </c>
      <c r="I8" s="58" t="str">
        <f>IFERROR(INDEX(TableRBCalcPts[PLAYER],MATCH(TableRBRanks[[#This Row],[RK]],TableRBCalcPts[RK],0)),"")</f>
        <v>Chase Brown</v>
      </c>
      <c r="J8" s="58" t="str">
        <f>IFERROR(INDEX(TableRBCalcPts[TM],MATCH(TableRBRanks[[#This Row],[RK]],TableRBCalcPts[RK],0)),"")</f>
        <v>CIN</v>
      </c>
      <c r="K8" s="58">
        <f>IFERROR(INDEX(TableRBCalcPts[BYE],MATCH(TableRBRanks[[#This Row],[RK]],TableRBCalcPts[RK],0)),"")</f>
        <v>6</v>
      </c>
      <c r="L8" s="95">
        <f>IFERROR(INDEX(TableRBCalcPts[Custom],MATCH(TableRBRanks[[#This Row],[RK]],TableRBCalcPts[RK],0)),"")</f>
        <v>248.68447450614235</v>
      </c>
      <c r="M8" s="140">
        <f>IF(VLOOKUP(TableRBRanks[[#This Row],[Player]],'Ranks w Proj'!$Q:$AB,12,FALSE)&lt;0,0,VLOOKUP(TableRBRanks[[#This Row],[Player]],'Ranks w Proj'!$Q:$AB,12,FALSE))</f>
        <v>21.745267282114074</v>
      </c>
      <c r="O8" s="58">
        <v>7</v>
      </c>
      <c r="P8" s="58" t="str">
        <f>IFERROR(INDEX(TableWRCalcPts[PLAYER],MATCH(TableWRRanks[[#This Row],[RK]],TableWRCalcPts[RK],0)),"")</f>
        <v>Justin Jefferson</v>
      </c>
      <c r="Q8" s="58" t="str">
        <f>IFERROR(INDEX(TableWRCalcPts[TM],MATCH(TableWRRanks[[#This Row],[RK]],TableWRCalcPts[RK],0)),"")</f>
        <v>MIN</v>
      </c>
      <c r="R8" s="58">
        <f>IFERROR(INDEX(TableWRCalcPts[BYE],MATCH(TableWRRanks[[#This Row],[RK]],TableWRCalcPts[RK],0)),"")</f>
        <v>6</v>
      </c>
      <c r="S8" s="95">
        <f>IFERROR(INDEX(TableWRCalcPts[Custom],MATCH(TableWRRanks[[#This Row],[RK]],TableWRCalcPts[RK],0)),"")</f>
        <v>223.24740739596288</v>
      </c>
      <c r="T8" s="140">
        <f>IF(VLOOKUP(TableWRRanks[[#This Row],[Player]],'Ranks w Proj'!$AE:$AO,11,FALSE)&lt;0,0,VLOOKUP(TableWRRanks[[#This Row],[Player]],'Ranks w Proj'!$AE:$AO,11,FALSE))</f>
        <v>24.980889240552571</v>
      </c>
      <c r="V8" s="58">
        <v>7</v>
      </c>
      <c r="W8" s="58" t="str">
        <f>IFERROR(INDEX(TableTECalcPts[PLAYER],MATCH(TableTERanks[[#This Row],[RK]],TableTECalcPts[RK],0)),"")</f>
        <v>Harold Fannin</v>
      </c>
      <c r="X8" s="58" t="str">
        <f>IFERROR(INDEX(TableTECalcPts[TM],MATCH(TableTERanks[[#This Row],[RK]],TableTECalcPts[RK],0)),"")</f>
        <v>CLE</v>
      </c>
      <c r="Y8" s="58">
        <f>IFERROR(INDEX(TableTECalcPts[BYE],MATCH(TableTERanks[[#This Row],[RK]],TableTECalcPts[RK],0)),"")</f>
        <v>11</v>
      </c>
      <c r="Z8" s="95">
        <f>IFERROR(INDEX(TableTECalcPts[Custom],MATCH(TableTERanks[[#This Row],[RK]],TableTECalcPts[RK],0)),"")</f>
        <v>154.01102933720159</v>
      </c>
      <c r="AA8" s="140">
        <f>IF(VLOOKUP(TableTERanks[[#This Row],[Player]],'Ranks w Proj'!$AR:$AZ,9,FALSE)&lt;0,0,VLOOKUP(TableTERanks[[#This Row],[Player]],'Ranks w Proj'!$AR:$AZ,9,FALSE))</f>
        <v>14.302271291854586</v>
      </c>
      <c r="AC8" s="58">
        <v>7</v>
      </c>
      <c r="AD8" s="58" t="str">
        <f>IFERROR(INDEX(TableDSTCalcPts[PLAYER],MATCH(TableDSTRanks[[#This Row],[RK]],TableDSTCalcPts[RK],0)),"")</f>
        <v>Chicago Bears</v>
      </c>
      <c r="AE8" s="58">
        <f>IFERROR(INDEX(TableDSTCalcPts[BYE],MATCH(TableDSTRanks[[#This Row],[RK]],TableDSTCalcPts[RK],0)),"")</f>
        <v>10</v>
      </c>
      <c r="AF8" s="95">
        <f>IFERROR(INDEX(TableDSTCalcPts[Custom],MATCH(TableDSTRanks[[#This Row],[RK]],TableDSTCalcPts[RK],0)),"")</f>
        <v>129.67380952380952</v>
      </c>
      <c r="AG8" s="140">
        <v>1</v>
      </c>
    </row>
    <row r="9" spans="1:33" x14ac:dyDescent="0.25">
      <c r="A9" s="58">
        <v>8</v>
      </c>
      <c r="B9" s="58" t="str">
        <f>IFERROR(INDEX(TableQBCalcPts[PLAYER],MATCH(TableQBRanks[[#This Row],[RK]],TableQBCalcPts[RK],0)),"")</f>
        <v>Jared Goff</v>
      </c>
      <c r="C9" s="58" t="str">
        <f>IFERROR(INDEX(TableQBCalcPts[TM],MATCH(TableQBRanks[[#This Row],[RK]],TableQBCalcPts[RK],0)),"")</f>
        <v>DET</v>
      </c>
      <c r="D9" s="58">
        <f>IFERROR(INDEX(TableQBCalcPts[BYE],MATCH(TableQBRanks[[#This Row],[RK]],TableQBCalcPts[RK],0)),"")</f>
        <v>6</v>
      </c>
      <c r="E9" s="95">
        <f>IFERROR(INDEX(TableQBCalcPts[Custom],MATCH(TableQBRanks[[#This Row],[RK]],TableQBCalcPts[RK],0)),"")</f>
        <v>415.16833542295586</v>
      </c>
      <c r="F9" s="140">
        <f>IF(VLOOKUP(TableQBRanks[[#This Row],[Player]],'Ranks w Proj'!$B:$N,13,FALSE)&lt;0,0,VLOOKUP(TableQBRanks[[#This Row],[Player]],'Ranks w Proj'!$B:$N,13,FALSE))</f>
        <v>23.845131325520654</v>
      </c>
      <c r="H9" s="58">
        <v>8</v>
      </c>
      <c r="I9" s="58" t="str">
        <f>IFERROR(INDEX(TableRBCalcPts[PLAYER],MATCH(TableRBRanks[[#This Row],[RK]],TableRBCalcPts[RK],0)),"")</f>
        <v>Derrick Henry</v>
      </c>
      <c r="J9" s="58" t="str">
        <f>IFERROR(INDEX(TableRBCalcPts[TM],MATCH(TableRBRanks[[#This Row],[RK]],TableRBCalcPts[RK],0)),"")</f>
        <v>BAL</v>
      </c>
      <c r="K9" s="58">
        <f>IFERROR(INDEX(TableRBCalcPts[BYE],MATCH(TableRBRanks[[#This Row],[RK]],TableRBCalcPts[RK],0)),"")</f>
        <v>13</v>
      </c>
      <c r="L9" s="95">
        <f>IFERROR(INDEX(TableRBCalcPts[Custom],MATCH(TableRBRanks[[#This Row],[RK]],TableRBCalcPts[RK],0)),"")</f>
        <v>240.81590204526415</v>
      </c>
      <c r="M9" s="140">
        <f>IF(VLOOKUP(TableRBRanks[[#This Row],[Player]],'Ranks w Proj'!$Q:$AB,12,FALSE)&lt;0,0,VLOOKUP(TableRBRanks[[#This Row],[Player]],'Ranks w Proj'!$Q:$AB,12,FALSE))</f>
        <v>20.562600772313726</v>
      </c>
      <c r="O9" s="58">
        <v>8</v>
      </c>
      <c r="P9" s="58" t="str">
        <f>IFERROR(INDEX(TableWRCalcPts[PLAYER],MATCH(TableWRRanks[[#This Row],[RK]],TableWRCalcPts[RK],0)),"")</f>
        <v>CeeDee Lamb</v>
      </c>
      <c r="Q9" s="58" t="str">
        <f>IFERROR(INDEX(TableWRCalcPts[TM],MATCH(TableWRRanks[[#This Row],[RK]],TableWRCalcPts[RK],0)),"")</f>
        <v>DAL</v>
      </c>
      <c r="R9" s="58">
        <f>IFERROR(INDEX(TableWRCalcPts[BYE],MATCH(TableWRRanks[[#This Row],[RK]],TableWRCalcPts[RK],0)),"")</f>
        <v>14</v>
      </c>
      <c r="S9" s="95">
        <f>IFERROR(INDEX(TableWRCalcPts[Custom],MATCH(TableWRRanks[[#This Row],[RK]],TableWRCalcPts[RK],0)),"")</f>
        <v>223.24357321838613</v>
      </c>
      <c r="T9" s="140">
        <f>IF(VLOOKUP(TableWRRanks[[#This Row],[Player]],'Ranks w Proj'!$AE:$AO,11,FALSE)&lt;0,0,VLOOKUP(TableWRRanks[[#This Row],[Player]],'Ranks w Proj'!$AE:$AO,11,FALSE))</f>
        <v>24.980168882216418</v>
      </c>
      <c r="V9" s="58">
        <v>8</v>
      </c>
      <c r="W9" s="58" t="str">
        <f>IFERROR(INDEX(TableTECalcPts[PLAYER],MATCH(TableTERanks[[#This Row],[RK]],TableTECalcPts[RK],0)),"")</f>
        <v>Tucker Kraft</v>
      </c>
      <c r="X9" s="58" t="str">
        <f>IFERROR(INDEX(TableTECalcPts[TM],MATCH(TableTERanks[[#This Row],[RK]],TableTECalcPts[RK],0)),"")</f>
        <v>GB</v>
      </c>
      <c r="Y9" s="58">
        <f>IFERROR(INDEX(TableTECalcPts[BYE],MATCH(TableTERanks[[#This Row],[RK]],TableTECalcPts[RK],0)),"")</f>
        <v>11</v>
      </c>
      <c r="Z9" s="95">
        <f>IFERROR(INDEX(TableTECalcPts[Custom],MATCH(TableTERanks[[#This Row],[RK]],TableTECalcPts[RK],0)),"")</f>
        <v>153.12367420756547</v>
      </c>
      <c r="AA9" s="140">
        <f>IF(VLOOKUP(TableTERanks[[#This Row],[Player]],'Ranks w Proj'!$AR:$AZ,9,FALSE)&lt;0,0,VLOOKUP(TableTERanks[[#This Row],[Player]],'Ranks w Proj'!$AR:$AZ,9,FALSE))</f>
        <v>14.135556617855913</v>
      </c>
      <c r="AC9" s="58">
        <v>8</v>
      </c>
      <c r="AD9" s="58" t="str">
        <f>IFERROR(INDEX(TableDSTCalcPts[PLAYER],MATCH(TableDSTRanks[[#This Row],[RK]],TableDSTCalcPts[RK],0)),"")</f>
        <v>Philadelphia Eagles</v>
      </c>
      <c r="AE9" s="58">
        <f>IFERROR(INDEX(TableDSTCalcPts[BYE],MATCH(TableDSTRanks[[#This Row],[RK]],TableDSTCalcPts[RK],0)),"")</f>
        <v>10</v>
      </c>
      <c r="AF9" s="95">
        <f>IFERROR(INDEX(TableDSTCalcPts[Custom],MATCH(TableDSTRanks[[#This Row],[RK]],TableDSTCalcPts[RK],0)),"")</f>
        <v>127.72380952380951</v>
      </c>
      <c r="AG9" s="140">
        <v>1</v>
      </c>
    </row>
    <row r="10" spans="1:33" x14ac:dyDescent="0.25">
      <c r="A10" s="58">
        <v>9</v>
      </c>
      <c r="B10" s="58" t="str">
        <f>IFERROR(INDEX(TableQBCalcPts[PLAYER],MATCH(TableQBRanks[[#This Row],[RK]],TableQBCalcPts[RK],0)),"")</f>
        <v>Matthew Stafford</v>
      </c>
      <c r="C10" s="58" t="str">
        <f>IFERROR(INDEX(TableQBCalcPts[TM],MATCH(TableQBRanks[[#This Row],[RK]],TableQBCalcPts[RK],0)),"")</f>
        <v>LAR</v>
      </c>
      <c r="D10" s="58">
        <f>IFERROR(INDEX(TableQBCalcPts[BYE],MATCH(TableQBRanks[[#This Row],[RK]],TableQBCalcPts[RK],0)),"")</f>
        <v>11</v>
      </c>
      <c r="E10" s="95">
        <f>IFERROR(INDEX(TableQBCalcPts[Custom],MATCH(TableQBRanks[[#This Row],[RK]],TableQBCalcPts[RK],0)),"")</f>
        <v>414.58252774379804</v>
      </c>
      <c r="F10" s="140">
        <f>IF(VLOOKUP(TableQBRanks[[#This Row],[Player]],'Ranks w Proj'!$B:$N,13,FALSE)&lt;0,0,VLOOKUP(TableQBRanks[[#This Row],[Player]],'Ranks w Proj'!$B:$N,13,FALSE))</f>
        <v>23.277172890013631</v>
      </c>
      <c r="H10" s="58">
        <v>9</v>
      </c>
      <c r="I10" s="58" t="str">
        <f>IFERROR(INDEX(TableRBCalcPts[PLAYER],MATCH(TableRBRanks[[#This Row],[RK]],TableRBCalcPts[RK],0)),"")</f>
        <v>Saquon Barkley</v>
      </c>
      <c r="J10" s="58" t="str">
        <f>IFERROR(INDEX(TableRBCalcPts[TM],MATCH(TableRBRanks[[#This Row],[RK]],TableRBCalcPts[RK],0)),"")</f>
        <v>PHI</v>
      </c>
      <c r="K10" s="58">
        <f>IFERROR(INDEX(TableRBCalcPts[BYE],MATCH(TableRBRanks[[#This Row],[RK]],TableRBCalcPts[RK],0)),"")</f>
        <v>10</v>
      </c>
      <c r="L10" s="95">
        <f>IFERROR(INDEX(TableRBCalcPts[Custom],MATCH(TableRBRanks[[#This Row],[RK]],TableRBCalcPts[RK],0)),"")</f>
        <v>234.04588385981933</v>
      </c>
      <c r="M10" s="140">
        <f>IF(VLOOKUP(TableRBRanks[[#This Row],[Player]],'Ranks w Proj'!$Q:$AB,12,FALSE)&lt;0,0,VLOOKUP(TableRBRanks[[#This Row],[Player]],'Ranks w Proj'!$Q:$AB,12,FALSE))</f>
        <v>19.545049771992719</v>
      </c>
      <c r="O10" s="58">
        <v>9</v>
      </c>
      <c r="P10" s="58" t="str">
        <f>IFERROR(INDEX(TableWRCalcPts[PLAYER],MATCH(TableWRRanks[[#This Row],[RK]],TableWRCalcPts[RK],0)),"")</f>
        <v>A.J. Brown</v>
      </c>
      <c r="Q10" s="58" t="str">
        <f>IFERROR(INDEX(TableWRCalcPts[TM],MATCH(TableWRRanks[[#This Row],[RK]],TableWRCalcPts[RK],0)),"")</f>
        <v>NE</v>
      </c>
      <c r="R10" s="58">
        <f>IFERROR(INDEX(TableWRCalcPts[BYE],MATCH(TableWRRanks[[#This Row],[RK]],TableWRCalcPts[RK],0)),"")</f>
        <v>11</v>
      </c>
      <c r="S10" s="95">
        <f>IFERROR(INDEX(TableWRCalcPts[Custom],MATCH(TableWRRanks[[#This Row],[RK]],TableWRCalcPts[RK],0)),"")</f>
        <v>221.00500461508548</v>
      </c>
      <c r="T10" s="140">
        <f>IF(VLOOKUP(TableWRRanks[[#This Row],[Player]],'Ranks w Proj'!$AE:$AO,11,FALSE)&lt;0,0,VLOOKUP(TableWRRanks[[#This Row],[Player]],'Ranks w Proj'!$AE:$AO,11,FALSE))</f>
        <v>24.559590668986313</v>
      </c>
      <c r="V10" s="58">
        <v>9</v>
      </c>
      <c r="W10" s="58" t="str">
        <f>IFERROR(INDEX(TableTECalcPts[PLAYER],MATCH(TableTERanks[[#This Row],[RK]],TableTECalcPts[RK],0)),"")</f>
        <v>Isaiah Likely</v>
      </c>
      <c r="X10" s="58" t="str">
        <f>IFERROR(INDEX(TableTECalcPts[TM],MATCH(TableTERanks[[#This Row],[RK]],TableTECalcPts[RK],0)),"")</f>
        <v>NYG</v>
      </c>
      <c r="Y10" s="58">
        <f>IFERROR(INDEX(TableTECalcPts[BYE],MATCH(TableTERanks[[#This Row],[RK]],TableTECalcPts[RK],0)),"")</f>
        <v>8</v>
      </c>
      <c r="Z10" s="95">
        <f>IFERROR(INDEX(TableTECalcPts[Custom],MATCH(TableTERanks[[#This Row],[RK]],TableTECalcPts[RK],0)),"")</f>
        <v>148.89250113248056</v>
      </c>
      <c r="AA10" s="140">
        <f>IF(VLOOKUP(TableTERanks[[#This Row],[Player]],'Ranks w Proj'!$AR:$AZ,9,FALSE)&lt;0,0,VLOOKUP(TableTERanks[[#This Row],[Player]],'Ranks w Proj'!$AR:$AZ,9,FALSE))</f>
        <v>13.340611486774064</v>
      </c>
      <c r="AC10" s="58">
        <v>9</v>
      </c>
      <c r="AD10" s="58" t="str">
        <f>IFERROR(INDEX(TableDSTCalcPts[PLAYER],MATCH(TableDSTRanks[[#This Row],[RK]],TableDSTCalcPts[RK],0)),"")</f>
        <v>Los Angeles Chargers</v>
      </c>
      <c r="AE10" s="58">
        <f>IFERROR(INDEX(TableDSTCalcPts[BYE],MATCH(TableDSTRanks[[#This Row],[RK]],TableDSTCalcPts[RK],0)),"")</f>
        <v>7</v>
      </c>
      <c r="AF10" s="95">
        <f>IFERROR(INDEX(TableDSTCalcPts[Custom],MATCH(TableDSTRanks[[#This Row],[RK]],TableDSTCalcPts[RK],0)),"")</f>
        <v>127.4904761904762</v>
      </c>
      <c r="AG10" s="140">
        <v>1</v>
      </c>
    </row>
    <row r="11" spans="1:33" x14ac:dyDescent="0.25">
      <c r="A11" s="58">
        <v>10</v>
      </c>
      <c r="B11" s="58" t="str">
        <f>IFERROR(INDEX(TableQBCalcPts[PLAYER],MATCH(TableQBRanks[[#This Row],[RK]],TableQBCalcPts[RK],0)),"")</f>
        <v>Jalen Hurts</v>
      </c>
      <c r="C11" s="58" t="str">
        <f>IFERROR(INDEX(TableQBCalcPts[TM],MATCH(TableQBRanks[[#This Row],[RK]],TableQBCalcPts[RK],0)),"")</f>
        <v>PHI</v>
      </c>
      <c r="D11" s="58">
        <f>IFERROR(INDEX(TableQBCalcPts[BYE],MATCH(TableQBRanks[[#This Row],[RK]],TableQBCalcPts[RK],0)),"")</f>
        <v>10</v>
      </c>
      <c r="E11" s="95">
        <f>IFERROR(INDEX(TableQBCalcPts[Custom],MATCH(TableQBRanks[[#This Row],[RK]],TableQBCalcPts[RK],0)),"")</f>
        <v>411.78412724406013</v>
      </c>
      <c r="F11" s="140">
        <f>IF(VLOOKUP(TableQBRanks[[#This Row],[Player]],'Ranks w Proj'!$B:$N,13,FALSE)&lt;0,0,VLOOKUP(TableQBRanks[[#This Row],[Player]],'Ranks w Proj'!$B:$N,13,FALSE))</f>
        <v>22.694225670429237</v>
      </c>
      <c r="H11" s="58">
        <v>10</v>
      </c>
      <c r="I11" s="58" t="str">
        <f>IFERROR(INDEX(TableRBCalcPts[PLAYER],MATCH(TableRBRanks[[#This Row],[RK]],TableRBCalcPts[RK],0)),"")</f>
        <v>Kenneth Walker</v>
      </c>
      <c r="J11" s="58" t="str">
        <f>IFERROR(INDEX(TableRBCalcPts[TM],MATCH(TableRBRanks[[#This Row],[RK]],TableRBCalcPts[RK],0)),"")</f>
        <v>KC</v>
      </c>
      <c r="K11" s="58">
        <f>IFERROR(INDEX(TableRBCalcPts[BYE],MATCH(TableRBRanks[[#This Row],[RK]],TableRBCalcPts[RK],0)),"")</f>
        <v>5</v>
      </c>
      <c r="L11" s="95">
        <f>IFERROR(INDEX(TableRBCalcPts[Custom],MATCH(TableRBRanks[[#This Row],[RK]],TableRBCalcPts[RK],0)),"")</f>
        <v>233.20034776851375</v>
      </c>
      <c r="M11" s="140">
        <f>IF(VLOOKUP(TableRBRanks[[#This Row],[Player]],'Ranks w Proj'!$Q:$AB,12,FALSE)&lt;0,0,VLOOKUP(TableRBRanks[[#This Row],[Player]],'Ranks w Proj'!$Q:$AB,12,FALSE))</f>
        <v>19.417963540915046</v>
      </c>
      <c r="O11" s="58">
        <v>10</v>
      </c>
      <c r="P11" s="58" t="str">
        <f>IFERROR(INDEX(TableWRCalcPts[PLAYER],MATCH(TableWRRanks[[#This Row],[RK]],TableWRCalcPts[RK],0)),"")</f>
        <v>Nico Collins</v>
      </c>
      <c r="Q11" s="58" t="str">
        <f>IFERROR(INDEX(TableWRCalcPts[TM],MATCH(TableWRRanks[[#This Row],[RK]],TableWRCalcPts[RK],0)),"")</f>
        <v>HOU</v>
      </c>
      <c r="R11" s="58">
        <f>IFERROR(INDEX(TableWRCalcPts[BYE],MATCH(TableWRRanks[[#This Row],[RK]],TableWRCalcPts[RK],0)),"")</f>
        <v>8</v>
      </c>
      <c r="S11" s="95">
        <f>IFERROR(INDEX(TableWRCalcPts[Custom],MATCH(TableWRRanks[[#This Row],[RK]],TableWRCalcPts[RK],0)),"")</f>
        <v>212.48861218175085</v>
      </c>
      <c r="T11" s="140">
        <f>IF(VLOOKUP(TableWRRanks[[#This Row],[Player]],'Ranks w Proj'!$AE:$AO,11,FALSE)&lt;0,0,VLOOKUP(TableWRRanks[[#This Row],[Player]],'Ranks w Proj'!$AE:$AO,11,FALSE))</f>
        <v>22.959546289065543</v>
      </c>
      <c r="V11" s="58">
        <v>10</v>
      </c>
      <c r="W11" s="58" t="str">
        <f>IFERROR(INDEX(TableTECalcPts[PLAYER],MATCH(TableTERanks[[#This Row],[RK]],TableTECalcPts[RK],0)),"")</f>
        <v>Travis Kelce</v>
      </c>
      <c r="X11" s="58" t="str">
        <f>IFERROR(INDEX(TableTECalcPts[TM],MATCH(TableTERanks[[#This Row],[RK]],TableTECalcPts[RK],0)),"")</f>
        <v>KC</v>
      </c>
      <c r="Y11" s="58">
        <f>IFERROR(INDEX(TableTECalcPts[BYE],MATCH(TableTERanks[[#This Row],[RK]],TableTECalcPts[RK],0)),"")</f>
        <v>5</v>
      </c>
      <c r="Z11" s="95">
        <f>IFERROR(INDEX(TableTECalcPts[Custom],MATCH(TableTERanks[[#This Row],[RK]],TableTECalcPts[RK],0)),"")</f>
        <v>147.70317535955797</v>
      </c>
      <c r="AA11" s="140">
        <f>IF(VLOOKUP(TableTERanks[[#This Row],[Player]],'Ranks w Proj'!$AR:$AZ,9,FALSE)&lt;0,0,VLOOKUP(TableTERanks[[#This Row],[Player]],'Ranks w Proj'!$AR:$AZ,9,FALSE))</f>
        <v>13.117163115441251</v>
      </c>
      <c r="AC11" s="58">
        <v>10</v>
      </c>
      <c r="AD11" s="58" t="str">
        <f>IFERROR(INDEX(TableDSTCalcPts[PLAYER],MATCH(TableDSTRanks[[#This Row],[RK]],TableDSTCalcPts[RK],0)),"")</f>
        <v>Jacksonville Jaguars</v>
      </c>
      <c r="AE11" s="58">
        <f>IFERROR(INDEX(TableDSTCalcPts[BYE],MATCH(TableDSTRanks[[#This Row],[RK]],TableDSTCalcPts[RK],0)),"")</f>
        <v>7</v>
      </c>
      <c r="AF11" s="95">
        <f>IFERROR(INDEX(TableDSTCalcPts[Custom],MATCH(TableDSTRanks[[#This Row],[RK]],TableDSTCalcPts[RK],0)),"")</f>
        <v>126.9047619047619</v>
      </c>
      <c r="AG11" s="140">
        <v>1</v>
      </c>
    </row>
    <row r="12" spans="1:33" x14ac:dyDescent="0.25">
      <c r="A12" s="58">
        <v>11</v>
      </c>
      <c r="B12" s="58" t="str">
        <f>IFERROR(INDEX(TableQBCalcPts[PLAYER],MATCH(TableQBRanks[[#This Row],[RK]],TableQBCalcPts[RK],0)),"")</f>
        <v>Trevor Lawrence</v>
      </c>
      <c r="C12" s="58" t="str">
        <f>IFERROR(INDEX(TableQBCalcPts[TM],MATCH(TableQBRanks[[#This Row],[RK]],TableQBCalcPts[RK],0)),"")</f>
        <v>JAX</v>
      </c>
      <c r="D12" s="58">
        <f>IFERROR(INDEX(TableQBCalcPts[BYE],MATCH(TableQBRanks[[#This Row],[RK]],TableQBCalcPts[RK],0)),"")</f>
        <v>7</v>
      </c>
      <c r="E12" s="95">
        <f>IFERROR(INDEX(TableQBCalcPts[Custom],MATCH(TableQBRanks[[#This Row],[RK]],TableQBCalcPts[RK],0)),"")</f>
        <v>409.37929135514651</v>
      </c>
      <c r="F12" s="140">
        <f>IF(VLOOKUP(TableQBRanks[[#This Row],[Player]],'Ranks w Proj'!$B:$N,13,FALSE)&lt;0,0,VLOOKUP(TableQBRanks[[#This Row],[Player]],'Ranks w Proj'!$B:$N,13,FALSE))</f>
        <v>22.23405575955822</v>
      </c>
      <c r="H12" s="58">
        <v>11</v>
      </c>
      <c r="I12" s="58" t="str">
        <f>IFERROR(INDEX(TableRBCalcPts[PLAYER],MATCH(TableRBRanks[[#This Row],[RK]],TableRBCalcPts[RK],0)),"")</f>
        <v>Omarion Hampton</v>
      </c>
      <c r="J12" s="58" t="str">
        <f>IFERROR(INDEX(TableRBCalcPts[TM],MATCH(TableRBRanks[[#This Row],[RK]],TableRBCalcPts[RK],0)),"")</f>
        <v>LAC</v>
      </c>
      <c r="K12" s="58">
        <f>IFERROR(INDEX(TableRBCalcPts[BYE],MATCH(TableRBRanks[[#This Row],[RK]],TableRBCalcPts[RK],0)),"")</f>
        <v>7</v>
      </c>
      <c r="L12" s="95">
        <f>IFERROR(INDEX(TableRBCalcPts[Custom],MATCH(TableRBRanks[[#This Row],[RK]],TableRBCalcPts[RK],0)),"")</f>
        <v>233.07683835007555</v>
      </c>
      <c r="M12" s="140">
        <f>IF(VLOOKUP(TableRBRanks[[#This Row],[Player]],'Ranks w Proj'!$Q:$AB,12,FALSE)&lt;0,0,VLOOKUP(TableRBRanks[[#This Row],[Player]],'Ranks w Proj'!$Q:$AB,12,FALSE))</f>
        <v>19.399399760310867</v>
      </c>
      <c r="O12" s="58">
        <v>11</v>
      </c>
      <c r="P12" s="58" t="str">
        <f>IFERROR(INDEX(TableWRCalcPts[PLAYER],MATCH(TableWRRanks[[#This Row],[RK]],TableWRCalcPts[RK],0)),"")</f>
        <v>Tee Higgins</v>
      </c>
      <c r="Q12" s="58" t="str">
        <f>IFERROR(INDEX(TableWRCalcPts[TM],MATCH(TableWRRanks[[#This Row],[RK]],TableWRCalcPts[RK],0)),"")</f>
        <v>CIN</v>
      </c>
      <c r="R12" s="58">
        <f>IFERROR(INDEX(TableWRCalcPts[BYE],MATCH(TableWRRanks[[#This Row],[RK]],TableWRCalcPts[RK],0)),"")</f>
        <v>6</v>
      </c>
      <c r="S12" s="95">
        <f>IFERROR(INDEX(TableWRCalcPts[Custom],MATCH(TableWRRanks[[#This Row],[RK]],TableWRCalcPts[RK],0)),"")</f>
        <v>210.32382984378648</v>
      </c>
      <c r="T12" s="140">
        <f>IF(VLOOKUP(TableWRRanks[[#This Row],[Player]],'Ranks w Proj'!$AE:$AO,11,FALSE)&lt;0,0,VLOOKUP(TableWRRanks[[#This Row],[Player]],'Ranks w Proj'!$AE:$AO,11,FALSE))</f>
        <v>22.552830905676924</v>
      </c>
      <c r="V12" s="58">
        <v>11</v>
      </c>
      <c r="W12" s="58" t="str">
        <f>IFERROR(INDEX(TableTECalcPts[PLAYER],MATCH(TableTERanks[[#This Row],[RK]],TableTECalcPts[RK],0)),"")</f>
        <v>Kyle Pitts</v>
      </c>
      <c r="X12" s="58" t="str">
        <f>IFERROR(INDEX(TableTECalcPts[TM],MATCH(TableTERanks[[#This Row],[RK]],TableTECalcPts[RK],0)),"")</f>
        <v>ATL</v>
      </c>
      <c r="Y12" s="58">
        <f>IFERROR(INDEX(TableTECalcPts[BYE],MATCH(TableTERanks[[#This Row],[RK]],TableTECalcPts[RK],0)),"")</f>
        <v>11</v>
      </c>
      <c r="Z12" s="95">
        <f>IFERROR(INDEX(TableTECalcPts[Custom],MATCH(TableTERanks[[#This Row],[RK]],TableTECalcPts[RK],0)),"")</f>
        <v>141.2363715822917</v>
      </c>
      <c r="AA12" s="140">
        <f>IF(VLOOKUP(TableTERanks[[#This Row],[Player]],'Ranks w Proj'!$AR:$AZ,9,FALSE)&lt;0,0,VLOOKUP(TableTERanks[[#This Row],[Player]],'Ranks w Proj'!$AR:$AZ,9,FALSE))</f>
        <v>11.902191738668538</v>
      </c>
      <c r="AC12" s="58">
        <v>11</v>
      </c>
      <c r="AD12" s="58" t="str">
        <f>IFERROR(INDEX(TableDSTCalcPts[PLAYER],MATCH(TableDSTRanks[[#This Row],[RK]],TableDSTCalcPts[RK],0)),"")</f>
        <v>Atlanta Falcons</v>
      </c>
      <c r="AE12" s="58">
        <f>IFERROR(INDEX(TableDSTCalcPts[BYE],MATCH(TableDSTRanks[[#This Row],[RK]],TableDSTCalcPts[RK],0)),"")</f>
        <v>11</v>
      </c>
      <c r="AF12" s="95">
        <f>IFERROR(INDEX(TableDSTCalcPts[Custom],MATCH(TableDSTRanks[[#This Row],[RK]],TableDSTCalcPts[RK],0)),"")</f>
        <v>125.45</v>
      </c>
      <c r="AG12" s="140">
        <v>1</v>
      </c>
    </row>
    <row r="13" spans="1:33" x14ac:dyDescent="0.25">
      <c r="A13" s="58">
        <v>12</v>
      </c>
      <c r="B13" s="58" t="str">
        <f>IFERROR(INDEX(TableQBCalcPts[PLAYER],MATCH(TableQBRanks[[#This Row],[RK]],TableQBCalcPts[RK],0)),"")</f>
        <v>Caleb Williams</v>
      </c>
      <c r="C13" s="58" t="str">
        <f>IFERROR(INDEX(TableQBCalcPts[TM],MATCH(TableQBRanks[[#This Row],[RK]],TableQBCalcPts[RK],0)),"")</f>
        <v>CHI</v>
      </c>
      <c r="D13" s="58">
        <f>IFERROR(INDEX(TableQBCalcPts[BYE],MATCH(TableQBRanks[[#This Row],[RK]],TableQBCalcPts[RK],0)),"")</f>
        <v>10</v>
      </c>
      <c r="E13" s="95">
        <f>IFERROR(INDEX(TableQBCalcPts[Custom],MATCH(TableQBRanks[[#This Row],[RK]],TableQBCalcPts[RK],0)),"")</f>
        <v>406.47584816310064</v>
      </c>
      <c r="F13" s="140">
        <f>IF(VLOOKUP(TableQBRanks[[#This Row],[Player]],'Ranks w Proj'!$B:$N,13,FALSE)&lt;0,0,VLOOKUP(TableQBRanks[[#This Row],[Player]],'Ranks w Proj'!$B:$N,13,FALSE))</f>
        <v>21.687693246487889</v>
      </c>
      <c r="H13" s="58">
        <v>12</v>
      </c>
      <c r="I13" s="58" t="str">
        <f>IFERROR(INDEX(TableRBCalcPts[PLAYER],MATCH(TableRBRanks[[#This Row],[RK]],TableRBCalcPts[RK],0)),"")</f>
        <v>Ashton Jeanty</v>
      </c>
      <c r="J13" s="58" t="str">
        <f>IFERROR(INDEX(TableRBCalcPts[TM],MATCH(TableRBRanks[[#This Row],[RK]],TableRBCalcPts[RK],0)),"")</f>
        <v>LV</v>
      </c>
      <c r="K13" s="58">
        <f>IFERROR(INDEX(TableRBCalcPts[BYE],MATCH(TableRBRanks[[#This Row],[RK]],TableRBCalcPts[RK],0)),"")</f>
        <v>13</v>
      </c>
      <c r="L13" s="95">
        <f>IFERROR(INDEX(TableRBCalcPts[Custom],MATCH(TableRBRanks[[#This Row],[RK]],TableRBCalcPts[RK],0)),"")</f>
        <v>233.06399216070568</v>
      </c>
      <c r="M13" s="140">
        <f>IF(VLOOKUP(TableRBRanks[[#This Row],[Player]],'Ranks w Proj'!$Q:$AB,12,FALSE)&lt;0,0,VLOOKUP(TableRBRanks[[#This Row],[Player]],'Ranks w Proj'!$Q:$AB,12,FALSE))</f>
        <v>19.39746894528415</v>
      </c>
      <c r="O13" s="58">
        <v>12</v>
      </c>
      <c r="P13" s="58" t="str">
        <f>IFERROR(INDEX(TableWRCalcPts[PLAYER],MATCH(TableWRRanks[[#This Row],[RK]],TableWRCalcPts[RK],0)),"")</f>
        <v>Tetairoa McMillan</v>
      </c>
      <c r="Q13" s="58" t="str">
        <f>IFERROR(INDEX(TableWRCalcPts[TM],MATCH(TableWRRanks[[#This Row],[RK]],TableWRCalcPts[RK],0)),"")</f>
        <v>CAR</v>
      </c>
      <c r="R13" s="58">
        <f>IFERROR(INDEX(TableWRCalcPts[BYE],MATCH(TableWRRanks[[#This Row],[RK]],TableWRCalcPts[RK],0)),"")</f>
        <v>5</v>
      </c>
      <c r="S13" s="95">
        <f>IFERROR(INDEX(TableWRCalcPts[Custom],MATCH(TableWRRanks[[#This Row],[RK]],TableWRCalcPts[RK],0)),"")</f>
        <v>207.85591546371469</v>
      </c>
      <c r="T13" s="140">
        <f>IF(VLOOKUP(TableWRRanks[[#This Row],[Player]],'Ranks w Proj'!$AE:$AO,11,FALSE)&lt;0,0,VLOOKUP(TableWRRanks[[#This Row],[Player]],'Ranks w Proj'!$AE:$AO,11,FALSE))</f>
        <v>22.08916362344797</v>
      </c>
      <c r="V13" s="58">
        <v>12</v>
      </c>
      <c r="W13" s="58" t="str">
        <f>IFERROR(INDEX(TableTECalcPts[PLAYER],MATCH(TableTERanks[[#This Row],[RK]],TableTECalcPts[RK],0)),"")</f>
        <v>Dalton Kincaid</v>
      </c>
      <c r="X13" s="58" t="str">
        <f>IFERROR(INDEX(TableTECalcPts[TM],MATCH(TableTERanks[[#This Row],[RK]],TableTECalcPts[RK],0)),"")</f>
        <v>BUF</v>
      </c>
      <c r="Y13" s="58">
        <f>IFERROR(INDEX(TableTECalcPts[BYE],MATCH(TableTERanks[[#This Row],[RK]],TableTECalcPts[RK],0)),"")</f>
        <v>7</v>
      </c>
      <c r="Z13" s="95">
        <f>IFERROR(INDEX(TableTECalcPts[Custom],MATCH(TableTERanks[[#This Row],[RK]],TableTECalcPts[RK],0)),"")</f>
        <v>137.45097051248635</v>
      </c>
      <c r="AA13" s="140">
        <f>IF(VLOOKUP(TableTERanks[[#This Row],[Player]],'Ranks w Proj'!$AR:$AZ,9,FALSE)&lt;0,0,VLOOKUP(TableTERanks[[#This Row],[Player]],'Ranks w Proj'!$AR:$AZ,9,FALSE))</f>
        <v>11.190997444265111</v>
      </c>
      <c r="AC13" s="58">
        <v>12</v>
      </c>
      <c r="AD13" s="58" t="str">
        <f>IFERROR(INDEX(TableDSTCalcPts[PLAYER],MATCH(TableDSTRanks[[#This Row],[RK]],TableDSTCalcPts[RK],0)),"")</f>
        <v>Detroit Lions</v>
      </c>
      <c r="AE13" s="58">
        <f>IFERROR(INDEX(TableDSTCalcPts[BYE],MATCH(TableDSTRanks[[#This Row],[RK]],TableDSTCalcPts[RK],0)),"")</f>
        <v>6</v>
      </c>
      <c r="AF13" s="95">
        <f>IFERROR(INDEX(TableDSTCalcPts[Custom],MATCH(TableDSTRanks[[#This Row],[RK]],TableDSTCalcPts[RK],0)),"")</f>
        <v>123.31190476190474</v>
      </c>
      <c r="AG13" s="140">
        <v>0</v>
      </c>
    </row>
    <row r="14" spans="1:33" x14ac:dyDescent="0.25">
      <c r="A14" s="58">
        <v>13</v>
      </c>
      <c r="B14" s="58" t="str">
        <f>IFERROR(INDEX(TableQBCalcPts[PLAYER],MATCH(TableQBRanks[[#This Row],[RK]],TableQBCalcPts[RK],0)),"")</f>
        <v>Bo Nix</v>
      </c>
      <c r="C14" s="58" t="str">
        <f>IFERROR(INDEX(TableQBCalcPts[TM],MATCH(TableQBRanks[[#This Row],[RK]],TableQBCalcPts[RK],0)),"")</f>
        <v>DEN</v>
      </c>
      <c r="D14" s="58">
        <f>IFERROR(INDEX(TableQBCalcPts[BYE],MATCH(TableQBRanks[[#This Row],[RK]],TableQBCalcPts[RK],0)),"")</f>
        <v>10</v>
      </c>
      <c r="E14" s="95">
        <f>IFERROR(INDEX(TableQBCalcPts[Custom],MATCH(TableQBRanks[[#This Row],[RK]],TableQBCalcPts[RK],0)),"")</f>
        <v>400.64266716606681</v>
      </c>
      <c r="F14" s="140">
        <f>IF(VLOOKUP(TableQBRanks[[#This Row],[Player]],'Ranks w Proj'!$B:$N,13,FALSE)&lt;0,0,VLOOKUP(TableQBRanks[[#This Row],[Player]],'Ranks w Proj'!$B:$N,13,FALSE))</f>
        <v>20.192760077259251</v>
      </c>
      <c r="H14" s="58">
        <v>13</v>
      </c>
      <c r="I14" s="58" t="str">
        <f>IFERROR(INDEX(TableRBCalcPts[PLAYER],MATCH(TableRBRanks[[#This Row],[RK]],TableRBCalcPts[RK],0)),"")</f>
        <v>Javonte Williams</v>
      </c>
      <c r="J14" s="58" t="str">
        <f>IFERROR(INDEX(TableRBCalcPts[TM],MATCH(TableRBRanks[[#This Row],[RK]],TableRBCalcPts[RK],0)),"")</f>
        <v>DAL</v>
      </c>
      <c r="K14" s="58">
        <f>IFERROR(INDEX(TableRBCalcPts[BYE],MATCH(TableRBRanks[[#This Row],[RK]],TableRBCalcPts[RK],0)),"")</f>
        <v>14</v>
      </c>
      <c r="L14" s="95">
        <f>IFERROR(INDEX(TableRBCalcPts[Custom],MATCH(TableRBRanks[[#This Row],[RK]],TableRBCalcPts[RK],0)),"")</f>
        <v>227.16469561959036</v>
      </c>
      <c r="M14" s="140">
        <f>IF(VLOOKUP(TableRBRanks[[#This Row],[Player]],'Ranks w Proj'!$Q:$AB,12,FALSE)&lt;0,0,VLOOKUP(TableRBRanks[[#This Row],[Player]],'Ranks w Proj'!$Q:$AB,12,FALSE))</f>
        <v>18.510789628896504</v>
      </c>
      <c r="O14" s="58">
        <v>13</v>
      </c>
      <c r="P14" s="58" t="str">
        <f>IFERROR(INDEX(TableWRCalcPts[PLAYER],MATCH(TableWRRanks[[#This Row],[RK]],TableWRCalcPts[RK],0)),"")</f>
        <v>Zay Flowers</v>
      </c>
      <c r="Q14" s="58" t="str">
        <f>IFERROR(INDEX(TableWRCalcPts[TM],MATCH(TableWRRanks[[#This Row],[RK]],TableWRCalcPts[RK],0)),"")</f>
        <v>BAL</v>
      </c>
      <c r="R14" s="58">
        <f>IFERROR(INDEX(TableWRCalcPts[BYE],MATCH(TableWRRanks[[#This Row],[RK]],TableWRCalcPts[RK],0)),"")</f>
        <v>13</v>
      </c>
      <c r="S14" s="95">
        <f>IFERROR(INDEX(TableWRCalcPts[Custom],MATCH(TableWRRanks[[#This Row],[RK]],TableWRCalcPts[RK],0)),"")</f>
        <v>204.82728652227939</v>
      </c>
      <c r="T14" s="140">
        <f>IF(VLOOKUP(TableWRRanks[[#This Row],[Player]],'Ranks w Proj'!$AE:$AO,11,FALSE)&lt;0,0,VLOOKUP(TableWRRanks[[#This Row],[Player]],'Ranks w Proj'!$AE:$AO,11,FALSE))</f>
        <v>21.520150305362591</v>
      </c>
      <c r="V14" s="58">
        <v>13</v>
      </c>
      <c r="W14" s="58" t="str">
        <f>IFERROR(INDEX(TableTECalcPts[PLAYER],MATCH(TableTERanks[[#This Row],[RK]],TableTECalcPts[RK],0)),"")</f>
        <v>Jake Ferguson</v>
      </c>
      <c r="X14" s="58" t="str">
        <f>IFERROR(INDEX(TableTECalcPts[TM],MATCH(TableTERanks[[#This Row],[RK]],TableTECalcPts[RK],0)),"")</f>
        <v>DAL</v>
      </c>
      <c r="Y14" s="58">
        <f>IFERROR(INDEX(TableTECalcPts[BYE],MATCH(TableTERanks[[#This Row],[RK]],TableTECalcPts[RK],0)),"")</f>
        <v>14</v>
      </c>
      <c r="Z14" s="95">
        <f>IFERROR(INDEX(TableTECalcPts[Custom],MATCH(TableTERanks[[#This Row],[RK]],TableTECalcPts[RK],0)),"")</f>
        <v>135.53776951944241</v>
      </c>
      <c r="AA14" s="140">
        <f>IF(VLOOKUP(TableTERanks[[#This Row],[Player]],'Ranks w Proj'!$AR:$AZ,9,FALSE)&lt;0,0,VLOOKUP(TableTERanks[[#This Row],[Player]],'Ranks w Proj'!$AR:$AZ,9,FALSE))</f>
        <v>10.83154870813164</v>
      </c>
      <c r="AC14" s="58">
        <v>13</v>
      </c>
      <c r="AD14" s="58" t="str">
        <f>IFERROR(INDEX(TableDSTCalcPts[PLAYER],MATCH(TableDSTRanks[[#This Row],[RK]],TableDSTCalcPts[RK],0)),"")</f>
        <v>Baltimore Ravens</v>
      </c>
      <c r="AE14" s="58">
        <f>IFERROR(INDEX(TableDSTCalcPts[BYE],MATCH(TableDSTRanks[[#This Row],[RK]],TableDSTCalcPts[RK],0)),"")</f>
        <v>13</v>
      </c>
      <c r="AF14" s="95">
        <f>IFERROR(INDEX(TableDSTCalcPts[Custom],MATCH(TableDSTRanks[[#This Row],[RK]],TableDSTCalcPts[RK],0)),"")</f>
        <v>121.13571428571429</v>
      </c>
      <c r="AG14" s="140">
        <v>0</v>
      </c>
    </row>
    <row r="15" spans="1:33" x14ac:dyDescent="0.25">
      <c r="A15" s="58">
        <v>14</v>
      </c>
      <c r="B15" s="58" t="str">
        <f>IFERROR(INDEX(TableQBCalcPts[PLAYER],MATCH(TableQBRanks[[#This Row],[RK]],TableQBCalcPts[RK],0)),"")</f>
        <v>Jayden Daniels</v>
      </c>
      <c r="C15" s="58" t="str">
        <f>IFERROR(INDEX(TableQBCalcPts[TM],MATCH(TableQBRanks[[#This Row],[RK]],TableQBCalcPts[RK],0)),"")</f>
        <v>WSH</v>
      </c>
      <c r="D15" s="58">
        <f>IFERROR(INDEX(TableQBCalcPts[BYE],MATCH(TableQBRanks[[#This Row],[RK]],TableQBCalcPts[RK],0)),"")</f>
        <v>7</v>
      </c>
      <c r="E15" s="95">
        <f>IFERROR(INDEX(TableQBCalcPts[Custom],MATCH(TableQBRanks[[#This Row],[RK]],TableQBCalcPts[RK],0)),"")</f>
        <v>399.83546948934764</v>
      </c>
      <c r="F15" s="140">
        <f>IF(VLOOKUP(TableQBRanks[[#This Row],[Player]],'Ranks w Proj'!$B:$N,13,FALSE)&lt;0,0,VLOOKUP(TableQBRanks[[#This Row],[Player]],'Ranks w Proj'!$B:$N,13,FALSE))</f>
        <v>19.812211630289035</v>
      </c>
      <c r="H15" s="58">
        <v>14</v>
      </c>
      <c r="I15" s="58" t="str">
        <f>IFERROR(INDEX(TableRBCalcPts[PLAYER],MATCH(TableRBRanks[[#This Row],[RK]],TableRBCalcPts[RK],0)),"")</f>
        <v>Cam Skattebo</v>
      </c>
      <c r="J15" s="58" t="str">
        <f>IFERROR(INDEX(TableRBCalcPts[TM],MATCH(TableRBRanks[[#This Row],[RK]],TableRBCalcPts[RK],0)),"")</f>
        <v>NYG</v>
      </c>
      <c r="K15" s="58">
        <f>IFERROR(INDEX(TableRBCalcPts[BYE],MATCH(TableRBRanks[[#This Row],[RK]],TableRBCalcPts[RK],0)),"")</f>
        <v>8</v>
      </c>
      <c r="L15" s="95">
        <f>IFERROR(INDEX(TableRBCalcPts[Custom],MATCH(TableRBRanks[[#This Row],[RK]],TableRBCalcPts[RK],0)),"")</f>
        <v>223.78050509921496</v>
      </c>
      <c r="M15" s="140">
        <f>IF(VLOOKUP(TableRBRanks[[#This Row],[Player]],'Ranks w Proj'!$Q:$AB,12,FALSE)&lt;0,0,VLOOKUP(TableRBRanks[[#This Row],[Player]],'Ranks w Proj'!$Q:$AB,12,FALSE))</f>
        <v>18.002137162247539</v>
      </c>
      <c r="O15" s="58">
        <v>14</v>
      </c>
      <c r="P15" s="58" t="str">
        <f>IFERROR(INDEX(TableWRCalcPts[PLAYER],MATCH(TableWRRanks[[#This Row],[RK]],TableWRCalcPts[RK],0)),"")</f>
        <v>Jaylen Waddle</v>
      </c>
      <c r="Q15" s="58" t="str">
        <f>IFERROR(INDEX(TableWRCalcPts[TM],MATCH(TableWRRanks[[#This Row],[RK]],TableWRCalcPts[RK],0)),"")</f>
        <v>DEN</v>
      </c>
      <c r="R15" s="58">
        <f>IFERROR(INDEX(TableWRCalcPts[BYE],MATCH(TableWRRanks[[#This Row],[RK]],TableWRCalcPts[RK],0)),"")</f>
        <v>10</v>
      </c>
      <c r="S15" s="95">
        <f>IFERROR(INDEX(TableWRCalcPts[Custom],MATCH(TableWRRanks[[#This Row],[RK]],TableWRCalcPts[RK],0)),"")</f>
        <v>200.8042267743339</v>
      </c>
      <c r="T15" s="140">
        <f>IF(VLOOKUP(TableWRRanks[[#This Row],[Player]],'Ranks w Proj'!$AE:$AO,11,FALSE)&lt;0,0,VLOOKUP(TableWRRanks[[#This Row],[Player]],'Ranks w Proj'!$AE:$AO,11,FALSE))</f>
        <v>20.76430512911287</v>
      </c>
      <c r="V15" s="58">
        <v>14</v>
      </c>
      <c r="W15" s="58" t="str">
        <f>IFERROR(INDEX(TableTECalcPts[PLAYER],MATCH(TableTERanks[[#This Row],[RK]],TableTECalcPts[RK],0)),"")</f>
        <v>Mark Andrews</v>
      </c>
      <c r="X15" s="58" t="str">
        <f>IFERROR(INDEX(TableTECalcPts[TM],MATCH(TableTERanks[[#This Row],[RK]],TableTECalcPts[RK],0)),"")</f>
        <v>BAL</v>
      </c>
      <c r="Y15" s="58">
        <f>IFERROR(INDEX(TableTECalcPts[BYE],MATCH(TableTERanks[[#This Row],[RK]],TableTECalcPts[RK],0)),"")</f>
        <v>13</v>
      </c>
      <c r="Z15" s="95">
        <f>IFERROR(INDEX(TableTECalcPts[Custom],MATCH(TableTERanks[[#This Row],[RK]],TableTECalcPts[RK],0)),"")</f>
        <v>128.78263794049053</v>
      </c>
      <c r="AA15" s="140">
        <f>IF(VLOOKUP(TableTERanks[[#This Row],[Player]],'Ranks w Proj'!$AR:$AZ,9,FALSE)&lt;0,0,VLOOKUP(TableTERanks[[#This Row],[Player]],'Ranks w Proj'!$AR:$AZ,9,FALSE))</f>
        <v>9.5624068263859296</v>
      </c>
      <c r="AC15" s="58">
        <v>14</v>
      </c>
      <c r="AD15" s="58" t="str">
        <f>IFERROR(INDEX(TableDSTCalcPts[PLAYER],MATCH(TableDSTRanks[[#This Row],[RK]],TableDSTCalcPts[RK],0)),"")</f>
        <v>Buffalo Bills</v>
      </c>
      <c r="AE15" s="58">
        <f>IFERROR(INDEX(TableDSTCalcPts[BYE],MATCH(TableDSTRanks[[#This Row],[RK]],TableDSTCalcPts[RK],0)),"")</f>
        <v>7</v>
      </c>
      <c r="AF15" s="95">
        <f>IFERROR(INDEX(TableDSTCalcPts[Custom],MATCH(TableDSTRanks[[#This Row],[RK]],TableDSTCalcPts[RK],0)),"")</f>
        <v>120.82857142857142</v>
      </c>
      <c r="AG15" s="140">
        <v>0</v>
      </c>
    </row>
    <row r="16" spans="1:33" x14ac:dyDescent="0.25">
      <c r="A16" s="58">
        <v>15</v>
      </c>
      <c r="B16" s="58" t="str">
        <f>IFERROR(INDEX(TableQBCalcPts[PLAYER],MATCH(TableQBRanks[[#This Row],[RK]],TableQBCalcPts[RK],0)),"")</f>
        <v>Justin Herbert</v>
      </c>
      <c r="C16" s="58" t="str">
        <f>IFERROR(INDEX(TableQBCalcPts[TM],MATCH(TableQBRanks[[#This Row],[RK]],TableQBCalcPts[RK],0)),"")</f>
        <v>LAC</v>
      </c>
      <c r="D16" s="58">
        <f>IFERROR(INDEX(TableQBCalcPts[BYE],MATCH(TableQBRanks[[#This Row],[RK]],TableQBCalcPts[RK],0)),"")</f>
        <v>7</v>
      </c>
      <c r="E16" s="95">
        <f>IFERROR(INDEX(TableQBCalcPts[Custom],MATCH(TableQBRanks[[#This Row],[RK]],TableQBCalcPts[RK],0)),"")</f>
        <v>395.41933124934303</v>
      </c>
      <c r="F16" s="140">
        <f>IF(VLOOKUP(TableQBRanks[[#This Row],[Player]],'Ranks w Proj'!$B:$N,13,FALSE)&lt;0,0,VLOOKUP(TableQBRanks[[#This Row],[Player]],'Ranks w Proj'!$B:$N,13,FALSE))</f>
        <v>18.880958958839273</v>
      </c>
      <c r="H16" s="58">
        <v>15</v>
      </c>
      <c r="I16" s="58" t="str">
        <f>IFERROR(INDEX(TableRBCalcPts[PLAYER],MATCH(TableRBRanks[[#This Row],[RK]],TableRBCalcPts[RK],0)),"")</f>
        <v>Kyren Williams</v>
      </c>
      <c r="J16" s="58" t="str">
        <f>IFERROR(INDEX(TableRBCalcPts[TM],MATCH(TableRBRanks[[#This Row],[RK]],TableRBCalcPts[RK],0)),"")</f>
        <v>LAR</v>
      </c>
      <c r="K16" s="58">
        <f>IFERROR(INDEX(TableRBCalcPts[BYE],MATCH(TableRBRanks[[#This Row],[RK]],TableRBCalcPts[RK],0)),"")</f>
        <v>11</v>
      </c>
      <c r="L16" s="95">
        <f>IFERROR(INDEX(TableRBCalcPts[Custom],MATCH(TableRBRanks[[#This Row],[RK]],TableRBCalcPts[RK],0)),"")</f>
        <v>222.27899113491048</v>
      </c>
      <c r="M16" s="140">
        <f>IF(VLOOKUP(TableRBRanks[[#This Row],[Player]],'Ranks w Proj'!$Q:$AB,12,FALSE)&lt;0,0,VLOOKUP(TableRBRanks[[#This Row],[Player]],'Ranks w Proj'!$Q:$AB,12,FALSE))</f>
        <v>17.776455783775202</v>
      </c>
      <c r="O16" s="58">
        <v>15</v>
      </c>
      <c r="P16" s="58" t="str">
        <f>IFERROR(INDEX(TableWRCalcPts[PLAYER],MATCH(TableWRRanks[[#This Row],[RK]],TableWRCalcPts[RK],0)),"")</f>
        <v>Terry McLaurin</v>
      </c>
      <c r="Q16" s="58" t="str">
        <f>IFERROR(INDEX(TableWRCalcPts[TM],MATCH(TableWRRanks[[#This Row],[RK]],TableWRCalcPts[RK],0)),"")</f>
        <v>WSH</v>
      </c>
      <c r="R16" s="58">
        <f>IFERROR(INDEX(TableWRCalcPts[BYE],MATCH(TableWRRanks[[#This Row],[RK]],TableWRCalcPts[RK],0)),"")</f>
        <v>7</v>
      </c>
      <c r="S16" s="95">
        <f>IFERROR(INDEX(TableWRCalcPts[Custom],MATCH(TableWRRanks[[#This Row],[RK]],TableWRCalcPts[RK],0)),"")</f>
        <v>200.39780956148348</v>
      </c>
      <c r="T16" s="140">
        <f>IF(VLOOKUP(TableWRRanks[[#This Row],[Player]],'Ranks w Proj'!$AE:$AO,11,FALSE)&lt;0,0,VLOOKUP(TableWRRanks[[#This Row],[Player]],'Ranks w Proj'!$AE:$AO,11,FALSE))</f>
        <v>20.687948199530918</v>
      </c>
      <c r="V16" s="58">
        <v>15</v>
      </c>
      <c r="W16" s="58" t="str">
        <f>IFERROR(INDEX(TableTECalcPts[PLAYER],MATCH(TableTERanks[[#This Row],[RK]],TableTECalcPts[RK],0)),"")</f>
        <v>T.J. Hockenson</v>
      </c>
      <c r="X16" s="58" t="str">
        <f>IFERROR(INDEX(TableTECalcPts[TM],MATCH(TableTERanks[[#This Row],[RK]],TableTECalcPts[RK],0)),"")</f>
        <v>MIN</v>
      </c>
      <c r="Y16" s="58">
        <f>IFERROR(INDEX(TableTECalcPts[BYE],MATCH(TableTERanks[[#This Row],[RK]],TableTECalcPts[RK],0)),"")</f>
        <v>6</v>
      </c>
      <c r="Z16" s="95">
        <f>IFERROR(INDEX(TableTECalcPts[Custom],MATCH(TableTERanks[[#This Row],[RK]],TableTECalcPts[RK],0)),"")</f>
        <v>122.26222914582712</v>
      </c>
      <c r="AA16" s="140">
        <f>IF(VLOOKUP(TableTERanks[[#This Row],[Player]],'Ranks w Proj'!$AR:$AZ,9,FALSE)&lt;0,0,VLOOKUP(TableTERanks[[#This Row],[Player]],'Ranks w Proj'!$AR:$AZ,9,FALSE))</f>
        <v>8.3373642360690745</v>
      </c>
      <c r="AC16" s="58">
        <v>15</v>
      </c>
      <c r="AD16" s="58" t="str">
        <f>IFERROR(INDEX(TableDSTCalcPts[PLAYER],MATCH(TableDSTRanks[[#This Row],[RK]],TableDSTCalcPts[RK],0)),"")</f>
        <v>New England Patriots</v>
      </c>
      <c r="AE16" s="58">
        <f>IFERROR(INDEX(TableDSTCalcPts[BYE],MATCH(TableDSTRanks[[#This Row],[RK]],TableDSTCalcPts[RK],0)),"")</f>
        <v>11</v>
      </c>
      <c r="AF16" s="95">
        <f>IFERROR(INDEX(TableDSTCalcPts[Custom],MATCH(TableDSTRanks[[#This Row],[RK]],TableDSTCalcPts[RK],0)),"")</f>
        <v>120.17380952380952</v>
      </c>
      <c r="AG16" s="140">
        <v>0</v>
      </c>
    </row>
    <row r="17" spans="1:33" x14ac:dyDescent="0.25">
      <c r="A17" s="58">
        <v>16</v>
      </c>
      <c r="B17" s="58" t="str">
        <f>IFERROR(INDEX(TableQBCalcPts[PLAYER],MATCH(TableQBRanks[[#This Row],[RK]],TableQBCalcPts[RK],0)),"")</f>
        <v>Jaxson Dart</v>
      </c>
      <c r="C17" s="58" t="str">
        <f>IFERROR(INDEX(TableQBCalcPts[TM],MATCH(TableQBRanks[[#This Row],[RK]],TableQBCalcPts[RK],0)),"")</f>
        <v>NYG</v>
      </c>
      <c r="D17" s="58">
        <f>IFERROR(INDEX(TableQBCalcPts[BYE],MATCH(TableQBRanks[[#This Row],[RK]],TableQBCalcPts[RK],0)),"")</f>
        <v>8</v>
      </c>
      <c r="E17" s="95">
        <f>IFERROR(INDEX(TableQBCalcPts[Custom],MATCH(TableQBRanks[[#This Row],[RK]],TableQBCalcPts[RK],0)),"")</f>
        <v>391.99200877029875</v>
      </c>
      <c r="F17" s="140">
        <f>IF(VLOOKUP(TableQBRanks[[#This Row],[Player]],'Ranks w Proj'!$B:$N,13,FALSE)&lt;0,0,VLOOKUP(TableQBRanks[[#This Row],[Player]],'Ranks w Proj'!$B:$N,13,FALSE))</f>
        <v>18.062150228510593</v>
      </c>
      <c r="H17" s="58">
        <v>16</v>
      </c>
      <c r="I17" s="58" t="str">
        <f>IFERROR(INDEX(TableRBCalcPts[PLAYER],MATCH(TableRBRanks[[#This Row],[RK]],TableRBCalcPts[RK],0)),"")</f>
        <v>Breece Hall</v>
      </c>
      <c r="J17" s="58" t="str">
        <f>IFERROR(INDEX(TableRBCalcPts[TM],MATCH(TableRBRanks[[#This Row],[RK]],TableRBCalcPts[RK],0)),"")</f>
        <v>NYJ</v>
      </c>
      <c r="K17" s="58">
        <f>IFERROR(INDEX(TableRBCalcPts[BYE],MATCH(TableRBRanks[[#This Row],[RK]],TableRBCalcPts[RK],0)),"")</f>
        <v>13</v>
      </c>
      <c r="L17" s="95">
        <f>IFERROR(INDEX(TableRBCalcPts[Custom],MATCH(TableRBRanks[[#This Row],[RK]],TableRBCalcPts[RK],0)),"")</f>
        <v>219.69324965444545</v>
      </c>
      <c r="M17" s="140">
        <f>IF(VLOOKUP(TableRBRanks[[#This Row],[Player]],'Ranks w Proj'!$Q:$AB,12,FALSE)&lt;0,0,VLOOKUP(TableRBRanks[[#This Row],[Player]],'Ranks w Proj'!$Q:$AB,12,FALSE))</f>
        <v>17.387812244282873</v>
      </c>
      <c r="O17" s="58">
        <v>16</v>
      </c>
      <c r="P17" s="58" t="str">
        <f>IFERROR(INDEX(TableWRCalcPts[PLAYER],MATCH(TableWRRanks[[#This Row],[RK]],TableWRCalcPts[RK],0)),"")</f>
        <v>DeVonta Smith</v>
      </c>
      <c r="Q17" s="58" t="str">
        <f>IFERROR(INDEX(TableWRCalcPts[TM],MATCH(TableWRRanks[[#This Row],[RK]],TableWRCalcPts[RK],0)),"")</f>
        <v>PHI</v>
      </c>
      <c r="R17" s="58">
        <f>IFERROR(INDEX(TableWRCalcPts[BYE],MATCH(TableWRRanks[[#This Row],[RK]],TableWRCalcPts[RK],0)),"")</f>
        <v>10</v>
      </c>
      <c r="S17" s="95">
        <f>IFERROR(INDEX(TableWRCalcPts[Custom],MATCH(TableWRRanks[[#This Row],[RK]],TableWRCalcPts[RK],0)),"")</f>
        <v>198.11700522987917</v>
      </c>
      <c r="T17" s="140">
        <f>IF(VLOOKUP(TableWRRanks[[#This Row],[Player]],'Ranks w Proj'!$AE:$AO,11,FALSE)&lt;0,0,VLOOKUP(TableWRRanks[[#This Row],[Player]],'Ranks w Proj'!$AE:$AO,11,FALSE))</f>
        <v>20.259434814192065</v>
      </c>
      <c r="V17" s="58">
        <v>16</v>
      </c>
      <c r="W17" s="58" t="str">
        <f>IFERROR(INDEX(TableTECalcPts[PLAYER],MATCH(TableTERanks[[#This Row],[RK]],TableTECalcPts[RK],0)),"")</f>
        <v>Chig Okonkwo</v>
      </c>
      <c r="X17" s="58" t="str">
        <f>IFERROR(INDEX(TableTECalcPts[TM],MATCH(TableTERanks[[#This Row],[RK]],TableTECalcPts[RK],0)),"")</f>
        <v>WSH</v>
      </c>
      <c r="Y17" s="58">
        <f>IFERROR(INDEX(TableTECalcPts[BYE],MATCH(TableTERanks[[#This Row],[RK]],TableTECalcPts[RK],0)),"")</f>
        <v>7</v>
      </c>
      <c r="Z17" s="95">
        <f>IFERROR(INDEX(TableTECalcPts[Custom],MATCH(TableTERanks[[#This Row],[RK]],TableTECalcPts[RK],0)),"")</f>
        <v>121.96386463260998</v>
      </c>
      <c r="AA17" s="140">
        <f>IF(VLOOKUP(TableTERanks[[#This Row],[Player]],'Ranks w Proj'!$AR:$AZ,9,FALSE)&lt;0,0,VLOOKUP(TableTERanks[[#This Row],[Player]],'Ranks w Proj'!$AR:$AZ,9,FALSE))</f>
        <v>8.2813080519185807</v>
      </c>
      <c r="AC17" s="58">
        <v>16</v>
      </c>
      <c r="AD17" s="58" t="str">
        <f>IFERROR(INDEX(TableDSTCalcPts[PLAYER],MATCH(TableDSTRanks[[#This Row],[RK]],TableDSTCalcPts[RK],0)),"")</f>
        <v>New Orleans Saints</v>
      </c>
      <c r="AE17" s="58">
        <f>IFERROR(INDEX(TableDSTCalcPts[BYE],MATCH(TableDSTRanks[[#This Row],[RK]],TableDSTCalcPts[RK],0)),"")</f>
        <v>8</v>
      </c>
      <c r="AF17" s="95">
        <f>IFERROR(INDEX(TableDSTCalcPts[Custom],MATCH(TableDSTRanks[[#This Row],[RK]],TableDSTCalcPts[RK],0)),"")</f>
        <v>119.95238095238095</v>
      </c>
      <c r="AG17" s="140">
        <v>0</v>
      </c>
    </row>
    <row r="18" spans="1:33" x14ac:dyDescent="0.25">
      <c r="A18" s="58">
        <v>17</v>
      </c>
      <c r="B18" s="58" t="str">
        <f>IFERROR(INDEX(TableQBCalcPts[PLAYER],MATCH(TableQBRanks[[#This Row],[RK]],TableQBCalcPts[RK],0)),"")</f>
        <v>Baker Mayfield</v>
      </c>
      <c r="C18" s="58" t="str">
        <f>IFERROR(INDEX(TableQBCalcPts[TM],MATCH(TableQBRanks[[#This Row],[RK]],TableQBCalcPts[RK],0)),"")</f>
        <v>TB</v>
      </c>
      <c r="D18" s="58">
        <f>IFERROR(INDEX(TableQBCalcPts[BYE],MATCH(TableQBRanks[[#This Row],[RK]],TableQBCalcPts[RK],0)),"")</f>
        <v>10</v>
      </c>
      <c r="E18" s="95">
        <f>IFERROR(INDEX(TableQBCalcPts[Custom],MATCH(TableQBRanks[[#This Row],[RK]],TableQBCalcPts[RK],0)),"")</f>
        <v>384.49518701509407</v>
      </c>
      <c r="F18" s="140">
        <f>IF(VLOOKUP(TableQBRanks[[#This Row],[Player]],'Ranks w Proj'!$B:$N,13,FALSE)&lt;0,0,VLOOKUP(TableQBRanks[[#This Row],[Player]],'Ranks w Proj'!$B:$N,13,FALSE))</f>
        <v>16.510453800403699</v>
      </c>
      <c r="H18" s="58">
        <v>17</v>
      </c>
      <c r="I18" s="58" t="str">
        <f>IFERROR(INDEX(TableRBCalcPts[PLAYER],MATCH(TableRBRanks[[#This Row],[RK]],TableRBCalcPts[RK],0)),"")</f>
        <v>Josh Jacobs</v>
      </c>
      <c r="J18" s="58" t="str">
        <f>IFERROR(INDEX(TableRBCalcPts[TM],MATCH(TableRBRanks[[#This Row],[RK]],TableRBCalcPts[RK],0)),"")</f>
        <v>GB</v>
      </c>
      <c r="K18" s="58">
        <f>IFERROR(INDEX(TableRBCalcPts[BYE],MATCH(TableRBRanks[[#This Row],[RK]],TableRBCalcPts[RK],0)),"")</f>
        <v>11</v>
      </c>
      <c r="L18" s="95">
        <f>IFERROR(INDEX(TableRBCalcPts[Custom],MATCH(TableRBRanks[[#This Row],[RK]],TableRBCalcPts[RK],0)),"")</f>
        <v>217.57593303188446</v>
      </c>
      <c r="M18" s="140">
        <f>IF(VLOOKUP(TableRBRanks[[#This Row],[Player]],'Ranks w Proj'!$Q:$AB,12,FALSE)&lt;0,0,VLOOKUP(TableRBRanks[[#This Row],[Player]],'Ranks w Proj'!$Q:$AB,12,FALSE))</f>
        <v>17.069574155659236</v>
      </c>
      <c r="O18" s="58">
        <v>17</v>
      </c>
      <c r="P18" s="58" t="str">
        <f>IFERROR(INDEX(TableWRCalcPts[PLAYER],MATCH(TableWRRanks[[#This Row],[RK]],TableWRCalcPts[RK],0)),"")</f>
        <v>Rashee Rice</v>
      </c>
      <c r="Q18" s="58" t="str">
        <f>IFERROR(INDEX(TableWRCalcPts[TM],MATCH(TableWRRanks[[#This Row],[RK]],TableWRCalcPts[RK],0)),"")</f>
        <v>KC</v>
      </c>
      <c r="R18" s="58">
        <f>IFERROR(INDEX(TableWRCalcPts[BYE],MATCH(TableWRRanks[[#This Row],[RK]],TableWRCalcPts[RK],0)),"")</f>
        <v>5</v>
      </c>
      <c r="S18" s="95">
        <f>IFERROR(INDEX(TableWRCalcPts[Custom],MATCH(TableWRRanks[[#This Row],[RK]],TableWRCalcPts[RK],0)),"")</f>
        <v>197.06183681925825</v>
      </c>
      <c r="T18" s="140">
        <f>IF(VLOOKUP(TableWRRanks[[#This Row],[Player]],'Ranks w Proj'!$AE:$AO,11,FALSE)&lt;0,0,VLOOKUP(TableWRRanks[[#This Row],[Player]],'Ranks w Proj'!$AE:$AO,11,FALSE))</f>
        <v>20.061191685015022</v>
      </c>
      <c r="V18" s="58">
        <v>17</v>
      </c>
      <c r="W18" s="58" t="str">
        <f>IFERROR(INDEX(TableTECalcPts[PLAYER],MATCH(TableTERanks[[#This Row],[RK]],TableTECalcPts[RK],0)),"")</f>
        <v>Dalton Schultz</v>
      </c>
      <c r="X18" s="58" t="str">
        <f>IFERROR(INDEX(TableTECalcPts[TM],MATCH(TableTERanks[[#This Row],[RK]],TableTECalcPts[RK],0)),"")</f>
        <v>HOU</v>
      </c>
      <c r="Y18" s="58">
        <f>IFERROR(INDEX(TableTECalcPts[BYE],MATCH(TableTERanks[[#This Row],[RK]],TableTECalcPts[RK],0)),"")</f>
        <v>8</v>
      </c>
      <c r="Z18" s="95">
        <f>IFERROR(INDEX(TableTECalcPts[Custom],MATCH(TableTERanks[[#This Row],[RK]],TableTECalcPts[RK],0)),"")</f>
        <v>120.45266133204058</v>
      </c>
      <c r="AA18" s="140">
        <f>IF(VLOOKUP(TableTERanks[[#This Row],[Player]],'Ranks w Proj'!$AR:$AZ,9,FALSE)&lt;0,0,VLOOKUP(TableTERanks[[#This Row],[Player]],'Ranks w Proj'!$AR:$AZ,9,FALSE))</f>
        <v>7.9973859138863599</v>
      </c>
      <c r="AC18" s="58">
        <v>17</v>
      </c>
      <c r="AD18" s="58" t="str">
        <f>IFERROR(INDEX(TableDSTCalcPts[PLAYER],MATCH(TableDSTRanks[[#This Row],[RK]],TableDSTCalcPts[RK],0)),"")</f>
        <v>Cleveland Browns</v>
      </c>
      <c r="AE18" s="58">
        <f>IFERROR(INDEX(TableDSTCalcPts[BYE],MATCH(TableDSTRanks[[#This Row],[RK]],TableDSTCalcPts[RK],0)),"")</f>
        <v>11</v>
      </c>
      <c r="AF18" s="95">
        <f>IFERROR(INDEX(TableDSTCalcPts[Custom],MATCH(TableDSTRanks[[#This Row],[RK]],TableDSTCalcPts[RK],0)),"")</f>
        <v>119.90714285714287</v>
      </c>
      <c r="AG18" s="140">
        <v>0</v>
      </c>
    </row>
    <row r="19" spans="1:33" x14ac:dyDescent="0.25">
      <c r="A19" s="58">
        <v>18</v>
      </c>
      <c r="B19" s="58" t="str">
        <f>IFERROR(INDEX(TableQBCalcPts[PLAYER],MATCH(TableQBRanks[[#This Row],[RK]],TableQBCalcPts[RK],0)),"")</f>
        <v>Kyler Murray</v>
      </c>
      <c r="C19" s="58" t="str">
        <f>IFERROR(INDEX(TableQBCalcPts[TM],MATCH(TableQBRanks[[#This Row],[RK]],TableQBCalcPts[RK],0)),"")</f>
        <v>MIN</v>
      </c>
      <c r="D19" s="58">
        <f>IFERROR(INDEX(TableQBCalcPts[BYE],MATCH(TableQBRanks[[#This Row],[RK]],TableQBCalcPts[RK],0)),"")</f>
        <v>6</v>
      </c>
      <c r="E19" s="95">
        <f>IFERROR(INDEX(TableQBCalcPts[Custom],MATCH(TableQBRanks[[#This Row],[RK]],TableQBCalcPts[RK],0)),"")</f>
        <v>377.21023069187635</v>
      </c>
      <c r="F19" s="140">
        <f>IF(VLOOKUP(TableQBRanks[[#This Row],[Player]],'Ranks w Proj'!$B:$N,13,FALSE)&lt;0,0,VLOOKUP(TableQBRanks[[#This Row],[Player]],'Ranks w Proj'!$B:$N,13,FALSE))</f>
        <v>14.948735695278563</v>
      </c>
      <c r="H19" s="58">
        <v>18</v>
      </c>
      <c r="I19" s="58" t="str">
        <f>IFERROR(INDEX(TableRBCalcPts[PLAYER],MATCH(TableRBRanks[[#This Row],[RK]],TableRBCalcPts[RK],0)),"")</f>
        <v>Jeremiyah Love</v>
      </c>
      <c r="J19" s="58" t="str">
        <f>IFERROR(INDEX(TableRBCalcPts[TM],MATCH(TableRBRanks[[#This Row],[RK]],TableRBCalcPts[RK],0)),"")</f>
        <v>ARI</v>
      </c>
      <c r="K19" s="58">
        <f>IFERROR(INDEX(TableRBCalcPts[BYE],MATCH(TableRBRanks[[#This Row],[RK]],TableRBCalcPts[RK],0)),"")</f>
        <v>14</v>
      </c>
      <c r="L19" s="95">
        <f>IFERROR(INDEX(TableRBCalcPts[Custom],MATCH(TableRBRanks[[#This Row],[RK]],TableRBCalcPts[RK],0)),"")</f>
        <v>214.72193089157778</v>
      </c>
      <c r="M19" s="140">
        <f>IF(VLOOKUP(TableRBRanks[[#This Row],[Player]],'Ranks w Proj'!$Q:$AB,12,FALSE)&lt;0,0,VLOOKUP(TableRBRanks[[#This Row],[Player]],'Ranks w Proj'!$Q:$AB,12,FALSE))</f>
        <v>16.640610354789246</v>
      </c>
      <c r="O19" s="58">
        <v>18</v>
      </c>
      <c r="P19" s="58" t="str">
        <f>IFERROR(INDEX(TableWRCalcPts[PLAYER],MATCH(TableWRRanks[[#This Row],[RK]],TableWRCalcPts[RK],0)),"")</f>
        <v>Ladd McConkey</v>
      </c>
      <c r="Q19" s="58" t="str">
        <f>IFERROR(INDEX(TableWRCalcPts[TM],MATCH(TableWRRanks[[#This Row],[RK]],TableWRCalcPts[RK],0)),"")</f>
        <v>LAC</v>
      </c>
      <c r="R19" s="58">
        <f>IFERROR(INDEX(TableWRCalcPts[BYE],MATCH(TableWRRanks[[#This Row],[RK]],TableWRCalcPts[RK],0)),"")</f>
        <v>7</v>
      </c>
      <c r="S19" s="95">
        <f>IFERROR(INDEX(TableWRCalcPts[Custom],MATCH(TableWRRanks[[#This Row],[RK]],TableWRCalcPts[RK],0)),"")</f>
        <v>196.40430309354878</v>
      </c>
      <c r="T19" s="140">
        <f>IF(VLOOKUP(TableWRRanks[[#This Row],[Player]],'Ranks w Proj'!$AE:$AO,11,FALSE)&lt;0,0,VLOOKUP(TableWRRanks[[#This Row],[Player]],'Ranks w Proj'!$AE:$AO,11,FALSE))</f>
        <v>19.937655439983413</v>
      </c>
      <c r="V19" s="58">
        <v>18</v>
      </c>
      <c r="W19" s="58" t="str">
        <f>IFERROR(INDEX(TableTECalcPts[PLAYER],MATCH(TableTERanks[[#This Row],[RK]],TableTECalcPts[RK],0)),"")</f>
        <v>Hunter Henry</v>
      </c>
      <c r="X19" s="58" t="str">
        <f>IFERROR(INDEX(TableTECalcPts[TM],MATCH(TableTERanks[[#This Row],[RK]],TableTECalcPts[RK],0)),"")</f>
        <v>NE</v>
      </c>
      <c r="Y19" s="58">
        <f>IFERROR(INDEX(TableTECalcPts[BYE],MATCH(TableTERanks[[#This Row],[RK]],TableTECalcPts[RK],0)),"")</f>
        <v>11</v>
      </c>
      <c r="Z19" s="95">
        <f>IFERROR(INDEX(TableTECalcPts[Custom],MATCH(TableTERanks[[#This Row],[RK]],TableTECalcPts[RK],0)),"")</f>
        <v>119.83960027840953</v>
      </c>
      <c r="AA19" s="140">
        <f>IF(VLOOKUP(TableTERanks[[#This Row],[Player]],'Ranks w Proj'!$AR:$AZ,9,FALSE)&lt;0,0,VLOOKUP(TableTERanks[[#This Row],[Player]],'Ranks w Proj'!$AR:$AZ,9,FALSE))</f>
        <v>7.8822051139068829</v>
      </c>
      <c r="AC19" s="58">
        <v>18</v>
      </c>
      <c r="AD19" s="58" t="str">
        <f>IFERROR(INDEX(TableDSTCalcPts[PLAYER],MATCH(TableDSTRanks[[#This Row],[RK]],TableDSTCalcPts[RK],0)),"")</f>
        <v>Indianapolis Colts</v>
      </c>
      <c r="AE19" s="58">
        <f>IFERROR(INDEX(TableDSTCalcPts[BYE],MATCH(TableDSTRanks[[#This Row],[RK]],TableDSTCalcPts[RK],0)),"")</f>
        <v>13</v>
      </c>
      <c r="AF19" s="95">
        <f>IFERROR(INDEX(TableDSTCalcPts[Custom],MATCH(TableDSTRanks[[#This Row],[RK]],TableDSTCalcPts[RK],0)),"")</f>
        <v>114.31190476190477</v>
      </c>
      <c r="AG19" s="140">
        <v>0</v>
      </c>
    </row>
    <row r="20" spans="1:33" x14ac:dyDescent="0.25">
      <c r="A20" s="58">
        <v>19</v>
      </c>
      <c r="B20" s="58" t="str">
        <f>IFERROR(INDEX(TableQBCalcPts[PLAYER],MATCH(TableQBRanks[[#This Row],[RK]],TableQBCalcPts[RK],0)),"")</f>
        <v>Jordan Love</v>
      </c>
      <c r="C20" s="58" t="str">
        <f>IFERROR(INDEX(TableQBCalcPts[TM],MATCH(TableQBRanks[[#This Row],[RK]],TableQBCalcPts[RK],0)),"")</f>
        <v>GB</v>
      </c>
      <c r="D20" s="58">
        <f>IFERROR(INDEX(TableQBCalcPts[BYE],MATCH(TableQBRanks[[#This Row],[RK]],TableQBCalcPts[RK],0)),"")</f>
        <v>11</v>
      </c>
      <c r="E20" s="95">
        <f>IFERROR(INDEX(TableQBCalcPts[Custom],MATCH(TableQBRanks[[#This Row],[RK]],TableQBCalcPts[RK],0)),"")</f>
        <v>374.83660990818674</v>
      </c>
      <c r="F20" s="140">
        <f>IF(VLOOKUP(TableQBRanks[[#This Row],[Player]],'Ranks w Proj'!$B:$N,13,FALSE)&lt;0,0,VLOOKUP(TableQBRanks[[#This Row],[Player]],'Ranks w Proj'!$B:$N,13,FALSE))</f>
        <v>13.960710789882222</v>
      </c>
      <c r="H20" s="58">
        <v>19</v>
      </c>
      <c r="I20" s="58" t="str">
        <f>IFERROR(INDEX(TableRBCalcPts[PLAYER],MATCH(TableRBRanks[[#This Row],[RK]],TableRBCalcPts[RK],0)),"")</f>
        <v>Travis Etienne</v>
      </c>
      <c r="J20" s="58" t="str">
        <f>IFERROR(INDEX(TableRBCalcPts[TM],MATCH(TableRBRanks[[#This Row],[RK]],TableRBCalcPts[RK],0)),"")</f>
        <v>NO</v>
      </c>
      <c r="K20" s="58">
        <f>IFERROR(INDEX(TableRBCalcPts[BYE],MATCH(TableRBRanks[[#This Row],[RK]],TableRBCalcPts[RK],0)),"")</f>
        <v>8</v>
      </c>
      <c r="L20" s="95">
        <f>IFERROR(INDEX(TableRBCalcPts[Custom],MATCH(TableRBRanks[[#This Row],[RK]],TableRBCalcPts[RK],0)),"")</f>
        <v>206.70738022037409</v>
      </c>
      <c r="M20" s="140">
        <f>IF(VLOOKUP(TableRBRanks[[#This Row],[Player]],'Ranks w Proj'!$Q:$AB,12,FALSE)&lt;0,0,VLOOKUP(TableRBRanks[[#This Row],[Player]],'Ranks w Proj'!$Q:$AB,12,FALSE))</f>
        <v>15.43600294765702</v>
      </c>
      <c r="O20" s="58">
        <v>19</v>
      </c>
      <c r="P20" s="58" t="str">
        <f>IFERROR(INDEX(TableWRCalcPts[PLAYER],MATCH(TableWRRanks[[#This Row],[RK]],TableWRCalcPts[RK],0)),"")</f>
        <v>Chris Olave</v>
      </c>
      <c r="Q20" s="58" t="str">
        <f>IFERROR(INDEX(TableWRCalcPts[TM],MATCH(TableWRRanks[[#This Row],[RK]],TableWRCalcPts[RK],0)),"")</f>
        <v>NO</v>
      </c>
      <c r="R20" s="58">
        <f>IFERROR(INDEX(TableWRCalcPts[BYE],MATCH(TableWRRanks[[#This Row],[RK]],TableWRCalcPts[RK],0)),"")</f>
        <v>8</v>
      </c>
      <c r="S20" s="95">
        <f>IFERROR(INDEX(TableWRCalcPts[Custom],MATCH(TableWRRanks[[#This Row],[RK]],TableWRCalcPts[RK],0)),"")</f>
        <v>193.42620577280005</v>
      </c>
      <c r="T20" s="140">
        <f>IF(VLOOKUP(TableWRRanks[[#This Row],[Player]],'Ranks w Proj'!$AE:$AO,11,FALSE)&lt;0,0,VLOOKUP(TableWRRanks[[#This Row],[Player]],'Ranks w Proj'!$AE:$AO,11,FALSE))</f>
        <v>19.37813591123674</v>
      </c>
      <c r="V20" s="58">
        <v>19</v>
      </c>
      <c r="W20" s="58" t="str">
        <f>IFERROR(INDEX(TableTECalcPts[PLAYER],MATCH(TableTERanks[[#This Row],[RK]],TableTECalcPts[RK],0)),"")</f>
        <v>Dallas Goedert</v>
      </c>
      <c r="X20" s="58" t="str">
        <f>IFERROR(INDEX(TableTECalcPts[TM],MATCH(TableTERanks[[#This Row],[RK]],TableTECalcPts[RK],0)),"")</f>
        <v>PHI</v>
      </c>
      <c r="Y20" s="58">
        <f>IFERROR(INDEX(TableTECalcPts[BYE],MATCH(TableTERanks[[#This Row],[RK]],TableTECalcPts[RK],0)),"")</f>
        <v>10</v>
      </c>
      <c r="Z20" s="95">
        <f>IFERROR(INDEX(TableTECalcPts[Custom],MATCH(TableTERanks[[#This Row],[RK]],TableTECalcPts[RK],0)),"")</f>
        <v>114.12704445993541</v>
      </c>
      <c r="AA20" s="140">
        <f>IF(VLOOKUP(TableTERanks[[#This Row],[Player]],'Ranks w Proj'!$AR:$AZ,9,FALSE)&lt;0,0,VLOOKUP(TableTERanks[[#This Row],[Player]],'Ranks w Proj'!$AR:$AZ,9,FALSE))</f>
        <v>6.8089404770453488</v>
      </c>
      <c r="AC20" s="58">
        <v>19</v>
      </c>
      <c r="AD20" s="58" t="str">
        <f>IFERROR(INDEX(TableDSTCalcPts[PLAYER],MATCH(TableDSTRanks[[#This Row],[RK]],TableDSTCalcPts[RK],0)),"")</f>
        <v>Green Bay Packers</v>
      </c>
      <c r="AE20" s="58">
        <f>IFERROR(INDEX(TableDSTCalcPts[BYE],MATCH(TableDSTRanks[[#This Row],[RK]],TableDSTCalcPts[RK],0)),"")</f>
        <v>11</v>
      </c>
      <c r="AF20" s="95">
        <f>IFERROR(INDEX(TableDSTCalcPts[Custom],MATCH(TableDSTRanks[[#This Row],[RK]],TableDSTCalcPts[RK],0)),"")</f>
        <v>112.32142857142857</v>
      </c>
      <c r="AG20" s="140">
        <v>0</v>
      </c>
    </row>
    <row r="21" spans="1:33" x14ac:dyDescent="0.25">
      <c r="A21" s="58">
        <v>20</v>
      </c>
      <c r="B21" s="58" t="str">
        <f>IFERROR(INDEX(TableQBCalcPts[PLAYER],MATCH(TableQBRanks[[#This Row],[RK]],TableQBCalcPts[RK],0)),"")</f>
        <v>C.J. Stroud</v>
      </c>
      <c r="C21" s="58" t="str">
        <f>IFERROR(INDEX(TableQBCalcPts[TM],MATCH(TableQBRanks[[#This Row],[RK]],TableQBCalcPts[RK],0)),"")</f>
        <v>HOU</v>
      </c>
      <c r="D21" s="58">
        <f>IFERROR(INDEX(TableQBCalcPts[BYE],MATCH(TableQBRanks[[#This Row],[RK]],TableQBCalcPts[RK],0)),"")</f>
        <v>8</v>
      </c>
      <c r="E21" s="95">
        <f>IFERROR(INDEX(TableQBCalcPts[Custom],MATCH(TableQBRanks[[#This Row],[RK]],TableQBCalcPts[RK],0)),"")</f>
        <v>366.66195305256093</v>
      </c>
      <c r="F21" s="140">
        <f>IF(VLOOKUP(TableQBRanks[[#This Row],[Player]],'Ranks w Proj'!$B:$N,13,FALSE)&lt;0,0,VLOOKUP(TableQBRanks[[#This Row],[Player]],'Ranks w Proj'!$B:$N,13,FALSE))</f>
        <v>11.912355839758938</v>
      </c>
      <c r="H21" s="58">
        <v>20</v>
      </c>
      <c r="I21" s="58" t="str">
        <f>IFERROR(INDEX(TableRBCalcPts[PLAYER],MATCH(TableRBRanks[[#This Row],[RK]],TableRBCalcPts[RK],0)),"")</f>
        <v>Bhayshul Tuten</v>
      </c>
      <c r="J21" s="58" t="str">
        <f>IFERROR(INDEX(TableRBCalcPts[TM],MATCH(TableRBRanks[[#This Row],[RK]],TableRBCalcPts[RK],0)),"")</f>
        <v>JAX</v>
      </c>
      <c r="K21" s="58">
        <f>IFERROR(INDEX(TableRBCalcPts[BYE],MATCH(TableRBRanks[[#This Row],[RK]],TableRBCalcPts[RK],0)),"")</f>
        <v>7</v>
      </c>
      <c r="L21" s="95">
        <f>IFERROR(INDEX(TableRBCalcPts[Custom],MATCH(TableRBRanks[[#This Row],[RK]],TableRBCalcPts[RK],0)),"")</f>
        <v>199.12984589076595</v>
      </c>
      <c r="M21" s="140">
        <f>IF(VLOOKUP(TableRBRanks[[#This Row],[Player]],'Ranks w Proj'!$Q:$AB,12,FALSE)&lt;0,0,VLOOKUP(TableRBRanks[[#This Row],[Player]],'Ranks w Proj'!$Q:$AB,12,FALSE))</f>
        <v>14.297080211284355</v>
      </c>
      <c r="O21" s="58">
        <v>20</v>
      </c>
      <c r="P21" s="58" t="str">
        <f>IFERROR(INDEX(TableWRCalcPts[PLAYER],MATCH(TableWRRanks[[#This Row],[RK]],TableWRCalcPts[RK],0)),"")</f>
        <v>Mike Evans</v>
      </c>
      <c r="Q21" s="58" t="str">
        <f>IFERROR(INDEX(TableWRCalcPts[TM],MATCH(TableWRRanks[[#This Row],[RK]],TableWRCalcPts[RK],0)),"")</f>
        <v>SF</v>
      </c>
      <c r="R21" s="58">
        <f>IFERROR(INDEX(TableWRCalcPts[BYE],MATCH(TableWRRanks[[#This Row],[RK]],TableWRCalcPts[RK],0)),"")</f>
        <v>8</v>
      </c>
      <c r="S21" s="95">
        <f>IFERROR(INDEX(TableWRCalcPts[Custom],MATCH(TableWRRanks[[#This Row],[RK]],TableWRCalcPts[RK],0)),"")</f>
        <v>192.40786039577091</v>
      </c>
      <c r="T21" s="140">
        <f>IF(VLOOKUP(TableWRRanks[[#This Row],[Player]],'Ranks w Proj'!$AE:$AO,11,FALSE)&lt;0,0,VLOOKUP(TableWRRanks[[#This Row],[Player]],'Ranks w Proj'!$AE:$AO,11,FALSE))</f>
        <v>19.186811026892986</v>
      </c>
      <c r="V21" s="58">
        <v>20</v>
      </c>
      <c r="W21" s="58" t="str">
        <f>IFERROR(INDEX(TableTECalcPts[PLAYER],MATCH(TableTERanks[[#This Row],[RK]],TableTECalcPts[RK],0)),"")</f>
        <v>Greg Dulcich</v>
      </c>
      <c r="X21" s="58" t="str">
        <f>IFERROR(INDEX(TableTECalcPts[TM],MATCH(TableTERanks[[#This Row],[RK]],TableTECalcPts[RK],0)),"")</f>
        <v>MIA</v>
      </c>
      <c r="Y21" s="58">
        <f>IFERROR(INDEX(TableTECalcPts[BYE],MATCH(TableTERanks[[#This Row],[RK]],TableTECalcPts[RK],0)),"")</f>
        <v>6</v>
      </c>
      <c r="Z21" s="95">
        <f>IFERROR(INDEX(TableTECalcPts[Custom],MATCH(TableTERanks[[#This Row],[RK]],TableTECalcPts[RK],0)),"")</f>
        <v>110.66370102094356</v>
      </c>
      <c r="AA21" s="140">
        <f>IF(VLOOKUP(TableTERanks[[#This Row],[Player]],'Ranks w Proj'!$AR:$AZ,9,FALSE)&lt;0,0,VLOOKUP(TableTERanks[[#This Row],[Player]],'Ranks w Proj'!$AR:$AZ,9,FALSE))</f>
        <v>6.1582537867979674</v>
      </c>
      <c r="AC21" s="58">
        <v>20</v>
      </c>
      <c r="AD21" s="58" t="str">
        <f>IFERROR(INDEX(TableDSTCalcPts[PLAYER],MATCH(TableDSTRanks[[#This Row],[RK]],TableDSTCalcPts[RK],0)),"")</f>
        <v>Miami Dolphins</v>
      </c>
      <c r="AE21" s="58">
        <f>IFERROR(INDEX(TableDSTCalcPts[BYE],MATCH(TableDSTRanks[[#This Row],[RK]],TableDSTCalcPts[RK],0)),"")</f>
        <v>6</v>
      </c>
      <c r="AF21" s="95">
        <f>IFERROR(INDEX(TableDSTCalcPts[Custom],MATCH(TableDSTRanks[[#This Row],[RK]],TableDSTCalcPts[RK],0)),"")</f>
        <v>110.49761904761904</v>
      </c>
      <c r="AG21" s="140">
        <v>0</v>
      </c>
    </row>
    <row r="22" spans="1:33" x14ac:dyDescent="0.25">
      <c r="A22" s="58">
        <v>21</v>
      </c>
      <c r="B22" s="58" t="str">
        <f>IFERROR(INDEX(TableQBCalcPts[PLAYER],MATCH(TableQBRanks[[#This Row],[RK]],TableQBCalcPts[RK],0)),"")</f>
        <v>Sam Darnold</v>
      </c>
      <c r="C22" s="58" t="str">
        <f>IFERROR(INDEX(TableQBCalcPts[TM],MATCH(TableQBRanks[[#This Row],[RK]],TableQBCalcPts[RK],0)),"")</f>
        <v>SEA</v>
      </c>
      <c r="D22" s="58">
        <f>IFERROR(INDEX(TableQBCalcPts[BYE],MATCH(TableQBRanks[[#This Row],[RK]],TableQBCalcPts[RK],0)),"")</f>
        <v>11</v>
      </c>
      <c r="E22" s="95">
        <f>IFERROR(INDEX(TableQBCalcPts[Custom],MATCH(TableQBRanks[[#This Row],[RK]],TableQBCalcPts[RK],0)),"")</f>
        <v>361.25469849816261</v>
      </c>
      <c r="F22" s="140">
        <f>IF(VLOOKUP(TableQBRanks[[#This Row],[Player]],'Ranks w Proj'!$B:$N,13,FALSE)&lt;0,0,VLOOKUP(TableQBRanks[[#This Row],[Player]],'Ranks w Proj'!$B:$N,13,FALSE))</f>
        <v>10.641242386869596</v>
      </c>
      <c r="H22" s="58">
        <v>21</v>
      </c>
      <c r="I22" s="58" t="str">
        <f>IFERROR(INDEX(TableRBCalcPts[PLAYER],MATCH(TableRBRanks[[#This Row],[RK]],TableRBCalcPts[RK],0)),"")</f>
        <v>David Montgomery</v>
      </c>
      <c r="J22" s="58" t="str">
        <f>IFERROR(INDEX(TableRBCalcPts[TM],MATCH(TableRBRanks[[#This Row],[RK]],TableRBCalcPts[RK],0)),"")</f>
        <v>HOU</v>
      </c>
      <c r="K22" s="58">
        <f>IFERROR(INDEX(TableRBCalcPts[BYE],MATCH(TableRBRanks[[#This Row],[RK]],TableRBCalcPts[RK],0)),"")</f>
        <v>8</v>
      </c>
      <c r="L22" s="95">
        <f>IFERROR(INDEX(TableRBCalcPts[Custom],MATCH(TableRBRanks[[#This Row],[RK]],TableRBCalcPts[RK],0)),"")</f>
        <v>195.35659337837441</v>
      </c>
      <c r="M22" s="140">
        <f>IF(VLOOKUP(TableRBRanks[[#This Row],[Player]],'Ranks w Proj'!$Q:$AB,12,FALSE)&lt;0,0,VLOOKUP(TableRBRanks[[#This Row],[Player]],'Ranks w Proj'!$Q:$AB,12,FALSE))</f>
        <v>13.729950734926014</v>
      </c>
      <c r="O22" s="58">
        <v>21</v>
      </c>
      <c r="P22" s="58" t="str">
        <f>IFERROR(INDEX(TableWRCalcPts[PLAYER],MATCH(TableWRRanks[[#This Row],[RK]],TableWRCalcPts[RK],0)),"")</f>
        <v>Luther Burden</v>
      </c>
      <c r="Q22" s="58" t="str">
        <f>IFERROR(INDEX(TableWRCalcPts[TM],MATCH(TableWRRanks[[#This Row],[RK]],TableWRCalcPts[RK],0)),"")</f>
        <v>CHI</v>
      </c>
      <c r="R22" s="58">
        <f>IFERROR(INDEX(TableWRCalcPts[BYE],MATCH(TableWRRanks[[#This Row],[RK]],TableWRCalcPts[RK],0)),"")</f>
        <v>10</v>
      </c>
      <c r="S22" s="95">
        <f>IFERROR(INDEX(TableWRCalcPts[Custom],MATCH(TableWRRanks[[#This Row],[RK]],TableWRCalcPts[RK],0)),"")</f>
        <v>192.08515296732605</v>
      </c>
      <c r="T22" s="140">
        <f>IF(VLOOKUP(TableWRRanks[[#This Row],[Player]],'Ranks w Proj'!$AE:$AO,11,FALSE)&lt;0,0,VLOOKUP(TableWRRanks[[#This Row],[Player]],'Ranks w Proj'!$AE:$AO,11,FALSE))</f>
        <v>19.126181339935304</v>
      </c>
      <c r="V22" s="58">
        <v>21</v>
      </c>
      <c r="W22" s="58" t="str">
        <f>IFERROR(INDEX(TableTECalcPts[PLAYER],MATCH(TableTERanks[[#This Row],[RK]],TableTECalcPts[RK],0)),"")</f>
        <v>Pat Freiermuth</v>
      </c>
      <c r="X22" s="58" t="str">
        <f>IFERROR(INDEX(TableTECalcPts[TM],MATCH(TableTERanks[[#This Row],[RK]],TableTECalcPts[RK],0)),"")</f>
        <v>PIT</v>
      </c>
      <c r="Y22" s="58">
        <f>IFERROR(INDEX(TableTECalcPts[BYE],MATCH(TableTERanks[[#This Row],[RK]],TableTECalcPts[RK],0)),"")</f>
        <v>9</v>
      </c>
      <c r="Z22" s="95">
        <f>IFERROR(INDEX(TableTECalcPts[Custom],MATCH(TableTERanks[[#This Row],[RK]],TableTECalcPts[RK],0)),"")</f>
        <v>109.06915797030996</v>
      </c>
      <c r="AA22" s="140">
        <f>IF(VLOOKUP(TableTERanks[[#This Row],[Player]],'Ranks w Proj'!$AR:$AZ,9,FALSE)&lt;0,0,VLOOKUP(TableTERanks[[#This Row],[Player]],'Ranks w Proj'!$AR:$AZ,9,FALSE))</f>
        <v>5.8586739275230908</v>
      </c>
      <c r="AC22" s="58">
        <v>21</v>
      </c>
      <c r="AD22" s="58" t="str">
        <f>IFERROR(INDEX(TableDSTCalcPts[PLAYER],MATCH(TableDSTRanks[[#This Row],[RK]],TableDSTCalcPts[RK],0)),"")</f>
        <v>Tampa Bay Buccaneers</v>
      </c>
      <c r="AE22" s="58">
        <f>IFERROR(INDEX(TableDSTCalcPts[BYE],MATCH(TableDSTRanks[[#This Row],[RK]],TableDSTCalcPts[RK],0)),"")</f>
        <v>10</v>
      </c>
      <c r="AF22" s="95">
        <f>IFERROR(INDEX(TableDSTCalcPts[Custom],MATCH(TableDSTRanks[[#This Row],[RK]],TableDSTCalcPts[RK],0)),"")</f>
        <v>109.98333333333332</v>
      </c>
      <c r="AG22" s="140">
        <v>0</v>
      </c>
    </row>
    <row r="23" spans="1:33" x14ac:dyDescent="0.25">
      <c r="A23" s="58">
        <v>22</v>
      </c>
      <c r="B23" s="58" t="str">
        <f>IFERROR(INDEX(TableQBCalcPts[PLAYER],MATCH(TableQBRanks[[#This Row],[RK]],TableQBCalcPts[RK],0)),"")</f>
        <v>Malik Willis</v>
      </c>
      <c r="C23" s="58" t="str">
        <f>IFERROR(INDEX(TableQBCalcPts[TM],MATCH(TableQBRanks[[#This Row],[RK]],TableQBCalcPts[RK],0)),"")</f>
        <v>MIA</v>
      </c>
      <c r="D23" s="58">
        <f>IFERROR(INDEX(TableQBCalcPts[BYE],MATCH(TableQBRanks[[#This Row],[RK]],TableQBCalcPts[RK],0)),"")</f>
        <v>6</v>
      </c>
      <c r="E23" s="95">
        <f>IFERROR(INDEX(TableQBCalcPts[Custom],MATCH(TableQBRanks[[#This Row],[RK]],TableQBCalcPts[RK],0)),"")</f>
        <v>356.96347448918812</v>
      </c>
      <c r="F23" s="140">
        <f>IF(VLOOKUP(TableQBRanks[[#This Row],[Player]],'Ranks w Proj'!$B:$N,13,FALSE)&lt;0,0,VLOOKUP(TableQBRanks[[#This Row],[Player]],'Ranks w Proj'!$B:$N,13,FALSE))</f>
        <v>9.5179705225548545</v>
      </c>
      <c r="H23" s="58">
        <v>22</v>
      </c>
      <c r="I23" s="58" t="str">
        <f>IFERROR(INDEX(TableRBCalcPts[PLAYER],MATCH(TableRBRanks[[#This Row],[RK]],TableRBCalcPts[RK],0)),"")</f>
        <v>TreVeyon Henderson</v>
      </c>
      <c r="J23" s="58" t="str">
        <f>IFERROR(INDEX(TableRBCalcPts[TM],MATCH(TableRBRanks[[#This Row],[RK]],TableRBCalcPts[RK],0)),"")</f>
        <v>NE</v>
      </c>
      <c r="K23" s="58">
        <f>IFERROR(INDEX(TableRBCalcPts[BYE],MATCH(TableRBRanks[[#This Row],[RK]],TableRBCalcPts[RK],0)),"")</f>
        <v>11</v>
      </c>
      <c r="L23" s="95">
        <f>IFERROR(INDEX(TableRBCalcPts[Custom],MATCH(TableRBRanks[[#This Row],[RK]],TableRBCalcPts[RK],0)),"")</f>
        <v>190.66909293364586</v>
      </c>
      <c r="M23" s="140">
        <f>IF(VLOOKUP(TableRBRanks[[#This Row],[Player]],'Ranks w Proj'!$Q:$AB,12,FALSE)&lt;0,0,VLOOKUP(TableRBRanks[[#This Row],[Player]],'Ranks w Proj'!$Q:$AB,12,FALSE))</f>
        <v>13.025407462532232</v>
      </c>
      <c r="O23" s="58">
        <v>22</v>
      </c>
      <c r="P23" s="58" t="str">
        <f>IFERROR(INDEX(TableWRCalcPts[PLAYER],MATCH(TableWRRanks[[#This Row],[RK]],TableWRCalcPts[RK],0)),"")</f>
        <v>Davante Adams</v>
      </c>
      <c r="Q23" s="58" t="str">
        <f>IFERROR(INDEX(TableWRCalcPts[TM],MATCH(TableWRRanks[[#This Row],[RK]],TableWRCalcPts[RK],0)),"")</f>
        <v>LAR</v>
      </c>
      <c r="R23" s="58">
        <f>IFERROR(INDEX(TableWRCalcPts[BYE],MATCH(TableWRRanks[[#This Row],[RK]],TableWRCalcPts[RK],0)),"")</f>
        <v>11</v>
      </c>
      <c r="S23" s="95">
        <f>IFERROR(INDEX(TableWRCalcPts[Custom],MATCH(TableWRRanks[[#This Row],[RK]],TableWRCalcPts[RK],0)),"")</f>
        <v>189.81633003807275</v>
      </c>
      <c r="T23" s="140">
        <f>IF(VLOOKUP(TableWRRanks[[#This Row],[Player]],'Ranks w Proj'!$AE:$AO,11,FALSE)&lt;0,0,VLOOKUP(TableWRRanks[[#This Row],[Player]],'Ranks w Proj'!$AE:$AO,11,FALSE))</f>
        <v>18.699918998761611</v>
      </c>
      <c r="V23" s="58">
        <v>22</v>
      </c>
      <c r="W23" s="58" t="str">
        <f>IFERROR(INDEX(TableTECalcPts[PLAYER],MATCH(TableTERanks[[#This Row],[RK]],TableTECalcPts[RK],0)),"")</f>
        <v>Juwan Johnson</v>
      </c>
      <c r="X23" s="58" t="str">
        <f>IFERROR(INDEX(TableTECalcPts[TM],MATCH(TableTERanks[[#This Row],[RK]],TableTECalcPts[RK],0)),"")</f>
        <v>NO</v>
      </c>
      <c r="Y23" s="58">
        <f>IFERROR(INDEX(TableTECalcPts[BYE],MATCH(TableTERanks[[#This Row],[RK]],TableTECalcPts[RK],0)),"")</f>
        <v>8</v>
      </c>
      <c r="Z23" s="95">
        <f>IFERROR(INDEX(TableTECalcPts[Custom],MATCH(TableTERanks[[#This Row],[RK]],TableTECalcPts[RK],0)),"")</f>
        <v>100.82874804237828</v>
      </c>
      <c r="AA23" s="140">
        <f>IF(VLOOKUP(TableTERanks[[#This Row],[Player]],'Ranks w Proj'!$AR:$AZ,9,FALSE)&lt;0,0,VLOOKUP(TableTERanks[[#This Row],[Player]],'Ranks w Proj'!$AR:$AZ,9,FALSE))</f>
        <v>4.3104806406776035</v>
      </c>
      <c r="AC23" s="58">
        <v>22</v>
      </c>
      <c r="AD23" s="58" t="str">
        <f>IFERROR(INDEX(TableDSTCalcPts[PLAYER],MATCH(TableDSTRanks[[#This Row],[RK]],TableDSTCalcPts[RK],0)),"")</f>
        <v>New York Giants</v>
      </c>
      <c r="AE23" s="58">
        <f>IFERROR(INDEX(TableDSTCalcPts[BYE],MATCH(TableDSTRanks[[#This Row],[RK]],TableDSTCalcPts[RK],0)),"")</f>
        <v>8</v>
      </c>
      <c r="AF23" s="95">
        <f>IFERROR(INDEX(TableDSTCalcPts[Custom],MATCH(TableDSTRanks[[#This Row],[RK]],TableDSTCalcPts[RK],0)),"")</f>
        <v>109.32380952380953</v>
      </c>
      <c r="AG23" s="140">
        <v>0</v>
      </c>
    </row>
    <row r="24" spans="1:33" x14ac:dyDescent="0.25">
      <c r="A24" s="58">
        <v>23</v>
      </c>
      <c r="B24" s="58" t="str">
        <f>IFERROR(INDEX(TableQBCalcPts[PLAYER],MATCH(TableQBRanks[[#This Row],[RK]],TableQBCalcPts[RK],0)),"")</f>
        <v>Tyler Shough</v>
      </c>
      <c r="C24" s="58" t="str">
        <f>IFERROR(INDEX(TableQBCalcPts[TM],MATCH(TableQBRanks[[#This Row],[RK]],TableQBCalcPts[RK],0)),"")</f>
        <v>NO</v>
      </c>
      <c r="D24" s="58">
        <f>IFERROR(INDEX(TableQBCalcPts[BYE],MATCH(TableQBRanks[[#This Row],[RK]],TableQBCalcPts[RK],0)),"")</f>
        <v>8</v>
      </c>
      <c r="E24" s="95">
        <f>IFERROR(INDEX(TableQBCalcPts[Custom],MATCH(TableQBRanks[[#This Row],[RK]],TableQBCalcPts[RK],0)),"")</f>
        <v>355.86080203740499</v>
      </c>
      <c r="F24" s="140">
        <f>IF(VLOOKUP(TableQBRanks[[#This Row],[Player]],'Ranks w Proj'!$B:$N,13,FALSE)&lt;0,0,VLOOKUP(TableQBRanks[[#This Row],[Player]],'Ranks w Proj'!$B:$N,13,FALSE))</f>
        <v>9.2015544088506829</v>
      </c>
      <c r="H24" s="58">
        <v>23</v>
      </c>
      <c r="I24" s="58" t="str">
        <f>IFERROR(INDEX(TableRBCalcPts[PLAYER],MATCH(TableRBRanks[[#This Row],[RK]],TableRBCalcPts[RK],0)),"")</f>
        <v>Rhamondre Stevenson</v>
      </c>
      <c r="J24" s="58" t="str">
        <f>IFERROR(INDEX(TableRBCalcPts[TM],MATCH(TableRBRanks[[#This Row],[RK]],TableRBCalcPts[RK],0)),"")</f>
        <v>NE</v>
      </c>
      <c r="K24" s="58">
        <f>IFERROR(INDEX(TableRBCalcPts[BYE],MATCH(TableRBRanks[[#This Row],[RK]],TableRBCalcPts[RK],0)),"")</f>
        <v>11</v>
      </c>
      <c r="L24" s="95">
        <f>IFERROR(INDEX(TableRBCalcPts[Custom],MATCH(TableRBRanks[[#This Row],[RK]],TableRBCalcPts[RK],0)),"")</f>
        <v>189.05386180345894</v>
      </c>
      <c r="M24" s="140">
        <f>IF(VLOOKUP(TableRBRanks[[#This Row],[Player]],'Ranks w Proj'!$Q:$AB,12,FALSE)&lt;0,0,VLOOKUP(TableRBRanks[[#This Row],[Player]],'Ranks w Proj'!$Q:$AB,12,FALSE))</f>
        <v>12.782634103990164</v>
      </c>
      <c r="O24" s="58">
        <v>23</v>
      </c>
      <c r="P24" s="58" t="str">
        <f>IFERROR(INDEX(TableWRCalcPts[PLAYER],MATCH(TableWRRanks[[#This Row],[RK]],TableWRCalcPts[RK],0)),"")</f>
        <v>Garrett Wilson</v>
      </c>
      <c r="Q24" s="58" t="str">
        <f>IFERROR(INDEX(TableWRCalcPts[TM],MATCH(TableWRRanks[[#This Row],[RK]],TableWRCalcPts[RK],0)),"")</f>
        <v>NYJ</v>
      </c>
      <c r="R24" s="58">
        <f>IFERROR(INDEX(TableWRCalcPts[BYE],MATCH(TableWRRanks[[#This Row],[RK]],TableWRCalcPts[RK],0)),"")</f>
        <v>13</v>
      </c>
      <c r="S24" s="95">
        <f>IFERROR(INDEX(TableWRCalcPts[Custom],MATCH(TableWRRanks[[#This Row],[RK]],TableWRCalcPts[RK],0)),"")</f>
        <v>189.14773728625423</v>
      </c>
      <c r="T24" s="140">
        <f>IF(VLOOKUP(TableWRRanks[[#This Row],[Player]],'Ranks w Proj'!$AE:$AO,11,FALSE)&lt;0,0,VLOOKUP(TableWRRanks[[#This Row],[Player]],'Ranks w Proj'!$AE:$AO,11,FALSE))</f>
        <v>18.574305003941962</v>
      </c>
      <c r="V24" s="58">
        <v>23</v>
      </c>
      <c r="W24" s="58" t="str">
        <f>IFERROR(INDEX(TableTECalcPts[PLAYER],MATCH(TableTERanks[[#This Row],[RK]],TableTECalcPts[RK],0)),"")</f>
        <v>Terrance Ferguson</v>
      </c>
      <c r="X24" s="58" t="str">
        <f>IFERROR(INDEX(TableTECalcPts[TM],MATCH(TableTERanks[[#This Row],[RK]],TableTECalcPts[RK],0)),"")</f>
        <v>LAR</v>
      </c>
      <c r="Y24" s="58">
        <f>IFERROR(INDEX(TableTECalcPts[BYE],MATCH(TableTERanks[[#This Row],[RK]],TableTECalcPts[RK],0)),"")</f>
        <v>11</v>
      </c>
      <c r="Z24" s="95">
        <f>IFERROR(INDEX(TableTECalcPts[Custom],MATCH(TableTERanks[[#This Row],[RK]],TableTECalcPts[RK],0)),"")</f>
        <v>99.499741342592898</v>
      </c>
      <c r="AA24" s="140">
        <f>IF(VLOOKUP(TableTERanks[[#This Row],[Player]],'Ranks w Proj'!$AR:$AZ,9,FALSE)&lt;0,0,VLOOKUP(TableTERanks[[#This Row],[Player]],'Ranks w Proj'!$AR:$AZ,9,FALSE))</f>
        <v>4.0607892698871648</v>
      </c>
      <c r="AC24" s="58">
        <v>23</v>
      </c>
      <c r="AD24" s="58" t="str">
        <f>IFERROR(INDEX(TableDSTCalcPts[PLAYER],MATCH(TableDSTRanks[[#This Row],[RK]],TableDSTCalcPts[RK],0)),"")</f>
        <v>Kansas City Chiefs</v>
      </c>
      <c r="AE24" s="58">
        <f>IFERROR(INDEX(TableDSTCalcPts[BYE],MATCH(TableDSTRanks[[#This Row],[RK]],TableDSTCalcPts[RK],0)),"")</f>
        <v>5</v>
      </c>
      <c r="AF24" s="95">
        <f>IFERROR(INDEX(TableDSTCalcPts[Custom],MATCH(TableDSTRanks[[#This Row],[RK]],TableDSTCalcPts[RK],0)),"")</f>
        <v>108.76428571428572</v>
      </c>
      <c r="AG24" s="140">
        <v>0</v>
      </c>
    </row>
    <row r="25" spans="1:33" x14ac:dyDescent="0.25">
      <c r="A25" s="58">
        <v>24</v>
      </c>
      <c r="B25" s="58" t="str">
        <f>IFERROR(INDEX(TableQBCalcPts[PLAYER],MATCH(TableQBRanks[[#This Row],[RK]],TableQBCalcPts[RK],0)),"")</f>
        <v>Cam Ward</v>
      </c>
      <c r="C25" s="58" t="str">
        <f>IFERROR(INDEX(TableQBCalcPts[TM],MATCH(TableQBRanks[[#This Row],[RK]],TableQBCalcPts[RK],0)),"")</f>
        <v>TEN</v>
      </c>
      <c r="D25" s="58">
        <f>IFERROR(INDEX(TableQBCalcPts[BYE],MATCH(TableQBRanks[[#This Row],[RK]],TableQBCalcPts[RK],0)),"")</f>
        <v>9</v>
      </c>
      <c r="E25" s="95">
        <f>IFERROR(INDEX(TableQBCalcPts[Custom],MATCH(TableQBRanks[[#This Row],[RK]],TableQBCalcPts[RK],0)),"")</f>
        <v>351.54746339601598</v>
      </c>
      <c r="F25" s="140">
        <f>IF(VLOOKUP(TableQBRanks[[#This Row],[Player]],'Ranks w Proj'!$B:$N,13,FALSE)&lt;0,0,VLOOKUP(TableQBRanks[[#This Row],[Player]],'Ranks w Proj'!$B:$N,13,FALSE))</f>
        <v>8.3871371267846175</v>
      </c>
      <c r="H25" s="58">
        <v>24</v>
      </c>
      <c r="I25" s="58" t="str">
        <f>IFERROR(INDEX(TableRBCalcPts[PLAYER],MATCH(TableRBRanks[[#This Row],[RK]],TableRBCalcPts[RK],0)),"")</f>
        <v>Quinshon Judkins</v>
      </c>
      <c r="J25" s="58" t="str">
        <f>IFERROR(INDEX(TableRBCalcPts[TM],MATCH(TableRBRanks[[#This Row],[RK]],TableRBCalcPts[RK],0)),"")</f>
        <v>CLE</v>
      </c>
      <c r="K25" s="58">
        <f>IFERROR(INDEX(TableRBCalcPts[BYE],MATCH(TableRBRanks[[#This Row],[RK]],TableRBCalcPts[RK],0)),"")</f>
        <v>11</v>
      </c>
      <c r="L25" s="95">
        <f>IFERROR(INDEX(TableRBCalcPts[Custom],MATCH(TableRBRanks[[#This Row],[RK]],TableRBCalcPts[RK],0)),"")</f>
        <v>188.99420386322706</v>
      </c>
      <c r="M25" s="140">
        <f>IF(VLOOKUP(TableRBRanks[[#This Row],[Player]],'Ranks w Proj'!$Q:$AB,12,FALSE)&lt;0,0,VLOOKUP(TableRBRanks[[#This Row],[Player]],'Ranks w Proj'!$Q:$AB,12,FALSE))</f>
        <v>12.773667363414702</v>
      </c>
      <c r="O25" s="58">
        <v>24</v>
      </c>
      <c r="P25" s="58" t="str">
        <f>IFERROR(INDEX(TableWRCalcPts[PLAYER],MATCH(TableWRRanks[[#This Row],[RK]],TableWRCalcPts[RK],0)),"")</f>
        <v>Parker Washington</v>
      </c>
      <c r="Q25" s="58" t="str">
        <f>IFERROR(INDEX(TableWRCalcPts[TM],MATCH(TableWRRanks[[#This Row],[RK]],TableWRCalcPts[RK],0)),"")</f>
        <v>JAX</v>
      </c>
      <c r="R25" s="58">
        <f>IFERROR(INDEX(TableWRCalcPts[BYE],MATCH(TableWRRanks[[#This Row],[RK]],TableWRCalcPts[RK],0)),"")</f>
        <v>7</v>
      </c>
      <c r="S25" s="95">
        <f>IFERROR(INDEX(TableWRCalcPts[Custom],MATCH(TableWRRanks[[#This Row],[RK]],TableWRCalcPts[RK],0)),"")</f>
        <v>188.01132302400001</v>
      </c>
      <c r="T25" s="140">
        <f>IF(VLOOKUP(TableWRRanks[[#This Row],[Player]],'Ranks w Proj'!$AE:$AO,11,FALSE)&lt;0,0,VLOOKUP(TableWRRanks[[#This Row],[Player]],'Ranks w Proj'!$AE:$AO,11,FALSE))</f>
        <v>18.360797551365625</v>
      </c>
      <c r="V25" s="58">
        <v>24</v>
      </c>
      <c r="W25" s="58" t="str">
        <f>IFERROR(INDEX(TableTECalcPts[PLAYER],MATCH(TableTERanks[[#This Row],[RK]],TableTECalcPts[RK],0)),"")</f>
        <v>Brenton Strange</v>
      </c>
      <c r="X25" s="58" t="str">
        <f>IFERROR(INDEX(TableTECalcPts[TM],MATCH(TableTERanks[[#This Row],[RK]],TableTECalcPts[RK],0)),"")</f>
        <v>JAX</v>
      </c>
      <c r="Y25" s="58">
        <f>IFERROR(INDEX(TableTECalcPts[BYE],MATCH(TableTERanks[[#This Row],[RK]],TableTECalcPts[RK],0)),"")</f>
        <v>7</v>
      </c>
      <c r="Z25" s="95">
        <f>IFERROR(INDEX(TableTECalcPts[Custom],MATCH(TableTERanks[[#This Row],[RK]],TableTECalcPts[RK],0)),"")</f>
        <v>99.194542803959408</v>
      </c>
      <c r="AA25" s="140">
        <f>IF(VLOOKUP(TableTERanks[[#This Row],[Player]],'Ranks w Proj'!$AR:$AZ,9,FALSE)&lt;0,0,VLOOKUP(TableTERanks[[#This Row],[Player]],'Ranks w Proj'!$AR:$AZ,9,FALSE))</f>
        <v>4.0034491214236985</v>
      </c>
      <c r="AC25" s="58">
        <v>24</v>
      </c>
      <c r="AD25" s="58" t="str">
        <f>IFERROR(INDEX(TableDSTCalcPts[PLAYER],MATCH(TableDSTRanks[[#This Row],[RK]],TableDSTCalcPts[RK],0)),"")</f>
        <v>Cincinnati Bengals</v>
      </c>
      <c r="AE25" s="58">
        <f>IFERROR(INDEX(TableDSTCalcPts[BYE],MATCH(TableDSTRanks[[#This Row],[RK]],TableDSTCalcPts[RK],0)),"")</f>
        <v>6</v>
      </c>
      <c r="AF25" s="95">
        <f>IFERROR(INDEX(TableDSTCalcPts[Custom],MATCH(TableDSTRanks[[#This Row],[RK]],TableDSTCalcPts[RK],0)),"")</f>
        <v>108.26904761904761</v>
      </c>
      <c r="AG25" s="140">
        <v>0</v>
      </c>
    </row>
    <row r="26" spans="1:33" x14ac:dyDescent="0.25">
      <c r="A26" s="58">
        <v>25</v>
      </c>
      <c r="B26" s="58" t="str">
        <f>IFERROR(INDEX(TableQBCalcPts[PLAYER],MATCH(TableQBRanks[[#This Row],[RK]],TableQBCalcPts[RK],0)),"")</f>
        <v>Daniel Jones</v>
      </c>
      <c r="C26" s="58" t="str">
        <f>IFERROR(INDEX(TableQBCalcPts[TM],MATCH(TableQBRanks[[#This Row],[RK]],TableQBCalcPts[RK],0)),"")</f>
        <v>IND</v>
      </c>
      <c r="D26" s="58">
        <f>IFERROR(INDEX(TableQBCalcPts[BYE],MATCH(TableQBRanks[[#This Row],[RK]],TableQBCalcPts[RK],0)),"")</f>
        <v>13</v>
      </c>
      <c r="E26" s="95">
        <f>IFERROR(INDEX(TableQBCalcPts[Custom],MATCH(TableQBRanks[[#This Row],[RK]],TableQBCalcPts[RK],0)),"")</f>
        <v>347.48702268943157</v>
      </c>
      <c r="F26" s="140">
        <f>IF(VLOOKUP(TableQBRanks[[#This Row],[Player]],'Ranks w Proj'!$B:$N,13,FALSE)&lt;0,0,VLOOKUP(TableQBRanks[[#This Row],[Player]],'Ranks w Proj'!$B:$N,13,FALSE))</f>
        <v>7.173195690276577</v>
      </c>
      <c r="H26" s="58">
        <v>25</v>
      </c>
      <c r="I26" s="58" t="str">
        <f>IFERROR(INDEX(TableRBCalcPts[PLAYER],MATCH(TableRBRanks[[#This Row],[RK]],TableRBCalcPts[RK],0)),"")</f>
        <v>Jadarian Price</v>
      </c>
      <c r="J26" s="58" t="str">
        <f>IFERROR(INDEX(TableRBCalcPts[TM],MATCH(TableRBRanks[[#This Row],[RK]],TableRBCalcPts[RK],0)),"")</f>
        <v>SEA</v>
      </c>
      <c r="K26" s="58">
        <f>IFERROR(INDEX(TableRBCalcPts[BYE],MATCH(TableRBRanks[[#This Row],[RK]],TableRBCalcPts[RK],0)),"")</f>
        <v>11</v>
      </c>
      <c r="L26" s="95">
        <f>IFERROR(INDEX(TableRBCalcPts[Custom],MATCH(TableRBRanks[[#This Row],[RK]],TableRBCalcPts[RK],0)),"")</f>
        <v>182.32508966027049</v>
      </c>
      <c r="M26" s="140">
        <f>IF(VLOOKUP(TableRBRanks[[#This Row],[Player]],'Ranks w Proj'!$Q:$AB,12,FALSE)&lt;0,0,VLOOKUP(TableRBRanks[[#This Row],[Player]],'Ranks w Proj'!$Q:$AB,12,FALSE))</f>
        <v>11.771282489019036</v>
      </c>
      <c r="O26" s="58">
        <v>25</v>
      </c>
      <c r="P26" s="58" t="str">
        <f>IFERROR(INDEX(TableWRCalcPts[PLAYER],MATCH(TableWRRanks[[#This Row],[RK]],TableWRCalcPts[RK],0)),"")</f>
        <v>Emeka Egbuka</v>
      </c>
      <c r="Q26" s="58" t="str">
        <f>IFERROR(INDEX(TableWRCalcPts[TM],MATCH(TableWRRanks[[#This Row],[RK]],TableWRCalcPts[RK],0)),"")</f>
        <v>TB</v>
      </c>
      <c r="R26" s="58">
        <f>IFERROR(INDEX(TableWRCalcPts[BYE],MATCH(TableWRRanks[[#This Row],[RK]],TableWRCalcPts[RK],0)),"")</f>
        <v>10</v>
      </c>
      <c r="S26" s="95">
        <f>IFERROR(INDEX(TableWRCalcPts[Custom],MATCH(TableWRRanks[[#This Row],[RK]],TableWRCalcPts[RK],0)),"")</f>
        <v>187.69417440185407</v>
      </c>
      <c r="T26" s="140">
        <f>IF(VLOOKUP(TableWRRanks[[#This Row],[Player]],'Ranks w Proj'!$AE:$AO,11,FALSE)&lt;0,0,VLOOKUP(TableWRRanks[[#This Row],[Player]],'Ranks w Proj'!$AE:$AO,11,FALSE))</f>
        <v>18.301212242863642</v>
      </c>
      <c r="V26" s="58">
        <v>25</v>
      </c>
      <c r="W26" s="58" t="str">
        <f>IFERROR(INDEX(TableTECalcPts[PLAYER],MATCH(TableTERanks[[#This Row],[RK]],TableTECalcPts[RK],0)),"")</f>
        <v>Oronde Gadsden</v>
      </c>
      <c r="X26" s="58" t="str">
        <f>IFERROR(INDEX(TableTECalcPts[TM],MATCH(TableTERanks[[#This Row],[RK]],TableTECalcPts[RK],0)),"")</f>
        <v>LAC</v>
      </c>
      <c r="Y26" s="58">
        <f>IFERROR(INDEX(TableTECalcPts[BYE],MATCH(TableTERanks[[#This Row],[RK]],TableTECalcPts[RK],0)),"")</f>
        <v>7</v>
      </c>
      <c r="Z26" s="95">
        <f>IFERROR(INDEX(TableTECalcPts[Custom],MATCH(TableTERanks[[#This Row],[RK]],TableTECalcPts[RK],0)),"")</f>
        <v>97.774303753526368</v>
      </c>
      <c r="AA26" s="140">
        <f>IF(VLOOKUP(TableTERanks[[#This Row],[Player]],'Ranks w Proj'!$AR:$AZ,9,FALSE)&lt;0,0,VLOOKUP(TableTERanks[[#This Row],[Player]],'Ranks w Proj'!$AR:$AZ,9,FALSE))</f>
        <v>3.7366171818932177</v>
      </c>
      <c r="AC26" s="58">
        <v>25</v>
      </c>
      <c r="AD26" s="58" t="str">
        <f>IFERROR(INDEX(TableDSTCalcPts[PLAYER],MATCH(TableDSTRanks[[#This Row],[RK]],TableDSTCalcPts[RK],0)),"")</f>
        <v>Tennessee Titans</v>
      </c>
      <c r="AE26" s="58">
        <f>IFERROR(INDEX(TableDSTCalcPts[BYE],MATCH(TableDSTRanks[[#This Row],[RK]],TableDSTCalcPts[RK],0)),"")</f>
        <v>9</v>
      </c>
      <c r="AF26" s="95">
        <f>IFERROR(INDEX(TableDSTCalcPts[Custom],MATCH(TableDSTRanks[[#This Row],[RK]],TableDSTCalcPts[RK],0)),"")</f>
        <v>107.72619047619047</v>
      </c>
      <c r="AG26" s="140">
        <v>0</v>
      </c>
    </row>
    <row r="27" spans="1:33" x14ac:dyDescent="0.25">
      <c r="A27" s="58">
        <v>26</v>
      </c>
      <c r="B27" s="58" t="str">
        <f>IFERROR(INDEX(TableQBCalcPts[PLAYER],MATCH(TableQBRanks[[#This Row],[RK]],TableQBCalcPts[RK],0)),"")</f>
        <v>Bryce Young</v>
      </c>
      <c r="C27" s="58" t="str">
        <f>IFERROR(INDEX(TableQBCalcPts[TM],MATCH(TableQBRanks[[#This Row],[RK]],TableQBCalcPts[RK],0)),"")</f>
        <v>CAR</v>
      </c>
      <c r="D27" s="58">
        <f>IFERROR(INDEX(TableQBCalcPts[BYE],MATCH(TableQBRanks[[#This Row],[RK]],TableQBCalcPts[RK],0)),"")</f>
        <v>5</v>
      </c>
      <c r="E27" s="95">
        <f>IFERROR(INDEX(TableQBCalcPts[Custom],MATCH(TableQBRanks[[#This Row],[RK]],TableQBCalcPts[RK],0)),"")</f>
        <v>337.50119842358561</v>
      </c>
      <c r="F27" s="140">
        <f>IF(VLOOKUP(TableQBRanks[[#This Row],[Player]],'Ranks w Proj'!$B:$N,13,FALSE)&lt;0,0,VLOOKUP(TableQBRanks[[#This Row],[Player]],'Ranks w Proj'!$B:$N,13,FALSE))</f>
        <v>5.263446569531574</v>
      </c>
      <c r="H27" s="58">
        <v>26</v>
      </c>
      <c r="I27" s="58" t="str">
        <f>IFERROR(INDEX(TableRBCalcPts[PLAYER],MATCH(TableRBRanks[[#This Row],[RK]],TableRBCalcPts[RK],0)),"")</f>
        <v>Kenneth Gainwell</v>
      </c>
      <c r="J27" s="58" t="str">
        <f>IFERROR(INDEX(TableRBCalcPts[TM],MATCH(TableRBRanks[[#This Row],[RK]],TableRBCalcPts[RK],0)),"")</f>
        <v>TB</v>
      </c>
      <c r="K27" s="58">
        <f>IFERROR(INDEX(TableRBCalcPts[BYE],MATCH(TableRBRanks[[#This Row],[RK]],TableRBCalcPts[RK],0)),"")</f>
        <v>10</v>
      </c>
      <c r="L27" s="95">
        <f>IFERROR(INDEX(TableRBCalcPts[Custom],MATCH(TableRBRanks[[#This Row],[RK]],TableRBCalcPts[RK],0)),"")</f>
        <v>181.82786219161196</v>
      </c>
      <c r="M27" s="140">
        <f>IF(VLOOKUP(TableRBRanks[[#This Row],[Player]],'Ranks w Proj'!$Q:$AB,12,FALSE)&lt;0,0,VLOOKUP(TableRBRanks[[#This Row],[Player]],'Ranks w Proj'!$Q:$AB,12,FALSE))</f>
        <v>11.696547932292388</v>
      </c>
      <c r="O27" s="58">
        <v>26</v>
      </c>
      <c r="P27" s="58" t="str">
        <f>IFERROR(INDEX(TableWRCalcPts[PLAYER],MATCH(TableWRRanks[[#This Row],[RK]],TableWRCalcPts[RK],0)),"")</f>
        <v>Carnell Tate</v>
      </c>
      <c r="Q27" s="58" t="str">
        <f>IFERROR(INDEX(TableWRCalcPts[TM],MATCH(TableWRRanks[[#This Row],[RK]],TableWRCalcPts[RK],0)),"")</f>
        <v>TEN</v>
      </c>
      <c r="R27" s="58">
        <f>IFERROR(INDEX(TableWRCalcPts[BYE],MATCH(TableWRRanks[[#This Row],[RK]],TableWRCalcPts[RK],0)),"")</f>
        <v>9</v>
      </c>
      <c r="S27" s="95">
        <f>IFERROR(INDEX(TableWRCalcPts[Custom],MATCH(TableWRRanks[[#This Row],[RK]],TableWRCalcPts[RK],0)),"")</f>
        <v>186.69245943108095</v>
      </c>
      <c r="T27" s="140">
        <f>IF(VLOOKUP(TableWRRanks[[#This Row],[Player]],'Ranks w Proj'!$AE:$AO,11,FALSE)&lt;0,0,VLOOKUP(TableWRRanks[[#This Row],[Player]],'Ranks w Proj'!$AE:$AO,11,FALSE))</f>
        <v>18.113011849115409</v>
      </c>
      <c r="V27" s="58">
        <v>26</v>
      </c>
      <c r="W27" s="58" t="str">
        <f>IFERROR(INDEX(TableTECalcPts[PLAYER],MATCH(TableTERanks[[#This Row],[RK]],TableTECalcPts[RK],0)),"")</f>
        <v>Cade Otton</v>
      </c>
      <c r="X27" s="58" t="str">
        <f>IFERROR(INDEX(TableTECalcPts[TM],MATCH(TableTERanks[[#This Row],[RK]],TableTECalcPts[RK],0)),"")</f>
        <v>TB</v>
      </c>
      <c r="Y27" s="58">
        <f>IFERROR(INDEX(TableTECalcPts[BYE],MATCH(TableTERanks[[#This Row],[RK]],TableTECalcPts[RK],0)),"")</f>
        <v>10</v>
      </c>
      <c r="Z27" s="95">
        <f>IFERROR(INDEX(TableTECalcPts[Custom],MATCH(TableTERanks[[#This Row],[RK]],TableTECalcPts[RK],0)),"")</f>
        <v>87.892710735944519</v>
      </c>
      <c r="AA27" s="140">
        <f>IF(VLOOKUP(TableTERanks[[#This Row],[Player]],'Ranks w Proj'!$AR:$AZ,9,FALSE)&lt;0,0,VLOOKUP(TableTERanks[[#This Row],[Player]],'Ranks w Proj'!$AR:$AZ,9,FALSE))</f>
        <v>1.8800813897473332</v>
      </c>
      <c r="AC27" s="58">
        <v>26</v>
      </c>
      <c r="AD27" s="58" t="str">
        <f>IFERROR(INDEX(TableDSTCalcPts[PLAYER],MATCH(TableDSTRanks[[#This Row],[RK]],TableDSTCalcPts[RK],0)),"")</f>
        <v>San Francisco 49ers</v>
      </c>
      <c r="AE27" s="58">
        <f>IFERROR(INDEX(TableDSTCalcPts[BYE],MATCH(TableDSTRanks[[#This Row],[RK]],TableDSTCalcPts[RK],0)),"")</f>
        <v>8</v>
      </c>
      <c r="AF27" s="95">
        <f>IFERROR(INDEX(TableDSTCalcPts[Custom],MATCH(TableDSTRanks[[#This Row],[RK]],TableDSTCalcPts[RK],0)),"")</f>
        <v>106.16666666666666</v>
      </c>
      <c r="AG27" s="140">
        <v>0</v>
      </c>
    </row>
    <row r="28" spans="1:33" x14ac:dyDescent="0.25">
      <c r="A28" s="58">
        <v>27</v>
      </c>
      <c r="B28" s="58" t="str">
        <f>IFERROR(INDEX(TableQBCalcPts[PLAYER],MATCH(TableQBRanks[[#This Row],[RK]],TableQBCalcPts[RK],0)),"")</f>
        <v>Aaron Rodgers</v>
      </c>
      <c r="C28" s="58" t="str">
        <f>IFERROR(INDEX(TableQBCalcPts[TM],MATCH(TableQBRanks[[#This Row],[RK]],TableQBCalcPts[RK],0)),"")</f>
        <v>PIT</v>
      </c>
      <c r="D28" s="58">
        <f>IFERROR(INDEX(TableQBCalcPts[BYE],MATCH(TableQBRanks[[#This Row],[RK]],TableQBCalcPts[RK],0)),"")</f>
        <v>9</v>
      </c>
      <c r="E28" s="95">
        <f>IFERROR(INDEX(TableQBCalcPts[Custom],MATCH(TableQBRanks[[#This Row],[RK]],TableQBCalcPts[RK],0)),"")</f>
        <v>321.29714883383383</v>
      </c>
      <c r="F28" s="140">
        <f>IF(VLOOKUP(TableQBRanks[[#This Row],[Player]],'Ranks w Proj'!$B:$N,13,FALSE)&lt;0,0,VLOOKUP(TableQBRanks[[#This Row],[Player]],'Ranks w Proj'!$B:$N,13,FALSE))</f>
        <v>2.1718542546556341</v>
      </c>
      <c r="H28" s="58">
        <v>27</v>
      </c>
      <c r="I28" s="58" t="str">
        <f>IFERROR(INDEX(TableRBCalcPts[PLAYER],MATCH(TableRBRanks[[#This Row],[RK]],TableRBCalcPts[RK],0)),"")</f>
        <v>Tony Pollard</v>
      </c>
      <c r="J28" s="58" t="str">
        <f>IFERROR(INDEX(TableRBCalcPts[TM],MATCH(TableRBRanks[[#This Row],[RK]],TableRBCalcPts[RK],0)),"")</f>
        <v>TEN</v>
      </c>
      <c r="K28" s="58">
        <f>IFERROR(INDEX(TableRBCalcPts[BYE],MATCH(TableRBRanks[[#This Row],[RK]],TableRBCalcPts[RK],0)),"")</f>
        <v>9</v>
      </c>
      <c r="L28" s="95">
        <f>IFERROR(INDEX(TableRBCalcPts[Custom],MATCH(TableRBRanks[[#This Row],[RK]],TableRBCalcPts[RK],0)),"")</f>
        <v>181.12993898194946</v>
      </c>
      <c r="M28" s="140">
        <f>IF(VLOOKUP(TableRBRanks[[#This Row],[Player]],'Ranks w Proj'!$Q:$AB,12,FALSE)&lt;0,0,VLOOKUP(TableRBRanks[[#This Row],[Player]],'Ranks w Proj'!$Q:$AB,12,FALSE))</f>
        <v>11.591648293814879</v>
      </c>
      <c r="O28" s="58">
        <v>27</v>
      </c>
      <c r="P28" s="58" t="str">
        <f>IFERROR(INDEX(TableWRCalcPts[PLAYER],MATCH(TableWRRanks[[#This Row],[RK]],TableWRCalcPts[RK],0)),"")</f>
        <v>DJ Moore</v>
      </c>
      <c r="Q28" s="58" t="str">
        <f>IFERROR(INDEX(TableWRCalcPts[TM],MATCH(TableWRRanks[[#This Row],[RK]],TableWRCalcPts[RK],0)),"")</f>
        <v>BUF</v>
      </c>
      <c r="R28" s="58">
        <f>IFERROR(INDEX(TableWRCalcPts[BYE],MATCH(TableWRRanks[[#This Row],[RK]],TableWRCalcPts[RK],0)),"")</f>
        <v>7</v>
      </c>
      <c r="S28" s="95">
        <f>IFERROR(INDEX(TableWRCalcPts[Custom],MATCH(TableWRRanks[[#This Row],[RK]],TableWRCalcPts[RK],0)),"")</f>
        <v>185.89535424952149</v>
      </c>
      <c r="T28" s="140">
        <f>IF(VLOOKUP(TableWRRanks[[#This Row],[Player]],'Ranks w Proj'!$AE:$AO,11,FALSE)&lt;0,0,VLOOKUP(TableWRRanks[[#This Row],[Player]],'Ranks w Proj'!$AE:$AO,11,FALSE))</f>
        <v>17.963253171841711</v>
      </c>
      <c r="V28" s="58">
        <v>27</v>
      </c>
      <c r="W28" s="58" t="str">
        <f>IFERROR(INDEX(TableTECalcPts[PLAYER],MATCH(TableTERanks[[#This Row],[RK]],TableTECalcPts[RK],0)),"")</f>
        <v>Mike Gesicki</v>
      </c>
      <c r="X28" s="58" t="str">
        <f>IFERROR(INDEX(TableTECalcPts[TM],MATCH(TableTERanks[[#This Row],[RK]],TableTECalcPts[RK],0)),"")</f>
        <v>CIN</v>
      </c>
      <c r="Y28" s="58">
        <f>IFERROR(INDEX(TableTECalcPts[BYE],MATCH(TableTERanks[[#This Row],[RK]],TableTECalcPts[RK],0)),"")</f>
        <v>6</v>
      </c>
      <c r="Z28" s="95">
        <f>IFERROR(INDEX(TableTECalcPts[Custom],MATCH(TableTERanks[[#This Row],[RK]],TableTECalcPts[RK],0)),"")</f>
        <v>87.626855526529326</v>
      </c>
      <c r="AA28" s="140">
        <f>IF(VLOOKUP(TableTERanks[[#This Row],[Player]],'Ranks w Proj'!$AR:$AZ,9,FALSE)&lt;0,0,VLOOKUP(TableTERanks[[#This Row],[Player]],'Ranks w Proj'!$AR:$AZ,9,FALSE))</f>
        <v>1.8301329946930582</v>
      </c>
      <c r="AC28" s="58">
        <v>27</v>
      </c>
      <c r="AD28" s="58" t="str">
        <f>IFERROR(INDEX(TableDSTCalcPts[PLAYER],MATCH(TableDSTRanks[[#This Row],[RK]],TableDSTCalcPts[RK],0)),"")</f>
        <v>Washington Commanders</v>
      </c>
      <c r="AE28" s="58">
        <f>IFERROR(INDEX(TableDSTCalcPts[BYE],MATCH(TableDSTRanks[[#This Row],[RK]],TableDSTCalcPts[RK],0)),"")</f>
        <v>7</v>
      </c>
      <c r="AF28" s="95">
        <f>IFERROR(INDEX(TableDSTCalcPts[Custom],MATCH(TableDSTRanks[[#This Row],[RK]],TableDSTCalcPts[RK],0)),"")</f>
        <v>105.61904761904762</v>
      </c>
      <c r="AG28" s="140">
        <v>0</v>
      </c>
    </row>
    <row r="29" spans="1:33" x14ac:dyDescent="0.25">
      <c r="A29" s="58">
        <v>28</v>
      </c>
      <c r="B29" s="58" t="str">
        <f>IFERROR(INDEX(TableQBCalcPts[PLAYER],MATCH(TableQBRanks[[#This Row],[RK]],TableQBCalcPts[RK],0)),"")</f>
        <v>Jacoby Brissett</v>
      </c>
      <c r="C29" s="58" t="str">
        <f>IFERROR(INDEX(TableQBCalcPts[TM],MATCH(TableQBRanks[[#This Row],[RK]],TableQBCalcPts[RK],0)),"")</f>
        <v>ARI</v>
      </c>
      <c r="D29" s="58">
        <f>IFERROR(INDEX(TableQBCalcPts[BYE],MATCH(TableQBRanks[[#This Row],[RK]],TableQBCalcPts[RK],0)),"")</f>
        <v>14</v>
      </c>
      <c r="E29" s="95">
        <f>IFERROR(INDEX(TableQBCalcPts[Custom],MATCH(TableQBRanks[[#This Row],[RK]],TableQBCalcPts[RK],0)),"")</f>
        <v>311.67500095651786</v>
      </c>
      <c r="F29" s="140">
        <f>IF(VLOOKUP(TableQBRanks[[#This Row],[Player]],'Ranks w Proj'!$B:$N,13,FALSE)&lt;0,0,VLOOKUP(TableQBRanks[[#This Row],[Player]],'Ranks w Proj'!$B:$N,13,FALSE))</f>
        <v>0.28800227899591035</v>
      </c>
      <c r="H29" s="58">
        <v>28</v>
      </c>
      <c r="I29" s="58" t="str">
        <f>IFERROR(INDEX(TableRBCalcPts[PLAYER],MATCH(TableRBRanks[[#This Row],[RK]],TableRBCalcPts[RK],0)),"")</f>
        <v>D'Andre Swift</v>
      </c>
      <c r="J29" s="58" t="str">
        <f>IFERROR(INDEX(TableRBCalcPts[TM],MATCH(TableRBRanks[[#This Row],[RK]],TableRBCalcPts[RK],0)),"")</f>
        <v>CHI</v>
      </c>
      <c r="K29" s="58">
        <f>IFERROR(INDEX(TableRBCalcPts[BYE],MATCH(TableRBRanks[[#This Row],[RK]],TableRBCalcPts[RK],0)),"")</f>
        <v>10</v>
      </c>
      <c r="L29" s="95">
        <f>IFERROR(INDEX(TableRBCalcPts[Custom],MATCH(TableRBRanks[[#This Row],[RK]],TableRBCalcPts[RK],0)),"")</f>
        <v>180.0053884429251</v>
      </c>
      <c r="M29" s="140">
        <f>IF(VLOOKUP(TableRBRanks[[#This Row],[Player]],'Ranks w Proj'!$Q:$AB,12,FALSE)&lt;0,0,VLOOKUP(TableRBRanks[[#This Row],[Player]],'Ranks w Proj'!$Q:$AB,12,FALSE))</f>
        <v>11.422625479613888</v>
      </c>
      <c r="O29" s="58">
        <v>28</v>
      </c>
      <c r="P29" s="58" t="str">
        <f>IFERROR(INDEX(TableWRCalcPts[PLAYER],MATCH(TableWRRanks[[#This Row],[RK]],TableWRCalcPts[RK],0)),"")</f>
        <v>Jameson Williams</v>
      </c>
      <c r="Q29" s="58" t="str">
        <f>IFERROR(INDEX(TableWRCalcPts[TM],MATCH(TableWRRanks[[#This Row],[RK]],TableWRCalcPts[RK],0)),"")</f>
        <v>DET</v>
      </c>
      <c r="R29" s="58">
        <f>IFERROR(INDEX(TableWRCalcPts[BYE],MATCH(TableWRRanks[[#This Row],[RK]],TableWRCalcPts[RK],0)),"")</f>
        <v>6</v>
      </c>
      <c r="S29" s="95">
        <f>IFERROR(INDEX(TableWRCalcPts[Custom],MATCH(TableWRRanks[[#This Row],[RK]],TableWRCalcPts[RK],0)),"")</f>
        <v>184.03111003656136</v>
      </c>
      <c r="T29" s="140">
        <f>IF(VLOOKUP(TableWRRanks[[#This Row],[Player]],'Ranks w Proj'!$AE:$AO,11,FALSE)&lt;0,0,VLOOKUP(TableWRRanks[[#This Row],[Player]],'Ranks w Proj'!$AE:$AO,11,FALSE))</f>
        <v>17.613002346847882</v>
      </c>
      <c r="V29" s="58">
        <v>28</v>
      </c>
      <c r="W29" s="58" t="str">
        <f>IFERROR(INDEX(TableTECalcPts[PLAYER],MATCH(TableTERanks[[#This Row],[RK]],TableTECalcPts[RK],0)),"")</f>
        <v>Kenyon Sadiq</v>
      </c>
      <c r="X29" s="58" t="str">
        <f>IFERROR(INDEX(TableTECalcPts[TM],MATCH(TableTERanks[[#This Row],[RK]],TableTECalcPts[RK],0)),"")</f>
        <v>NYJ</v>
      </c>
      <c r="Y29" s="58">
        <f>IFERROR(INDEX(TableTECalcPts[BYE],MATCH(TableTERanks[[#This Row],[RK]],TableTECalcPts[RK],0)),"")</f>
        <v>13</v>
      </c>
      <c r="Z29" s="95">
        <f>IFERROR(INDEX(TableTECalcPts[Custom],MATCH(TableTERanks[[#This Row],[RK]],TableTECalcPts[RK],0)),"")</f>
        <v>86.789669330026697</v>
      </c>
      <c r="AA29" s="140">
        <f>IF(VLOOKUP(TableTERanks[[#This Row],[Player]],'Ranks w Proj'!$AR:$AZ,9,FALSE)&lt;0,0,VLOOKUP(TableTERanks[[#This Row],[Player]],'Ranks w Proj'!$AR:$AZ,9,FALSE))</f>
        <v>1.6728439689527574</v>
      </c>
      <c r="AC29" s="58">
        <v>28</v>
      </c>
      <c r="AD29" s="58" t="str">
        <f>IFERROR(INDEX(TableDSTCalcPts[PLAYER],MATCH(TableDSTRanks[[#This Row],[RK]],TableDSTCalcPts[RK],0)),"")</f>
        <v>Dallas Cowboys</v>
      </c>
      <c r="AE29" s="58">
        <f>IFERROR(INDEX(TableDSTCalcPts[BYE],MATCH(TableDSTRanks[[#This Row],[RK]],TableDSTCalcPts[RK],0)),"")</f>
        <v>14</v>
      </c>
      <c r="AF29" s="95">
        <f>IFERROR(INDEX(TableDSTCalcPts[Custom],MATCH(TableDSTRanks[[#This Row],[RK]],TableDSTCalcPts[RK],0)),"")</f>
        <v>104.11904761904762</v>
      </c>
      <c r="AG29" s="140">
        <v>0</v>
      </c>
    </row>
    <row r="30" spans="1:33" x14ac:dyDescent="0.25">
      <c r="A30" s="58">
        <v>29</v>
      </c>
      <c r="B30" s="58" t="str">
        <f>IFERROR(INDEX(TableQBCalcPts[PLAYER],MATCH(TableQBRanks[[#This Row],[RK]],TableQBCalcPts[RK],0)),"")</f>
        <v>Geno Smith</v>
      </c>
      <c r="C30" s="58" t="str">
        <f>IFERROR(INDEX(TableQBCalcPts[TM],MATCH(TableQBRanks[[#This Row],[RK]],TableQBCalcPts[RK],0)),"")</f>
        <v>NYJ</v>
      </c>
      <c r="D30" s="58">
        <f>IFERROR(INDEX(TableQBCalcPts[BYE],MATCH(TableQBRanks[[#This Row],[RK]],TableQBCalcPts[RK],0)),"")</f>
        <v>13</v>
      </c>
      <c r="E30" s="95">
        <f>IFERROR(INDEX(TableQBCalcPts[Custom],MATCH(TableQBRanks[[#This Row],[RK]],TableQBCalcPts[RK],0)),"")</f>
        <v>304.89003746282606</v>
      </c>
      <c r="F30" s="140">
        <f>IF(VLOOKUP(TableQBRanks[[#This Row],[Player]],'Ranks w Proj'!$B:$N,13,FALSE)&lt;0,0,VLOOKUP(TableQBRanks[[#This Row],[Player]],'Ranks w Proj'!$B:$N,13,FALSE))</f>
        <v>0</v>
      </c>
      <c r="H30" s="58">
        <v>29</v>
      </c>
      <c r="I30" s="58" t="str">
        <f>IFERROR(INDEX(TableRBCalcPts[PLAYER],MATCH(TableRBRanks[[#This Row],[RK]],TableRBCalcPts[RK],0)),"")</f>
        <v>Bucky Irving</v>
      </c>
      <c r="J30" s="58" t="str">
        <f>IFERROR(INDEX(TableRBCalcPts[TM],MATCH(TableRBRanks[[#This Row],[RK]],TableRBCalcPts[RK],0)),"")</f>
        <v>TB</v>
      </c>
      <c r="K30" s="58">
        <f>IFERROR(INDEX(TableRBCalcPts[BYE],MATCH(TableRBRanks[[#This Row],[RK]],TableRBCalcPts[RK],0)),"")</f>
        <v>10</v>
      </c>
      <c r="L30" s="95">
        <f>IFERROR(INDEX(TableRBCalcPts[Custom],MATCH(TableRBRanks[[#This Row],[RK]],TableRBCalcPts[RK],0)),"")</f>
        <v>171.20211567868358</v>
      </c>
      <c r="M30" s="140">
        <f>IF(VLOOKUP(TableRBRanks[[#This Row],[Player]],'Ranks w Proj'!$Q:$AB,12,FALSE)&lt;0,0,VLOOKUP(TableRBRanks[[#This Row],[Player]],'Ranks w Proj'!$Q:$AB,12,FALSE))</f>
        <v>10.099471130248716</v>
      </c>
      <c r="O30" s="58">
        <v>29</v>
      </c>
      <c r="P30" s="58" t="str">
        <f>IFERROR(INDEX(TableWRCalcPts[PLAYER],MATCH(TableWRRanks[[#This Row],[RK]],TableWRCalcPts[RK],0)),"")</f>
        <v>Christian Watson</v>
      </c>
      <c r="Q30" s="58" t="str">
        <f>IFERROR(INDEX(TableWRCalcPts[TM],MATCH(TableWRRanks[[#This Row],[RK]],TableWRCalcPts[RK],0)),"")</f>
        <v>GB</v>
      </c>
      <c r="R30" s="58">
        <f>IFERROR(INDEX(TableWRCalcPts[BYE],MATCH(TableWRRanks[[#This Row],[RK]],TableWRCalcPts[RK],0)),"")</f>
        <v>11</v>
      </c>
      <c r="S30" s="95">
        <f>IFERROR(INDEX(TableWRCalcPts[Custom],MATCH(TableWRRanks[[#This Row],[RK]],TableWRCalcPts[RK],0)),"")</f>
        <v>180.53046356058982</v>
      </c>
      <c r="T30" s="140">
        <f>IF(VLOOKUP(TableWRRanks[[#This Row],[Player]],'Ranks w Proj'!$AE:$AO,11,FALSE)&lt;0,0,VLOOKUP(TableWRRanks[[#This Row],[Player]],'Ranks w Proj'!$AE:$AO,11,FALSE))</f>
        <v>16.955307229600386</v>
      </c>
      <c r="V30" s="58">
        <v>29</v>
      </c>
      <c r="W30" s="58" t="str">
        <f>IFERROR(INDEX(TableTECalcPts[PLAYER],MATCH(TableTERanks[[#This Row],[RK]],TableTECalcPts[RK],0)),"")</f>
        <v>AJ Barner</v>
      </c>
      <c r="X30" s="58" t="str">
        <f>IFERROR(INDEX(TableTECalcPts[TM],MATCH(TableTERanks[[#This Row],[RK]],TableTECalcPts[RK],0)),"")</f>
        <v>SEA</v>
      </c>
      <c r="Y30" s="58">
        <f>IFERROR(INDEX(TableTECalcPts[BYE],MATCH(TableTERanks[[#This Row],[RK]],TableTECalcPts[RK],0)),"")</f>
        <v>11</v>
      </c>
      <c r="Z30" s="95">
        <f>IFERROR(INDEX(TableTECalcPts[Custom],MATCH(TableTERanks[[#This Row],[RK]],TableTECalcPts[RK],0)),"")</f>
        <v>84.45884130942207</v>
      </c>
      <c r="AA30" s="140">
        <f>IF(VLOOKUP(TableTERanks[[#This Row],[Player]],'Ranks w Proj'!$AR:$AZ,9,FALSE)&lt;0,0,VLOOKUP(TableTERanks[[#This Row],[Player]],'Ranks w Proj'!$AR:$AZ,9,FALSE))</f>
        <v>1.2349322235601128</v>
      </c>
      <c r="AC30" s="58">
        <v>29</v>
      </c>
      <c r="AD30" s="58" t="str">
        <f>IFERROR(INDEX(TableDSTCalcPts[PLAYER],MATCH(TableDSTRanks[[#This Row],[RK]],TableDSTCalcPts[RK],0)),"")</f>
        <v>Carolina Panthers</v>
      </c>
      <c r="AE30" s="58">
        <f>IFERROR(INDEX(TableDSTCalcPts[BYE],MATCH(TableDSTRanks[[#This Row],[RK]],TableDSTCalcPts[RK],0)),"")</f>
        <v>5</v>
      </c>
      <c r="AF30" s="95">
        <f>IFERROR(INDEX(TableDSTCalcPts[Custom],MATCH(TableDSTRanks[[#This Row],[RK]],TableDSTCalcPts[RK],0)),"")</f>
        <v>104.10714285714286</v>
      </c>
      <c r="AG30" s="140">
        <v>0</v>
      </c>
    </row>
    <row r="31" spans="1:33" x14ac:dyDescent="0.25">
      <c r="A31" s="58">
        <v>30</v>
      </c>
      <c r="B31" s="58" t="str">
        <f>IFERROR(INDEX(TableQBCalcPts[PLAYER],MATCH(TableQBRanks[[#This Row],[RK]],TableQBCalcPts[RK],0)),"")</f>
        <v>Tua Tagovailoa</v>
      </c>
      <c r="C31" s="58" t="str">
        <f>IFERROR(INDEX(TableQBCalcPts[TM],MATCH(TableQBRanks[[#This Row],[RK]],TableQBCalcPts[RK],0)),"")</f>
        <v>ATL</v>
      </c>
      <c r="D31" s="58">
        <f>IFERROR(INDEX(TableQBCalcPts[BYE],MATCH(TableQBRanks[[#This Row],[RK]],TableQBCalcPts[RK],0)),"")</f>
        <v>11</v>
      </c>
      <c r="E31" s="95">
        <f>IFERROR(INDEX(TableQBCalcPts[Custom],MATCH(TableQBRanks[[#This Row],[RK]],TableQBCalcPts[RK],0)),"")</f>
        <v>304.17290688650468</v>
      </c>
      <c r="F31" s="140">
        <f>IF(VLOOKUP(TableQBRanks[[#This Row],[Player]],'Ranks w Proj'!$B:$N,13,FALSE)&lt;0,0,VLOOKUP(TableQBRanks[[#This Row],[Player]],'Ranks w Proj'!$B:$N,13,FALSE))</f>
        <v>0</v>
      </c>
      <c r="H31" s="58">
        <v>30</v>
      </c>
      <c r="I31" s="58" t="str">
        <f>IFERROR(INDEX(TableRBCalcPts[PLAYER],MATCH(TableRBRanks[[#This Row],[RK]],TableRBCalcPts[RK],0)),"")</f>
        <v>Chuba Hubbard</v>
      </c>
      <c r="J31" s="58" t="str">
        <f>IFERROR(INDEX(TableRBCalcPts[TM],MATCH(TableRBRanks[[#This Row],[RK]],TableRBCalcPts[RK],0)),"")</f>
        <v>CAR</v>
      </c>
      <c r="K31" s="58">
        <f>IFERROR(INDEX(TableRBCalcPts[BYE],MATCH(TableRBRanks[[#This Row],[RK]],TableRBCalcPts[RK],0)),"")</f>
        <v>5</v>
      </c>
      <c r="L31" s="95">
        <f>IFERROR(INDEX(TableRBCalcPts[Custom],MATCH(TableRBRanks[[#This Row],[RK]],TableRBCalcPts[RK],0)),"")</f>
        <v>169.64248035544395</v>
      </c>
      <c r="M31" s="140">
        <f>IF(VLOOKUP(TableRBRanks[[#This Row],[Player]],'Ranks w Proj'!$Q:$AB,12,FALSE)&lt;0,0,VLOOKUP(TableRBRanks[[#This Row],[Player]],'Ranks w Proj'!$Q:$AB,12,FALSE))</f>
        <v>9.8650539632888918</v>
      </c>
      <c r="O31" s="58">
        <v>30</v>
      </c>
      <c r="P31" s="58" t="str">
        <f>IFERROR(INDEX(TableWRCalcPts[PLAYER],MATCH(TableWRRanks[[#This Row],[RK]],TableWRCalcPts[RK],0)),"")</f>
        <v>Rome Odunze</v>
      </c>
      <c r="Q31" s="58" t="str">
        <f>IFERROR(INDEX(TableWRCalcPts[TM],MATCH(TableWRRanks[[#This Row],[RK]],TableWRCalcPts[RK],0)),"")</f>
        <v>CHI</v>
      </c>
      <c r="R31" s="58">
        <f>IFERROR(INDEX(TableWRCalcPts[BYE],MATCH(TableWRRanks[[#This Row],[RK]],TableWRCalcPts[RK],0)),"")</f>
        <v>10</v>
      </c>
      <c r="S31" s="95">
        <f>IFERROR(INDEX(TableWRCalcPts[Custom],MATCH(TableWRRanks[[#This Row],[RK]],TableWRCalcPts[RK],0)),"")</f>
        <v>174.03183456362797</v>
      </c>
      <c r="T31" s="140">
        <f>IF(VLOOKUP(TableWRRanks[[#This Row],[Player]],'Ranks w Proj'!$AE:$AO,11,FALSE)&lt;0,0,VLOOKUP(TableWRRanks[[#This Row],[Player]],'Ranks w Proj'!$AE:$AO,11,FALSE))</f>
        <v>15.734356588213899</v>
      </c>
      <c r="V31" s="58">
        <v>30</v>
      </c>
      <c r="W31" s="58" t="str">
        <f>IFERROR(INDEX(TableTECalcPts[PLAYER],MATCH(TableTERanks[[#This Row],[RK]],TableTECalcPts[RK],0)),"")</f>
        <v>Gunnar Helm</v>
      </c>
      <c r="X31" s="58" t="str">
        <f>IFERROR(INDEX(TableTECalcPts[TM],MATCH(TableTERanks[[#This Row],[RK]],TableTECalcPts[RK],0)),"")</f>
        <v>TEN</v>
      </c>
      <c r="Y31" s="58">
        <f>IFERROR(INDEX(TableTECalcPts[BYE],MATCH(TableTERanks[[#This Row],[RK]],TableTECalcPts[RK],0)),"")</f>
        <v>9</v>
      </c>
      <c r="Z31" s="95">
        <f>IFERROR(INDEX(TableTECalcPts[Custom],MATCH(TableTERanks[[#This Row],[RK]],TableTECalcPts[RK],0)),"")</f>
        <v>77.885793976241686</v>
      </c>
      <c r="AA31" s="140">
        <f>IF(VLOOKUP(TableTERanks[[#This Row],[Player]],'Ranks w Proj'!$AR:$AZ,9,FALSE)&lt;0,0,VLOOKUP(TableTERanks[[#This Row],[Player]],'Ranks w Proj'!$AR:$AZ,9,FALSE))</f>
        <v>0</v>
      </c>
      <c r="AC31" s="58">
        <v>30</v>
      </c>
      <c r="AD31" s="58" t="str">
        <f>IFERROR(INDEX(TableDSTCalcPts[PLAYER],MATCH(TableDSTRanks[[#This Row],[RK]],TableDSTCalcPts[RK],0)),"")</f>
        <v>Las Vegas Raiders</v>
      </c>
      <c r="AE31" s="58">
        <f>IFERROR(INDEX(TableDSTCalcPts[BYE],MATCH(TableDSTRanks[[#This Row],[RK]],TableDSTCalcPts[RK],0)),"")</f>
        <v>13</v>
      </c>
      <c r="AF31" s="95">
        <f>IFERROR(INDEX(TableDSTCalcPts[Custom],MATCH(TableDSTRanks[[#This Row],[RK]],TableDSTCalcPts[RK],0)),"")</f>
        <v>102.41904761904762</v>
      </c>
      <c r="AG31" s="140">
        <v>0</v>
      </c>
    </row>
    <row r="32" spans="1:33" x14ac:dyDescent="0.25">
      <c r="A32" s="58">
        <v>31</v>
      </c>
      <c r="B32" s="58" t="str">
        <f>IFERROR(INDEX(TableQBCalcPts[PLAYER],MATCH(TableQBRanks[[#This Row],[RK]],TableQBCalcPts[RK],0)),"")</f>
        <v>Kirk Cousins</v>
      </c>
      <c r="C32" s="58" t="str">
        <f>IFERROR(INDEX(TableQBCalcPts[TM],MATCH(TableQBRanks[[#This Row],[RK]],TableQBCalcPts[RK],0)),"")</f>
        <v>LV</v>
      </c>
      <c r="D32" s="58">
        <f>IFERROR(INDEX(TableQBCalcPts[BYE],MATCH(TableQBRanks[[#This Row],[RK]],TableQBCalcPts[RK],0)),"")</f>
        <v>13</v>
      </c>
      <c r="E32" s="95">
        <f>IFERROR(INDEX(TableQBCalcPts[Custom],MATCH(TableQBRanks[[#This Row],[RK]],TableQBCalcPts[RK],0)),"")</f>
        <v>191.74774367975132</v>
      </c>
      <c r="F32" s="140">
        <f>IF(VLOOKUP(TableQBRanks[[#This Row],[Player]],'Ranks w Proj'!$B:$N,13,FALSE)&lt;0,0,VLOOKUP(TableQBRanks[[#This Row],[Player]],'Ranks w Proj'!$B:$N,13,FALSE))</f>
        <v>0</v>
      </c>
      <c r="H32" s="58">
        <v>31</v>
      </c>
      <c r="I32" s="58" t="str">
        <f>IFERROR(INDEX(TableRBCalcPts[PLAYER],MATCH(TableRBRanks[[#This Row],[RK]],TableRBCalcPts[RK],0)),"")</f>
        <v>Rico Dowdle</v>
      </c>
      <c r="J32" s="58" t="str">
        <f>IFERROR(INDEX(TableRBCalcPts[TM],MATCH(TableRBRanks[[#This Row],[RK]],TableRBCalcPts[RK],0)),"")</f>
        <v>PIT</v>
      </c>
      <c r="K32" s="58">
        <f>IFERROR(INDEX(TableRBCalcPts[BYE],MATCH(TableRBRanks[[#This Row],[RK]],TableRBCalcPts[RK],0)),"")</f>
        <v>9</v>
      </c>
      <c r="L32" s="95">
        <f>IFERROR(INDEX(TableRBCalcPts[Custom],MATCH(TableRBRanks[[#This Row],[RK]],TableRBCalcPts[RK],0)),"")</f>
        <v>168.56500158390702</v>
      </c>
      <c r="M32" s="140">
        <f>IF(VLOOKUP(TableRBRanks[[#This Row],[Player]],'Ranks w Proj'!$Q:$AB,12,FALSE)&lt;0,0,VLOOKUP(TableRBRanks[[#This Row],[Player]],'Ranks w Proj'!$Q:$AB,12,FALSE))</f>
        <v>9.703106155798622</v>
      </c>
      <c r="O32" s="58">
        <v>31</v>
      </c>
      <c r="P32" s="58" t="str">
        <f>IFERROR(INDEX(TableWRCalcPts[PLAYER],MATCH(TableWRRanks[[#This Row],[RK]],TableWRCalcPts[RK],0)),"")</f>
        <v>Alec Pierce</v>
      </c>
      <c r="Q32" s="58" t="str">
        <f>IFERROR(INDEX(TableWRCalcPts[TM],MATCH(TableWRRanks[[#This Row],[RK]],TableWRCalcPts[RK],0)),"")</f>
        <v>IND</v>
      </c>
      <c r="R32" s="58">
        <f>IFERROR(INDEX(TableWRCalcPts[BYE],MATCH(TableWRRanks[[#This Row],[RK]],TableWRCalcPts[RK],0)),"")</f>
        <v>13</v>
      </c>
      <c r="S32" s="95">
        <f>IFERROR(INDEX(TableWRCalcPts[Custom],MATCH(TableWRRanks[[#This Row],[RK]],TableWRCalcPts[RK],0)),"")</f>
        <v>172.58925215568158</v>
      </c>
      <c r="T32" s="140">
        <f>IF(VLOOKUP(TableWRRanks[[#This Row],[Player]],'Ranks w Proj'!$AE:$AO,11,FALSE)&lt;0,0,VLOOKUP(TableWRRanks[[#This Row],[Player]],'Ranks w Proj'!$AE:$AO,11,FALSE))</f>
        <v>15.463326819156697</v>
      </c>
      <c r="V32" s="58">
        <v>31</v>
      </c>
      <c r="W32" s="58" t="str">
        <f>IFERROR(INDEX(TableTECalcPts[PLAYER],MATCH(TableTERanks[[#This Row],[RK]],TableTECalcPts[RK],0)),"")</f>
        <v>David Njoku</v>
      </c>
      <c r="X32" s="58" t="str">
        <f>IFERROR(INDEX(TableTECalcPts[TM],MATCH(TableTERanks[[#This Row],[RK]],TableTECalcPts[RK],0)),"")</f>
        <v>LAC</v>
      </c>
      <c r="Y32" s="58">
        <f>IFERROR(INDEX(TableTECalcPts[BYE],MATCH(TableTERanks[[#This Row],[RK]],TableTECalcPts[RK],0)),"")</f>
        <v>7</v>
      </c>
      <c r="Z32" s="95">
        <f>IFERROR(INDEX(TableTECalcPts[Custom],MATCH(TableTERanks[[#This Row],[RK]],TableTECalcPts[RK],0)),"")</f>
        <v>71.842267786673858</v>
      </c>
      <c r="AA32" s="140">
        <f>IF(VLOOKUP(TableTERanks[[#This Row],[Player]],'Ranks w Proj'!$AR:$AZ,9,FALSE)&lt;0,0,VLOOKUP(TableTERanks[[#This Row],[Player]],'Ranks w Proj'!$AR:$AZ,9,FALSE))</f>
        <v>0</v>
      </c>
      <c r="AC32" s="58">
        <v>31</v>
      </c>
      <c r="AD32" s="58" t="str">
        <f>IFERROR(INDEX(TableDSTCalcPts[PLAYER],MATCH(TableDSTRanks[[#This Row],[RK]],TableDSTCalcPts[RK],0)),"")</f>
        <v>Arizona Cardinals</v>
      </c>
      <c r="AE32" s="58">
        <f>IFERROR(INDEX(TableDSTCalcPts[BYE],MATCH(TableDSTRanks[[#This Row],[RK]],TableDSTCalcPts[RK],0)),"")</f>
        <v>14</v>
      </c>
      <c r="AF32" s="95">
        <f>IFERROR(INDEX(TableDSTCalcPts[Custom],MATCH(TableDSTRanks[[#This Row],[RK]],TableDSTCalcPts[RK],0)),"")</f>
        <v>101.91904761904763</v>
      </c>
      <c r="AG32" s="140">
        <v>0</v>
      </c>
    </row>
    <row r="33" spans="1:33" x14ac:dyDescent="0.25">
      <c r="A33" s="58">
        <v>32</v>
      </c>
      <c r="B33" s="58" t="str">
        <f>IFERROR(INDEX(TableQBCalcPts[PLAYER],MATCH(TableQBRanks[[#This Row],[RK]],TableQBCalcPts[RK],0)),"")</f>
        <v>Shedeur Sanders</v>
      </c>
      <c r="C33" s="58" t="str">
        <f>IFERROR(INDEX(TableQBCalcPts[TM],MATCH(TableQBRanks[[#This Row],[RK]],TableQBCalcPts[RK],0)),"")</f>
        <v>CLE</v>
      </c>
      <c r="D33" s="58">
        <f>IFERROR(INDEX(TableQBCalcPts[BYE],MATCH(TableQBRanks[[#This Row],[RK]],TableQBCalcPts[RK],0)),"")</f>
        <v>11</v>
      </c>
      <c r="E33" s="95">
        <f>IFERROR(INDEX(TableQBCalcPts[Custom],MATCH(TableQBRanks[[#This Row],[RK]],TableQBCalcPts[RK],0)),"")</f>
        <v>156.36882801555461</v>
      </c>
      <c r="F33" s="140">
        <f>IF(VLOOKUP(TableQBRanks[[#This Row],[Player]],'Ranks w Proj'!$B:$N,13,FALSE)&lt;0,0,VLOOKUP(TableQBRanks[[#This Row],[Player]],'Ranks w Proj'!$B:$N,13,FALSE))</f>
        <v>0</v>
      </c>
      <c r="H33" s="58">
        <v>32</v>
      </c>
      <c r="I33" s="58" t="str">
        <f>IFERROR(INDEX(TableRBCalcPts[PLAYER],MATCH(TableRBRanks[[#This Row],[RK]],TableRBCalcPts[RK],0)),"")</f>
        <v>RJ Harvey</v>
      </c>
      <c r="J33" s="58" t="str">
        <f>IFERROR(INDEX(TableRBCalcPts[TM],MATCH(TableRBRanks[[#This Row],[RK]],TableRBCalcPts[RK],0)),"")</f>
        <v>DEN</v>
      </c>
      <c r="K33" s="58">
        <f>IFERROR(INDEX(TableRBCalcPts[BYE],MATCH(TableRBRanks[[#This Row],[RK]],TableRBCalcPts[RK],0)),"")</f>
        <v>10</v>
      </c>
      <c r="L33" s="95">
        <f>IFERROR(INDEX(TableRBCalcPts[Custom],MATCH(TableRBRanks[[#This Row],[RK]],TableRBCalcPts[RK],0)),"")</f>
        <v>166.0785541414003</v>
      </c>
      <c r="M33" s="140">
        <f>IF(VLOOKUP(TableRBRanks[[#This Row],[Player]],'Ranks w Proj'!$Q:$AB,12,FALSE)&lt;0,0,VLOOKUP(TableRBRanks[[#This Row],[Player]],'Ranks w Proj'!$Q:$AB,12,FALSE))</f>
        <v>9.3293867634625922</v>
      </c>
      <c r="O33" s="58">
        <v>32</v>
      </c>
      <c r="P33" s="58" t="str">
        <f>IFERROR(INDEX(TableWRCalcPts[PLAYER],MATCH(TableWRRanks[[#This Row],[RK]],TableWRCalcPts[RK],0)),"")</f>
        <v>Courtland Sutton</v>
      </c>
      <c r="Q33" s="58" t="str">
        <f>IFERROR(INDEX(TableWRCalcPts[TM],MATCH(TableWRRanks[[#This Row],[RK]],TableWRCalcPts[RK],0)),"")</f>
        <v>DEN</v>
      </c>
      <c r="R33" s="58">
        <f>IFERROR(INDEX(TableWRCalcPts[BYE],MATCH(TableWRRanks[[#This Row],[RK]],TableWRCalcPts[RK],0)),"")</f>
        <v>10</v>
      </c>
      <c r="S33" s="95">
        <f>IFERROR(INDEX(TableWRCalcPts[Custom],MATCH(TableWRRanks[[#This Row],[RK]],TableWRCalcPts[RK],0)),"")</f>
        <v>170.42848543673475</v>
      </c>
      <c r="T33" s="140">
        <f>IF(VLOOKUP(TableWRRanks[[#This Row],[Player]],'Ranks w Proj'!$AE:$AO,11,FALSE)&lt;0,0,VLOOKUP(TableWRRanks[[#This Row],[Player]],'Ranks w Proj'!$AE:$AO,11,FALSE))</f>
        <v>15.057365882993382</v>
      </c>
      <c r="V33" s="58">
        <v>32</v>
      </c>
      <c r="W33" s="58" t="str">
        <f>IFERROR(INDEX(TableTECalcPts[PLAYER],MATCH(TableTERanks[[#This Row],[RK]],TableTECalcPts[RK],0)),"")</f>
        <v>Evan Engram</v>
      </c>
      <c r="X33" s="58" t="str">
        <f>IFERROR(INDEX(TableTECalcPts[TM],MATCH(TableTERanks[[#This Row],[RK]],TableTECalcPts[RK],0)),"")</f>
        <v>DEN</v>
      </c>
      <c r="Y33" s="58">
        <f>IFERROR(INDEX(TableTECalcPts[BYE],MATCH(TableTERanks[[#This Row],[RK]],TableTECalcPts[RK],0)),"")</f>
        <v>10</v>
      </c>
      <c r="Z33" s="95">
        <f>IFERROR(INDEX(TableTECalcPts[Custom],MATCH(TableTERanks[[#This Row],[RK]],TableTECalcPts[RK],0)),"")</f>
        <v>71.134066611231063</v>
      </c>
      <c r="AA33" s="140">
        <f>IF(VLOOKUP(TableTERanks[[#This Row],[Player]],'Ranks w Proj'!$AR:$AZ,9,FALSE)&lt;0,0,VLOOKUP(TableTERanks[[#This Row],[Player]],'Ranks w Proj'!$AR:$AZ,9,FALSE))</f>
        <v>0</v>
      </c>
      <c r="AC33" s="58">
        <v>32</v>
      </c>
      <c r="AD33" s="58" t="str">
        <f>IFERROR(INDEX(TableDSTCalcPts[PLAYER],MATCH(TableDSTRanks[[#This Row],[RK]],TableDSTCalcPts[RK],0)),"")</f>
        <v>New York Jets</v>
      </c>
      <c r="AE33" s="58">
        <f>IFERROR(INDEX(TableDSTCalcPts[BYE],MATCH(TableDSTRanks[[#This Row],[RK]],TableDSTCalcPts[RK],0)),"")</f>
        <v>13</v>
      </c>
      <c r="AF33" s="95">
        <f>IFERROR(INDEX(TableDSTCalcPts[Custom],MATCH(TableDSTRanks[[#This Row],[RK]],TableDSTCalcPts[RK],0)),"")</f>
        <v>100.11904761904762</v>
      </c>
      <c r="AG33" s="140">
        <v>0</v>
      </c>
    </row>
    <row r="34" spans="1:33" x14ac:dyDescent="0.25">
      <c r="A34" s="58">
        <v>33</v>
      </c>
      <c r="B34" s="58" t="str">
        <f>IFERROR(INDEX(TableQBCalcPts[PLAYER],MATCH(TableQBRanks[[#This Row],[RK]],TableQBCalcPts[RK],0)),"")</f>
        <v>Deshaun Watson</v>
      </c>
      <c r="C34" s="58" t="str">
        <f>IFERROR(INDEX(TableQBCalcPts[TM],MATCH(TableQBRanks[[#This Row],[RK]],TableQBCalcPts[RK],0)),"")</f>
        <v>CLE</v>
      </c>
      <c r="D34" s="58">
        <f>IFERROR(INDEX(TableQBCalcPts[BYE],MATCH(TableQBRanks[[#This Row],[RK]],TableQBCalcPts[RK],0)),"")</f>
        <v>11</v>
      </c>
      <c r="E34" s="95">
        <f>IFERROR(INDEX(TableQBCalcPts[Custom],MATCH(TableQBRanks[[#This Row],[RK]],TableQBCalcPts[RK],0)),"")</f>
        <v>148.1598360756762</v>
      </c>
      <c r="F34" s="140">
        <f>IF(VLOOKUP(TableQBRanks[[#This Row],[Player]],'Ranks w Proj'!$B:$N,13,FALSE)&lt;0,0,VLOOKUP(TableQBRanks[[#This Row],[Player]],'Ranks w Proj'!$B:$N,13,FALSE))</f>
        <v>0</v>
      </c>
      <c r="H34" s="58">
        <v>33</v>
      </c>
      <c r="I34" s="58" t="str">
        <f>IFERROR(INDEX(TableRBCalcPts[PLAYER],MATCH(TableRBRanks[[#This Row],[RK]],TableRBCalcPts[RK],0)),"")</f>
        <v>Jaylen Warren</v>
      </c>
      <c r="J34" s="58" t="str">
        <f>IFERROR(INDEX(TableRBCalcPts[TM],MATCH(TableRBRanks[[#This Row],[RK]],TableRBCalcPts[RK],0)),"")</f>
        <v>PIT</v>
      </c>
      <c r="K34" s="58">
        <f>IFERROR(INDEX(TableRBCalcPts[BYE],MATCH(TableRBRanks[[#This Row],[RK]],TableRBCalcPts[RK],0)),"")</f>
        <v>9</v>
      </c>
      <c r="L34" s="95">
        <f>IFERROR(INDEX(TableRBCalcPts[Custom],MATCH(TableRBRanks[[#This Row],[RK]],TableRBCalcPts[RK],0)),"")</f>
        <v>165.46939748922614</v>
      </c>
      <c r="M34" s="140">
        <f>IF(VLOOKUP(TableRBRanks[[#This Row],[Player]],'Ranks w Proj'!$Q:$AB,12,FALSE)&lt;0,0,VLOOKUP(TableRBRanks[[#This Row],[Player]],'Ranks w Proj'!$Q:$AB,12,FALSE))</f>
        <v>9.237828964976222</v>
      </c>
      <c r="O34" s="58">
        <v>33</v>
      </c>
      <c r="P34" s="58" t="str">
        <f>IFERROR(INDEX(TableWRCalcPts[PLAYER],MATCH(TableWRRanks[[#This Row],[RK]],TableWRCalcPts[RK],0)),"")</f>
        <v>Makai Lemon</v>
      </c>
      <c r="Q34" s="58" t="str">
        <f>IFERROR(INDEX(TableWRCalcPts[TM],MATCH(TableWRRanks[[#This Row],[RK]],TableWRCalcPts[RK],0)),"")</f>
        <v>PHI</v>
      </c>
      <c r="R34" s="58">
        <f>IFERROR(INDEX(TableWRCalcPts[BYE],MATCH(TableWRRanks[[#This Row],[RK]],TableWRCalcPts[RK],0)),"")</f>
        <v>10</v>
      </c>
      <c r="S34" s="95">
        <f>IFERROR(INDEX(TableWRCalcPts[Custom],MATCH(TableWRRanks[[#This Row],[RK]],TableWRCalcPts[RK],0)),"")</f>
        <v>169.40745113120846</v>
      </c>
      <c r="T34" s="140">
        <f>IF(VLOOKUP(TableWRRanks[[#This Row],[Player]],'Ranks w Proj'!$AE:$AO,11,FALSE)&lt;0,0,VLOOKUP(TableWRRanks[[#This Row],[Player]],'Ranks w Proj'!$AE:$AO,11,FALSE))</f>
        <v>14.865535807635528</v>
      </c>
      <c r="V34" s="58">
        <v>33</v>
      </c>
      <c r="W34" s="58" t="str">
        <f>IFERROR(INDEX(TableTECalcPts[PLAYER],MATCH(TableTERanks[[#This Row],[RK]],TableTECalcPts[RK],0)),"")</f>
        <v>Mason Taylor</v>
      </c>
      <c r="X34" s="58" t="str">
        <f>IFERROR(INDEX(TableTECalcPts[TM],MATCH(TableTERanks[[#This Row],[RK]],TableTECalcPts[RK],0)),"")</f>
        <v>NYJ</v>
      </c>
      <c r="Y34" s="58">
        <f>IFERROR(INDEX(TableTECalcPts[BYE],MATCH(TableTERanks[[#This Row],[RK]],TableTECalcPts[RK],0)),"")</f>
        <v>13</v>
      </c>
      <c r="Z34" s="95">
        <f>IFERROR(INDEX(TableTECalcPts[Custom],MATCH(TableTERanks[[#This Row],[RK]],TableTECalcPts[RK],0)),"")</f>
        <v>64.620107061078613</v>
      </c>
      <c r="AA34" s="140">
        <f>IF(VLOOKUP(TableTERanks[[#This Row],[Player]],'Ranks w Proj'!$AR:$AZ,9,FALSE)&lt;0,0,VLOOKUP(TableTERanks[[#This Row],[Player]],'Ranks w Proj'!$AR:$AZ,9,FALSE))</f>
        <v>0</v>
      </c>
    </row>
    <row r="35" spans="1:33" x14ac:dyDescent="0.25">
      <c r="A35" s="58">
        <v>34</v>
      </c>
      <c r="B35" s="58" t="str">
        <f>IFERROR(INDEX(TableQBCalcPts[PLAYER],MATCH(TableQBRanks[[#This Row],[RK]],TableQBCalcPts[RK],0)),"")</f>
        <v>Fernando Mendoza</v>
      </c>
      <c r="C35" s="58" t="str">
        <f>IFERROR(INDEX(TableQBCalcPts[TM],MATCH(TableQBRanks[[#This Row],[RK]],TableQBCalcPts[RK],0)),"")</f>
        <v>LV</v>
      </c>
      <c r="D35" s="58">
        <f>IFERROR(INDEX(TableQBCalcPts[BYE],MATCH(TableQBRanks[[#This Row],[RK]],TableQBCalcPts[RK],0)),"")</f>
        <v>13</v>
      </c>
      <c r="E35" s="95">
        <f>IFERROR(INDEX(TableQBCalcPts[Custom],MATCH(TableQBRanks[[#This Row],[RK]],TableQBCalcPts[RK],0)),"")</f>
        <v>134.27768356155099</v>
      </c>
      <c r="F35" s="140">
        <f>IF(VLOOKUP(TableQBRanks[[#This Row],[Player]],'Ranks w Proj'!$B:$N,13,FALSE)&lt;0,0,VLOOKUP(TableQBRanks[[#This Row],[Player]],'Ranks w Proj'!$B:$N,13,FALSE))</f>
        <v>0</v>
      </c>
      <c r="H35" s="58">
        <v>34</v>
      </c>
      <c r="I35" s="58" t="str">
        <f>IFERROR(INDEX(TableRBCalcPts[PLAYER],MATCH(TableRBRanks[[#This Row],[RK]],TableRBCalcPts[RK],0)),"")</f>
        <v>Kyle Monangai</v>
      </c>
      <c r="J35" s="58" t="str">
        <f>IFERROR(INDEX(TableRBCalcPts[TM],MATCH(TableRBRanks[[#This Row],[RK]],TableRBCalcPts[RK],0)),"")</f>
        <v>CHI</v>
      </c>
      <c r="K35" s="58">
        <f>IFERROR(INDEX(TableRBCalcPts[BYE],MATCH(TableRBRanks[[#This Row],[RK]],TableRBCalcPts[RK],0)),"")</f>
        <v>10</v>
      </c>
      <c r="L35" s="95">
        <f>IFERROR(INDEX(TableRBCalcPts[Custom],MATCH(TableRBRanks[[#This Row],[RK]],TableRBCalcPts[RK],0)),"")</f>
        <v>147.64126343894941</v>
      </c>
      <c r="M35" s="140">
        <f>IF(VLOOKUP(TableRBRanks[[#This Row],[Player]],'Ranks w Proj'!$Q:$AB,12,FALSE)&lt;0,0,VLOOKUP(TableRBRanks[[#This Row],[Player]],'Ranks w Proj'!$Q:$AB,12,FALSE))</f>
        <v>6.558214946254922</v>
      </c>
      <c r="O35" s="58">
        <v>34</v>
      </c>
      <c r="P35" s="58" t="str">
        <f>IFERROR(INDEX(TableWRCalcPts[PLAYER],MATCH(TableWRRanks[[#This Row],[RK]],TableWRCalcPts[RK],0)),"")</f>
        <v>Jordan Addison</v>
      </c>
      <c r="Q35" s="58" t="str">
        <f>IFERROR(INDEX(TableWRCalcPts[TM],MATCH(TableWRRanks[[#This Row],[RK]],TableWRCalcPts[RK],0)),"")</f>
        <v>MIN</v>
      </c>
      <c r="R35" s="58">
        <f>IFERROR(INDEX(TableWRCalcPts[BYE],MATCH(TableWRRanks[[#This Row],[RK]],TableWRCalcPts[RK],0)),"")</f>
        <v>6</v>
      </c>
      <c r="S35" s="95">
        <f>IFERROR(INDEX(TableWRCalcPts[Custom],MATCH(TableWRRanks[[#This Row],[RK]],TableWRCalcPts[RK],0)),"")</f>
        <v>168.53891277683735</v>
      </c>
      <c r="T35" s="140">
        <f>IF(VLOOKUP(TableWRRanks[[#This Row],[Player]],'Ranks w Proj'!$AE:$AO,11,FALSE)&lt;0,0,VLOOKUP(TableWRRanks[[#This Row],[Player]],'Ranks w Proj'!$AE:$AO,11,FALSE))</f>
        <v>14.702356395280407</v>
      </c>
      <c r="V35" s="58">
        <v>34</v>
      </c>
      <c r="W35" s="58" t="str">
        <f>IFERROR(INDEX(TableTECalcPts[PLAYER],MATCH(TableTERanks[[#This Row],[RK]],TableTECalcPts[RK],0)),"")</f>
        <v>Darnell Washington</v>
      </c>
      <c r="X35" s="58" t="str">
        <f>IFERROR(INDEX(TableTECalcPts[TM],MATCH(TableTERanks[[#This Row],[RK]],TableTECalcPts[RK],0)),"")</f>
        <v>PIT</v>
      </c>
      <c r="Y35" s="58">
        <f>IFERROR(INDEX(TableTECalcPts[BYE],MATCH(TableTERanks[[#This Row],[RK]],TableTECalcPts[RK],0)),"")</f>
        <v>9</v>
      </c>
      <c r="Z35" s="95">
        <f>IFERROR(INDEX(TableTECalcPts[Custom],MATCH(TableTERanks[[#This Row],[RK]],TableTECalcPts[RK],0)),"")</f>
        <v>63.316144832859713</v>
      </c>
      <c r="AA35" s="140">
        <f>IF(VLOOKUP(TableTERanks[[#This Row],[Player]],'Ranks w Proj'!$AR:$AZ,9,FALSE)&lt;0,0,VLOOKUP(TableTERanks[[#This Row],[Player]],'Ranks w Proj'!$AR:$AZ,9,FALSE))</f>
        <v>0</v>
      </c>
    </row>
    <row r="36" spans="1:33" x14ac:dyDescent="0.25">
      <c r="A36" s="58">
        <v>35</v>
      </c>
      <c r="B36" s="58" t="str">
        <f>IFERROR(INDEX(TableQBCalcPts[PLAYER],MATCH(TableQBRanks[[#This Row],[RK]],TableQBCalcPts[RK],0)),"")</f>
        <v>Michael Penix</v>
      </c>
      <c r="C36" s="58" t="str">
        <f>IFERROR(INDEX(TableQBCalcPts[TM],MATCH(TableQBRanks[[#This Row],[RK]],TableQBCalcPts[RK],0)),"")</f>
        <v>ATL</v>
      </c>
      <c r="D36" s="58">
        <f>IFERROR(INDEX(TableQBCalcPts[BYE],MATCH(TableQBRanks[[#This Row],[RK]],TableQBCalcPts[RK],0)),"")</f>
        <v>11</v>
      </c>
      <c r="E36" s="95">
        <f>IFERROR(INDEX(TableQBCalcPts[Custom],MATCH(TableQBRanks[[#This Row],[RK]],TableQBCalcPts[RK],0)),"")</f>
        <v>41.951258611673893</v>
      </c>
      <c r="F36" s="140">
        <f>IF(VLOOKUP(TableQBRanks[[#This Row],[Player]],'Ranks w Proj'!$B:$N,13,FALSE)&lt;0,0,VLOOKUP(TableQBRanks[[#This Row],[Player]],'Ranks w Proj'!$B:$N,13,FALSE))</f>
        <v>0</v>
      </c>
      <c r="H36" s="58">
        <v>35</v>
      </c>
      <c r="I36" s="58" t="str">
        <f>IFERROR(INDEX(TableRBCalcPts[PLAYER],MATCH(TableRBRanks[[#This Row],[RK]],TableRBCalcPts[RK],0)),"")</f>
        <v>Jordan Mason</v>
      </c>
      <c r="J36" s="58" t="str">
        <f>IFERROR(INDEX(TableRBCalcPts[TM],MATCH(TableRBRanks[[#This Row],[RK]],TableRBCalcPts[RK],0)),"")</f>
        <v>MIN</v>
      </c>
      <c r="K36" s="58">
        <f>IFERROR(INDEX(TableRBCalcPts[BYE],MATCH(TableRBRanks[[#This Row],[RK]],TableRBCalcPts[RK],0)),"")</f>
        <v>6</v>
      </c>
      <c r="L36" s="95">
        <f>IFERROR(INDEX(TableRBCalcPts[Custom],MATCH(TableRBRanks[[#This Row],[RK]],TableRBCalcPts[RK],0)),"")</f>
        <v>132.30675892592791</v>
      </c>
      <c r="M36" s="140">
        <f>IF(VLOOKUP(TableRBRanks[[#This Row],[Player]],'Ranks w Proj'!$Q:$AB,12,FALSE)&lt;0,0,VLOOKUP(TableRBRanks[[#This Row],[Player]],'Ranks w Proj'!$Q:$AB,12,FALSE))</f>
        <v>4.2533998070284129</v>
      </c>
      <c r="O36" s="58">
        <v>35</v>
      </c>
      <c r="P36" s="58" t="str">
        <f>IFERROR(INDEX(TableWRCalcPts[PLAYER],MATCH(TableWRRanks[[#This Row],[RK]],TableWRCalcPts[RK],0)),"")</f>
        <v>Quentin Johnston</v>
      </c>
      <c r="Q36" s="58" t="str">
        <f>IFERROR(INDEX(TableWRCalcPts[TM],MATCH(TableWRRanks[[#This Row],[RK]],TableWRCalcPts[RK],0)),"")</f>
        <v>LAC</v>
      </c>
      <c r="R36" s="58">
        <f>IFERROR(INDEX(TableWRCalcPts[BYE],MATCH(TableWRRanks[[#This Row],[RK]],TableWRCalcPts[RK],0)),"")</f>
        <v>7</v>
      </c>
      <c r="S36" s="95">
        <f>IFERROR(INDEX(TableWRCalcPts[Custom],MATCH(TableWRRanks[[#This Row],[RK]],TableWRCalcPts[RK],0)),"")</f>
        <v>164.51076219862676</v>
      </c>
      <c r="T36" s="140">
        <f>IF(VLOOKUP(TableWRRanks[[#This Row],[Player]],'Ranks w Proj'!$AE:$AO,11,FALSE)&lt;0,0,VLOOKUP(TableWRRanks[[#This Row],[Player]],'Ranks w Proj'!$AE:$AO,11,FALSE))</f>
        <v>13.945554763064314</v>
      </c>
      <c r="V36" s="58">
        <v>35</v>
      </c>
      <c r="W36" s="58" t="str">
        <f>IFERROR(INDEX(TableTECalcPts[PLAYER],MATCH(TableTERanks[[#This Row],[RK]],TableTECalcPts[RK],0)),"")</f>
        <v>Dawson Knox</v>
      </c>
      <c r="X36" s="58" t="str">
        <f>IFERROR(INDEX(TableTECalcPts[TM],MATCH(TableTERanks[[#This Row],[RK]],TableTECalcPts[RK],0)),"")</f>
        <v>BUF</v>
      </c>
      <c r="Y36" s="58">
        <f>IFERROR(INDEX(TableTECalcPts[BYE],MATCH(TableTERanks[[#This Row],[RK]],TableTECalcPts[RK],0)),"")</f>
        <v>7</v>
      </c>
      <c r="Z36" s="95">
        <f>IFERROR(INDEX(TableTECalcPts[Custom],MATCH(TableTERanks[[#This Row],[RK]],TableTECalcPts[RK],0)),"")</f>
        <v>61.473812892346771</v>
      </c>
      <c r="AA36" s="140">
        <f>IF(VLOOKUP(TableTERanks[[#This Row],[Player]],'Ranks w Proj'!$AR:$AZ,9,FALSE)&lt;0,0,VLOOKUP(TableTERanks[[#This Row],[Player]],'Ranks w Proj'!$AR:$AZ,9,FALSE))</f>
        <v>0</v>
      </c>
    </row>
    <row r="37" spans="1:33" x14ac:dyDescent="0.25">
      <c r="A37" s="58">
        <v>36</v>
      </c>
      <c r="B37" s="58" t="str">
        <f>IFERROR(INDEX(TableQBCalcPts[PLAYER],MATCH(TableQBRanks[[#This Row],[RK]],TableQBCalcPts[RK],0)),"")</f>
        <v>Anthony Richardson</v>
      </c>
      <c r="C37" s="58" t="str">
        <f>IFERROR(INDEX(TableQBCalcPts[TM],MATCH(TableQBRanks[[#This Row],[RK]],TableQBCalcPts[RK],0)),"")</f>
        <v>IND</v>
      </c>
      <c r="D37" s="58">
        <f>IFERROR(INDEX(TableQBCalcPts[BYE],MATCH(TableQBRanks[[#This Row],[RK]],TableQBCalcPts[RK],0)),"")</f>
        <v>13</v>
      </c>
      <c r="E37" s="95">
        <f>IFERROR(INDEX(TableQBCalcPts[Custom],MATCH(TableQBRanks[[#This Row],[RK]],TableQBCalcPts[RK],0)),"")</f>
        <v>34.144032787890652</v>
      </c>
      <c r="F37" s="140">
        <f>IF(VLOOKUP(TableQBRanks[[#This Row],[Player]],'Ranks w Proj'!$B:$N,13,FALSE)&lt;0,0,VLOOKUP(TableQBRanks[[#This Row],[Player]],'Ranks w Proj'!$B:$N,13,FALSE))</f>
        <v>0</v>
      </c>
      <c r="H37" s="58">
        <v>36</v>
      </c>
      <c r="I37" s="58" t="str">
        <f>IFERROR(INDEX(TableRBCalcPts[PLAYER],MATCH(TableRBRanks[[#This Row],[RK]],TableRBCalcPts[RK],0)),"")</f>
        <v>Blake Corum</v>
      </c>
      <c r="J37" s="58" t="str">
        <f>IFERROR(INDEX(TableRBCalcPts[TM],MATCH(TableRBRanks[[#This Row],[RK]],TableRBCalcPts[RK],0)),"")</f>
        <v>LAR</v>
      </c>
      <c r="K37" s="58">
        <f>IFERROR(INDEX(TableRBCalcPts[BYE],MATCH(TableRBRanks[[#This Row],[RK]],TableRBCalcPts[RK],0)),"")</f>
        <v>11</v>
      </c>
      <c r="L37" s="95">
        <f>IFERROR(INDEX(TableRBCalcPts[Custom],MATCH(TableRBRanks[[#This Row],[RK]],TableRBCalcPts[RK],0)),"")</f>
        <v>132.20471392634317</v>
      </c>
      <c r="M37" s="140">
        <f>IF(VLOOKUP(TableRBRanks[[#This Row],[Player]],'Ranks w Proj'!$Q:$AB,12,FALSE)&lt;0,0,VLOOKUP(TableRBRanks[[#This Row],[Player]],'Ranks w Proj'!$Q:$AB,12,FALSE))</f>
        <v>4.2380621833232883</v>
      </c>
      <c r="O37" s="58">
        <v>36</v>
      </c>
      <c r="P37" s="58" t="str">
        <f>IFERROR(INDEX(TableWRCalcPts[PLAYER],MATCH(TableWRRanks[[#This Row],[RK]],TableWRCalcPts[RK],0)),"")</f>
        <v>Jordyn Tyson</v>
      </c>
      <c r="Q37" s="58" t="str">
        <f>IFERROR(INDEX(TableWRCalcPts[TM],MATCH(TableWRRanks[[#This Row],[RK]],TableWRCalcPts[RK],0)),"")</f>
        <v>NO</v>
      </c>
      <c r="R37" s="58">
        <f>IFERROR(INDEX(TableWRCalcPts[BYE],MATCH(TableWRRanks[[#This Row],[RK]],TableWRCalcPts[RK],0)),"")</f>
        <v>8</v>
      </c>
      <c r="S37" s="95">
        <f>IFERROR(INDEX(TableWRCalcPts[Custom],MATCH(TableWRRanks[[#This Row],[RK]],TableWRCalcPts[RK],0)),"")</f>
        <v>163.96882825838594</v>
      </c>
      <c r="T37" s="140">
        <f>IF(VLOOKUP(TableWRRanks[[#This Row],[Player]],'Ranks w Proj'!$AE:$AO,11,FALSE)&lt;0,0,VLOOKUP(TableWRRanks[[#This Row],[Player]],'Ranks w Proj'!$AE:$AO,11,FALSE))</f>
        <v>13.843737196276692</v>
      </c>
      <c r="V37" s="58">
        <v>36</v>
      </c>
      <c r="W37" s="58" t="str">
        <f>IFERROR(INDEX(TableTECalcPts[PLAYER],MATCH(TableTERanks[[#This Row],[RK]],TableTECalcPts[RK],0)),"")</f>
        <v>Colby Parkinson</v>
      </c>
      <c r="X37" s="58" t="str">
        <f>IFERROR(INDEX(TableTECalcPts[TM],MATCH(TableTERanks[[#This Row],[RK]],TableTECalcPts[RK],0)),"")</f>
        <v>LAR</v>
      </c>
      <c r="Y37" s="58">
        <f>IFERROR(INDEX(TableTECalcPts[BYE],MATCH(TableTERanks[[#This Row],[RK]],TableTECalcPts[RK],0)),"")</f>
        <v>11</v>
      </c>
      <c r="Z37" s="95">
        <f>IFERROR(INDEX(TableTECalcPts[Custom],MATCH(TableTERanks[[#This Row],[RK]],TableTECalcPts[RK],0)),"")</f>
        <v>61.096125666883822</v>
      </c>
      <c r="AA37" s="140">
        <f>IF(VLOOKUP(TableTERanks[[#This Row],[Player]],'Ranks w Proj'!$AR:$AZ,9,FALSE)&lt;0,0,VLOOKUP(TableTERanks[[#This Row],[Player]],'Ranks w Proj'!$AR:$AZ,9,FALSE))</f>
        <v>0</v>
      </c>
    </row>
    <row r="38" spans="1:33" x14ac:dyDescent="0.25">
      <c r="A38" s="58">
        <v>37</v>
      </c>
      <c r="B38" s="58" t="str">
        <f>IFERROR(INDEX(TableQBCalcPts[PLAYER],MATCH(TableQBRanks[[#This Row],[RK]],TableQBCalcPts[RK],0)),"")</f>
        <v>Carson Beck</v>
      </c>
      <c r="C38" s="58" t="str">
        <f>IFERROR(INDEX(TableQBCalcPts[TM],MATCH(TableQBRanks[[#This Row],[RK]],TableQBCalcPts[RK],0)),"")</f>
        <v>ARI</v>
      </c>
      <c r="D38" s="58">
        <f>IFERROR(INDEX(TableQBCalcPts[BYE],MATCH(TableQBRanks[[#This Row],[RK]],TableQBCalcPts[RK],0)),"")</f>
        <v>14</v>
      </c>
      <c r="E38" s="95">
        <f>IFERROR(INDEX(TableQBCalcPts[Custom],MATCH(TableQBRanks[[#This Row],[RK]],TableQBCalcPts[RK],0)),"")</f>
        <v>22.154240727309414</v>
      </c>
      <c r="F38" s="140">
        <f>IF(VLOOKUP(TableQBRanks[[#This Row],[Player]],'Ranks w Proj'!$B:$N,13,FALSE)&lt;0,0,VLOOKUP(TableQBRanks[[#This Row],[Player]],'Ranks w Proj'!$B:$N,13,FALSE))</f>
        <v>0</v>
      </c>
      <c r="H38" s="58">
        <v>37</v>
      </c>
      <c r="I38" s="58" t="str">
        <f>IFERROR(INDEX(TableRBCalcPts[PLAYER],MATCH(TableRBRanks[[#This Row],[RK]],TableRBCalcPts[RK],0)),"")</f>
        <v>Aaron Jones</v>
      </c>
      <c r="J38" s="58" t="str">
        <f>IFERROR(INDEX(TableRBCalcPts[TM],MATCH(TableRBRanks[[#This Row],[RK]],TableRBCalcPts[RK],0)),"")</f>
        <v>MIN</v>
      </c>
      <c r="K38" s="58">
        <f>IFERROR(INDEX(TableRBCalcPts[BYE],MATCH(TableRBRanks[[#This Row],[RK]],TableRBCalcPts[RK],0)),"")</f>
        <v>6</v>
      </c>
      <c r="L38" s="95">
        <f>IFERROR(INDEX(TableRBCalcPts[Custom],MATCH(TableRBRanks[[#This Row],[RK]],TableRBCalcPts[RK],0)),"")</f>
        <v>130.92158640534046</v>
      </c>
      <c r="M38" s="140">
        <f>IF(VLOOKUP(TableRBRanks[[#This Row],[Player]],'Ranks w Proj'!$Q:$AB,12,FALSE)&lt;0,0,VLOOKUP(TableRBRanks[[#This Row],[Player]],'Ranks w Proj'!$Q:$AB,12,FALSE))</f>
        <v>4.0452048442776132</v>
      </c>
      <c r="O38" s="58">
        <v>37</v>
      </c>
      <c r="P38" s="58" t="str">
        <f>IFERROR(INDEX(TableWRCalcPts[PLAYER],MATCH(TableWRRanks[[#This Row],[RK]],TableWRCalcPts[RK],0)),"")</f>
        <v>DK Metcalf</v>
      </c>
      <c r="Q38" s="58" t="str">
        <f>IFERROR(INDEX(TableWRCalcPts[TM],MATCH(TableWRRanks[[#This Row],[RK]],TableWRCalcPts[RK],0)),"")</f>
        <v>PIT</v>
      </c>
      <c r="R38" s="58">
        <f>IFERROR(INDEX(TableWRCalcPts[BYE],MATCH(TableWRRanks[[#This Row],[RK]],TableWRCalcPts[RK],0)),"")</f>
        <v>9</v>
      </c>
      <c r="S38" s="95">
        <f>IFERROR(INDEX(TableWRCalcPts[Custom],MATCH(TableWRRanks[[#This Row],[RK]],TableWRCalcPts[RK],0)),"")</f>
        <v>162.91605562564334</v>
      </c>
      <c r="T38" s="140">
        <f>IF(VLOOKUP(TableWRRanks[[#This Row],[Player]],'Ranks w Proj'!$AE:$AO,11,FALSE)&lt;0,0,VLOOKUP(TableWRRanks[[#This Row],[Player]],'Ranks w Proj'!$AE:$AO,11,FALSE))</f>
        <v>13.645944181506632</v>
      </c>
      <c r="V38" s="58">
        <v>37</v>
      </c>
      <c r="W38" s="58" t="str">
        <f>IFERROR(INDEX(TableTECalcPts[PLAYER],MATCH(TableTERanks[[#This Row],[RK]],TableTECalcPts[RK],0)),"")</f>
        <v>Ja'Tavion Sanders</v>
      </c>
      <c r="X38" s="58" t="str">
        <f>IFERROR(INDEX(TableTECalcPts[TM],MATCH(TableTERanks[[#This Row],[RK]],TableTECalcPts[RK],0)),"")</f>
        <v>CAR</v>
      </c>
      <c r="Y38" s="58">
        <f>IFERROR(INDEX(TableTECalcPts[BYE],MATCH(TableTERanks[[#This Row],[RK]],TableTECalcPts[RK],0)),"")</f>
        <v>5</v>
      </c>
      <c r="Z38" s="95">
        <f>IFERROR(INDEX(TableTECalcPts[Custom],MATCH(TableTERanks[[#This Row],[RK]],TableTECalcPts[RK],0)),"")</f>
        <v>52.136489551557439</v>
      </c>
      <c r="AA38" s="140">
        <f>IF(VLOOKUP(TableTERanks[[#This Row],[Player]],'Ranks w Proj'!$AR:$AZ,9,FALSE)&lt;0,0,VLOOKUP(TableTERanks[[#This Row],[Player]],'Ranks w Proj'!$AR:$AZ,9,FALSE))</f>
        <v>0</v>
      </c>
    </row>
    <row r="39" spans="1:33" x14ac:dyDescent="0.25">
      <c r="A39" s="58">
        <v>38</v>
      </c>
      <c r="B39" s="58" t="str">
        <f>IFERROR(INDEX(TableQBCalcPts[PLAYER],MATCH(TableQBRanks[[#This Row],[RK]],TableQBCalcPts[RK],0)),"")</f>
        <v>Justin Fields</v>
      </c>
      <c r="C39" s="58" t="str">
        <f>IFERROR(INDEX(TableQBCalcPts[TM],MATCH(TableQBRanks[[#This Row],[RK]],TableQBCalcPts[RK],0)),"")</f>
        <v>KC</v>
      </c>
      <c r="D39" s="58">
        <f>IFERROR(INDEX(TableQBCalcPts[BYE],MATCH(TableQBRanks[[#This Row],[RK]],TableQBCalcPts[RK],0)),"")</f>
        <v>5</v>
      </c>
      <c r="E39" s="95">
        <f>IFERROR(INDEX(TableQBCalcPts[Custom],MATCH(TableQBRanks[[#This Row],[RK]],TableQBCalcPts[RK],0)),"")</f>
        <v>20.709034516463291</v>
      </c>
      <c r="F39" s="140">
        <f>IF(VLOOKUP(TableQBRanks[[#This Row],[Player]],'Ranks w Proj'!$B:$N,13,FALSE)&lt;0,0,VLOOKUP(TableQBRanks[[#This Row],[Player]],'Ranks w Proj'!$B:$N,13,FALSE))</f>
        <v>0</v>
      </c>
      <c r="H39" s="58">
        <v>38</v>
      </c>
      <c r="I39" s="58" t="str">
        <f>IFERROR(INDEX(TableRBCalcPts[PLAYER],MATCH(TableRBRanks[[#This Row],[RK]],TableRBCalcPts[RK],0)),"")</f>
        <v>Jonathon Brooks</v>
      </c>
      <c r="J39" s="58" t="str">
        <f>IFERROR(INDEX(TableRBCalcPts[TM],MATCH(TableRBRanks[[#This Row],[RK]],TableRBCalcPts[RK],0)),"")</f>
        <v>CAR</v>
      </c>
      <c r="K39" s="58">
        <f>IFERROR(INDEX(TableRBCalcPts[BYE],MATCH(TableRBRanks[[#This Row],[RK]],TableRBCalcPts[RK],0)),"")</f>
        <v>5</v>
      </c>
      <c r="L39" s="95">
        <f>IFERROR(INDEX(TableRBCalcPts[Custom],MATCH(TableRBRanks[[#This Row],[RK]],TableRBCalcPts[RK],0)),"")</f>
        <v>126.32116015930738</v>
      </c>
      <c r="M39" s="140">
        <f>IF(VLOOKUP(TableRBRanks[[#This Row],[Player]],'Ranks w Proj'!$Q:$AB,12,FALSE)&lt;0,0,VLOOKUP(TableRBRanks[[#This Row],[Player]],'Ranks w Proj'!$Q:$AB,12,FALSE))</f>
        <v>3.3537490460320143</v>
      </c>
      <c r="O39" s="58">
        <v>38</v>
      </c>
      <c r="P39" s="58" t="str">
        <f>IFERROR(INDEX(TableWRCalcPts[PLAYER],MATCH(TableWRRanks[[#This Row],[RK]],TableWRCalcPts[RK],0)),"")</f>
        <v>Michael Pittman</v>
      </c>
      <c r="Q39" s="58" t="str">
        <f>IFERROR(INDEX(TableWRCalcPts[TM],MATCH(TableWRRanks[[#This Row],[RK]],TableWRCalcPts[RK],0)),"")</f>
        <v>PIT</v>
      </c>
      <c r="R39" s="58">
        <f>IFERROR(INDEX(TableWRCalcPts[BYE],MATCH(TableWRRanks[[#This Row],[RK]],TableWRCalcPts[RK],0)),"")</f>
        <v>9</v>
      </c>
      <c r="S39" s="95">
        <f>IFERROR(INDEX(TableWRCalcPts[Custom],MATCH(TableWRRanks[[#This Row],[RK]],TableWRCalcPts[RK],0)),"")</f>
        <v>161.35338225495778</v>
      </c>
      <c r="T39" s="140">
        <f>IF(VLOOKUP(TableWRRanks[[#This Row],[Player]],'Ranks w Proj'!$AE:$AO,11,FALSE)&lt;0,0,VLOOKUP(TableWRRanks[[#This Row],[Player]],'Ranks w Proj'!$AE:$AO,11,FALSE))</f>
        <v>13.352351939957208</v>
      </c>
      <c r="V39" s="58">
        <v>38</v>
      </c>
      <c r="W39" s="58" t="str">
        <f>IFERROR(INDEX(TableTECalcPts[PLAYER],MATCH(TableTERanks[[#This Row],[RK]],TableTECalcPts[RK],0)),"")</f>
        <v>Eli Raridon</v>
      </c>
      <c r="X39" s="58" t="str">
        <f>IFERROR(INDEX(TableTECalcPts[TM],MATCH(TableTERanks[[#This Row],[RK]],TableTECalcPts[RK],0)),"")</f>
        <v>NE</v>
      </c>
      <c r="Y39" s="58">
        <f>IFERROR(INDEX(TableTECalcPts[BYE],MATCH(TableTERanks[[#This Row],[RK]],TableTECalcPts[RK],0)),"")</f>
        <v>11</v>
      </c>
      <c r="Z39" s="95">
        <f>IFERROR(INDEX(TableTECalcPts[Custom],MATCH(TableTERanks[[#This Row],[RK]],TableTECalcPts[RK],0)),"")</f>
        <v>50.386639635027102</v>
      </c>
      <c r="AA39" s="140">
        <f>IF(VLOOKUP(TableTERanks[[#This Row],[Player]],'Ranks w Proj'!$AR:$AZ,9,FALSE)&lt;0,0,VLOOKUP(TableTERanks[[#This Row],[Player]],'Ranks w Proj'!$AR:$AZ,9,FALSE))</f>
        <v>0</v>
      </c>
    </row>
    <row r="40" spans="1:33" x14ac:dyDescent="0.25">
      <c r="A40" s="58">
        <v>39</v>
      </c>
      <c r="B40" s="58" t="str">
        <f>IFERROR(INDEX(TableQBCalcPts[PLAYER],MATCH(TableQBRanks[[#This Row],[RK]],TableQBCalcPts[RK],0)),"")</f>
        <v>Marcus Mariota</v>
      </c>
      <c r="C40" s="58" t="str">
        <f>IFERROR(INDEX(TableQBCalcPts[TM],MATCH(TableQBRanks[[#This Row],[RK]],TableQBCalcPts[RK],0)),"")</f>
        <v>WSH</v>
      </c>
      <c r="D40" s="58">
        <f>IFERROR(INDEX(TableQBCalcPts[BYE],MATCH(TableQBRanks[[#This Row],[RK]],TableQBCalcPts[RK],0)),"")</f>
        <v>7</v>
      </c>
      <c r="E40" s="95">
        <f>IFERROR(INDEX(TableQBCalcPts[Custom],MATCH(TableQBRanks[[#This Row],[RK]],TableQBCalcPts[RK],0)),"")</f>
        <v>20.087651290103864</v>
      </c>
      <c r="F40" s="140">
        <f>IF(VLOOKUP(TableQBRanks[[#This Row],[Player]],'Ranks w Proj'!$B:$N,13,FALSE)&lt;0,0,VLOOKUP(TableQBRanks[[#This Row],[Player]],'Ranks w Proj'!$B:$N,13,FALSE))</f>
        <v>0</v>
      </c>
      <c r="H40" s="58">
        <v>39</v>
      </c>
      <c r="I40" s="58" t="str">
        <f>IFERROR(INDEX(TableRBCalcPts[PLAYER],MATCH(TableRBRanks[[#This Row],[RK]],TableRBCalcPts[RK],0)),"")</f>
        <v>Rachaad White</v>
      </c>
      <c r="J40" s="58" t="str">
        <f>IFERROR(INDEX(TableRBCalcPts[TM],MATCH(TableRBRanks[[#This Row],[RK]],TableRBCalcPts[RK],0)),"")</f>
        <v>WSH</v>
      </c>
      <c r="K40" s="58">
        <f>IFERROR(INDEX(TableRBCalcPts[BYE],MATCH(TableRBRanks[[#This Row],[RK]],TableRBCalcPts[RK],0)),"")</f>
        <v>7</v>
      </c>
      <c r="L40" s="95">
        <f>IFERROR(INDEX(TableRBCalcPts[Custom],MATCH(TableRBRanks[[#This Row],[RK]],TableRBCalcPts[RK],0)),"")</f>
        <v>124.03637026247482</v>
      </c>
      <c r="M40" s="140">
        <f>IF(VLOOKUP(TableRBRanks[[#This Row],[Player]],'Ranks w Proj'!$Q:$AB,12,FALSE)&lt;0,0,VLOOKUP(TableRBRanks[[#This Row],[Player]],'Ranks w Proj'!$Q:$AB,12,FALSE))</f>
        <v>3.0103392971418717</v>
      </c>
      <c r="O40" s="58">
        <v>39</v>
      </c>
      <c r="P40" s="58" t="str">
        <f>IFERROR(INDEX(TableWRCalcPts[PLAYER],MATCH(TableWRRanks[[#This Row],[RK]],TableWRCalcPts[RK],0)),"")</f>
        <v>Marvin Harrison</v>
      </c>
      <c r="Q40" s="58" t="str">
        <f>IFERROR(INDEX(TableWRCalcPts[TM],MATCH(TableWRRanks[[#This Row],[RK]],TableWRCalcPts[RK],0)),"")</f>
        <v>ARI</v>
      </c>
      <c r="R40" s="58">
        <f>IFERROR(INDEX(TableWRCalcPts[BYE],MATCH(TableWRRanks[[#This Row],[RK]],TableWRCalcPts[RK],0)),"")</f>
        <v>14</v>
      </c>
      <c r="S40" s="95">
        <f>IFERROR(INDEX(TableWRCalcPts[Custom],MATCH(TableWRRanks[[#This Row],[RK]],TableWRCalcPts[RK],0)),"")</f>
        <v>159.00760212908483</v>
      </c>
      <c r="T40" s="140">
        <f>IF(VLOOKUP(TableWRRanks[[#This Row],[Player]],'Ranks w Proj'!$AE:$AO,11,FALSE)&lt;0,0,VLOOKUP(TableWRRanks[[#This Row],[Player]],'Ranks w Proj'!$AE:$AO,11,FALSE))</f>
        <v>12.911631020117774</v>
      </c>
      <c r="V40" s="58">
        <v>39</v>
      </c>
      <c r="W40" s="58" t="str">
        <f>IFERROR(INDEX(TableTECalcPts[PLAYER],MATCH(TableTERanks[[#This Row],[RK]],TableTECalcPts[RK],0)),"")</f>
        <v>Noah Gray</v>
      </c>
      <c r="X40" s="58" t="str">
        <f>IFERROR(INDEX(TableTECalcPts[TM],MATCH(TableTERanks[[#This Row],[RK]],TableTECalcPts[RK],0)),"")</f>
        <v>KC</v>
      </c>
      <c r="Y40" s="58">
        <f>IFERROR(INDEX(TableTECalcPts[BYE],MATCH(TableTERanks[[#This Row],[RK]],TableTECalcPts[RK],0)),"")</f>
        <v>5</v>
      </c>
      <c r="Z40" s="95">
        <f>IFERROR(INDEX(TableTECalcPts[Custom],MATCH(TableTERanks[[#This Row],[RK]],TableTECalcPts[RK],0)),"")</f>
        <v>49.391673692991986</v>
      </c>
      <c r="AA40" s="140">
        <f>IF(VLOOKUP(TableTERanks[[#This Row],[Player]],'Ranks w Proj'!$AR:$AZ,9,FALSE)&lt;0,0,VLOOKUP(TableTERanks[[#This Row],[Player]],'Ranks w Proj'!$AR:$AZ,9,FALSE))</f>
        <v>0</v>
      </c>
    </row>
    <row r="41" spans="1:33" x14ac:dyDescent="0.25">
      <c r="A41" s="58">
        <v>40</v>
      </c>
      <c r="B41" s="58" t="str">
        <f>IFERROR(INDEX(TableQBCalcPts[PLAYER],MATCH(TableQBRanks[[#This Row],[RK]],TableQBCalcPts[RK],0)),"")</f>
        <v>Joe Flacco</v>
      </c>
      <c r="C41" s="58" t="str">
        <f>IFERROR(INDEX(TableQBCalcPts[TM],MATCH(TableQBRanks[[#This Row],[RK]],TableQBCalcPts[RK],0)),"")</f>
        <v>CIN</v>
      </c>
      <c r="D41" s="58">
        <f>IFERROR(INDEX(TableQBCalcPts[BYE],MATCH(TableQBRanks[[#This Row],[RK]],TableQBCalcPts[RK],0)),"")</f>
        <v>6</v>
      </c>
      <c r="E41" s="95">
        <f>IFERROR(INDEX(TableQBCalcPts[Custom],MATCH(TableQBRanks[[#This Row],[RK]],TableQBCalcPts[RK],0)),"")</f>
        <v>18.398348837547346</v>
      </c>
      <c r="F41" s="140">
        <f>IF(VLOOKUP(TableQBRanks[[#This Row],[Player]],'Ranks w Proj'!$B:$N,13,FALSE)&lt;0,0,VLOOKUP(TableQBRanks[[#This Row],[Player]],'Ranks w Proj'!$B:$N,13,FALSE))</f>
        <v>0</v>
      </c>
      <c r="H41" s="58">
        <v>40</v>
      </c>
      <c r="I41" s="58" t="str">
        <f>IFERROR(INDEX(TableRBCalcPts[PLAYER],MATCH(TableRBRanks[[#This Row],[RK]],TableRBCalcPts[RK],0)),"")</f>
        <v>Jacory Croskey-Merritt</v>
      </c>
      <c r="J41" s="58" t="str">
        <f>IFERROR(INDEX(TableRBCalcPts[TM],MATCH(TableRBRanks[[#This Row],[RK]],TableRBCalcPts[RK],0)),"")</f>
        <v>WSH</v>
      </c>
      <c r="K41" s="58">
        <f>IFERROR(INDEX(TableRBCalcPts[BYE],MATCH(TableRBRanks[[#This Row],[RK]],TableRBCalcPts[RK],0)),"")</f>
        <v>7</v>
      </c>
      <c r="L41" s="95">
        <f>IFERROR(INDEX(TableRBCalcPts[Custom],MATCH(TableRBRanks[[#This Row],[RK]],TableRBCalcPts[RK],0)),"")</f>
        <v>123.7224200487051</v>
      </c>
      <c r="M41" s="140">
        <f>IF(VLOOKUP(TableRBRanks[[#This Row],[Player]],'Ranks w Proj'!$Q:$AB,12,FALSE)&lt;0,0,VLOOKUP(TableRBRanks[[#This Row],[Player]],'Ranks w Proj'!$Q:$AB,12,FALSE))</f>
        <v>2.9631517792768252</v>
      </c>
      <c r="O41" s="58">
        <v>40</v>
      </c>
      <c r="P41" s="58" t="str">
        <f>IFERROR(INDEX(TableWRCalcPts[PLAYER],MATCH(TableWRRanks[[#This Row],[RK]],TableWRCalcPts[RK],0)),"")</f>
        <v>Jayden Higgins</v>
      </c>
      <c r="Q41" s="58" t="str">
        <f>IFERROR(INDEX(TableWRCalcPts[TM],MATCH(TableWRRanks[[#This Row],[RK]],TableWRCalcPts[RK],0)),"")</f>
        <v>HOU</v>
      </c>
      <c r="R41" s="58">
        <f>IFERROR(INDEX(TableWRCalcPts[BYE],MATCH(TableWRRanks[[#This Row],[RK]],TableWRCalcPts[RK],0)),"")</f>
        <v>8</v>
      </c>
      <c r="S41" s="95">
        <f>IFERROR(INDEX(TableWRCalcPts[Custom],MATCH(TableWRRanks[[#This Row],[RK]],TableWRCalcPts[RK],0)),"")</f>
        <v>152.492255822088</v>
      </c>
      <c r="T41" s="140">
        <f>IF(VLOOKUP(TableWRRanks[[#This Row],[Player]],'Ranks w Proj'!$AE:$AO,11,FALSE)&lt;0,0,VLOOKUP(TableWRRanks[[#This Row],[Player]],'Ranks w Proj'!$AE:$AO,11,FALSE))</f>
        <v>11.687539560811228</v>
      </c>
      <c r="V41" s="58">
        <v>40</v>
      </c>
      <c r="W41" s="58" t="str">
        <f>IFERROR(INDEX(TableTECalcPts[PLAYER],MATCH(TableTERanks[[#This Row],[RK]],TableTECalcPts[RK],0)),"")</f>
        <v>Cole Kmet</v>
      </c>
      <c r="X41" s="58" t="str">
        <f>IFERROR(INDEX(TableTECalcPts[TM],MATCH(TableTERanks[[#This Row],[RK]],TableTECalcPts[RK],0)),"")</f>
        <v>CHI</v>
      </c>
      <c r="Y41" s="58">
        <f>IFERROR(INDEX(TableTECalcPts[BYE],MATCH(TableTERanks[[#This Row],[RK]],TableTECalcPts[RK],0)),"")</f>
        <v>10</v>
      </c>
      <c r="Z41" s="95">
        <f>IFERROR(INDEX(TableTECalcPts[Custom],MATCH(TableTERanks[[#This Row],[RK]],TableTECalcPts[RK],0)),"")</f>
        <v>47.577931581028814</v>
      </c>
      <c r="AA41" s="140">
        <f>IF(VLOOKUP(TableTERanks[[#This Row],[Player]],'Ranks w Proj'!$AR:$AZ,9,FALSE)&lt;0,0,VLOOKUP(TableTERanks[[#This Row],[Player]],'Ranks w Proj'!$AR:$AZ,9,FALSE))</f>
        <v>0</v>
      </c>
    </row>
    <row r="42" spans="1:33" x14ac:dyDescent="0.25">
      <c r="A42" s="58">
        <v>41</v>
      </c>
      <c r="B42" s="58" t="str">
        <f>IFERROR(INDEX(TableQBCalcPts[PLAYER],MATCH(TableQBRanks[[#This Row],[RK]],TableQBCalcPts[RK],0)),"")</f>
        <v>Tyler Huntley</v>
      </c>
      <c r="C42" s="58" t="str">
        <f>IFERROR(INDEX(TableQBCalcPts[TM],MATCH(TableQBRanks[[#This Row],[RK]],TableQBCalcPts[RK],0)),"")</f>
        <v>BAL</v>
      </c>
      <c r="D42" s="58">
        <f>IFERROR(INDEX(TableQBCalcPts[BYE],MATCH(TableQBRanks[[#This Row],[RK]],TableQBCalcPts[RK],0)),"")</f>
        <v>13</v>
      </c>
      <c r="E42" s="95">
        <f>IFERROR(INDEX(TableQBCalcPts[Custom],MATCH(TableQBRanks[[#This Row],[RK]],TableQBCalcPts[RK],0)),"")</f>
        <v>17.862362923229476</v>
      </c>
      <c r="F42" s="140">
        <f>IF(VLOOKUP(TableQBRanks[[#This Row],[Player]],'Ranks w Proj'!$B:$N,13,FALSE)&lt;0,0,VLOOKUP(TableQBRanks[[#This Row],[Player]],'Ranks w Proj'!$B:$N,13,FALSE))</f>
        <v>0</v>
      </c>
      <c r="H42" s="58">
        <v>41</v>
      </c>
      <c r="I42" s="58" t="str">
        <f>IFERROR(INDEX(TableRBCalcPts[PLAYER],MATCH(TableRBRanks[[#This Row],[RK]],TableRBCalcPts[RK],0)),"")</f>
        <v>J.K. Dobbins</v>
      </c>
      <c r="J42" s="58" t="str">
        <f>IFERROR(INDEX(TableRBCalcPts[TM],MATCH(TableRBRanks[[#This Row],[RK]],TableRBCalcPts[RK],0)),"")</f>
        <v>DEN</v>
      </c>
      <c r="K42" s="58">
        <f>IFERROR(INDEX(TableRBCalcPts[BYE],MATCH(TableRBRanks[[#This Row],[RK]],TableRBCalcPts[RK],0)),"")</f>
        <v>10</v>
      </c>
      <c r="L42" s="95">
        <f>IFERROR(INDEX(TableRBCalcPts[Custom],MATCH(TableRBRanks[[#This Row],[RK]],TableRBCalcPts[RK],0)),"")</f>
        <v>120.33039587802907</v>
      </c>
      <c r="M42" s="140">
        <f>IF(VLOOKUP(TableRBRanks[[#This Row],[Player]],'Ranks w Proj'!$Q:$AB,12,FALSE)&lt;0,0,VLOOKUP(TableRBRanks[[#This Row],[Player]],'Ranks w Proj'!$Q:$AB,12,FALSE))</f>
        <v>2.4533218950078144</v>
      </c>
      <c r="O42" s="58">
        <v>41</v>
      </c>
      <c r="P42" s="58" t="str">
        <f>IFERROR(INDEX(TableWRCalcPts[PLAYER],MATCH(TableWRRanks[[#This Row],[RK]],TableWRCalcPts[RK],0)),"")</f>
        <v>Wan'Dale Robinson</v>
      </c>
      <c r="Q42" s="58" t="str">
        <f>IFERROR(INDEX(TableWRCalcPts[TM],MATCH(TableWRRanks[[#This Row],[RK]],TableWRCalcPts[RK],0)),"")</f>
        <v>TEN</v>
      </c>
      <c r="R42" s="58">
        <f>IFERROR(INDEX(TableWRCalcPts[BYE],MATCH(TableWRRanks[[#This Row],[RK]],TableWRCalcPts[RK],0)),"")</f>
        <v>9</v>
      </c>
      <c r="S42" s="95">
        <f>IFERROR(INDEX(TableWRCalcPts[Custom],MATCH(TableWRRanks[[#This Row],[RK]],TableWRCalcPts[RK],0)),"")</f>
        <v>152.09749839836161</v>
      </c>
      <c r="T42" s="140">
        <f>IF(VLOOKUP(TableWRRanks[[#This Row],[Player]],'Ranks w Proj'!$AE:$AO,11,FALSE)&lt;0,0,VLOOKUP(TableWRRanks[[#This Row],[Player]],'Ranks w Proj'!$AE:$AO,11,FALSE))</f>
        <v>11.613373251284074</v>
      </c>
      <c r="V42" s="58">
        <v>41</v>
      </c>
      <c r="W42" s="58" t="str">
        <f>IFERROR(INDEX(TableTECalcPts[PLAYER],MATCH(TableTERanks[[#This Row],[RK]],TableTECalcPts[RK],0)),"")</f>
        <v>Michael Mayer</v>
      </c>
      <c r="X42" s="58" t="str">
        <f>IFERROR(INDEX(TableTECalcPts[TM],MATCH(TableTERanks[[#This Row],[RK]],TableTECalcPts[RK],0)),"")</f>
        <v>LV</v>
      </c>
      <c r="Y42" s="58">
        <f>IFERROR(INDEX(TableTECalcPts[BYE],MATCH(TableTERanks[[#This Row],[RK]],TableTECalcPts[RK],0)),"")</f>
        <v>13</v>
      </c>
      <c r="Z42" s="95">
        <f>IFERROR(INDEX(TableTECalcPts[Custom],MATCH(TableTERanks[[#This Row],[RK]],TableTECalcPts[RK],0)),"")</f>
        <v>46.282097929207907</v>
      </c>
      <c r="AA42" s="140">
        <f>IF(VLOOKUP(TableTERanks[[#This Row],[Player]],'Ranks w Proj'!$AR:$AZ,9,FALSE)&lt;0,0,VLOOKUP(TableTERanks[[#This Row],[Player]],'Ranks w Proj'!$AR:$AZ,9,FALSE))</f>
        <v>0</v>
      </c>
    </row>
    <row r="43" spans="1:33" x14ac:dyDescent="0.25">
      <c r="A43" s="58">
        <v>42</v>
      </c>
      <c r="B43" s="58" t="str">
        <f>IFERROR(INDEX(TableQBCalcPts[PLAYER],MATCH(TableQBRanks[[#This Row],[RK]],TableQBCalcPts[RK],0)),"")</f>
        <v>J.J. McCarthy</v>
      </c>
      <c r="C43" s="58" t="str">
        <f>IFERROR(INDEX(TableQBCalcPts[TM],MATCH(TableQBRanks[[#This Row],[RK]],TableQBCalcPts[RK],0)),"")</f>
        <v>MIN</v>
      </c>
      <c r="D43" s="58">
        <f>IFERROR(INDEX(TableQBCalcPts[BYE],MATCH(TableQBRanks[[#This Row],[RK]],TableQBCalcPts[RK],0)),"")</f>
        <v>6</v>
      </c>
      <c r="E43" s="95">
        <f>IFERROR(INDEX(TableQBCalcPts[Custom],MATCH(TableQBRanks[[#This Row],[RK]],TableQBCalcPts[RK],0)),"")</f>
        <v>17.659176117600179</v>
      </c>
      <c r="F43" s="140">
        <f>IF(VLOOKUP(TableQBRanks[[#This Row],[Player]],'Ranks w Proj'!$B:$N,13,FALSE)&lt;0,0,VLOOKUP(TableQBRanks[[#This Row],[Player]],'Ranks w Proj'!$B:$N,13,FALSE))</f>
        <v>0</v>
      </c>
      <c r="H43" s="58">
        <v>42</v>
      </c>
      <c r="I43" s="58" t="str">
        <f>IFERROR(INDEX(TableRBCalcPts[PLAYER],MATCH(TableRBRanks[[#This Row],[RK]],TableRBCalcPts[RK],0)),"")</f>
        <v>Emanuel Wilson</v>
      </c>
      <c r="J43" s="58" t="str">
        <f>IFERROR(INDEX(TableRBCalcPts[TM],MATCH(TableRBRanks[[#This Row],[RK]],TableRBCalcPts[RK],0)),"")</f>
        <v>SEA</v>
      </c>
      <c r="K43" s="58">
        <f>IFERROR(INDEX(TableRBCalcPts[BYE],MATCH(TableRBRanks[[#This Row],[RK]],TableRBCalcPts[RK],0)),"")</f>
        <v>11</v>
      </c>
      <c r="L43" s="95">
        <f>IFERROR(INDEX(TableRBCalcPts[Custom],MATCH(TableRBRanks[[#This Row],[RK]],TableRBCalcPts[RK],0)),"")</f>
        <v>113.57008395871891</v>
      </c>
      <c r="M43" s="140">
        <f>IF(VLOOKUP(TableRBRanks[[#This Row],[Player]],'Ranks w Proj'!$Q:$AB,12,FALSE)&lt;0,0,VLOOKUP(TableRBRanks[[#This Row],[Player]],'Ranks w Proj'!$Q:$AB,12,FALSE))</f>
        <v>1.4372297712428488</v>
      </c>
      <c r="O43" s="58">
        <v>42</v>
      </c>
      <c r="P43" s="58" t="str">
        <f>IFERROR(INDEX(TableWRCalcPts[PLAYER],MATCH(TableWRRanks[[#This Row],[RK]],TableWRCalcPts[RK],0)),"")</f>
        <v>Deebo Samuel</v>
      </c>
      <c r="Q43" s="58" t="str">
        <f>IFERROR(INDEX(TableWRCalcPts[TM],MATCH(TableWRRanks[[#This Row],[RK]],TableWRCalcPts[RK],0)),"")</f>
        <v>SF</v>
      </c>
      <c r="R43" s="58">
        <f>IFERROR(INDEX(TableWRCalcPts[BYE],MATCH(TableWRRanks[[#This Row],[RK]],TableWRCalcPts[RK],0)),"")</f>
        <v>8</v>
      </c>
      <c r="S43" s="95">
        <f>IFERROR(INDEX(TableWRCalcPts[Custom],MATCH(TableWRRanks[[#This Row],[RK]],TableWRCalcPts[RK],0)),"")</f>
        <v>150.71515766082945</v>
      </c>
      <c r="T43" s="140">
        <f>IF(VLOOKUP(TableWRRanks[[#This Row],[Player]],'Ranks w Proj'!$AE:$AO,11,FALSE)&lt;0,0,VLOOKUP(TableWRRanks[[#This Row],[Player]],'Ranks w Proj'!$AE:$AO,11,FALSE))</f>
        <v>11.353661578115226</v>
      </c>
      <c r="V43" s="58">
        <v>42</v>
      </c>
      <c r="W43" s="58" t="str">
        <f>IFERROR(INDEX(TableTECalcPts[PLAYER],MATCH(TableTERanks[[#This Row],[RK]],TableTECalcPts[RK],0)),"")</f>
        <v>Elijah Arroyo</v>
      </c>
      <c r="X43" s="58" t="str">
        <f>IFERROR(INDEX(TableTECalcPts[TM],MATCH(TableTERanks[[#This Row],[RK]],TableTECalcPts[RK],0)),"")</f>
        <v>SEA</v>
      </c>
      <c r="Y43" s="58">
        <f>IFERROR(INDEX(TableTECalcPts[BYE],MATCH(TableTERanks[[#This Row],[RK]],TableTECalcPts[RK],0)),"")</f>
        <v>11</v>
      </c>
      <c r="Z43" s="95">
        <f>IFERROR(INDEX(TableTECalcPts[Custom],MATCH(TableTERanks[[#This Row],[RK]],TableTECalcPts[RK],0)),"")</f>
        <v>41.558434084112932</v>
      </c>
      <c r="AA43" s="140">
        <f>IF(VLOOKUP(TableTERanks[[#This Row],[Player]],'Ranks w Proj'!$AR:$AZ,9,FALSE)&lt;0,0,VLOOKUP(TableTERanks[[#This Row],[Player]],'Ranks w Proj'!$AR:$AZ,9,FALSE))</f>
        <v>0</v>
      </c>
    </row>
    <row r="44" spans="1:33" x14ac:dyDescent="0.25">
      <c r="A44" s="58">
        <v>43</v>
      </c>
      <c r="B44" s="58" t="str">
        <f>IFERROR(INDEX(TableQBCalcPts[PLAYER],MATCH(TableQBRanks[[#This Row],[RK]],TableQBCalcPts[RK],0)),"")</f>
        <v>Brady Cook</v>
      </c>
      <c r="C44" s="58" t="str">
        <f>IFERROR(INDEX(TableQBCalcPts[TM],MATCH(TableQBRanks[[#This Row],[RK]],TableQBCalcPts[RK],0)),"")</f>
        <v>NYJ</v>
      </c>
      <c r="D44" s="58">
        <f>IFERROR(INDEX(TableQBCalcPts[BYE],MATCH(TableQBRanks[[#This Row],[RK]],TableQBCalcPts[RK],0)),"")</f>
        <v>13</v>
      </c>
      <c r="E44" s="95">
        <f>IFERROR(INDEX(TableQBCalcPts[Custom],MATCH(TableQBRanks[[#This Row],[RK]],TableQBCalcPts[RK],0)),"")</f>
        <v>16.393047977919995</v>
      </c>
      <c r="F44" s="140">
        <f>IF(VLOOKUP(TableQBRanks[[#This Row],[Player]],'Ranks w Proj'!$B:$N,13,FALSE)&lt;0,0,VLOOKUP(TableQBRanks[[#This Row],[Player]],'Ranks w Proj'!$B:$N,13,FALSE))</f>
        <v>0</v>
      </c>
      <c r="H44" s="58">
        <v>43</v>
      </c>
      <c r="I44" s="58" t="str">
        <f>IFERROR(INDEX(TableRBCalcPts[PLAYER],MATCH(TableRBRanks[[#This Row],[RK]],TableRBCalcPts[RK],0)),"")</f>
        <v>Isiah Pacheco</v>
      </c>
      <c r="J44" s="58" t="str">
        <f>IFERROR(INDEX(TableRBCalcPts[TM],MATCH(TableRBRanks[[#This Row],[RK]],TableRBCalcPts[RK],0)),"")</f>
        <v>DET</v>
      </c>
      <c r="K44" s="58">
        <f>IFERROR(INDEX(TableRBCalcPts[BYE],MATCH(TableRBRanks[[#This Row],[RK]],TableRBCalcPts[RK],0)),"")</f>
        <v>6</v>
      </c>
      <c r="L44" s="95">
        <f>IFERROR(INDEX(TableRBCalcPts[Custom],MATCH(TableRBRanks[[#This Row],[RK]],TableRBCalcPts[RK],0)),"")</f>
        <v>106.43067468233848</v>
      </c>
      <c r="M44" s="140">
        <f>IF(VLOOKUP(TableRBRanks[[#This Row],[Player]],'Ranks w Proj'!$Q:$AB,12,FALSE)&lt;0,0,VLOOKUP(TableRBRanks[[#This Row],[Player]],'Ranks w Proj'!$Q:$AB,12,FALSE))</f>
        <v>0.36415834781584444</v>
      </c>
      <c r="O44" s="58">
        <v>43</v>
      </c>
      <c r="P44" s="58" t="str">
        <f>IFERROR(INDEX(TableWRCalcPts[PLAYER],MATCH(TableWRRanks[[#This Row],[RK]],TableWRCalcPts[RK],0)),"")</f>
        <v>Jayden Reed</v>
      </c>
      <c r="Q44" s="58" t="str">
        <f>IFERROR(INDEX(TableWRCalcPts[TM],MATCH(TableWRRanks[[#This Row],[RK]],TableWRCalcPts[RK],0)),"")</f>
        <v>GB</v>
      </c>
      <c r="R44" s="58">
        <f>IFERROR(INDEX(TableWRCalcPts[BYE],MATCH(TableWRRanks[[#This Row],[RK]],TableWRCalcPts[RK],0)),"")</f>
        <v>11</v>
      </c>
      <c r="S44" s="95">
        <f>IFERROR(INDEX(TableWRCalcPts[Custom],MATCH(TableWRRanks[[#This Row],[RK]],TableWRCalcPts[RK],0)),"")</f>
        <v>148.99904400559308</v>
      </c>
      <c r="T44" s="140">
        <f>IF(VLOOKUP(TableWRRanks[[#This Row],[Player]],'Ranks w Proj'!$AE:$AO,11,FALSE)&lt;0,0,VLOOKUP(TableWRRanks[[#This Row],[Player]],'Ranks w Proj'!$AE:$AO,11,FALSE))</f>
        <v>11.031241253915688</v>
      </c>
      <c r="V44" s="58">
        <v>43</v>
      </c>
      <c r="W44" s="58" t="str">
        <f>IFERROR(INDEX(TableTECalcPts[PLAYER],MATCH(TableTERanks[[#This Row],[RK]],TableTECalcPts[RK],0)),"")</f>
        <v>Tommy Tremble</v>
      </c>
      <c r="X44" s="58" t="str">
        <f>IFERROR(INDEX(TableTECalcPts[TM],MATCH(TableTERanks[[#This Row],[RK]],TableTECalcPts[RK],0)),"")</f>
        <v>CAR</v>
      </c>
      <c r="Y44" s="58">
        <f>IFERROR(INDEX(TableTECalcPts[BYE],MATCH(TableTERanks[[#This Row],[RK]],TableTECalcPts[RK],0)),"")</f>
        <v>5</v>
      </c>
      <c r="Z44" s="95">
        <f>IFERROR(INDEX(TableTECalcPts[Custom],MATCH(TableTERanks[[#This Row],[RK]],TableTECalcPts[RK],0)),"")</f>
        <v>41.058899402597987</v>
      </c>
      <c r="AA44" s="140">
        <f>IF(VLOOKUP(TableTERanks[[#This Row],[Player]],'Ranks w Proj'!$AR:$AZ,9,FALSE)&lt;0,0,VLOOKUP(TableTERanks[[#This Row],[Player]],'Ranks w Proj'!$AR:$AZ,9,FALSE))</f>
        <v>0</v>
      </c>
    </row>
    <row r="45" spans="1:33" x14ac:dyDescent="0.25">
      <c r="A45" s="58">
        <v>44</v>
      </c>
      <c r="B45" s="58" t="str">
        <f>IFERROR(INDEX(TableQBCalcPts[PLAYER],MATCH(TableQBRanks[[#This Row],[RK]],TableQBCalcPts[RK],0)),"")</f>
        <v>Jameis Winston</v>
      </c>
      <c r="C45" s="58" t="str">
        <f>IFERROR(INDEX(TableQBCalcPts[TM],MATCH(TableQBRanks[[#This Row],[RK]],TableQBCalcPts[RK],0)),"")</f>
        <v>NYG</v>
      </c>
      <c r="D45" s="58">
        <f>IFERROR(INDEX(TableQBCalcPts[BYE],MATCH(TableQBRanks[[#This Row],[RK]],TableQBCalcPts[RK],0)),"")</f>
        <v>8</v>
      </c>
      <c r="E45" s="95">
        <f>IFERROR(INDEX(TableQBCalcPts[Custom],MATCH(TableQBRanks[[#This Row],[RK]],TableQBCalcPts[RK],0)),"")</f>
        <v>15.834055429960992</v>
      </c>
      <c r="F45" s="140">
        <f>IF(VLOOKUP(TableQBRanks[[#This Row],[Player]],'Ranks w Proj'!$B:$N,13,FALSE)&lt;0,0,VLOOKUP(TableQBRanks[[#This Row],[Player]],'Ranks w Proj'!$B:$N,13,FALSE))</f>
        <v>0</v>
      </c>
      <c r="H45" s="58">
        <v>44</v>
      </c>
      <c r="I45" s="58" t="str">
        <f>IFERROR(INDEX(TableRBCalcPts[PLAYER],MATCH(TableRBRanks[[#This Row],[RK]],TableRBCalcPts[RK],0)),"")</f>
        <v>Alvin Kamara</v>
      </c>
      <c r="J45" s="58" t="str">
        <f>IFERROR(INDEX(TableRBCalcPts[TM],MATCH(TableRBRanks[[#This Row],[RK]],TableRBCalcPts[RK],0)),"")</f>
        <v>NO</v>
      </c>
      <c r="K45" s="58">
        <f>IFERROR(INDEX(TableRBCalcPts[BYE],MATCH(TableRBRanks[[#This Row],[RK]],TableRBCalcPts[RK],0)),"")</f>
        <v>8</v>
      </c>
      <c r="L45" s="95">
        <f>IFERROR(INDEX(TableRBCalcPts[Custom],MATCH(TableRBRanks[[#This Row],[RK]],TableRBCalcPts[RK],0)),"")</f>
        <v>104.00783923102738</v>
      </c>
      <c r="M45" s="140">
        <f>IF(VLOOKUP(TableRBRanks[[#This Row],[Player]],'Ranks w Proj'!$Q:$AB,12,FALSE)&lt;0,0,VLOOKUP(TableRBRanks[[#This Row],[Player]],'Ranks w Proj'!$Q:$AB,12,FALSE))</f>
        <v>0</v>
      </c>
      <c r="O45" s="58">
        <v>44</v>
      </c>
      <c r="P45" s="58" t="str">
        <f>IFERROR(INDEX(TableWRCalcPts[PLAYER],MATCH(TableWRRanks[[#This Row],[RK]],TableWRCalcPts[RK],0)),"")</f>
        <v>Josh Downs</v>
      </c>
      <c r="Q45" s="58" t="str">
        <f>IFERROR(INDEX(TableWRCalcPts[TM],MATCH(TableWRRanks[[#This Row],[RK]],TableWRCalcPts[RK],0)),"")</f>
        <v>IND</v>
      </c>
      <c r="R45" s="58">
        <f>IFERROR(INDEX(TableWRCalcPts[BYE],MATCH(TableWRRanks[[#This Row],[RK]],TableWRCalcPts[RK],0)),"")</f>
        <v>13</v>
      </c>
      <c r="S45" s="95">
        <f>IFERROR(INDEX(TableWRCalcPts[Custom],MATCH(TableWRRanks[[#This Row],[RK]],TableWRCalcPts[RK],0)),"")</f>
        <v>148.75355445006602</v>
      </c>
      <c r="T45" s="140">
        <f>IF(VLOOKUP(TableWRRanks[[#This Row],[Player]],'Ranks w Proj'!$AE:$AO,11,FALSE)&lt;0,0,VLOOKUP(TableWRRanks[[#This Row],[Player]],'Ranks w Proj'!$AE:$AO,11,FALSE))</f>
        <v>10.985119121014337</v>
      </c>
      <c r="V45" s="58">
        <v>44</v>
      </c>
      <c r="W45" s="58" t="str">
        <f>IFERROR(INDEX(TableTECalcPts[PLAYER],MATCH(TableTERanks[[#This Row],[RK]],TableTECalcPts[RK],0)),"")</f>
        <v>Theo Johnson</v>
      </c>
      <c r="X45" s="58" t="str">
        <f>IFERROR(INDEX(TableTECalcPts[TM],MATCH(TableTERanks[[#This Row],[RK]],TableTECalcPts[RK],0)),"")</f>
        <v>NYG</v>
      </c>
      <c r="Y45" s="58">
        <f>IFERROR(INDEX(TableTECalcPts[BYE],MATCH(TableTERanks[[#This Row],[RK]],TableTECalcPts[RK],0)),"")</f>
        <v>8</v>
      </c>
      <c r="Z45" s="95">
        <f>IFERROR(INDEX(TableTECalcPts[Custom],MATCH(TableTERanks[[#This Row],[RK]],TableTECalcPts[RK],0)),"")</f>
        <v>41.026183631433959</v>
      </c>
      <c r="AA45" s="140">
        <f>IF(VLOOKUP(TableTERanks[[#This Row],[Player]],'Ranks w Proj'!$AR:$AZ,9,FALSE)&lt;0,0,VLOOKUP(TableTERanks[[#This Row],[Player]],'Ranks w Proj'!$AR:$AZ,9,FALSE))</f>
        <v>0</v>
      </c>
    </row>
    <row r="46" spans="1:33" x14ac:dyDescent="0.25">
      <c r="A46" s="58">
        <v>45</v>
      </c>
      <c r="B46" s="58" t="str">
        <f>IFERROR(INDEX(TableQBCalcPts[PLAYER],MATCH(TableQBRanks[[#This Row],[RK]],TableQBCalcPts[RK],0)),"")</f>
        <v>Will Howard</v>
      </c>
      <c r="C46" s="58" t="str">
        <f>IFERROR(INDEX(TableQBCalcPts[TM],MATCH(TableQBRanks[[#This Row],[RK]],TableQBCalcPts[RK],0)),"")</f>
        <v>PIT</v>
      </c>
      <c r="D46" s="58">
        <f>IFERROR(INDEX(TableQBCalcPts[BYE],MATCH(TableQBRanks[[#This Row],[RK]],TableQBCalcPts[RK],0)),"")</f>
        <v>9</v>
      </c>
      <c r="E46" s="95">
        <f>IFERROR(INDEX(TableQBCalcPts[Custom],MATCH(TableQBRanks[[#This Row],[RK]],TableQBCalcPts[RK],0)),"")</f>
        <v>14.725827648000003</v>
      </c>
      <c r="F46" s="140">
        <f>IF(VLOOKUP(TableQBRanks[[#This Row],[Player]],'Ranks w Proj'!$B:$N,13,FALSE)&lt;0,0,VLOOKUP(TableQBRanks[[#This Row],[Player]],'Ranks w Proj'!$B:$N,13,FALSE))</f>
        <v>0</v>
      </c>
      <c r="H46" s="58">
        <v>45</v>
      </c>
      <c r="I46" s="58" t="str">
        <f>IFERROR(INDEX(TableRBCalcPts[PLAYER],MATCH(TableRBRanks[[#This Row],[RK]],TableRBCalcPts[RK],0)),"")</f>
        <v>Chris Rodriguez</v>
      </c>
      <c r="J46" s="58" t="str">
        <f>IFERROR(INDEX(TableRBCalcPts[TM],MATCH(TableRBRanks[[#This Row],[RK]],TableRBCalcPts[RK],0)),"")</f>
        <v>JAX</v>
      </c>
      <c r="K46" s="58">
        <f>IFERROR(INDEX(TableRBCalcPts[BYE],MATCH(TableRBRanks[[#This Row],[RK]],TableRBCalcPts[RK],0)),"")</f>
        <v>7</v>
      </c>
      <c r="L46" s="95">
        <f>IFERROR(INDEX(TableRBCalcPts[Custom],MATCH(TableRBRanks[[#This Row],[RK]],TableRBCalcPts[RK],0)),"")</f>
        <v>98.931403296779322</v>
      </c>
      <c r="M46" s="140">
        <f>IF(VLOOKUP(TableRBRanks[[#This Row],[Player]],'Ranks w Proj'!$Q:$AB,12,FALSE)&lt;0,0,VLOOKUP(TableRBRanks[[#This Row],[Player]],'Ranks w Proj'!$Q:$AB,12,FALSE))</f>
        <v>0</v>
      </c>
      <c r="O46" s="58">
        <v>45</v>
      </c>
      <c r="P46" s="58" t="str">
        <f>IFERROR(INDEX(TableWRCalcPts[PLAYER],MATCH(TableWRRanks[[#This Row],[RK]],TableWRCalcPts[RK],0)),"")</f>
        <v>Malik Nabers</v>
      </c>
      <c r="Q46" s="58" t="str">
        <f>IFERROR(INDEX(TableWRCalcPts[TM],MATCH(TableWRRanks[[#This Row],[RK]],TableWRCalcPts[RK],0)),"")</f>
        <v>NYG</v>
      </c>
      <c r="R46" s="58">
        <f>IFERROR(INDEX(TableWRCalcPts[BYE],MATCH(TableWRRanks[[#This Row],[RK]],TableWRCalcPts[RK],0)),"")</f>
        <v>8</v>
      </c>
      <c r="S46" s="95">
        <f>IFERROR(INDEX(TableWRCalcPts[Custom],MATCH(TableWRRanks[[#This Row],[RK]],TableWRCalcPts[RK],0)),"")</f>
        <v>147.06776996248362</v>
      </c>
      <c r="T46" s="140">
        <f>IF(VLOOKUP(TableWRRanks[[#This Row],[Player]],'Ranks w Proj'!$AE:$AO,11,FALSE)&lt;0,0,VLOOKUP(TableWRRanks[[#This Row],[Player]],'Ranks w Proj'!$AE:$AO,11,FALSE))</f>
        <v>10.668396985881625</v>
      </c>
      <c r="V46" s="58">
        <v>45</v>
      </c>
      <c r="W46" s="58" t="str">
        <f>IFERROR(INDEX(TableTECalcPts[PLAYER],MATCH(TableTERanks[[#This Row],[RK]],TableTECalcPts[RK],0)),"")</f>
        <v>Max Klare</v>
      </c>
      <c r="X46" s="58" t="str">
        <f>IFERROR(INDEX(TableTECalcPts[TM],MATCH(TableTERanks[[#This Row],[RK]],TableTECalcPts[RK],0)),"")</f>
        <v>LAR</v>
      </c>
      <c r="Y46" s="58">
        <f>IFERROR(INDEX(TableTECalcPts[BYE],MATCH(TableTERanks[[#This Row],[RK]],TableTECalcPts[RK],0)),"")</f>
        <v>11</v>
      </c>
      <c r="Z46" s="95">
        <f>IFERROR(INDEX(TableTECalcPts[Custom],MATCH(TableTERanks[[#This Row],[RK]],TableTECalcPts[RK],0)),"")</f>
        <v>35.785164132437984</v>
      </c>
      <c r="AA46" s="140">
        <f>IF(VLOOKUP(TableTERanks[[#This Row],[Player]],'Ranks w Proj'!$AR:$AZ,9,FALSE)&lt;0,0,VLOOKUP(TableTERanks[[#This Row],[Player]],'Ranks w Proj'!$AR:$AZ,9,FALSE))</f>
        <v>0</v>
      </c>
    </row>
    <row r="47" spans="1:33" x14ac:dyDescent="0.25">
      <c r="A47" s="58">
        <v>46</v>
      </c>
      <c r="B47" s="58" t="str">
        <f>IFERROR(INDEX(TableQBCalcPts[PLAYER],MATCH(TableQBRanks[[#This Row],[RK]],TableQBCalcPts[RK],0)),"")</f>
        <v>Kenny Pickett</v>
      </c>
      <c r="C47" s="58" t="str">
        <f>IFERROR(INDEX(TableQBCalcPts[TM],MATCH(TableQBRanks[[#This Row],[RK]],TableQBCalcPts[RK],0)),"")</f>
        <v>CAR</v>
      </c>
      <c r="D47" s="58">
        <f>IFERROR(INDEX(TableQBCalcPts[BYE],MATCH(TableQBRanks[[#This Row],[RK]],TableQBCalcPts[RK],0)),"")</f>
        <v>5</v>
      </c>
      <c r="E47" s="95">
        <f>IFERROR(INDEX(TableQBCalcPts[Custom],MATCH(TableQBRanks[[#This Row],[RK]],TableQBCalcPts[RK],0)),"")</f>
        <v>14.456667186020452</v>
      </c>
      <c r="F47" s="140">
        <f>IF(VLOOKUP(TableQBRanks[[#This Row],[Player]],'Ranks w Proj'!$B:$N,13,FALSE)&lt;0,0,VLOOKUP(TableQBRanks[[#This Row],[Player]],'Ranks w Proj'!$B:$N,13,FALSE))</f>
        <v>0</v>
      </c>
      <c r="H47" s="58">
        <v>46</v>
      </c>
      <c r="I47" s="58" t="str">
        <f>IFERROR(INDEX(TableRBCalcPts[PLAYER],MATCH(TableRBRanks[[#This Row],[RK]],TableRBCalcPts[RK],0)),"")</f>
        <v>Woody Marks</v>
      </c>
      <c r="J47" s="58" t="str">
        <f>IFERROR(INDEX(TableRBCalcPts[TM],MATCH(TableRBRanks[[#This Row],[RK]],TableRBCalcPts[RK],0)),"")</f>
        <v>HOU</v>
      </c>
      <c r="K47" s="58">
        <f>IFERROR(INDEX(TableRBCalcPts[BYE],MATCH(TableRBRanks[[#This Row],[RK]],TableRBCalcPts[RK],0)),"")</f>
        <v>8</v>
      </c>
      <c r="L47" s="95">
        <f>IFERROR(INDEX(TableRBCalcPts[Custom],MATCH(TableRBRanks[[#This Row],[RK]],TableRBCalcPts[RK],0)),"")</f>
        <v>95.059015145221139</v>
      </c>
      <c r="M47" s="140">
        <f>IF(VLOOKUP(TableRBRanks[[#This Row],[Player]],'Ranks w Proj'!$Q:$AB,12,FALSE)&lt;0,0,VLOOKUP(TableRBRanks[[#This Row],[Player]],'Ranks w Proj'!$Q:$AB,12,FALSE))</f>
        <v>0</v>
      </c>
      <c r="O47" s="58">
        <v>46</v>
      </c>
      <c r="P47" s="58" t="str">
        <f>IFERROR(INDEX(TableWRCalcPts[PLAYER],MATCH(TableWRRanks[[#This Row],[RK]],TableWRCalcPts[RK],0)),"")</f>
        <v>Brian Thomas</v>
      </c>
      <c r="Q47" s="58" t="str">
        <f>IFERROR(INDEX(TableWRCalcPts[TM],MATCH(TableWRRanks[[#This Row],[RK]],TableWRCalcPts[RK],0)),"")</f>
        <v>JAX</v>
      </c>
      <c r="R47" s="58">
        <f>IFERROR(INDEX(TableWRCalcPts[BYE],MATCH(TableWRRanks[[#This Row],[RK]],TableWRCalcPts[RK],0)),"")</f>
        <v>7</v>
      </c>
      <c r="S47" s="95">
        <f>IFERROR(INDEX(TableWRCalcPts[Custom],MATCH(TableWRRanks[[#This Row],[RK]],TableWRCalcPts[RK],0)),"")</f>
        <v>145.44104743852742</v>
      </c>
      <c r="T47" s="140">
        <f>IF(VLOOKUP(TableWRRanks[[#This Row],[Player]],'Ranks w Proj'!$AE:$AO,11,FALSE)&lt;0,0,VLOOKUP(TableWRRanks[[#This Row],[Player]],'Ranks w Proj'!$AE:$AO,11,FALSE))</f>
        <v>10.362771305463385</v>
      </c>
      <c r="V47" s="58">
        <v>46</v>
      </c>
      <c r="W47" s="58" t="str">
        <f>IFERROR(INDEX(TableTECalcPts[PLAYER],MATCH(TableTERanks[[#This Row],[RK]],TableTECalcPts[RK],0)),"")</f>
        <v>Austin Hooper</v>
      </c>
      <c r="X47" s="58" t="str">
        <f>IFERROR(INDEX(TableTECalcPts[TM],MATCH(TableTERanks[[#This Row],[RK]],TableTECalcPts[RK],0)),"")</f>
        <v>ATL</v>
      </c>
      <c r="Y47" s="58">
        <f>IFERROR(INDEX(TableTECalcPts[BYE],MATCH(TableTERanks[[#This Row],[RK]],TableTECalcPts[RK],0)),"")</f>
        <v>11</v>
      </c>
      <c r="Z47" s="95">
        <f>IFERROR(INDEX(TableTECalcPts[Custom],MATCH(TableTERanks[[#This Row],[RK]],TableTECalcPts[RK],0)),"")</f>
        <v>33.184453283020098</v>
      </c>
      <c r="AA47" s="140">
        <f>IF(VLOOKUP(TableTERanks[[#This Row],[Player]],'Ranks w Proj'!$AR:$AZ,9,FALSE)&lt;0,0,VLOOKUP(TableTERanks[[#This Row],[Player]],'Ranks w Proj'!$AR:$AZ,9,FALSE))</f>
        <v>0</v>
      </c>
    </row>
    <row r="48" spans="1:33" x14ac:dyDescent="0.25">
      <c r="A48" s="58">
        <v>47</v>
      </c>
      <c r="B48" s="58" t="str">
        <f>IFERROR(INDEX(TableQBCalcPts[PLAYER],MATCH(TableQBRanks[[#This Row],[RK]],TableQBCalcPts[RK],0)),"")</f>
        <v>Cade Klubnik</v>
      </c>
      <c r="C48" s="58" t="str">
        <f>IFERROR(INDEX(TableQBCalcPts[TM],MATCH(TableQBRanks[[#This Row],[RK]],TableQBCalcPts[RK],0)),"")</f>
        <v>NYJ</v>
      </c>
      <c r="D48" s="58">
        <f>IFERROR(INDEX(TableQBCalcPts[BYE],MATCH(TableQBRanks[[#This Row],[RK]],TableQBCalcPts[RK],0)),"")</f>
        <v>13</v>
      </c>
      <c r="E48" s="95">
        <f>IFERROR(INDEX(TableQBCalcPts[Custom],MATCH(TableQBRanks[[#This Row],[RK]],TableQBCalcPts[RK],0)),"")</f>
        <v>11.778385631907273</v>
      </c>
      <c r="F48" s="140">
        <f>IF(VLOOKUP(TableQBRanks[[#This Row],[Player]],'Ranks w Proj'!$B:$N,13,FALSE)&lt;0,0,VLOOKUP(TableQBRanks[[#This Row],[Player]],'Ranks w Proj'!$B:$N,13,FALSE))</f>
        <v>0</v>
      </c>
      <c r="H48" s="58">
        <v>47</v>
      </c>
      <c r="I48" s="58" t="str">
        <f>IFERROR(INDEX(TableRBCalcPts[PLAYER],MATCH(TableRBRanks[[#This Row],[RK]],TableRBCalcPts[RK],0)),"")</f>
        <v>Braelon Allen</v>
      </c>
      <c r="J48" s="58" t="str">
        <f>IFERROR(INDEX(TableRBCalcPts[TM],MATCH(TableRBRanks[[#This Row],[RK]],TableRBCalcPts[RK],0)),"")</f>
        <v>NYJ</v>
      </c>
      <c r="K48" s="58">
        <f>IFERROR(INDEX(TableRBCalcPts[BYE],MATCH(TableRBRanks[[#This Row],[RK]],TableRBCalcPts[RK],0)),"")</f>
        <v>13</v>
      </c>
      <c r="L48" s="95">
        <f>IFERROR(INDEX(TableRBCalcPts[Custom],MATCH(TableRBRanks[[#This Row],[RK]],TableRBCalcPts[RK],0)),"")</f>
        <v>93.604943826069501</v>
      </c>
      <c r="M48" s="140">
        <f>IF(VLOOKUP(TableRBRanks[[#This Row],[Player]],'Ranks w Proj'!$Q:$AB,12,FALSE)&lt;0,0,VLOOKUP(TableRBRanks[[#This Row],[Player]],'Ranks w Proj'!$Q:$AB,12,FALSE))</f>
        <v>0</v>
      </c>
      <c r="O48" s="58">
        <v>47</v>
      </c>
      <c r="P48" s="58" t="str">
        <f>IFERROR(INDEX(TableWRCalcPts[PLAYER],MATCH(TableWRRanks[[#This Row],[RK]],TableWRCalcPts[RK],0)),"")</f>
        <v>Chris Godwin</v>
      </c>
      <c r="Q48" s="58" t="str">
        <f>IFERROR(INDEX(TableWRCalcPts[TM],MATCH(TableWRRanks[[#This Row],[RK]],TableWRCalcPts[RK],0)),"")</f>
        <v>TB</v>
      </c>
      <c r="R48" s="58">
        <f>IFERROR(INDEX(TableWRCalcPts[BYE],MATCH(TableWRRanks[[#This Row],[RK]],TableWRCalcPts[RK],0)),"")</f>
        <v>10</v>
      </c>
      <c r="S48" s="95">
        <f>IFERROR(INDEX(TableWRCalcPts[Custom],MATCH(TableWRRanks[[#This Row],[RK]],TableWRCalcPts[RK],0)),"")</f>
        <v>144.56829686906872</v>
      </c>
      <c r="T48" s="140">
        <f>IF(VLOOKUP(TableWRRanks[[#This Row],[Player]],'Ranks w Proj'!$AE:$AO,11,FALSE)&lt;0,0,VLOOKUP(TableWRRanks[[#This Row],[Player]],'Ranks w Proj'!$AE:$AO,11,FALSE))</f>
        <v>10.198800509769526</v>
      </c>
      <c r="V48" s="58">
        <v>47</v>
      </c>
      <c r="W48" s="58" t="str">
        <f>IFERROR(INDEX(TableTECalcPts[PLAYER],MATCH(TableTERanks[[#This Row],[RK]],TableTECalcPts[RK],0)),"")</f>
        <v>Justin Joly</v>
      </c>
      <c r="X48" s="58" t="str">
        <f>IFERROR(INDEX(TableTECalcPts[TM],MATCH(TableTERanks[[#This Row],[RK]],TableTECalcPts[RK],0)),"")</f>
        <v>DEN</v>
      </c>
      <c r="Y48" s="58">
        <f>IFERROR(INDEX(TableTECalcPts[BYE],MATCH(TableTERanks[[#This Row],[RK]],TableTECalcPts[RK],0)),"")</f>
        <v>10</v>
      </c>
      <c r="Z48" s="95">
        <f>IFERROR(INDEX(TableTECalcPts[Custom],MATCH(TableTERanks[[#This Row],[RK]],TableTECalcPts[RK],0)),"")</f>
        <v>32.391832742321469</v>
      </c>
      <c r="AA48" s="140">
        <f>IF(VLOOKUP(TableTERanks[[#This Row],[Player]],'Ranks w Proj'!$AR:$AZ,9,FALSE)&lt;0,0,VLOOKUP(TableTERanks[[#This Row],[Player]],'Ranks w Proj'!$AR:$AZ,9,FALSE))</f>
        <v>0</v>
      </c>
    </row>
    <row r="49" spans="1:27" x14ac:dyDescent="0.25">
      <c r="A49" s="58">
        <v>48</v>
      </c>
      <c r="B49" s="58" t="str">
        <f>IFERROR(INDEX(TableQBCalcPts[PLAYER],MATCH(TableQBRanks[[#This Row],[RK]],TableQBCalcPts[RK],0)),"")</f>
        <v>Tyson Bagent</v>
      </c>
      <c r="C49" s="58" t="str">
        <f>IFERROR(INDEX(TableQBCalcPts[TM],MATCH(TableQBRanks[[#This Row],[RK]],TableQBCalcPts[RK],0)),"")</f>
        <v>CHI</v>
      </c>
      <c r="D49" s="58">
        <f>IFERROR(INDEX(TableQBCalcPts[BYE],MATCH(TableQBRanks[[#This Row],[RK]],TableQBCalcPts[RK],0)),"")</f>
        <v>10</v>
      </c>
      <c r="E49" s="95">
        <f>IFERROR(INDEX(TableQBCalcPts[Custom],MATCH(TableQBRanks[[#This Row],[RK]],TableQBCalcPts[RK],0)),"")</f>
        <v>10.328868025428866</v>
      </c>
      <c r="F49" s="140">
        <f>IF(VLOOKUP(TableQBRanks[[#This Row],[Player]],'Ranks w Proj'!$B:$N,13,FALSE)&lt;0,0,VLOOKUP(TableQBRanks[[#This Row],[Player]],'Ranks w Proj'!$B:$N,13,FALSE))</f>
        <v>0</v>
      </c>
      <c r="H49" s="58">
        <v>48</v>
      </c>
      <c r="I49" s="58" t="str">
        <f>IFERROR(INDEX(TableRBCalcPts[PLAYER],MATCH(TableRBRanks[[#This Row],[RK]],TableRBCalcPts[RK],0)),"")</f>
        <v>Justice Hill</v>
      </c>
      <c r="J49" s="58" t="str">
        <f>IFERROR(INDEX(TableRBCalcPts[TM],MATCH(TableRBRanks[[#This Row],[RK]],TableRBCalcPts[RK],0)),"")</f>
        <v>BAL</v>
      </c>
      <c r="K49" s="58">
        <f>IFERROR(INDEX(TableRBCalcPts[BYE],MATCH(TableRBRanks[[#This Row],[RK]],TableRBCalcPts[RK],0)),"")</f>
        <v>13</v>
      </c>
      <c r="L49" s="95">
        <f>IFERROR(INDEX(TableRBCalcPts[Custom],MATCH(TableRBRanks[[#This Row],[RK]],TableRBCalcPts[RK],0)),"")</f>
        <v>92.574996556792598</v>
      </c>
      <c r="M49" s="140">
        <f>IF(VLOOKUP(TableRBRanks[[#This Row],[Player]],'Ranks w Proj'!$Q:$AB,12,FALSE)&lt;0,0,VLOOKUP(TableRBRanks[[#This Row],[Player]],'Ranks w Proj'!$Q:$AB,12,FALSE))</f>
        <v>0</v>
      </c>
      <c r="O49" s="58">
        <v>48</v>
      </c>
      <c r="P49" s="58" t="str">
        <f>IFERROR(INDEX(TableWRCalcPts[PLAYER],MATCH(TableWRRanks[[#This Row],[RK]],TableWRCalcPts[RK],0)),"")</f>
        <v>Michael Wilson</v>
      </c>
      <c r="Q49" s="58" t="str">
        <f>IFERROR(INDEX(TableWRCalcPts[TM],MATCH(TableWRRanks[[#This Row],[RK]],TableWRCalcPts[RK],0)),"")</f>
        <v>ARI</v>
      </c>
      <c r="R49" s="58">
        <f>IFERROR(INDEX(TableWRCalcPts[BYE],MATCH(TableWRRanks[[#This Row],[RK]],TableWRCalcPts[RK],0)),"")</f>
        <v>14</v>
      </c>
      <c r="S49" s="95">
        <f>IFERROR(INDEX(TableWRCalcPts[Custom],MATCH(TableWRRanks[[#This Row],[RK]],TableWRCalcPts[RK],0)),"")</f>
        <v>143.41848778330626</v>
      </c>
      <c r="T49" s="140">
        <f>IF(VLOOKUP(TableWRRanks[[#This Row],[Player]],'Ranks w Proj'!$AE:$AO,11,FALSE)&lt;0,0,VLOOKUP(TableWRRanks[[#This Row],[Player]],'Ranks w Proj'!$AE:$AO,11,FALSE))</f>
        <v>9.982776462021917</v>
      </c>
      <c r="V49" s="58">
        <v>48</v>
      </c>
      <c r="W49" s="58" t="str">
        <f>IFERROR(INDEX(TableTECalcPts[PLAYER],MATCH(TableTERanks[[#This Row],[RK]],TableTECalcPts[RK],0)),"")</f>
        <v>Jake Tonges</v>
      </c>
      <c r="X49" s="58" t="str">
        <f>IFERROR(INDEX(TableTECalcPts[TM],MATCH(TableTERanks[[#This Row],[RK]],TableTECalcPts[RK],0)),"")</f>
        <v>SF</v>
      </c>
      <c r="Y49" s="58">
        <f>IFERROR(INDEX(TableTECalcPts[BYE],MATCH(TableTERanks[[#This Row],[RK]],TableTECalcPts[RK],0)),"")</f>
        <v>8</v>
      </c>
      <c r="Z49" s="95">
        <f>IFERROR(INDEX(TableTECalcPts[Custom],MATCH(TableTERanks[[#This Row],[RK]],TableTECalcPts[RK],0)),"")</f>
        <v>32.157489867619205</v>
      </c>
      <c r="AA49" s="140">
        <f>IF(VLOOKUP(TableTERanks[[#This Row],[Player]],'Ranks w Proj'!$AR:$AZ,9,FALSE)&lt;0,0,VLOOKUP(TableTERanks[[#This Row],[Player]],'Ranks w Proj'!$AR:$AZ,9,FALSE))</f>
        <v>0</v>
      </c>
    </row>
    <row r="50" spans="1:27" x14ac:dyDescent="0.25">
      <c r="A50" s="58">
        <v>49</v>
      </c>
      <c r="B50" s="58" t="str">
        <f>IFERROR(INDEX(TableQBCalcPts[PLAYER],MATCH(TableQBRanks[[#This Row],[RK]],TableQBCalcPts[RK],0)),"")</f>
        <v>Spencer Rattler</v>
      </c>
      <c r="C50" s="58" t="str">
        <f>IFERROR(INDEX(TableQBCalcPts[TM],MATCH(TableQBRanks[[#This Row],[RK]],TableQBCalcPts[RK],0)),"")</f>
        <v>NO</v>
      </c>
      <c r="D50" s="58">
        <f>IFERROR(INDEX(TableQBCalcPts[BYE],MATCH(TableQBRanks[[#This Row],[RK]],TableQBCalcPts[RK],0)),"")</f>
        <v>8</v>
      </c>
      <c r="E50" s="95">
        <f>IFERROR(INDEX(TableQBCalcPts[Custom],MATCH(TableQBRanks[[#This Row],[RK]],TableQBCalcPts[RK],0)),"")</f>
        <v>9.985309572333378</v>
      </c>
      <c r="F50" s="140">
        <f>IF(VLOOKUP(TableQBRanks[[#This Row],[Player]],'Ranks w Proj'!$B:$N,13,FALSE)&lt;0,0,VLOOKUP(TableQBRanks[[#This Row],[Player]],'Ranks w Proj'!$B:$N,13,FALSE))</f>
        <v>0</v>
      </c>
      <c r="H50" s="58">
        <v>49</v>
      </c>
      <c r="I50" s="58" t="str">
        <f>IFERROR(INDEX(TableRBCalcPts[PLAYER],MATCH(TableRBRanks[[#This Row],[RK]],TableRBCalcPts[RK],0)),"")</f>
        <v>Dylan Sampson</v>
      </c>
      <c r="J50" s="58" t="str">
        <f>IFERROR(INDEX(TableRBCalcPts[TM],MATCH(TableRBRanks[[#This Row],[RK]],TableRBCalcPts[RK],0)),"")</f>
        <v>CLE</v>
      </c>
      <c r="K50" s="58">
        <f>IFERROR(INDEX(TableRBCalcPts[BYE],MATCH(TableRBRanks[[#This Row],[RK]],TableRBCalcPts[RK],0)),"")</f>
        <v>11</v>
      </c>
      <c r="L50" s="95">
        <f>IFERROR(INDEX(TableRBCalcPts[Custom],MATCH(TableRBRanks[[#This Row],[RK]],TableRBCalcPts[RK],0)),"")</f>
        <v>91.113392963644444</v>
      </c>
      <c r="M50" s="140">
        <f>IF(VLOOKUP(TableRBRanks[[#This Row],[Player]],'Ranks w Proj'!$Q:$AB,12,FALSE)&lt;0,0,VLOOKUP(TableRBRanks[[#This Row],[Player]],'Ranks w Proj'!$Q:$AB,12,FALSE))</f>
        <v>0</v>
      </c>
      <c r="O50" s="58">
        <v>49</v>
      </c>
      <c r="P50" s="58" t="str">
        <f>IFERROR(INDEX(TableWRCalcPts[PLAYER],MATCH(TableWRRanks[[#This Row],[RK]],TableWRCalcPts[RK],0)),"")</f>
        <v>Xavier Worthy</v>
      </c>
      <c r="Q50" s="58" t="str">
        <f>IFERROR(INDEX(TableWRCalcPts[TM],MATCH(TableWRRanks[[#This Row],[RK]],TableWRCalcPts[RK],0)),"")</f>
        <v>KC</v>
      </c>
      <c r="R50" s="58">
        <f>IFERROR(INDEX(TableWRCalcPts[BYE],MATCH(TableWRRanks[[#This Row],[RK]],TableWRCalcPts[RK],0)),"")</f>
        <v>5</v>
      </c>
      <c r="S50" s="95">
        <f>IFERROR(INDEX(TableWRCalcPts[Custom],MATCH(TableWRRanks[[#This Row],[RK]],TableWRCalcPts[RK],0)),"")</f>
        <v>142.00991741360272</v>
      </c>
      <c r="T50" s="140">
        <f>IF(VLOOKUP(TableWRRanks[[#This Row],[Player]],'Ranks w Proj'!$AE:$AO,11,FALSE)&lt;0,0,VLOOKUP(TableWRRanks[[#This Row],[Player]],'Ranks w Proj'!$AE:$AO,11,FALSE))</f>
        <v>9.7181368130849553</v>
      </c>
      <c r="V50" s="58">
        <v>49</v>
      </c>
      <c r="W50" s="58" t="str">
        <f>IFERROR(INDEX(TableTECalcPts[PLAYER],MATCH(TableTERanks[[#This Row],[RK]],TableTECalcPts[RK],0)),"")</f>
        <v>Eli Stowers</v>
      </c>
      <c r="X50" s="58" t="str">
        <f>IFERROR(INDEX(TableTECalcPts[TM],MATCH(TableTERanks[[#This Row],[RK]],TableTECalcPts[RK],0)),"")</f>
        <v>PHI</v>
      </c>
      <c r="Y50" s="58">
        <f>IFERROR(INDEX(TableTECalcPts[BYE],MATCH(TableTERanks[[#This Row],[RK]],TableTECalcPts[RK],0)),"")</f>
        <v>10</v>
      </c>
      <c r="Z50" s="95">
        <f>IFERROR(INDEX(TableTECalcPts[Custom],MATCH(TableTERanks[[#This Row],[RK]],TableTECalcPts[RK],0)),"")</f>
        <v>32.087305180512104</v>
      </c>
      <c r="AA50" s="140">
        <f>IF(VLOOKUP(TableTERanks[[#This Row],[Player]],'Ranks w Proj'!$AR:$AZ,9,FALSE)&lt;0,0,VLOOKUP(TableTERanks[[#This Row],[Player]],'Ranks w Proj'!$AR:$AZ,9,FALSE))</f>
        <v>0</v>
      </c>
    </row>
    <row r="51" spans="1:27" x14ac:dyDescent="0.25">
      <c r="A51" s="58">
        <v>50</v>
      </c>
      <c r="B51" s="58" t="str">
        <f>IFERROR(INDEX(TableQBCalcPts[PLAYER],MATCH(TableQBRanks[[#This Row],[RK]],TableQBCalcPts[RK],0)),"")</f>
        <v>Sam Howell</v>
      </c>
      <c r="C51" s="58" t="str">
        <f>IFERROR(INDEX(TableQBCalcPts[TM],MATCH(TableQBRanks[[#This Row],[RK]],TableQBCalcPts[RK],0)),"")</f>
        <v>DAL</v>
      </c>
      <c r="D51" s="58">
        <f>IFERROR(INDEX(TableQBCalcPts[BYE],MATCH(TableQBRanks[[#This Row],[RK]],TableQBCalcPts[RK],0)),"")</f>
        <v>14</v>
      </c>
      <c r="E51" s="95">
        <f>IFERROR(INDEX(TableQBCalcPts[Custom],MATCH(TableQBRanks[[#This Row],[RK]],TableQBCalcPts[RK],0)),"")</f>
        <v>7.6131918176318258</v>
      </c>
      <c r="F51" s="140">
        <f>IF(VLOOKUP(TableQBRanks[[#This Row],[Player]],'Ranks w Proj'!$B:$N,13,FALSE)&lt;0,0,VLOOKUP(TableQBRanks[[#This Row],[Player]],'Ranks w Proj'!$B:$N,13,FALSE))</f>
        <v>0</v>
      </c>
      <c r="H51" s="58">
        <v>50</v>
      </c>
      <c r="I51" s="58" t="str">
        <f>IFERROR(INDEX(TableRBCalcPts[PLAYER],MATCH(TableRBRanks[[#This Row],[RK]],TableRBCalcPts[RK],0)),"")</f>
        <v>Tyrone Tracy</v>
      </c>
      <c r="J51" s="58" t="str">
        <f>IFERROR(INDEX(TableRBCalcPts[TM],MATCH(TableRBRanks[[#This Row],[RK]],TableRBCalcPts[RK],0)),"")</f>
        <v>NYG</v>
      </c>
      <c r="K51" s="58">
        <f>IFERROR(INDEX(TableRBCalcPts[BYE],MATCH(TableRBRanks[[#This Row],[RK]],TableRBCalcPts[RK],0)),"")</f>
        <v>8</v>
      </c>
      <c r="L51" s="95">
        <f>IFERROR(INDEX(TableRBCalcPts[Custom],MATCH(TableRBRanks[[#This Row],[RK]],TableRBCalcPts[RK],0)),"")</f>
        <v>90.423360797211956</v>
      </c>
      <c r="M51" s="140">
        <f>IF(VLOOKUP(TableRBRanks[[#This Row],[Player]],'Ranks w Proj'!$Q:$AB,12,FALSE)&lt;0,0,VLOOKUP(TableRBRanks[[#This Row],[Player]],'Ranks w Proj'!$Q:$AB,12,FALSE))</f>
        <v>0</v>
      </c>
      <c r="O51" s="58">
        <v>50</v>
      </c>
      <c r="P51" s="58" t="str">
        <f>IFERROR(INDEX(TableWRCalcPts[PLAYER],MATCH(TableWRRanks[[#This Row],[RK]],TableWRCalcPts[RK],0)),"")</f>
        <v>Jakobi Meyers</v>
      </c>
      <c r="Q51" s="58" t="str">
        <f>IFERROR(INDEX(TableWRCalcPts[TM],MATCH(TableWRRanks[[#This Row],[RK]],TableWRCalcPts[RK],0)),"")</f>
        <v>JAX</v>
      </c>
      <c r="R51" s="58">
        <f>IFERROR(INDEX(TableWRCalcPts[BYE],MATCH(TableWRRanks[[#This Row],[RK]],TableWRCalcPts[RK],0)),"")</f>
        <v>7</v>
      </c>
      <c r="S51" s="95">
        <f>IFERROR(INDEX(TableWRCalcPts[Custom],MATCH(TableWRRanks[[#This Row],[RK]],TableWRCalcPts[RK],0)),"")</f>
        <v>137.56599358807983</v>
      </c>
      <c r="T51" s="140">
        <f>IF(VLOOKUP(TableWRRanks[[#This Row],[Player]],'Ranks w Proj'!$AE:$AO,11,FALSE)&lt;0,0,VLOOKUP(TableWRRanks[[#This Row],[Player]],'Ranks w Proj'!$AE:$AO,11,FALSE))</f>
        <v>8.8832204564839774</v>
      </c>
      <c r="V51" s="58">
        <v>50</v>
      </c>
      <c r="W51" s="58" t="str">
        <f>IFERROR(INDEX(TableTECalcPts[PLAYER],MATCH(TableTERanks[[#This Row],[RK]],TableTECalcPts[RK],0)),"")</f>
        <v>Erick All</v>
      </c>
      <c r="X51" s="58" t="str">
        <f>IFERROR(INDEX(TableTECalcPts[TM],MATCH(TableTERanks[[#This Row],[RK]],TableTECalcPts[RK],0)),"")</f>
        <v>CIN</v>
      </c>
      <c r="Y51" s="58">
        <f>IFERROR(INDEX(TableTECalcPts[BYE],MATCH(TableTERanks[[#This Row],[RK]],TableTECalcPts[RK],0)),"")</f>
        <v>6</v>
      </c>
      <c r="Z51" s="95">
        <f>IFERROR(INDEX(TableTECalcPts[Custom],MATCH(TableTERanks[[#This Row],[RK]],TableTECalcPts[RK],0)),"")</f>
        <v>30.702244123332896</v>
      </c>
      <c r="AA51" s="140">
        <f>IF(VLOOKUP(TableTERanks[[#This Row],[Player]],'Ranks w Proj'!$AR:$AZ,9,FALSE)&lt;0,0,VLOOKUP(TableTERanks[[#This Row],[Player]],'Ranks w Proj'!$AR:$AZ,9,FALSE))</f>
        <v>0</v>
      </c>
    </row>
    <row r="52" spans="1:27" x14ac:dyDescent="0.25">
      <c r="A52" s="58">
        <v>51</v>
      </c>
      <c r="B52" s="58" t="str">
        <f>IFERROR(INDEX(TableQBCalcPts[PLAYER],MATCH(TableQBRanks[[#This Row],[RK]],TableQBCalcPts[RK],0)),"")</f>
        <v>Teddy Bridgewater</v>
      </c>
      <c r="C52" s="58" t="str">
        <f>IFERROR(INDEX(TableQBCalcPts[TM],MATCH(TableQBRanks[[#This Row],[RK]],TableQBCalcPts[RK],0)),"")</f>
        <v>DET</v>
      </c>
      <c r="D52" s="58">
        <f>IFERROR(INDEX(TableQBCalcPts[BYE],MATCH(TableQBRanks[[#This Row],[RK]],TableQBCalcPts[RK],0)),"")</f>
        <v>6</v>
      </c>
      <c r="E52" s="95">
        <f>IFERROR(INDEX(TableQBCalcPts[Custom],MATCH(TableQBRanks[[#This Row],[RK]],TableQBCalcPts[RK],0)),"")</f>
        <v>7.4259096181147779</v>
      </c>
      <c r="F52" s="140">
        <f>IF(VLOOKUP(TableQBRanks[[#This Row],[Player]],'Ranks w Proj'!$B:$N,13,FALSE)&lt;0,0,VLOOKUP(TableQBRanks[[#This Row],[Player]],'Ranks w Proj'!$B:$N,13,FALSE))</f>
        <v>0</v>
      </c>
      <c r="H52" s="58">
        <v>51</v>
      </c>
      <c r="I52" s="58" t="str">
        <f>IFERROR(INDEX(TableRBCalcPts[PLAYER],MATCH(TableRBRanks[[#This Row],[RK]],TableRBCalcPts[RK],0)),"")</f>
        <v>Samaje Perine</v>
      </c>
      <c r="J52" s="58" t="str">
        <f>IFERROR(INDEX(TableRBCalcPts[TM],MATCH(TableRBRanks[[#This Row],[RK]],TableRBCalcPts[RK],0)),"")</f>
        <v>CIN</v>
      </c>
      <c r="K52" s="58">
        <f>IFERROR(INDEX(TableRBCalcPts[BYE],MATCH(TableRBRanks[[#This Row],[RK]],TableRBCalcPts[RK],0)),"")</f>
        <v>6</v>
      </c>
      <c r="L52" s="95">
        <f>IFERROR(INDEX(TableRBCalcPts[Custom],MATCH(TableRBRanks[[#This Row],[RK]],TableRBCalcPts[RK],0)),"")</f>
        <v>85.611749481832177</v>
      </c>
      <c r="M52" s="140">
        <f>IF(VLOOKUP(TableRBRanks[[#This Row],[Player]],'Ranks w Proj'!$Q:$AB,12,FALSE)&lt;0,0,VLOOKUP(TableRBRanks[[#This Row],[Player]],'Ranks w Proj'!$Q:$AB,12,FALSE))</f>
        <v>0</v>
      </c>
      <c r="O52" s="58">
        <v>51</v>
      </c>
      <c r="P52" s="58" t="str">
        <f>IFERROR(INDEX(TableWRCalcPts[PLAYER],MATCH(TableWRRanks[[#This Row],[RK]],TableWRCalcPts[RK],0)),"")</f>
        <v>Jalen Coker</v>
      </c>
      <c r="Q52" s="58" t="str">
        <f>IFERROR(INDEX(TableWRCalcPts[TM],MATCH(TableWRRanks[[#This Row],[RK]],TableWRCalcPts[RK],0)),"")</f>
        <v>CAR</v>
      </c>
      <c r="R52" s="58">
        <f>IFERROR(INDEX(TableWRCalcPts[BYE],MATCH(TableWRRanks[[#This Row],[RK]],TableWRCalcPts[RK],0)),"")</f>
        <v>5</v>
      </c>
      <c r="S52" s="95">
        <f>IFERROR(INDEX(TableWRCalcPts[Custom],MATCH(TableWRRanks[[#This Row],[RK]],TableWRCalcPts[RK],0)),"")</f>
        <v>136.0645177815</v>
      </c>
      <c r="T52" s="140">
        <f>IF(VLOOKUP(TableWRRanks[[#This Row],[Player]],'Ranks w Proj'!$AE:$AO,11,FALSE)&lt;0,0,VLOOKUP(TableWRRanks[[#This Row],[Player]],'Ranks w Proj'!$AE:$AO,11,FALSE))</f>
        <v>8.601125902397726</v>
      </c>
      <c r="V52" s="58">
        <v>51</v>
      </c>
      <c r="W52" s="58" t="str">
        <f>IFERROR(INDEX(TableTECalcPts[PLAYER],MATCH(TableTERanks[[#This Row],[RK]],TableTECalcPts[RK],0)),"")</f>
        <v>Luke Musgrave</v>
      </c>
      <c r="X52" s="58" t="str">
        <f>IFERROR(INDEX(TableTECalcPts[TM],MATCH(TableTERanks[[#This Row],[RK]],TableTECalcPts[RK],0)),"")</f>
        <v>GB</v>
      </c>
      <c r="Y52" s="58">
        <f>IFERROR(INDEX(TableTECalcPts[BYE],MATCH(TableTERanks[[#This Row],[RK]],TableTECalcPts[RK],0)),"")</f>
        <v>11</v>
      </c>
      <c r="Z52" s="95">
        <f>IFERROR(INDEX(TableTECalcPts[Custom],MATCH(TableTERanks[[#This Row],[RK]],TableTECalcPts[RK],0)),"")</f>
        <v>29.770886817973757</v>
      </c>
      <c r="AA52" s="140">
        <f>IF(VLOOKUP(TableTERanks[[#This Row],[Player]],'Ranks w Proj'!$AR:$AZ,9,FALSE)&lt;0,0,VLOOKUP(TableTERanks[[#This Row],[Player]],'Ranks w Proj'!$AR:$AZ,9,FALSE))</f>
        <v>0</v>
      </c>
    </row>
    <row r="53" spans="1:27" x14ac:dyDescent="0.25">
      <c r="A53" s="58">
        <v>52</v>
      </c>
      <c r="B53" s="58" t="str">
        <f>IFERROR(INDEX(TableQBCalcPts[PLAYER],MATCH(TableQBRanks[[#This Row],[RK]],TableQBCalcPts[RK],0)),"")</f>
        <v>Quinn Ewers</v>
      </c>
      <c r="C53" s="58" t="str">
        <f>IFERROR(INDEX(TableQBCalcPts[TM],MATCH(TableQBRanks[[#This Row],[RK]],TableQBCalcPts[RK],0)),"")</f>
        <v>MIA</v>
      </c>
      <c r="D53" s="58">
        <f>IFERROR(INDEX(TableQBCalcPts[BYE],MATCH(TableQBRanks[[#This Row],[RK]],TableQBCalcPts[RK],0)),"")</f>
        <v>6</v>
      </c>
      <c r="E53" s="95">
        <f>IFERROR(INDEX(TableQBCalcPts[Custom],MATCH(TableQBRanks[[#This Row],[RK]],TableQBCalcPts[RK],0)),"")</f>
        <v>7.1484489593944947</v>
      </c>
      <c r="F53" s="140">
        <f>IF(VLOOKUP(TableQBRanks[[#This Row],[Player]],'Ranks w Proj'!$B:$N,13,FALSE)&lt;0,0,VLOOKUP(TableQBRanks[[#This Row],[Player]],'Ranks w Proj'!$B:$N,13,FALSE))</f>
        <v>0</v>
      </c>
      <c r="H53" s="58">
        <v>52</v>
      </c>
      <c r="I53" s="58" t="str">
        <f>IFERROR(INDEX(TableRBCalcPts[PLAYER],MATCH(TableRBRanks[[#This Row],[RK]],TableRBCalcPts[RK],0)),"")</f>
        <v>Brian Robinson</v>
      </c>
      <c r="J53" s="58" t="str">
        <f>IFERROR(INDEX(TableRBCalcPts[TM],MATCH(TableRBRanks[[#This Row],[RK]],TableRBCalcPts[RK],0)),"")</f>
        <v>ATL</v>
      </c>
      <c r="K53" s="58">
        <f>IFERROR(INDEX(TableRBCalcPts[BYE],MATCH(TableRBRanks[[#This Row],[RK]],TableRBCalcPts[RK],0)),"")</f>
        <v>11</v>
      </c>
      <c r="L53" s="95">
        <f>IFERROR(INDEX(TableRBCalcPts[Custom],MATCH(TableRBRanks[[#This Row],[RK]],TableRBCalcPts[RK],0)),"")</f>
        <v>85.334523724566836</v>
      </c>
      <c r="M53" s="140">
        <f>IF(VLOOKUP(TableRBRanks[[#This Row],[Player]],'Ranks w Proj'!$Q:$AB,12,FALSE)&lt;0,0,VLOOKUP(TableRBRanks[[#This Row],[Player]],'Ranks w Proj'!$Q:$AB,12,FALSE))</f>
        <v>0</v>
      </c>
      <c r="O53" s="58">
        <v>52</v>
      </c>
      <c r="P53" s="58" t="str">
        <f>IFERROR(INDEX(TableWRCalcPts[PLAYER],MATCH(TableWRRanks[[#This Row],[RK]],TableWRCalcPts[RK],0)),"")</f>
        <v>Romeo Doubs</v>
      </c>
      <c r="Q53" s="58" t="str">
        <f>IFERROR(INDEX(TableWRCalcPts[TM],MATCH(TableWRRanks[[#This Row],[RK]],TableWRCalcPts[RK],0)),"")</f>
        <v>NE</v>
      </c>
      <c r="R53" s="58">
        <f>IFERROR(INDEX(TableWRCalcPts[BYE],MATCH(TableWRRanks[[#This Row],[RK]],TableWRCalcPts[RK],0)),"")</f>
        <v>11</v>
      </c>
      <c r="S53" s="95">
        <f>IFERROR(INDEX(TableWRCalcPts[Custom],MATCH(TableWRRanks[[#This Row],[RK]],TableWRCalcPts[RK],0)),"")</f>
        <v>131.55279041196593</v>
      </c>
      <c r="T53" s="140">
        <f>IF(VLOOKUP(TableWRRanks[[#This Row],[Player]],'Ranks w Proj'!$AE:$AO,11,FALSE)&lt;0,0,VLOOKUP(TableWRRanks[[#This Row],[Player]],'Ranks w Proj'!$AE:$AO,11,FALSE))</f>
        <v>7.7534707387980042</v>
      </c>
      <c r="V53" s="58">
        <v>52</v>
      </c>
      <c r="W53" s="58" t="str">
        <f>IFERROR(INDEX(TableTECalcPts[PLAYER],MATCH(TableTERanks[[#This Row],[RK]],TableTECalcPts[RK],0)),"")</f>
        <v>Mitchell Evans</v>
      </c>
      <c r="X53" s="58" t="str">
        <f>IFERROR(INDEX(TableTECalcPts[TM],MATCH(TableTERanks[[#This Row],[RK]],TableTECalcPts[RK],0)),"")</f>
        <v>CAR</v>
      </c>
      <c r="Y53" s="58">
        <f>IFERROR(INDEX(TableTECalcPts[BYE],MATCH(TableTERanks[[#This Row],[RK]],TableTECalcPts[RK],0)),"")</f>
        <v>5</v>
      </c>
      <c r="Z53" s="95">
        <f>IFERROR(INDEX(TableTECalcPts[Custom],MATCH(TableTERanks[[#This Row],[RK]],TableTECalcPts[RK],0)),"")</f>
        <v>29.061253155538388</v>
      </c>
      <c r="AA53" s="140">
        <f>IF(VLOOKUP(TableTERanks[[#This Row],[Player]],'Ranks w Proj'!$AR:$AZ,9,FALSE)&lt;0,0,VLOOKUP(TableTERanks[[#This Row],[Player]],'Ranks w Proj'!$AR:$AZ,9,FALSE))</f>
        <v>0</v>
      </c>
    </row>
    <row r="54" spans="1:27" x14ac:dyDescent="0.25">
      <c r="A54" s="58">
        <v>53</v>
      </c>
      <c r="B54" s="58" t="str">
        <f>IFERROR(INDEX(TableQBCalcPts[PLAYER],MATCH(TableQBRanks[[#This Row],[RK]],TableQBCalcPts[RK],0)),"")</f>
        <v>Mitchell Trubisky</v>
      </c>
      <c r="C54" s="58" t="str">
        <f>IFERROR(INDEX(TableQBCalcPts[TM],MATCH(TableQBRanks[[#This Row],[RK]],TableQBCalcPts[RK],0)),"")</f>
        <v>TEN</v>
      </c>
      <c r="D54" s="58">
        <f>IFERROR(INDEX(TableQBCalcPts[BYE],MATCH(TableQBRanks[[#This Row],[RK]],TableQBCalcPts[RK],0)),"")</f>
        <v>9</v>
      </c>
      <c r="E54" s="95">
        <f>IFERROR(INDEX(TableQBCalcPts[Custom],MATCH(TableQBRanks[[#This Row],[RK]],TableQBCalcPts[RK],0)),"")</f>
        <v>6.8780731764705898</v>
      </c>
      <c r="F54" s="140">
        <f>IF(VLOOKUP(TableQBRanks[[#This Row],[Player]],'Ranks w Proj'!$B:$N,13,FALSE)&lt;0,0,VLOOKUP(TableQBRanks[[#This Row],[Player]],'Ranks w Proj'!$B:$N,13,FALSE))</f>
        <v>0</v>
      </c>
      <c r="H54" s="58">
        <v>53</v>
      </c>
      <c r="I54" s="58" t="str">
        <f>IFERROR(INDEX(TableRBCalcPts[PLAYER],MATCH(TableRBRanks[[#This Row],[RK]],TableRBCalcPts[RK],0)),"")</f>
        <v>Tyler Allgeier</v>
      </c>
      <c r="J54" s="58" t="str">
        <f>IFERROR(INDEX(TableRBCalcPts[TM],MATCH(TableRBRanks[[#This Row],[RK]],TableRBCalcPts[RK],0)),"")</f>
        <v>ARI</v>
      </c>
      <c r="K54" s="58">
        <f>IFERROR(INDEX(TableRBCalcPts[BYE],MATCH(TableRBRanks[[#This Row],[RK]],TableRBCalcPts[RK],0)),"")</f>
        <v>14</v>
      </c>
      <c r="L54" s="95">
        <f>IFERROR(INDEX(TableRBCalcPts[Custom],MATCH(TableRBRanks[[#This Row],[RK]],TableRBCalcPts[RK],0)),"")</f>
        <v>80.229030693656966</v>
      </c>
      <c r="M54" s="140">
        <f>IF(VLOOKUP(TableRBRanks[[#This Row],[Player]],'Ranks w Proj'!$Q:$AB,12,FALSE)&lt;0,0,VLOOKUP(TableRBRanks[[#This Row],[Player]],'Ranks w Proj'!$Q:$AB,12,FALSE))</f>
        <v>0</v>
      </c>
      <c r="O54" s="58">
        <v>53</v>
      </c>
      <c r="P54" s="58" t="str">
        <f>IFERROR(INDEX(TableWRCalcPts[PLAYER],MATCH(TableWRRanks[[#This Row],[RK]],TableWRCalcPts[RK],0)),"")</f>
        <v>Omar Cooper</v>
      </c>
      <c r="Q54" s="58" t="str">
        <f>IFERROR(INDEX(TableWRCalcPts[TM],MATCH(TableWRRanks[[#This Row],[RK]],TableWRCalcPts[RK],0)),"")</f>
        <v>NYJ</v>
      </c>
      <c r="R54" s="58">
        <f>IFERROR(INDEX(TableWRCalcPts[BYE],MATCH(TableWRRanks[[#This Row],[RK]],TableWRCalcPts[RK],0)),"")</f>
        <v>13</v>
      </c>
      <c r="S54" s="95">
        <f>IFERROR(INDEX(TableWRCalcPts[Custom],MATCH(TableWRRanks[[#This Row],[RK]],TableWRCalcPts[RK],0)),"")</f>
        <v>131.08678629872901</v>
      </c>
      <c r="T54" s="140">
        <f>IF(VLOOKUP(TableWRRanks[[#This Row],[Player]],'Ranks w Proj'!$AE:$AO,11,FALSE)&lt;0,0,VLOOKUP(TableWRRanks[[#This Row],[Player]],'Ranks w Proj'!$AE:$AO,11,FALSE))</f>
        <v>7.6659187303341643</v>
      </c>
      <c r="V54" s="58">
        <v>53</v>
      </c>
      <c r="W54" s="58" t="str">
        <f>IFERROR(INDEX(TableTECalcPts[PLAYER],MATCH(TableTERanks[[#This Row],[RK]],TableTECalcPts[RK],0)),"")</f>
        <v>Daniel Bellinger</v>
      </c>
      <c r="X54" s="58" t="str">
        <f>IFERROR(INDEX(TableTECalcPts[TM],MATCH(TableTERanks[[#This Row],[RK]],TableTECalcPts[RK],0)),"")</f>
        <v>TEN</v>
      </c>
      <c r="Y54" s="58">
        <f>IFERROR(INDEX(TableTECalcPts[BYE],MATCH(TableTERanks[[#This Row],[RK]],TableTECalcPts[RK],0)),"")</f>
        <v>9</v>
      </c>
      <c r="Z54" s="95">
        <f>IFERROR(INDEX(TableTECalcPts[Custom],MATCH(TableTERanks[[#This Row],[RK]],TableTECalcPts[RK],0)),"")</f>
        <v>27.803954362383365</v>
      </c>
      <c r="AA54" s="140">
        <f>IF(VLOOKUP(TableTERanks[[#This Row],[Player]],'Ranks w Proj'!$AR:$AZ,9,FALSE)&lt;0,0,VLOOKUP(TableTERanks[[#This Row],[Player]],'Ranks w Proj'!$AR:$AZ,9,FALSE))</f>
        <v>0</v>
      </c>
    </row>
    <row r="55" spans="1:27" x14ac:dyDescent="0.25">
      <c r="A55" s="58">
        <v>54</v>
      </c>
      <c r="B55" s="58" t="str">
        <f>IFERROR(INDEX(TableQBCalcPts[PLAYER],MATCH(TableQBRanks[[#This Row],[RK]],TableQBCalcPts[RK],0)),"")</f>
        <v>Mac Jones</v>
      </c>
      <c r="C55" s="58" t="str">
        <f>IFERROR(INDEX(TableQBCalcPts[TM],MATCH(TableQBRanks[[#This Row],[RK]],TableQBCalcPts[RK],0)),"")</f>
        <v>SF</v>
      </c>
      <c r="D55" s="58">
        <f>IFERROR(INDEX(TableQBCalcPts[BYE],MATCH(TableQBRanks[[#This Row],[RK]],TableQBCalcPts[RK],0)),"")</f>
        <v>8</v>
      </c>
      <c r="E55" s="95">
        <f>IFERROR(INDEX(TableQBCalcPts[Custom],MATCH(TableQBRanks[[#This Row],[RK]],TableQBCalcPts[RK],0)),"")</f>
        <v>6.8733165451226945</v>
      </c>
      <c r="F55" s="140">
        <f>IF(VLOOKUP(TableQBRanks[[#This Row],[Player]],'Ranks w Proj'!$B:$N,13,FALSE)&lt;0,0,VLOOKUP(TableQBRanks[[#This Row],[Player]],'Ranks w Proj'!$B:$N,13,FALSE))</f>
        <v>0</v>
      </c>
      <c r="H55" s="58">
        <v>54</v>
      </c>
      <c r="I55" s="58" t="str">
        <f>IFERROR(INDEX(TableRBCalcPts[PLAYER],MATCH(TableRBRanks[[#This Row],[RK]],TableRBCalcPts[RK],0)),"")</f>
        <v>Keaton Mitchell</v>
      </c>
      <c r="J55" s="58" t="str">
        <f>IFERROR(INDEX(TableRBCalcPts[TM],MATCH(TableRBRanks[[#This Row],[RK]],TableRBCalcPts[RK],0)),"")</f>
        <v>LAC</v>
      </c>
      <c r="K55" s="58">
        <f>IFERROR(INDEX(TableRBCalcPts[BYE],MATCH(TableRBRanks[[#This Row],[RK]],TableRBCalcPts[RK],0)),"")</f>
        <v>7</v>
      </c>
      <c r="L55" s="95">
        <f>IFERROR(INDEX(TableRBCalcPts[Custom],MATCH(TableRBRanks[[#This Row],[RK]],TableRBCalcPts[RK],0)),"")</f>
        <v>78.637323911068265</v>
      </c>
      <c r="M55" s="140">
        <f>IF(VLOOKUP(TableRBRanks[[#This Row],[Player]],'Ranks w Proj'!$Q:$AB,12,FALSE)&lt;0,0,VLOOKUP(TableRBRanks[[#This Row],[Player]],'Ranks w Proj'!$Q:$AB,12,FALSE))</f>
        <v>0</v>
      </c>
      <c r="O55" s="58">
        <v>54</v>
      </c>
      <c r="P55" s="58" t="str">
        <f>IFERROR(INDEX(TableWRCalcPts[PLAYER],MATCH(TableWRRanks[[#This Row],[RK]],TableWRCalcPts[RK],0)),"")</f>
        <v>Khalil Shakir</v>
      </c>
      <c r="Q55" s="58" t="str">
        <f>IFERROR(INDEX(TableWRCalcPts[TM],MATCH(TableWRRanks[[#This Row],[RK]],TableWRCalcPts[RK],0)),"")</f>
        <v>BUF</v>
      </c>
      <c r="R55" s="58">
        <f>IFERROR(INDEX(TableWRCalcPts[BYE],MATCH(TableWRRanks[[#This Row],[RK]],TableWRCalcPts[RK],0)),"")</f>
        <v>7</v>
      </c>
      <c r="S55" s="95">
        <f>IFERROR(INDEX(TableWRCalcPts[Custom],MATCH(TableWRRanks[[#This Row],[RK]],TableWRCalcPts[RK],0)),"")</f>
        <v>125.25541451841632</v>
      </c>
      <c r="T55" s="140">
        <f>IF(VLOOKUP(TableWRRanks[[#This Row],[Player]],'Ranks w Proj'!$AE:$AO,11,FALSE)&lt;0,0,VLOOKUP(TableWRRanks[[#This Row],[Player]],'Ranks w Proj'!$AE:$AO,11,FALSE))</f>
        <v>6.5703311658394998</v>
      </c>
      <c r="V55" s="58">
        <v>54</v>
      </c>
      <c r="W55" s="58" t="str">
        <f>IFERROR(INDEX(TableTECalcPts[PLAYER],MATCH(TableTERanks[[#This Row],[RK]],TableTECalcPts[RK],0)),"")</f>
        <v>Luke Schoonmaker</v>
      </c>
      <c r="X55" s="58" t="str">
        <f>IFERROR(INDEX(TableTECalcPts[TM],MATCH(TableTERanks[[#This Row],[RK]],TableTECalcPts[RK],0)),"")</f>
        <v>DAL</v>
      </c>
      <c r="Y55" s="58">
        <f>IFERROR(INDEX(TableTECalcPts[BYE],MATCH(TableTERanks[[#This Row],[RK]],TableTECalcPts[RK],0)),"")</f>
        <v>14</v>
      </c>
      <c r="Z55" s="95">
        <f>IFERROR(INDEX(TableTECalcPts[Custom],MATCH(TableTERanks[[#This Row],[RK]],TableTECalcPts[RK],0)),"")</f>
        <v>25.414771732747063</v>
      </c>
      <c r="AA55" s="140">
        <f>IF(VLOOKUP(TableTERanks[[#This Row],[Player]],'Ranks w Proj'!$AR:$AZ,9,FALSE)&lt;0,0,VLOOKUP(TableTERanks[[#This Row],[Player]],'Ranks w Proj'!$AR:$AZ,9,FALSE))</f>
        <v>0</v>
      </c>
    </row>
    <row r="56" spans="1:27" x14ac:dyDescent="0.25">
      <c r="A56" s="58">
        <v>55</v>
      </c>
      <c r="B56" s="58" t="str">
        <f>IFERROR(INDEX(TableQBCalcPts[PLAYER],MATCH(TableQBRanks[[#This Row],[RK]],TableQBCalcPts[RK],0)),"")</f>
        <v>Gardner Minshew</v>
      </c>
      <c r="C56" s="58" t="str">
        <f>IFERROR(INDEX(TableQBCalcPts[TM],MATCH(TableQBRanks[[#This Row],[RK]],TableQBCalcPts[RK],0)),"")</f>
        <v>ARI</v>
      </c>
      <c r="D56" s="58">
        <f>IFERROR(INDEX(TableQBCalcPts[BYE],MATCH(TableQBRanks[[#This Row],[RK]],TableQBCalcPts[RK],0)),"")</f>
        <v>14</v>
      </c>
      <c r="E56" s="95">
        <f>IFERROR(INDEX(TableQBCalcPts[Custom],MATCH(TableQBRanks[[#This Row],[RK]],TableQBCalcPts[RK],0)),"")</f>
        <v>6.7286604282314109</v>
      </c>
      <c r="F56" s="140">
        <f>IF(VLOOKUP(TableQBRanks[[#This Row],[Player]],'Ranks w Proj'!$B:$N,13,FALSE)&lt;0,0,VLOOKUP(TableQBRanks[[#This Row],[Player]],'Ranks w Proj'!$B:$N,13,FALSE))</f>
        <v>0</v>
      </c>
      <c r="H56" s="58">
        <v>55</v>
      </c>
      <c r="I56" s="58" t="str">
        <f>IFERROR(INDEX(TableRBCalcPts[PLAYER],MATCH(TableRBRanks[[#This Row],[RK]],TableRBCalcPts[RK],0)),"")</f>
        <v>Ty Johnson</v>
      </c>
      <c r="J56" s="58" t="str">
        <f>IFERROR(INDEX(TableRBCalcPts[TM],MATCH(TableRBRanks[[#This Row],[RK]],TableRBCalcPts[RK],0)),"")</f>
        <v>BUF</v>
      </c>
      <c r="K56" s="58">
        <f>IFERROR(INDEX(TableRBCalcPts[BYE],MATCH(TableRBRanks[[#This Row],[RK]],TableRBCalcPts[RK],0)),"")</f>
        <v>7</v>
      </c>
      <c r="L56" s="95">
        <f>IFERROR(INDEX(TableRBCalcPts[Custom],MATCH(TableRBRanks[[#This Row],[RK]],TableRBCalcPts[RK],0)),"")</f>
        <v>76.263725513807657</v>
      </c>
      <c r="M56" s="140">
        <f>IF(VLOOKUP(TableRBRanks[[#This Row],[Player]],'Ranks w Proj'!$Q:$AB,12,FALSE)&lt;0,0,VLOOKUP(TableRBRanks[[#This Row],[Player]],'Ranks w Proj'!$Q:$AB,12,FALSE))</f>
        <v>0</v>
      </c>
      <c r="O56" s="58">
        <v>55</v>
      </c>
      <c r="P56" s="58" t="str">
        <f>IFERROR(INDEX(TableWRCalcPts[PLAYER],MATCH(TableWRRanks[[#This Row],[RK]],TableWRCalcPts[RK],0)),"")</f>
        <v>Matthew Golden</v>
      </c>
      <c r="Q56" s="58" t="str">
        <f>IFERROR(INDEX(TableWRCalcPts[TM],MATCH(TableWRRanks[[#This Row],[RK]],TableWRCalcPts[RK],0)),"")</f>
        <v>GB</v>
      </c>
      <c r="R56" s="58">
        <f>IFERROR(INDEX(TableWRCalcPts[BYE],MATCH(TableWRRanks[[#This Row],[RK]],TableWRCalcPts[RK],0)),"")</f>
        <v>11</v>
      </c>
      <c r="S56" s="95">
        <f>IFERROR(INDEX(TableWRCalcPts[Custom],MATCH(TableWRRanks[[#This Row],[RK]],TableWRCalcPts[RK],0)),"")</f>
        <v>121.76900567298148</v>
      </c>
      <c r="T56" s="140">
        <f>IF(VLOOKUP(TableWRRanks[[#This Row],[Player]],'Ranks w Proj'!$AE:$AO,11,FALSE)&lt;0,0,VLOOKUP(TableWRRanks[[#This Row],[Player]],'Ranks w Proj'!$AE:$AO,11,FALSE))</f>
        <v>5.9153109888207425</v>
      </c>
      <c r="V56" s="58">
        <v>55</v>
      </c>
      <c r="W56" s="58" t="str">
        <f>IFERROR(INDEX(TableTECalcPts[PLAYER],MATCH(TableTERanks[[#This Row],[RK]],TableTECalcPts[RK],0)),"")</f>
        <v>Noah Fant</v>
      </c>
      <c r="X56" s="58" t="str">
        <f>IFERROR(INDEX(TableTECalcPts[TM],MATCH(TableTERanks[[#This Row],[RK]],TableTECalcPts[RK],0)),"")</f>
        <v>NO</v>
      </c>
      <c r="Y56" s="58">
        <f>IFERROR(INDEX(TableTECalcPts[BYE],MATCH(TableTERanks[[#This Row],[RK]],TableTECalcPts[RK],0)),"")</f>
        <v>8</v>
      </c>
      <c r="Z56" s="95">
        <f>IFERROR(INDEX(TableTECalcPts[Custom],MATCH(TableTERanks[[#This Row],[RK]],TableTECalcPts[RK],0)),"")</f>
        <v>23.644709993235693</v>
      </c>
      <c r="AA56" s="140">
        <f>IF(VLOOKUP(TableTERanks[[#This Row],[Player]],'Ranks w Proj'!$AR:$AZ,9,FALSE)&lt;0,0,VLOOKUP(TableTERanks[[#This Row],[Player]],'Ranks w Proj'!$AR:$AZ,9,FALSE))</f>
        <v>0</v>
      </c>
    </row>
    <row r="57" spans="1:27" x14ac:dyDescent="0.25">
      <c r="A57" s="58">
        <v>56</v>
      </c>
      <c r="B57" s="58" t="str">
        <f>IFERROR(INDEX(TableQBCalcPts[PLAYER],MATCH(TableQBRanks[[#This Row],[RK]],TableQBCalcPts[RK],0)),"")</f>
        <v>Jake Browning</v>
      </c>
      <c r="C57" s="58" t="str">
        <f>IFERROR(INDEX(TableQBCalcPts[TM],MATCH(TableQBRanks[[#This Row],[RK]],TableQBCalcPts[RK],0)),"")</f>
        <v>TB</v>
      </c>
      <c r="D57" s="58">
        <f>IFERROR(INDEX(TableQBCalcPts[BYE],MATCH(TableQBRanks[[#This Row],[RK]],TableQBCalcPts[RK],0)),"")</f>
        <v>10</v>
      </c>
      <c r="E57" s="95">
        <f>IFERROR(INDEX(TableQBCalcPts[Custom],MATCH(TableQBRanks[[#This Row],[RK]],TableQBCalcPts[RK],0)),"")</f>
        <v>6.6586480112464796</v>
      </c>
      <c r="F57" s="140">
        <f>IF(VLOOKUP(TableQBRanks[[#This Row],[Player]],'Ranks w Proj'!$B:$N,13,FALSE)&lt;0,0,VLOOKUP(TableQBRanks[[#This Row],[Player]],'Ranks w Proj'!$B:$N,13,FALSE))</f>
        <v>0</v>
      </c>
      <c r="H57" s="58">
        <v>56</v>
      </c>
      <c r="I57" s="58" t="str">
        <f>IFERROR(INDEX(TableRBCalcPts[PLAYER],MATCH(TableRBRanks[[#This Row],[RK]],TableRBCalcPts[RK],0)),"")</f>
        <v>Tyjae Spears</v>
      </c>
      <c r="J57" s="58" t="str">
        <f>IFERROR(INDEX(TableRBCalcPts[TM],MATCH(TableRBRanks[[#This Row],[RK]],TableRBCalcPts[RK],0)),"")</f>
        <v>TEN</v>
      </c>
      <c r="K57" s="58">
        <f>IFERROR(INDEX(TableRBCalcPts[BYE],MATCH(TableRBRanks[[#This Row],[RK]],TableRBCalcPts[RK],0)),"")</f>
        <v>9</v>
      </c>
      <c r="L57" s="95">
        <f>IFERROR(INDEX(TableRBCalcPts[Custom],MATCH(TableRBRanks[[#This Row],[RK]],TableRBCalcPts[RK],0)),"")</f>
        <v>75.595537882991906</v>
      </c>
      <c r="M57" s="140">
        <f>IF(VLOOKUP(TableRBRanks[[#This Row],[Player]],'Ranks w Proj'!$Q:$AB,12,FALSE)&lt;0,0,VLOOKUP(TableRBRanks[[#This Row],[Player]],'Ranks w Proj'!$Q:$AB,12,FALSE))</f>
        <v>0</v>
      </c>
      <c r="O57" s="58">
        <v>56</v>
      </c>
      <c r="P57" s="58" t="str">
        <f>IFERROR(INDEX(TableWRCalcPts[PLAYER],MATCH(TableWRRanks[[#This Row],[RK]],TableWRCalcPts[RK],0)),"")</f>
        <v>Rashid Shaheed</v>
      </c>
      <c r="Q57" s="58" t="str">
        <f>IFERROR(INDEX(TableWRCalcPts[TM],MATCH(TableWRRanks[[#This Row],[RK]],TableWRCalcPts[RK],0)),"")</f>
        <v>SEA</v>
      </c>
      <c r="R57" s="58">
        <f>IFERROR(INDEX(TableWRCalcPts[BYE],MATCH(TableWRRanks[[#This Row],[RK]],TableWRCalcPts[RK],0)),"")</f>
        <v>11</v>
      </c>
      <c r="S57" s="95">
        <f>IFERROR(INDEX(TableWRCalcPts[Custom],MATCH(TableWRRanks[[#This Row],[RK]],TableWRCalcPts[RK],0)),"")</f>
        <v>119.41105593447746</v>
      </c>
      <c r="T57" s="140">
        <f>IF(VLOOKUP(TableWRRanks[[#This Row],[Player]],'Ranks w Proj'!$AE:$AO,11,FALSE)&lt;0,0,VLOOKUP(TableWRRanks[[#This Row],[Player]],'Ranks w Proj'!$AE:$AO,11,FALSE))</f>
        <v>5.4723036642097354</v>
      </c>
      <c r="V57" s="58">
        <v>56</v>
      </c>
      <c r="W57" s="58" t="str">
        <f>IFERROR(INDEX(TableTECalcPts[PLAYER],MATCH(TableTERanks[[#This Row],[RK]],TableTECalcPts[RK],0)),"")</f>
        <v>Durham Smythe</v>
      </c>
      <c r="X57" s="58" t="str">
        <f>IFERROR(INDEX(TableTECalcPts[TM],MATCH(TableTERanks[[#This Row],[RK]],TableTECalcPts[RK],0)),"")</f>
        <v>BAL</v>
      </c>
      <c r="Y57" s="58">
        <f>IFERROR(INDEX(TableTECalcPts[BYE],MATCH(TableTERanks[[#This Row],[RK]],TableTECalcPts[RK],0)),"")</f>
        <v>13</v>
      </c>
      <c r="Z57" s="95">
        <f>IFERROR(INDEX(TableTECalcPts[Custom],MATCH(TableTERanks[[#This Row],[RK]],TableTECalcPts[RK],0)),"")</f>
        <v>23.244352303853336</v>
      </c>
      <c r="AA57" s="140">
        <f>IF(VLOOKUP(TableTERanks[[#This Row],[Player]],'Ranks w Proj'!$AR:$AZ,9,FALSE)&lt;0,0,VLOOKUP(TableTERanks[[#This Row],[Player]],'Ranks w Proj'!$AR:$AZ,9,FALSE))</f>
        <v>0</v>
      </c>
    </row>
    <row r="58" spans="1:27" x14ac:dyDescent="0.25">
      <c r="A58" s="58">
        <v>57</v>
      </c>
      <c r="B58" s="58" t="str">
        <f>IFERROR(INDEX(TableQBCalcPts[PLAYER],MATCH(TableQBRanks[[#This Row],[RK]],TableQBCalcPts[RK],0)),"")</f>
        <v>Trey Lance</v>
      </c>
      <c r="C58" s="58" t="str">
        <f>IFERROR(INDEX(TableQBCalcPts[TM],MATCH(TableQBRanks[[#This Row],[RK]],TableQBCalcPts[RK],0)),"")</f>
        <v>LAC</v>
      </c>
      <c r="D58" s="58">
        <f>IFERROR(INDEX(TableQBCalcPts[BYE],MATCH(TableQBRanks[[#This Row],[RK]],TableQBCalcPts[RK],0)),"")</f>
        <v>7</v>
      </c>
      <c r="E58" s="95">
        <f>IFERROR(INDEX(TableQBCalcPts[Custom],MATCH(TableQBRanks[[#This Row],[RK]],TableQBCalcPts[RK],0)),"")</f>
        <v>6.5610960212300142</v>
      </c>
      <c r="F58" s="140">
        <f>IF(VLOOKUP(TableQBRanks[[#This Row],[Player]],'Ranks w Proj'!$B:$N,13,FALSE)&lt;0,0,VLOOKUP(TableQBRanks[[#This Row],[Player]],'Ranks w Proj'!$B:$N,13,FALSE))</f>
        <v>0</v>
      </c>
      <c r="H58" s="58">
        <v>57</v>
      </c>
      <c r="I58" s="58" t="str">
        <f>IFERROR(INDEX(TableRBCalcPts[PLAYER],MATCH(TableRBRanks[[#This Row],[RK]],TableRBCalcPts[RK],0)),"")</f>
        <v>Tank Bigsby</v>
      </c>
      <c r="J58" s="58" t="str">
        <f>IFERROR(INDEX(TableRBCalcPts[TM],MATCH(TableRBRanks[[#This Row],[RK]],TableRBCalcPts[RK],0)),"")</f>
        <v>PHI</v>
      </c>
      <c r="K58" s="58">
        <f>IFERROR(INDEX(TableRBCalcPts[BYE],MATCH(TableRBRanks[[#This Row],[RK]],TableRBCalcPts[RK],0)),"")</f>
        <v>10</v>
      </c>
      <c r="L58" s="95">
        <f>IFERROR(INDEX(TableRBCalcPts[Custom],MATCH(TableRBRanks[[#This Row],[RK]],TableRBCalcPts[RK],0)),"")</f>
        <v>72.150537063075149</v>
      </c>
      <c r="M58" s="140">
        <f>IF(VLOOKUP(TableRBRanks[[#This Row],[Player]],'Ranks w Proj'!$Q:$AB,12,FALSE)&lt;0,0,VLOOKUP(TableRBRanks[[#This Row],[Player]],'Ranks w Proj'!$Q:$AB,12,FALSE))</f>
        <v>0</v>
      </c>
      <c r="O58" s="58">
        <v>57</v>
      </c>
      <c r="P58" s="58" t="str">
        <f>IFERROR(INDEX(TableWRCalcPts[PLAYER],MATCH(TableWRRanks[[#This Row],[RK]],TableWRCalcPts[RK],0)),"")</f>
        <v>Jalen McMillan</v>
      </c>
      <c r="Q58" s="58" t="str">
        <f>IFERROR(INDEX(TableWRCalcPts[TM],MATCH(TableWRRanks[[#This Row],[RK]],TableWRCalcPts[RK],0)),"")</f>
        <v>TB</v>
      </c>
      <c r="R58" s="58">
        <f>IFERROR(INDEX(TableWRCalcPts[BYE],MATCH(TableWRRanks[[#This Row],[RK]],TableWRCalcPts[RK],0)),"")</f>
        <v>10</v>
      </c>
      <c r="S58" s="95">
        <f>IFERROR(INDEX(TableWRCalcPts[Custom],MATCH(TableWRRanks[[#This Row],[RK]],TableWRCalcPts[RK],0)),"")</f>
        <v>108.1071908674808</v>
      </c>
      <c r="T58" s="140">
        <f>IF(VLOOKUP(TableWRRanks[[#This Row],[Player]],'Ranks w Proj'!$AE:$AO,11,FALSE)&lt;0,0,VLOOKUP(TableWRRanks[[#This Row],[Player]],'Ranks w Proj'!$AE:$AO,11,FALSE))</f>
        <v>3.3485539763681698</v>
      </c>
      <c r="V58" s="58">
        <v>57</v>
      </c>
      <c r="W58" s="58" t="str">
        <f>IFERROR(INDEX(TableTECalcPts[PLAYER],MATCH(TableTERanks[[#This Row],[RK]],TableTECalcPts[RK],0)),"")</f>
        <v>Will Kacmarek</v>
      </c>
      <c r="X58" s="58" t="str">
        <f>IFERROR(INDEX(TableTECalcPts[TM],MATCH(TableTERanks[[#This Row],[RK]],TableTECalcPts[RK],0)),"")</f>
        <v>MIA</v>
      </c>
      <c r="Y58" s="58">
        <f>IFERROR(INDEX(TableTECalcPts[BYE],MATCH(TableTERanks[[#This Row],[RK]],TableTECalcPts[RK],0)),"")</f>
        <v>6</v>
      </c>
      <c r="Z58" s="95">
        <f>IFERROR(INDEX(TableTECalcPts[Custom],MATCH(TableTERanks[[#This Row],[RK]],TableTECalcPts[RK],0)),"")</f>
        <v>21.932373717418365</v>
      </c>
      <c r="AA58" s="140">
        <f>IF(VLOOKUP(TableTERanks[[#This Row],[Player]],'Ranks w Proj'!$AR:$AZ,9,FALSE)&lt;0,0,VLOOKUP(TableTERanks[[#This Row],[Player]],'Ranks w Proj'!$AR:$AZ,9,FALSE))</f>
        <v>0</v>
      </c>
    </row>
    <row r="59" spans="1:27" x14ac:dyDescent="0.25">
      <c r="A59" s="58">
        <v>58</v>
      </c>
      <c r="B59" s="58" t="str">
        <f>IFERROR(INDEX(TableQBCalcPts[PLAYER],MATCH(TableQBRanks[[#This Row],[RK]],TableQBCalcPts[RK],0)),"")</f>
        <v>Jarrett Stidham</v>
      </c>
      <c r="C59" s="58" t="str">
        <f>IFERROR(INDEX(TableQBCalcPts[TM],MATCH(TableQBRanks[[#This Row],[RK]],TableQBCalcPts[RK],0)),"")</f>
        <v>DEN</v>
      </c>
      <c r="D59" s="58">
        <f>IFERROR(INDEX(TableQBCalcPts[BYE],MATCH(TableQBRanks[[#This Row],[RK]],TableQBCalcPts[RK],0)),"")</f>
        <v>10</v>
      </c>
      <c r="E59" s="95">
        <f>IFERROR(INDEX(TableQBCalcPts[Custom],MATCH(TableQBRanks[[#This Row],[RK]],TableQBCalcPts[RK],0)),"")</f>
        <v>6.1685299727989049</v>
      </c>
      <c r="F59" s="140">
        <f>IF(VLOOKUP(TableQBRanks[[#This Row],[Player]],'Ranks w Proj'!$B:$N,13,FALSE)&lt;0,0,VLOOKUP(TableQBRanks[[#This Row],[Player]],'Ranks w Proj'!$B:$N,13,FALSE))</f>
        <v>0</v>
      </c>
      <c r="H59" s="58">
        <v>58</v>
      </c>
      <c r="I59" s="58" t="str">
        <f>IFERROR(INDEX(TableRBCalcPts[PLAYER],MATCH(TableRBRanks[[#This Row],[RK]],TableRBCalcPts[RK],0)),"")</f>
        <v>MarShawn Lloyd</v>
      </c>
      <c r="J59" s="58" t="str">
        <f>IFERROR(INDEX(TableRBCalcPts[TM],MATCH(TableRBRanks[[#This Row],[RK]],TableRBCalcPts[RK],0)),"")</f>
        <v>GB</v>
      </c>
      <c r="K59" s="58">
        <f>IFERROR(INDEX(TableRBCalcPts[BYE],MATCH(TableRBRanks[[#This Row],[RK]],TableRBCalcPts[RK],0)),"")</f>
        <v>11</v>
      </c>
      <c r="L59" s="95">
        <f>IFERROR(INDEX(TableRBCalcPts[Custom],MATCH(TableRBRanks[[#This Row],[RK]],TableRBCalcPts[RK],0)),"")</f>
        <v>71.104588479640356</v>
      </c>
      <c r="M59" s="140">
        <f>IF(VLOOKUP(TableRBRanks[[#This Row],[Player]],'Ranks w Proj'!$Q:$AB,12,FALSE)&lt;0,0,VLOOKUP(TableRBRanks[[#This Row],[Player]],'Ranks w Proj'!$Q:$AB,12,FALSE))</f>
        <v>0</v>
      </c>
      <c r="O59" s="58">
        <v>58</v>
      </c>
      <c r="P59" s="58" t="str">
        <f>IFERROR(INDEX(TableWRCalcPts[PLAYER],MATCH(TableWRRanks[[#This Row],[RK]],TableWRCalcPts[RK],0)),"")</f>
        <v>Tyquan Thornton</v>
      </c>
      <c r="Q59" s="58" t="str">
        <f>IFERROR(INDEX(TableWRCalcPts[TM],MATCH(TableWRRanks[[#This Row],[RK]],TableWRCalcPts[RK],0)),"")</f>
        <v>KC</v>
      </c>
      <c r="R59" s="58">
        <f>IFERROR(INDEX(TableWRCalcPts[BYE],MATCH(TableWRRanks[[#This Row],[RK]],TableWRCalcPts[RK],0)),"")</f>
        <v>5</v>
      </c>
      <c r="S59" s="95">
        <f>IFERROR(INDEX(TableWRCalcPts[Custom],MATCH(TableWRRanks[[#This Row],[RK]],TableWRCalcPts[RK],0)),"")</f>
        <v>105.42376555000021</v>
      </c>
      <c r="T59" s="140">
        <f>IF(VLOOKUP(TableWRRanks[[#This Row],[Player]],'Ranks w Proj'!$AE:$AO,11,FALSE)&lt;0,0,VLOOKUP(TableWRRanks[[#This Row],[Player]],'Ranks w Proj'!$AE:$AO,11,FALSE))</f>
        <v>2.8443968896930634</v>
      </c>
      <c r="V59" s="58">
        <v>58</v>
      </c>
      <c r="W59" s="58" t="str">
        <f>IFERROR(INDEX(TableTECalcPts[PLAYER],MATCH(TableTERanks[[#This Row],[RK]],TableTECalcPts[RK],0)),"")</f>
        <v>Josh Oliver</v>
      </c>
      <c r="X59" s="58" t="str">
        <f>IFERROR(INDEX(TableTECalcPts[TM],MATCH(TableTERanks[[#This Row],[RK]],TableTECalcPts[RK],0)),"")</f>
        <v>MIN</v>
      </c>
      <c r="Y59" s="58">
        <f>IFERROR(INDEX(TableTECalcPts[BYE],MATCH(TableTERanks[[#This Row],[RK]],TableTECalcPts[RK],0)),"")</f>
        <v>6</v>
      </c>
      <c r="Z59" s="95">
        <f>IFERROR(INDEX(TableTECalcPts[Custom],MATCH(TableTERanks[[#This Row],[RK]],TableTECalcPts[RK],0)),"")</f>
        <v>21.025707823411203</v>
      </c>
      <c r="AA59" s="140">
        <f>IF(VLOOKUP(TableTERanks[[#This Row],[Player]],'Ranks w Proj'!$AR:$AZ,9,FALSE)&lt;0,0,VLOOKUP(TableTERanks[[#This Row],[Player]],'Ranks w Proj'!$AR:$AZ,9,FALSE))</f>
        <v>0</v>
      </c>
    </row>
    <row r="60" spans="1:27" x14ac:dyDescent="0.25">
      <c r="A60" s="58">
        <v>59</v>
      </c>
      <c r="B60" s="58" t="str">
        <f>IFERROR(INDEX(TableQBCalcPts[PLAYER],MATCH(TableQBRanks[[#This Row],[RK]],TableQBCalcPts[RK],0)),"")</f>
        <v>Tommy DeVito</v>
      </c>
      <c r="C60" s="58" t="str">
        <f>IFERROR(INDEX(TableQBCalcPts[TM],MATCH(TableQBRanks[[#This Row],[RK]],TableQBCalcPts[RK],0)),"")</f>
        <v>NE</v>
      </c>
      <c r="D60" s="58">
        <f>IFERROR(INDEX(TableQBCalcPts[BYE],MATCH(TableQBRanks[[#This Row],[RK]],TableQBCalcPts[RK],0)),"")</f>
        <v>11</v>
      </c>
      <c r="E60" s="95">
        <f>IFERROR(INDEX(TableQBCalcPts[Custom],MATCH(TableQBRanks[[#This Row],[RK]],TableQBCalcPts[RK],0)),"")</f>
        <v>5.8076463699232752</v>
      </c>
      <c r="F60" s="140">
        <f>IF(VLOOKUP(TableQBRanks[[#This Row],[Player]],'Ranks w Proj'!$B:$N,13,FALSE)&lt;0,0,VLOOKUP(TableQBRanks[[#This Row],[Player]],'Ranks w Proj'!$B:$N,13,FALSE))</f>
        <v>0</v>
      </c>
      <c r="H60" s="58">
        <v>59</v>
      </c>
      <c r="I60" s="58" t="str">
        <f>IFERROR(INDEX(TableRBCalcPts[PLAYER],MATCH(TableRBRanks[[#This Row],[RK]],TableRBCalcPts[RK],0)),"")</f>
        <v>Mike Washington</v>
      </c>
      <c r="J60" s="58" t="str">
        <f>IFERROR(INDEX(TableRBCalcPts[TM],MATCH(TableRBRanks[[#This Row],[RK]],TableRBCalcPts[RK],0)),"")</f>
        <v>LV</v>
      </c>
      <c r="K60" s="58">
        <f>IFERROR(INDEX(TableRBCalcPts[BYE],MATCH(TableRBRanks[[#This Row],[RK]],TableRBCalcPts[RK],0)),"")</f>
        <v>13</v>
      </c>
      <c r="L60" s="95">
        <f>IFERROR(INDEX(TableRBCalcPts[Custom],MATCH(TableRBRanks[[#This Row],[RK]],TableRBCalcPts[RK],0)),"")</f>
        <v>64.418398641539639</v>
      </c>
      <c r="M60" s="140">
        <f>IF(VLOOKUP(TableRBRanks[[#This Row],[Player]],'Ranks w Proj'!$Q:$AB,12,FALSE)&lt;0,0,VLOOKUP(TableRBRanks[[#This Row],[Player]],'Ranks w Proj'!$Q:$AB,12,FALSE))</f>
        <v>0</v>
      </c>
      <c r="O60" s="58">
        <v>59</v>
      </c>
      <c r="P60" s="58" t="str">
        <f>IFERROR(INDEX(TableWRCalcPts[PLAYER],MATCH(TableWRRanks[[#This Row],[RK]],TableWRCalcPts[RK],0)),"")</f>
        <v>Calvin Ridley</v>
      </c>
      <c r="Q60" s="58" t="str">
        <f>IFERROR(INDEX(TableWRCalcPts[TM],MATCH(TableWRRanks[[#This Row],[RK]],TableWRCalcPts[RK],0)),"")</f>
        <v>TEN</v>
      </c>
      <c r="R60" s="58">
        <f>IFERROR(INDEX(TableWRCalcPts[BYE],MATCH(TableWRRanks[[#This Row],[RK]],TableWRCalcPts[RK],0)),"")</f>
        <v>9</v>
      </c>
      <c r="S60" s="95">
        <f>IFERROR(INDEX(TableWRCalcPts[Custom],MATCH(TableWRRanks[[#This Row],[RK]],TableWRCalcPts[RK],0)),"")</f>
        <v>105.40024930600705</v>
      </c>
      <c r="T60" s="140">
        <f>IF(VLOOKUP(TableWRRanks[[#This Row],[Player]],'Ranks w Proj'!$AE:$AO,11,FALSE)&lt;0,0,VLOOKUP(TableWRRanks[[#This Row],[Player]],'Ranks w Proj'!$AE:$AO,11,FALSE))</f>
        <v>2.8399787003796142</v>
      </c>
      <c r="V60" s="58">
        <v>59</v>
      </c>
      <c r="W60" s="58" t="str">
        <f>IFERROR(INDEX(TableTECalcPts[PLAYER],MATCH(TableTERanks[[#This Row],[RK]],TableTECalcPts[RK],0)),"")</f>
        <v>Elijah Higgins</v>
      </c>
      <c r="X60" s="58" t="str">
        <f>IFERROR(INDEX(TableTECalcPts[TM],MATCH(TableTERanks[[#This Row],[RK]],TableTECalcPts[RK],0)),"")</f>
        <v>ARI</v>
      </c>
      <c r="Y60" s="58">
        <f>IFERROR(INDEX(TableTECalcPts[BYE],MATCH(TableTERanks[[#This Row],[RK]],TableTECalcPts[RK],0)),"")</f>
        <v>14</v>
      </c>
      <c r="Z60" s="95">
        <f>IFERROR(INDEX(TableTECalcPts[Custom],MATCH(TableTERanks[[#This Row],[RK]],TableTECalcPts[RK],0)),"")</f>
        <v>20.467085864788103</v>
      </c>
      <c r="AA60" s="140">
        <f>IF(VLOOKUP(TableTERanks[[#This Row],[Player]],'Ranks w Proj'!$AR:$AZ,9,FALSE)&lt;0,0,VLOOKUP(TableTERanks[[#This Row],[Player]],'Ranks w Proj'!$AR:$AZ,9,FALSE))</f>
        <v>0</v>
      </c>
    </row>
    <row r="61" spans="1:27" x14ac:dyDescent="0.25">
      <c r="A61" s="58">
        <v>60</v>
      </c>
      <c r="B61" s="58" t="str">
        <f>IFERROR(INDEX(TableQBCalcPts[PLAYER],MATCH(TableQBRanks[[#This Row],[RK]],TableQBCalcPts[RK],0)),"")</f>
        <v>Jalen Milroe</v>
      </c>
      <c r="C61" s="58" t="str">
        <f>IFERROR(INDEX(TableQBCalcPts[TM],MATCH(TableQBRanks[[#This Row],[RK]],TableQBCalcPts[RK],0)),"")</f>
        <v>SEA</v>
      </c>
      <c r="D61" s="58">
        <f>IFERROR(INDEX(TableQBCalcPts[BYE],MATCH(TableQBRanks[[#This Row],[RK]],TableQBCalcPts[RK],0)),"")</f>
        <v>11</v>
      </c>
      <c r="E61" s="95">
        <f>IFERROR(INDEX(TableQBCalcPts[Custom],MATCH(TableQBRanks[[#This Row],[RK]],TableQBCalcPts[RK],0)),"")</f>
        <v>4.8799273820160005</v>
      </c>
      <c r="F61" s="140">
        <f>IF(VLOOKUP(TableQBRanks[[#This Row],[Player]],'Ranks w Proj'!$B:$N,13,FALSE)&lt;0,0,VLOOKUP(TableQBRanks[[#This Row],[Player]],'Ranks w Proj'!$B:$N,13,FALSE))</f>
        <v>0</v>
      </c>
      <c r="H61" s="58">
        <v>60</v>
      </c>
      <c r="I61" s="58" t="str">
        <f>IFERROR(INDEX(TableRBCalcPts[PLAYER],MATCH(TableRBRanks[[#This Row],[RK]],TableRBCalcPts[RK],0)),"")</f>
        <v>Kaytron Allen</v>
      </c>
      <c r="J61" s="58" t="str">
        <f>IFERROR(INDEX(TableRBCalcPts[TM],MATCH(TableRBRanks[[#This Row],[RK]],TableRBCalcPts[RK],0)),"")</f>
        <v>WSH</v>
      </c>
      <c r="K61" s="58">
        <f>IFERROR(INDEX(TableRBCalcPts[BYE],MATCH(TableRBRanks[[#This Row],[RK]],TableRBCalcPts[RK],0)),"")</f>
        <v>7</v>
      </c>
      <c r="L61" s="95">
        <f>IFERROR(INDEX(TableRBCalcPts[Custom],MATCH(TableRBRanks[[#This Row],[RK]],TableRBCalcPts[RK],0)),"")</f>
        <v>62.6839114986672</v>
      </c>
      <c r="M61" s="140">
        <f>IF(VLOOKUP(TableRBRanks[[#This Row],[Player]],'Ranks w Proj'!$Q:$AB,12,FALSE)&lt;0,0,VLOOKUP(TableRBRanks[[#This Row],[Player]],'Ranks w Proj'!$Q:$AB,12,FALSE))</f>
        <v>0</v>
      </c>
      <c r="O61" s="58">
        <v>60</v>
      </c>
      <c r="P61" s="58" t="str">
        <f>IFERROR(INDEX(TableWRCalcPts[PLAYER],MATCH(TableWRRanks[[#This Row],[RK]],TableWRCalcPts[RK],0)),"")</f>
        <v>Antonio Williams</v>
      </c>
      <c r="Q61" s="58" t="str">
        <f>IFERROR(INDEX(TableWRCalcPts[TM],MATCH(TableWRRanks[[#This Row],[RK]],TableWRCalcPts[RK],0)),"")</f>
        <v>WSH</v>
      </c>
      <c r="R61" s="58">
        <f>IFERROR(INDEX(TableWRCalcPts[BYE],MATCH(TableWRRanks[[#This Row],[RK]],TableWRCalcPts[RK],0)),"")</f>
        <v>7</v>
      </c>
      <c r="S61" s="95">
        <f>IFERROR(INDEX(TableWRCalcPts[Custom],MATCH(TableWRRanks[[#This Row],[RK]],TableWRCalcPts[RK],0)),"")</f>
        <v>103.72050015538173</v>
      </c>
      <c r="T61" s="140">
        <f>IF(VLOOKUP(TableWRRanks[[#This Row],[Player]],'Ranks w Proj'!$AE:$AO,11,FALSE)&lt;0,0,VLOOKUP(TableWRRanks[[#This Row],[Player]],'Ranks w Proj'!$AE:$AO,11,FALSE))</f>
        <v>2.5243904734192504</v>
      </c>
      <c r="V61" s="58">
        <v>60</v>
      </c>
      <c r="W61" s="58" t="str">
        <f>IFERROR(INDEX(TableTECalcPts[PLAYER],MATCH(TableTERanks[[#This Row],[RK]],TableTECalcPts[RK],0)),"")</f>
        <v>Adam Trautman</v>
      </c>
      <c r="X61" s="58" t="str">
        <f>IFERROR(INDEX(TableTECalcPts[TM],MATCH(TableTERanks[[#This Row],[RK]],TableTECalcPts[RK],0)),"")</f>
        <v>DEN</v>
      </c>
      <c r="Y61" s="58">
        <f>IFERROR(INDEX(TableTECalcPts[BYE],MATCH(TableTERanks[[#This Row],[RK]],TableTECalcPts[RK],0)),"")</f>
        <v>10</v>
      </c>
      <c r="Z61" s="95">
        <f>IFERROR(INDEX(TableTECalcPts[Custom],MATCH(TableTERanks[[#This Row],[RK]],TableTECalcPts[RK],0)),"")</f>
        <v>20.176940339267716</v>
      </c>
      <c r="AA61" s="140">
        <f>IF(VLOOKUP(TableTERanks[[#This Row],[Player]],'Ranks w Proj'!$AR:$AZ,9,FALSE)&lt;0,0,VLOOKUP(TableTERanks[[#This Row],[Player]],'Ranks w Proj'!$AR:$AZ,9,FALSE))</f>
        <v>0</v>
      </c>
    </row>
    <row r="62" spans="1:27" x14ac:dyDescent="0.25">
      <c r="A62" s="58">
        <v>61</v>
      </c>
      <c r="B62" s="58" t="str">
        <f>IFERROR(INDEX(TableQBCalcPts[PLAYER],MATCH(TableQBRanks[[#This Row],[RK]],TableQBCalcPts[RK],0)),"")</f>
        <v>Taylen Green</v>
      </c>
      <c r="C62" s="58" t="str">
        <f>IFERROR(INDEX(TableQBCalcPts[TM],MATCH(TableQBRanks[[#This Row],[RK]],TableQBCalcPts[RK],0)),"")</f>
        <v>CLE</v>
      </c>
      <c r="D62" s="58">
        <f>IFERROR(INDEX(TableQBCalcPts[BYE],MATCH(TableQBRanks[[#This Row],[RK]],TableQBCalcPts[RK],0)),"")</f>
        <v>11</v>
      </c>
      <c r="E62" s="95">
        <f>IFERROR(INDEX(TableQBCalcPts[Custom],MATCH(TableQBRanks[[#This Row],[RK]],TableQBCalcPts[RK],0)),"")</f>
        <v>4.5875941055999991</v>
      </c>
      <c r="F62" s="140">
        <f>IF(VLOOKUP(TableQBRanks[[#This Row],[Player]],'Ranks w Proj'!$B:$N,13,FALSE)&lt;0,0,VLOOKUP(TableQBRanks[[#This Row],[Player]],'Ranks w Proj'!$B:$N,13,FALSE))</f>
        <v>0</v>
      </c>
      <c r="H62" s="58">
        <v>61</v>
      </c>
      <c r="I62" s="58" t="str">
        <f>IFERROR(INDEX(TableRBCalcPts[PLAYER],MATCH(TableRBRanks[[#This Row],[RK]],TableRBCalcPts[RK],0)),"")</f>
        <v>Emari Demercado</v>
      </c>
      <c r="J62" s="58" t="str">
        <f>IFERROR(INDEX(TableRBCalcPts[TM],MATCH(TableRBRanks[[#This Row],[RK]],TableRBCalcPts[RK],0)),"")</f>
        <v>KC</v>
      </c>
      <c r="K62" s="58">
        <f>IFERROR(INDEX(TableRBCalcPts[BYE],MATCH(TableRBRanks[[#This Row],[RK]],TableRBCalcPts[RK],0)),"")</f>
        <v>5</v>
      </c>
      <c r="L62" s="95">
        <f>IFERROR(INDEX(TableRBCalcPts[Custom],MATCH(TableRBRanks[[#This Row],[RK]],TableRBCalcPts[RK],0)),"")</f>
        <v>54.897524150868009</v>
      </c>
      <c r="M62" s="140">
        <f>IF(VLOOKUP(TableRBRanks[[#This Row],[Player]],'Ranks w Proj'!$Q:$AB,12,FALSE)&lt;0,0,VLOOKUP(TableRBRanks[[#This Row],[Player]],'Ranks w Proj'!$Q:$AB,12,FALSE))</f>
        <v>0</v>
      </c>
      <c r="O62" s="58">
        <v>61</v>
      </c>
      <c r="P62" s="58" t="str">
        <f>IFERROR(INDEX(TableWRCalcPts[PLAYER],MATCH(TableWRRanks[[#This Row],[RK]],TableWRCalcPts[RK],0)),"")</f>
        <v>Jalen Nailor</v>
      </c>
      <c r="Q62" s="58" t="str">
        <f>IFERROR(INDEX(TableWRCalcPts[TM],MATCH(TableWRRanks[[#This Row],[RK]],TableWRCalcPts[RK],0)),"")</f>
        <v>LV</v>
      </c>
      <c r="R62" s="58">
        <f>IFERROR(INDEX(TableWRCalcPts[BYE],MATCH(TableWRRanks[[#This Row],[RK]],TableWRCalcPts[RK],0)),"")</f>
        <v>13</v>
      </c>
      <c r="S62" s="95">
        <f>IFERROR(INDEX(TableWRCalcPts[Custom],MATCH(TableWRRanks[[#This Row],[RK]],TableWRCalcPts[RK],0)),"")</f>
        <v>103.21973275557887</v>
      </c>
      <c r="T62" s="140">
        <f>IF(VLOOKUP(TableWRRanks[[#This Row],[Player]],'Ranks w Proj'!$AE:$AO,11,FALSE)&lt;0,0,VLOOKUP(TableWRRanks[[#This Row],[Player]],'Ranks w Proj'!$AE:$AO,11,FALSE))</f>
        <v>2.4303072016613805</v>
      </c>
      <c r="V62" s="58">
        <v>61</v>
      </c>
      <c r="W62" s="58" t="str">
        <f>IFERROR(INDEX(TableTECalcPts[PLAYER],MATCH(TableTERanks[[#This Row],[RK]],TableTECalcPts[RK],0)),"")</f>
        <v>Tanner Koziol</v>
      </c>
      <c r="X62" s="58" t="str">
        <f>IFERROR(INDEX(TableTECalcPts[TM],MATCH(TableTERanks[[#This Row],[RK]],TableTECalcPts[RK],0)),"")</f>
        <v>JAX</v>
      </c>
      <c r="Y62" s="58">
        <f>IFERROR(INDEX(TableTECalcPts[BYE],MATCH(TableTERanks[[#This Row],[RK]],TableTECalcPts[RK],0)),"")</f>
        <v>7</v>
      </c>
      <c r="Z62" s="95">
        <f>IFERROR(INDEX(TableTECalcPts[Custom],MATCH(TableTERanks[[#This Row],[RK]],TableTECalcPts[RK],0)),"")</f>
        <v>19.747819077336001</v>
      </c>
      <c r="AA62" s="140">
        <f>IF(VLOOKUP(TableTERanks[[#This Row],[Player]],'Ranks w Proj'!$AR:$AZ,9,FALSE)&lt;0,0,VLOOKUP(TableTERanks[[#This Row],[Player]],'Ranks w Proj'!$AR:$AZ,9,FALSE))</f>
        <v>0</v>
      </c>
    </row>
    <row r="63" spans="1:27" x14ac:dyDescent="0.25">
      <c r="A63" s="58">
        <v>62</v>
      </c>
      <c r="B63" s="58" t="str">
        <f>IFERROR(INDEX(TableQBCalcPts[PLAYER],MATCH(TableQBRanks[[#This Row],[RK]],TableQBCalcPts[RK],0)),"")</f>
        <v>Davis Mills</v>
      </c>
      <c r="C63" s="58" t="str">
        <f>IFERROR(INDEX(TableQBCalcPts[TM],MATCH(TableQBRanks[[#This Row],[RK]],TableQBCalcPts[RK],0)),"")</f>
        <v>HOU</v>
      </c>
      <c r="D63" s="58">
        <f>IFERROR(INDEX(TableQBCalcPts[BYE],MATCH(TableQBRanks[[#This Row],[RK]],TableQBCalcPts[RK],0)),"")</f>
        <v>8</v>
      </c>
      <c r="E63" s="95">
        <f>IFERROR(INDEX(TableQBCalcPts[Custom],MATCH(TableQBRanks[[#This Row],[RK]],TableQBCalcPts[RK],0)),"")</f>
        <v>4.2706835356278372</v>
      </c>
      <c r="F63" s="140">
        <f>IF(VLOOKUP(TableQBRanks[[#This Row],[Player]],'Ranks w Proj'!$B:$N,13,FALSE)&lt;0,0,VLOOKUP(TableQBRanks[[#This Row],[Player]],'Ranks w Proj'!$B:$N,13,FALSE))</f>
        <v>0</v>
      </c>
      <c r="H63" s="58">
        <v>62</v>
      </c>
      <c r="I63" s="58" t="str">
        <f>IFERROR(INDEX(TableRBCalcPts[PLAYER],MATCH(TableRBRanks[[#This Row],[RK]],TableRBCalcPts[RK],0)),"")</f>
        <v>Nicholas Singleton</v>
      </c>
      <c r="J63" s="58" t="str">
        <f>IFERROR(INDEX(TableRBCalcPts[TM],MATCH(TableRBRanks[[#This Row],[RK]],TableRBCalcPts[RK],0)),"")</f>
        <v>TEN</v>
      </c>
      <c r="K63" s="58">
        <f>IFERROR(INDEX(TableRBCalcPts[BYE],MATCH(TableRBRanks[[#This Row],[RK]],TableRBCalcPts[RK],0)),"")</f>
        <v>9</v>
      </c>
      <c r="L63" s="95">
        <f>IFERROR(INDEX(TableRBCalcPts[Custom],MATCH(TableRBRanks[[#This Row],[RK]],TableRBCalcPts[RK],0)),"")</f>
        <v>50.882765347008004</v>
      </c>
      <c r="M63" s="140">
        <f>IF(VLOOKUP(TableRBRanks[[#This Row],[Player]],'Ranks w Proj'!$Q:$AB,12,FALSE)&lt;0,0,VLOOKUP(TableRBRanks[[#This Row],[Player]],'Ranks w Proj'!$Q:$AB,12,FALSE))</f>
        <v>0</v>
      </c>
      <c r="O63" s="58">
        <v>62</v>
      </c>
      <c r="P63" s="58" t="str">
        <f>IFERROR(INDEX(TableWRCalcPts[PLAYER],MATCH(TableWRRanks[[#This Row],[RK]],TableWRCalcPts[RK],0)),"")</f>
        <v>Adonai Mitchell</v>
      </c>
      <c r="Q63" s="58" t="str">
        <f>IFERROR(INDEX(TableWRCalcPts[TM],MATCH(TableWRRanks[[#This Row],[RK]],TableWRCalcPts[RK],0)),"")</f>
        <v>NYJ</v>
      </c>
      <c r="R63" s="58">
        <f>IFERROR(INDEX(TableWRCalcPts[BYE],MATCH(TableWRRanks[[#This Row],[RK]],TableWRCalcPts[RK],0)),"")</f>
        <v>13</v>
      </c>
      <c r="S63" s="95">
        <f>IFERROR(INDEX(TableWRCalcPts[Custom],MATCH(TableWRRanks[[#This Row],[RK]],TableWRCalcPts[RK],0)),"")</f>
        <v>101.89531015054624</v>
      </c>
      <c r="T63" s="140">
        <f>IF(VLOOKUP(TableWRRanks[[#This Row],[Player]],'Ranks w Proj'!$AE:$AO,11,FALSE)&lt;0,0,VLOOKUP(TableWRRanks[[#This Row],[Player]],'Ranks w Proj'!$AE:$AO,11,FALSE))</f>
        <v>2.1814770822873797</v>
      </c>
      <c r="V63" s="58">
        <v>62</v>
      </c>
      <c r="W63" s="58" t="str">
        <f>IFERROR(INDEX(TableTECalcPts[PLAYER],MATCH(TableTERanks[[#This Row],[RK]],TableTECalcPts[RK],0)),"")</f>
        <v>Brock Wright</v>
      </c>
      <c r="X63" s="58" t="str">
        <f>IFERROR(INDEX(TableTECalcPts[TM],MATCH(TableTERanks[[#This Row],[RK]],TableTECalcPts[RK],0)),"")</f>
        <v>DET</v>
      </c>
      <c r="Y63" s="58">
        <f>IFERROR(INDEX(TableTECalcPts[BYE],MATCH(TableTERanks[[#This Row],[RK]],TableTECalcPts[RK],0)),"")</f>
        <v>6</v>
      </c>
      <c r="Z63" s="95">
        <f>IFERROR(INDEX(TableTECalcPts[Custom],MATCH(TableTERanks[[#This Row],[RK]],TableTECalcPts[RK],0)),"")</f>
        <v>18.232570883216621</v>
      </c>
      <c r="AA63" s="140">
        <f>IF(VLOOKUP(TableTERanks[[#This Row],[Player]],'Ranks w Proj'!$AR:$AZ,9,FALSE)&lt;0,0,VLOOKUP(TableTERanks[[#This Row],[Player]],'Ranks w Proj'!$AR:$AZ,9,FALSE))</f>
        <v>0</v>
      </c>
    </row>
    <row r="64" spans="1:27" x14ac:dyDescent="0.25">
      <c r="A64" s="58">
        <v>63</v>
      </c>
      <c r="B64" s="58" t="str">
        <f>IFERROR(INDEX(TableQBCalcPts[PLAYER],MATCH(TableQBRanks[[#This Row],[RK]],TableQBCalcPts[RK],0)),"")</f>
        <v>Nick Mullens</v>
      </c>
      <c r="C64" s="58" t="str">
        <f>IFERROR(INDEX(TableQBCalcPts[TM],MATCH(TableQBRanks[[#This Row],[RK]],TableQBCalcPts[RK],0)),"")</f>
        <v>JAX</v>
      </c>
      <c r="D64" s="58">
        <f>IFERROR(INDEX(TableQBCalcPts[BYE],MATCH(TableQBRanks[[#This Row],[RK]],TableQBCalcPts[RK],0)),"")</f>
        <v>7</v>
      </c>
      <c r="E64" s="95">
        <f>IFERROR(INDEX(TableQBCalcPts[Custom],MATCH(TableQBRanks[[#This Row],[RK]],TableQBCalcPts[RK],0)),"")</f>
        <v>3.3384700000908967</v>
      </c>
      <c r="F64" s="140">
        <f>IF(VLOOKUP(TableQBRanks[[#This Row],[Player]],'Ranks w Proj'!$B:$N,13,FALSE)&lt;0,0,VLOOKUP(TableQBRanks[[#This Row],[Player]],'Ranks w Proj'!$B:$N,13,FALSE))</f>
        <v>0</v>
      </c>
      <c r="H64" s="58">
        <v>63</v>
      </c>
      <c r="I64" s="58" t="str">
        <f>IFERROR(INDEX(TableRBCalcPts[PLAYER],MATCH(TableRBRanks[[#This Row],[RK]],TableRBCalcPts[RK],0)),"")</f>
        <v>Ray Davis</v>
      </c>
      <c r="J64" s="58" t="str">
        <f>IFERROR(INDEX(TableRBCalcPts[TM],MATCH(TableRBRanks[[#This Row],[RK]],TableRBCalcPts[RK],0)),"")</f>
        <v>BUF</v>
      </c>
      <c r="K64" s="58">
        <f>IFERROR(INDEX(TableRBCalcPts[BYE],MATCH(TableRBRanks[[#This Row],[RK]],TableRBCalcPts[RK],0)),"")</f>
        <v>7</v>
      </c>
      <c r="L64" s="95">
        <f>IFERROR(INDEX(TableRBCalcPts[Custom],MATCH(TableRBRanks[[#This Row],[RK]],TableRBCalcPts[RK],0)),"")</f>
        <v>48.763805613529733</v>
      </c>
      <c r="M64" s="140">
        <f>IF(VLOOKUP(TableRBRanks[[#This Row],[Player]],'Ranks w Proj'!$Q:$AB,12,FALSE)&lt;0,0,VLOOKUP(TableRBRanks[[#This Row],[Player]],'Ranks w Proj'!$Q:$AB,12,FALSE))</f>
        <v>0</v>
      </c>
      <c r="O64" s="58">
        <v>63</v>
      </c>
      <c r="P64" s="58" t="str">
        <f>IFERROR(INDEX(TableWRCalcPts[PLAYER],MATCH(TableWRRanks[[#This Row],[RK]],TableWRCalcPts[RK],0)),"")</f>
        <v>Jack Bech</v>
      </c>
      <c r="Q64" s="58" t="str">
        <f>IFERROR(INDEX(TableWRCalcPts[TM],MATCH(TableWRRanks[[#This Row],[RK]],TableWRCalcPts[RK],0)),"")</f>
        <v>LV</v>
      </c>
      <c r="R64" s="58">
        <f>IFERROR(INDEX(TableWRCalcPts[BYE],MATCH(TableWRRanks[[#This Row],[RK]],TableWRCalcPts[RK],0)),"")</f>
        <v>13</v>
      </c>
      <c r="S64" s="95">
        <f>IFERROR(INDEX(TableWRCalcPts[Custom],MATCH(TableWRRanks[[#This Row],[RK]],TableWRCalcPts[RK],0)),"")</f>
        <v>101.30747732999711</v>
      </c>
      <c r="T64" s="140">
        <f>IF(VLOOKUP(TableWRRanks[[#This Row],[Player]],'Ranks w Proj'!$AE:$AO,11,FALSE)&lt;0,0,VLOOKUP(TableWRRanks[[#This Row],[Player]],'Ranks w Proj'!$AE:$AO,11,FALSE))</f>
        <v>2.071036117029474</v>
      </c>
      <c r="V64" s="58">
        <v>63</v>
      </c>
      <c r="W64" s="58" t="str">
        <f>IFERROR(INDEX(TableTECalcPts[PLAYER],MATCH(TableTERanks[[#This Row],[RK]],TableTECalcPts[RK],0)),"")</f>
        <v>Marlin Klein</v>
      </c>
      <c r="X64" s="58" t="str">
        <f>IFERROR(INDEX(TableTECalcPts[TM],MATCH(TableTERanks[[#This Row],[RK]],TableTECalcPts[RK],0)),"")</f>
        <v>HOU</v>
      </c>
      <c r="Y64" s="58">
        <f>IFERROR(INDEX(TableTECalcPts[BYE],MATCH(TableTERanks[[#This Row],[RK]],TableTECalcPts[RK],0)),"")</f>
        <v>8</v>
      </c>
      <c r="Z64" s="95">
        <f>IFERROR(INDEX(TableTECalcPts[Custom],MATCH(TableTERanks[[#This Row],[RK]],TableTECalcPts[RK],0)),"")</f>
        <v>18.025268113439999</v>
      </c>
      <c r="AA64" s="140">
        <f>IF(VLOOKUP(TableTERanks[[#This Row],[Player]],'Ranks w Proj'!$AR:$AZ,9,FALSE)&lt;0,0,VLOOKUP(TableTERanks[[#This Row],[Player]],'Ranks w Proj'!$AR:$AZ,9,FALSE))</f>
        <v>0</v>
      </c>
    </row>
    <row r="65" spans="1:27" x14ac:dyDescent="0.25">
      <c r="A65" s="58">
        <v>64</v>
      </c>
      <c r="B65" s="58" t="str">
        <f>IFERROR(INDEX(TableQBCalcPts[PLAYER],MATCH(TableQBRanks[[#This Row],[RK]],TableQBCalcPts[RK],0)),"")</f>
        <v>Ty Simpson</v>
      </c>
      <c r="C65" s="58" t="str">
        <f>IFERROR(INDEX(TableQBCalcPts[TM],MATCH(TableQBRanks[[#This Row],[RK]],TableQBCalcPts[RK],0)),"")</f>
        <v>LAR</v>
      </c>
      <c r="D65" s="58">
        <f>IFERROR(INDEX(TableQBCalcPts[BYE],MATCH(TableQBRanks[[#This Row],[RK]],TableQBCalcPts[RK],0)),"")</f>
        <v>11</v>
      </c>
      <c r="E65" s="95">
        <f>IFERROR(INDEX(TableQBCalcPts[Custom],MATCH(TableQBRanks[[#This Row],[RK]],TableQBCalcPts[RK],0)),"")</f>
        <v>3.1693723592521681</v>
      </c>
      <c r="F65" s="140">
        <f>IF(VLOOKUP(TableQBRanks[[#This Row],[Player]],'Ranks w Proj'!$B:$N,13,FALSE)&lt;0,0,VLOOKUP(TableQBRanks[[#This Row],[Player]],'Ranks w Proj'!$B:$N,13,FALSE))</f>
        <v>0</v>
      </c>
      <c r="H65" s="58">
        <v>64</v>
      </c>
      <c r="I65" s="58" t="str">
        <f>IFERROR(INDEX(TableRBCalcPts[PLAYER],MATCH(TableRBRanks[[#This Row],[RK]],TableRBCalcPts[RK],0)),"")</f>
        <v>Emmett Johnson</v>
      </c>
      <c r="J65" s="58" t="str">
        <f>IFERROR(INDEX(TableRBCalcPts[TM],MATCH(TableRBRanks[[#This Row],[RK]],TableRBCalcPts[RK],0)),"")</f>
        <v>KC</v>
      </c>
      <c r="K65" s="58">
        <f>IFERROR(INDEX(TableRBCalcPts[BYE],MATCH(TableRBRanks[[#This Row],[RK]],TableRBCalcPts[RK],0)),"")</f>
        <v>5</v>
      </c>
      <c r="L65" s="95">
        <f>IFERROR(INDEX(TableRBCalcPts[Custom],MATCH(TableRBRanks[[#This Row],[RK]],TableRBCalcPts[RK],0)),"")</f>
        <v>48.16206971898</v>
      </c>
      <c r="M65" s="140">
        <f>IF(VLOOKUP(TableRBRanks[[#This Row],[Player]],'Ranks w Proj'!$Q:$AB,12,FALSE)&lt;0,0,VLOOKUP(TableRBRanks[[#This Row],[Player]],'Ranks w Proj'!$Q:$AB,12,FALSE))</f>
        <v>0</v>
      </c>
      <c r="O65" s="58">
        <v>64</v>
      </c>
      <c r="P65" s="58" t="str">
        <f>IFERROR(INDEX(TableWRCalcPts[PLAYER],MATCH(TableWRRanks[[#This Row],[RK]],TableWRCalcPts[RK],0)),"")</f>
        <v>Andrei Iosivas</v>
      </c>
      <c r="Q65" s="58" t="str">
        <f>IFERROR(INDEX(TableWRCalcPts[TM],MATCH(TableWRRanks[[#This Row],[RK]],TableWRCalcPts[RK],0)),"")</f>
        <v>CIN</v>
      </c>
      <c r="R65" s="58">
        <f>IFERROR(INDEX(TableWRCalcPts[BYE],MATCH(TableWRRanks[[#This Row],[RK]],TableWRCalcPts[RK],0)),"")</f>
        <v>6</v>
      </c>
      <c r="S65" s="95">
        <f>IFERROR(INDEX(TableWRCalcPts[Custom],MATCH(TableWRRanks[[#This Row],[RK]],TableWRCalcPts[RK],0)),"")</f>
        <v>101.18003586602683</v>
      </c>
      <c r="T65" s="140">
        <f>IF(VLOOKUP(TableWRRanks[[#This Row],[Player]],'Ranks w Proj'!$AE:$AO,11,FALSE)&lt;0,0,VLOOKUP(TableWRRanks[[#This Row],[Player]],'Ranks w Proj'!$AE:$AO,11,FALSE))</f>
        <v>2.0470926456839802</v>
      </c>
      <c r="V65" s="58">
        <v>64</v>
      </c>
      <c r="W65" s="58" t="str">
        <f>IFERROR(INDEX(TableTECalcPts[PLAYER],MATCH(TableTERanks[[#This Row],[RK]],TableTECalcPts[RK],0)),"")</f>
        <v>Ben Sinnott</v>
      </c>
      <c r="X65" s="58" t="str">
        <f>IFERROR(INDEX(TableTECalcPts[TM],MATCH(TableTERanks[[#This Row],[RK]],TableTECalcPts[RK],0)),"")</f>
        <v>WSH</v>
      </c>
      <c r="Y65" s="58">
        <f>IFERROR(INDEX(TableTECalcPts[BYE],MATCH(TableTERanks[[#This Row],[RK]],TableTECalcPts[RK],0)),"")</f>
        <v>7</v>
      </c>
      <c r="Z65" s="95">
        <f>IFERROR(INDEX(TableTECalcPts[Custom],MATCH(TableTERanks[[#This Row],[RK]],TableTECalcPts[RK],0)),"")</f>
        <v>17.804662151116609</v>
      </c>
      <c r="AA65" s="140">
        <f>IF(VLOOKUP(TableTERanks[[#This Row],[Player]],'Ranks w Proj'!$AR:$AZ,9,FALSE)&lt;0,0,VLOOKUP(TableTERanks[[#This Row],[Player]],'Ranks w Proj'!$AR:$AZ,9,FALSE))</f>
        <v>0</v>
      </c>
    </row>
    <row r="66" spans="1:27" x14ac:dyDescent="0.25">
      <c r="A66" s="58">
        <v>65</v>
      </c>
      <c r="B66" s="58" t="str">
        <f>IFERROR(INDEX(TableQBCalcPts[PLAYER],MATCH(TableQBRanks[[#This Row],[RK]],TableQBCalcPts[RK],0)),"")</f>
        <v>Tyrod Taylor</v>
      </c>
      <c r="C66" s="58" t="str">
        <f>IFERROR(INDEX(TableQBCalcPts[TM],MATCH(TableQBRanks[[#This Row],[RK]],TableQBCalcPts[RK],0)),"")</f>
        <v>GB</v>
      </c>
      <c r="D66" s="58">
        <f>IFERROR(INDEX(TableQBCalcPts[BYE],MATCH(TableQBRanks[[#This Row],[RK]],TableQBCalcPts[RK],0)),"")</f>
        <v>11</v>
      </c>
      <c r="E66" s="95">
        <f>IFERROR(INDEX(TableQBCalcPts[Custom],MATCH(TableQBRanks[[#This Row],[RK]],TableQBCalcPts[RK],0)),"")</f>
        <v>2.8061911575422762</v>
      </c>
      <c r="F66" s="140">
        <f>IF(VLOOKUP(TableQBRanks[[#This Row],[Player]],'Ranks w Proj'!$B:$N,13,FALSE)&lt;0,0,VLOOKUP(TableQBRanks[[#This Row],[Player]],'Ranks w Proj'!$B:$N,13,FALSE))</f>
        <v>0</v>
      </c>
      <c r="H66" s="58">
        <v>65</v>
      </c>
      <c r="I66" s="58" t="str">
        <f>IFERROR(INDEX(TableRBCalcPts[PLAYER],MATCH(TableRBRanks[[#This Row],[RK]],TableRBCalcPts[RK],0)),"")</f>
        <v>Ollie Gordon</v>
      </c>
      <c r="J66" s="58" t="str">
        <f>IFERROR(INDEX(TableRBCalcPts[TM],MATCH(TableRBRanks[[#This Row],[RK]],TableRBCalcPts[RK],0)),"")</f>
        <v>MIA</v>
      </c>
      <c r="K66" s="58">
        <f>IFERROR(INDEX(TableRBCalcPts[BYE],MATCH(TableRBRanks[[#This Row],[RK]],TableRBCalcPts[RK],0)),"")</f>
        <v>6</v>
      </c>
      <c r="L66" s="95">
        <f>IFERROR(INDEX(TableRBCalcPts[Custom],MATCH(TableRBRanks[[#This Row],[RK]],TableRBCalcPts[RK],0)),"")</f>
        <v>48.085238757441402</v>
      </c>
      <c r="M66" s="140">
        <f>IF(VLOOKUP(TableRBRanks[[#This Row],[Player]],'Ranks w Proj'!$Q:$AB,12,FALSE)&lt;0,0,VLOOKUP(TableRBRanks[[#This Row],[Player]],'Ranks w Proj'!$Q:$AB,12,FALSE))</f>
        <v>0</v>
      </c>
      <c r="O66" s="58">
        <v>65</v>
      </c>
      <c r="P66" s="58" t="str">
        <f>IFERROR(INDEX(TableWRCalcPts[PLAYER],MATCH(TableWRRanks[[#This Row],[RK]],TableWRCalcPts[RK],0)),"")</f>
        <v>Denzel Boston</v>
      </c>
      <c r="Q66" s="58" t="str">
        <f>IFERROR(INDEX(TableWRCalcPts[TM],MATCH(TableWRRanks[[#This Row],[RK]],TableWRCalcPts[RK],0)),"")</f>
        <v>CLE</v>
      </c>
      <c r="R66" s="58">
        <f>IFERROR(INDEX(TableWRCalcPts[BYE],MATCH(TableWRRanks[[#This Row],[RK]],TableWRCalcPts[RK],0)),"")</f>
        <v>11</v>
      </c>
      <c r="S66" s="95">
        <f>IFERROR(INDEX(TableWRCalcPts[Custom],MATCH(TableWRRanks[[#This Row],[RK]],TableWRCalcPts[RK],0)),"")</f>
        <v>100.10786563008</v>
      </c>
      <c r="T66" s="140">
        <f>IF(VLOOKUP(TableWRRanks[[#This Row],[Player]],'Ranks w Proj'!$AE:$AO,11,FALSE)&lt;0,0,VLOOKUP(TableWRRanks[[#This Row],[Player]],'Ranks w Proj'!$AE:$AO,11,FALSE))</f>
        <v>1.8456552443695218</v>
      </c>
      <c r="V66" s="58">
        <v>65</v>
      </c>
      <c r="W66" s="58" t="str">
        <f>IFERROR(INDEX(TableTECalcPts[PLAYER],MATCH(TableTERanks[[#This Row],[RK]],TableTECalcPts[RK],0)),"")</f>
        <v>Drew Ogletree</v>
      </c>
      <c r="X66" s="58" t="str">
        <f>IFERROR(INDEX(TableTECalcPts[TM],MATCH(TableTERanks[[#This Row],[RK]],TableTECalcPts[RK],0)),"")</f>
        <v>IND</v>
      </c>
      <c r="Y66" s="58">
        <f>IFERROR(INDEX(TableTECalcPts[BYE],MATCH(TableTERanks[[#This Row],[RK]],TableTECalcPts[RK],0)),"")</f>
        <v>13</v>
      </c>
      <c r="Z66" s="95">
        <f>IFERROR(INDEX(TableTECalcPts[Custom],MATCH(TableTERanks[[#This Row],[RK]],TableTECalcPts[RK],0)),"")</f>
        <v>17.215533176470593</v>
      </c>
      <c r="AA66" s="140">
        <f>IF(VLOOKUP(TableTERanks[[#This Row],[Player]],'Ranks w Proj'!$AR:$AZ,9,FALSE)&lt;0,0,VLOOKUP(TableTERanks[[#This Row],[Player]],'Ranks w Proj'!$AR:$AZ,9,FALSE))</f>
        <v>0</v>
      </c>
    </row>
    <row r="67" spans="1:27" x14ac:dyDescent="0.25">
      <c r="A67" s="58">
        <v>66</v>
      </c>
      <c r="B67" s="58" t="str">
        <f>IFERROR(INDEX(TableQBCalcPts[PLAYER],MATCH(TableQBRanks[[#This Row],[RK]],TableQBCalcPts[RK],0)),"")</f>
        <v>Kyle Allen</v>
      </c>
      <c r="C67" s="58" t="str">
        <f>IFERROR(INDEX(TableQBCalcPts[TM],MATCH(TableQBRanks[[#This Row],[RK]],TableQBCalcPts[RK],0)),"")</f>
        <v>BUF</v>
      </c>
      <c r="D67" s="58">
        <f>IFERROR(INDEX(TableQBCalcPts[BYE],MATCH(TableQBRanks[[#This Row],[RK]],TableQBCalcPts[RK],0)),"")</f>
        <v>7</v>
      </c>
      <c r="E67" s="95">
        <f>IFERROR(INDEX(TableQBCalcPts[Custom],MATCH(TableQBRanks[[#This Row],[RK]],TableQBCalcPts[RK],0)),"")</f>
        <v>2.685185286278994</v>
      </c>
      <c r="F67" s="140">
        <f>IF(VLOOKUP(TableQBRanks[[#This Row],[Player]],'Ranks w Proj'!$B:$N,13,FALSE)&lt;0,0,VLOOKUP(TableQBRanks[[#This Row],[Player]],'Ranks w Proj'!$B:$N,13,FALSE))</f>
        <v>0</v>
      </c>
      <c r="H67" s="58">
        <v>66</v>
      </c>
      <c r="I67" s="58" t="str">
        <f>IFERROR(INDEX(TableRBCalcPts[PLAYER],MATCH(TableRBRanks[[#This Row],[RK]],TableRBCalcPts[RK],0)),"")</f>
        <v>Jonah Coleman</v>
      </c>
      <c r="J67" s="58" t="str">
        <f>IFERROR(INDEX(TableRBCalcPts[TM],MATCH(TableRBRanks[[#This Row],[RK]],TableRBCalcPts[RK],0)),"")</f>
        <v>DEN</v>
      </c>
      <c r="K67" s="58">
        <f>IFERROR(INDEX(TableRBCalcPts[BYE],MATCH(TableRBRanks[[#This Row],[RK]],TableRBCalcPts[RK],0)),"")</f>
        <v>10</v>
      </c>
      <c r="L67" s="95">
        <f>IFERROR(INDEX(TableRBCalcPts[Custom],MATCH(TableRBRanks[[#This Row],[RK]],TableRBCalcPts[RK],0)),"")</f>
        <v>47.585302106049355</v>
      </c>
      <c r="M67" s="140">
        <f>IF(VLOOKUP(TableRBRanks[[#This Row],[Player]],'Ranks w Proj'!$Q:$AB,12,FALSE)&lt;0,0,VLOOKUP(TableRBRanks[[#This Row],[Player]],'Ranks w Proj'!$Q:$AB,12,FALSE))</f>
        <v>0</v>
      </c>
      <c r="O67" s="58">
        <v>66</v>
      </c>
      <c r="P67" s="58" t="str">
        <f>IFERROR(INDEX(TableWRCalcPts[PLAYER],MATCH(TableWRRanks[[#This Row],[RK]],TableWRCalcPts[RK],0)),"")</f>
        <v>KC Concepcion</v>
      </c>
      <c r="Q67" s="58" t="str">
        <f>IFERROR(INDEX(TableWRCalcPts[TM],MATCH(TableWRRanks[[#This Row],[RK]],TableWRCalcPts[RK],0)),"")</f>
        <v>CLE</v>
      </c>
      <c r="R67" s="58">
        <f>IFERROR(INDEX(TableWRCalcPts[BYE],MATCH(TableWRRanks[[#This Row],[RK]],TableWRCalcPts[RK],0)),"")</f>
        <v>11</v>
      </c>
      <c r="S67" s="95">
        <f>IFERROR(INDEX(TableWRCalcPts[Custom],MATCH(TableWRRanks[[#This Row],[RK]],TableWRCalcPts[RK],0)),"")</f>
        <v>99.98152645746832</v>
      </c>
      <c r="T67" s="140">
        <f>IF(VLOOKUP(TableWRRanks[[#This Row],[Player]],'Ranks w Proj'!$AE:$AO,11,FALSE)&lt;0,0,VLOOKUP(TableWRRanks[[#This Row],[Player]],'Ranks w Proj'!$AE:$AO,11,FALSE))</f>
        <v>1.8219188695272923</v>
      </c>
      <c r="V67" s="58">
        <v>66</v>
      </c>
      <c r="W67" s="58" t="str">
        <f>IFERROR(INDEX(TableTECalcPts[PLAYER],MATCH(TableTERanks[[#This Row],[RK]],TableTECalcPts[RK],0)),"")</f>
        <v>Charlie Kolar</v>
      </c>
      <c r="X67" s="58" t="str">
        <f>IFERROR(INDEX(TableTECalcPts[TM],MATCH(TableTERanks[[#This Row],[RK]],TableTECalcPts[RK],0)),"")</f>
        <v>LAC</v>
      </c>
      <c r="Y67" s="58">
        <f>IFERROR(INDEX(TableTECalcPts[BYE],MATCH(TableTERanks[[#This Row],[RK]],TableTECalcPts[RK],0)),"")</f>
        <v>7</v>
      </c>
      <c r="Z67" s="95">
        <f>IFERROR(INDEX(TableTECalcPts[Custom],MATCH(TableTERanks[[#This Row],[RK]],TableTECalcPts[RK],0)),"")</f>
        <v>14.857653393338307</v>
      </c>
      <c r="AA67" s="140">
        <f>IF(VLOOKUP(TableTERanks[[#This Row],[Player]],'Ranks w Proj'!$AR:$AZ,9,FALSE)&lt;0,0,VLOOKUP(TableTERanks[[#This Row],[Player]],'Ranks w Proj'!$AR:$AZ,9,FALSE))</f>
        <v>0</v>
      </c>
    </row>
    <row r="68" spans="1:27" x14ac:dyDescent="0.25">
      <c r="A68" s="58">
        <v>67</v>
      </c>
      <c r="B68" s="58" t="str">
        <f>IFERROR(INDEX(TableQBCalcPts[PLAYER],MATCH(TableQBRanks[[#This Row],[RK]],TableQBCalcPts[RK],0)),"")</f>
        <v>Tanner McKee</v>
      </c>
      <c r="C68" s="58" t="str">
        <f>IFERROR(INDEX(TableQBCalcPts[TM],MATCH(TableQBRanks[[#This Row],[RK]],TableQBCalcPts[RK],0)),"")</f>
        <v>PHI</v>
      </c>
      <c r="D68" s="58">
        <f>IFERROR(INDEX(TableQBCalcPts[BYE],MATCH(TableQBRanks[[#This Row],[RK]],TableQBCalcPts[RK],0)),"")</f>
        <v>10</v>
      </c>
      <c r="E68" s="95">
        <f>IFERROR(INDEX(TableQBCalcPts[Custom],MATCH(TableQBRanks[[#This Row],[RK]],TableQBCalcPts[RK],0)),"")</f>
        <v>2.6730286243949752</v>
      </c>
      <c r="F68" s="140">
        <f>IF(VLOOKUP(TableQBRanks[[#This Row],[Player]],'Ranks w Proj'!$B:$N,13,FALSE)&lt;0,0,VLOOKUP(TableQBRanks[[#This Row],[Player]],'Ranks w Proj'!$B:$N,13,FALSE))</f>
        <v>0</v>
      </c>
      <c r="H68" s="58">
        <v>67</v>
      </c>
      <c r="I68" s="58" t="str">
        <f>IFERROR(INDEX(TableRBCalcPts[PLAYER],MATCH(TableRBRanks[[#This Row],[RK]],TableRBCalcPts[RK],0)),"")</f>
        <v>Jaydon Blue</v>
      </c>
      <c r="J68" s="58" t="str">
        <f>IFERROR(INDEX(TableRBCalcPts[TM],MATCH(TableRBRanks[[#This Row],[RK]],TableRBCalcPts[RK],0)),"")</f>
        <v>DAL</v>
      </c>
      <c r="K68" s="58">
        <f>IFERROR(INDEX(TableRBCalcPts[BYE],MATCH(TableRBRanks[[#This Row],[RK]],TableRBCalcPts[RK],0)),"")</f>
        <v>14</v>
      </c>
      <c r="L68" s="95">
        <f>IFERROR(INDEX(TableRBCalcPts[Custom],MATCH(TableRBRanks[[#This Row],[RK]],TableRBCalcPts[RK],0)),"")</f>
        <v>46.267647023298039</v>
      </c>
      <c r="M68" s="140">
        <f>IF(VLOOKUP(TableRBRanks[[#This Row],[Player]],'Ranks w Proj'!$Q:$AB,12,FALSE)&lt;0,0,VLOOKUP(TableRBRanks[[#This Row],[Player]],'Ranks w Proj'!$Q:$AB,12,FALSE))</f>
        <v>0</v>
      </c>
      <c r="O68" s="58">
        <v>67</v>
      </c>
      <c r="P68" s="58" t="str">
        <f>IFERROR(INDEX(TableWRCalcPts[PLAYER],MATCH(TableWRRanks[[#This Row],[RK]],TableWRCalcPts[RK],0)),"")</f>
        <v>Jalen Tolbert</v>
      </c>
      <c r="Q68" s="58" t="str">
        <f>IFERROR(INDEX(TableWRCalcPts[TM],MATCH(TableWRRanks[[#This Row],[RK]],TableWRCalcPts[RK],0)),"")</f>
        <v>MIA</v>
      </c>
      <c r="R68" s="58">
        <f>IFERROR(INDEX(TableWRCalcPts[BYE],MATCH(TableWRRanks[[#This Row],[RK]],TableWRCalcPts[RK],0)),"")</f>
        <v>6</v>
      </c>
      <c r="S68" s="95">
        <f>IFERROR(INDEX(TableWRCalcPts[Custom],MATCH(TableWRRanks[[#This Row],[RK]],TableWRCalcPts[RK],0)),"")</f>
        <v>99.819665152542697</v>
      </c>
      <c r="T68" s="140">
        <f>IF(VLOOKUP(TableWRRanks[[#This Row],[Player]],'Ranks w Proj'!$AE:$AO,11,FALSE)&lt;0,0,VLOOKUP(TableWRRanks[[#This Row],[Player]],'Ranks w Proj'!$AE:$AO,11,FALSE))</f>
        <v>1.7915086608268136</v>
      </c>
      <c r="V68" s="58">
        <v>67</v>
      </c>
      <c r="W68" s="58" t="str">
        <f>IFERROR(INDEX(TableTECalcPts[PLAYER],MATCH(TableTERanks[[#This Row],[RK]],TableTECalcPts[RK],0)),"")</f>
        <v>Oscar Delp</v>
      </c>
      <c r="X68" s="58" t="str">
        <f>IFERROR(INDEX(TableTECalcPts[TM],MATCH(TableTERanks[[#This Row],[RK]],TableTECalcPts[RK],0)),"")</f>
        <v>NO</v>
      </c>
      <c r="Y68" s="58">
        <f>IFERROR(INDEX(TableTECalcPts[BYE],MATCH(TableTERanks[[#This Row],[RK]],TableTECalcPts[RK],0)),"")</f>
        <v>8</v>
      </c>
      <c r="Z68" s="95">
        <f>IFERROR(INDEX(TableTECalcPts[Custom],MATCH(TableTERanks[[#This Row],[RK]],TableTECalcPts[RK],0)),"")</f>
        <v>13.780328907294518</v>
      </c>
      <c r="AA68" s="140">
        <f>IF(VLOOKUP(TableTERanks[[#This Row],[Player]],'Ranks w Proj'!$AR:$AZ,9,FALSE)&lt;0,0,VLOOKUP(TableTERanks[[#This Row],[Player]],'Ranks w Proj'!$AR:$AZ,9,FALSE))</f>
        <v>0</v>
      </c>
    </row>
    <row r="69" spans="1:27" x14ac:dyDescent="0.25">
      <c r="A69" s="58">
        <v>68</v>
      </c>
      <c r="B69" s="58" t="str">
        <f>IFERROR(INDEX(TableQBCalcPts[PLAYER],MATCH(TableQBRanks[[#This Row],[RK]],TableQBCalcPts[RK],0)),"")</f>
        <v>Zach Wilson</v>
      </c>
      <c r="C69" s="58" t="str">
        <f>IFERROR(INDEX(TableQBCalcPts[TM],MATCH(TableQBRanks[[#This Row],[RK]],TableQBCalcPts[RK],0)),"")</f>
        <v>NO</v>
      </c>
      <c r="D69" s="58">
        <f>IFERROR(INDEX(TableQBCalcPts[BYE],MATCH(TableQBRanks[[#This Row],[RK]],TableQBCalcPts[RK],0)),"")</f>
        <v>8</v>
      </c>
      <c r="E69" s="95">
        <f>IFERROR(INDEX(TableQBCalcPts[Custom],MATCH(TableQBRanks[[#This Row],[RK]],TableQBCalcPts[RK],0)),"")</f>
        <v>0</v>
      </c>
      <c r="F69" s="140">
        <f>IF(VLOOKUP(TableQBRanks[[#This Row],[Player]],'Ranks w Proj'!$B:$N,13,FALSE)&lt;0,0,VLOOKUP(TableQBRanks[[#This Row],[Player]],'Ranks w Proj'!$B:$N,13,FALSE))</f>
        <v>0</v>
      </c>
      <c r="H69" s="58">
        <v>68</v>
      </c>
      <c r="I69" s="58" t="str">
        <f>IFERROR(INDEX(TableRBCalcPts[PLAYER],MATCH(TableRBRanks[[#This Row],[RK]],TableRBCalcPts[RK],0)),"")</f>
        <v>Kaelon Black</v>
      </c>
      <c r="J69" s="58" t="str">
        <f>IFERROR(INDEX(TableRBCalcPts[TM],MATCH(TableRBRanks[[#This Row],[RK]],TableRBCalcPts[RK],0)),"")</f>
        <v>SF</v>
      </c>
      <c r="K69" s="58">
        <f>IFERROR(INDEX(TableRBCalcPts[BYE],MATCH(TableRBRanks[[#This Row],[RK]],TableRBCalcPts[RK],0)),"")</f>
        <v>8</v>
      </c>
      <c r="L69" s="95">
        <f>IFERROR(INDEX(TableRBCalcPts[Custom],MATCH(TableRBRanks[[#This Row],[RK]],TableRBCalcPts[RK],0)),"")</f>
        <v>43.76929730431057</v>
      </c>
      <c r="M69" s="140">
        <f>IF(VLOOKUP(TableRBRanks[[#This Row],[Player]],'Ranks w Proj'!$Q:$AB,12,FALSE)&lt;0,0,VLOOKUP(TableRBRanks[[#This Row],[Player]],'Ranks w Proj'!$Q:$AB,12,FALSE))</f>
        <v>0</v>
      </c>
      <c r="O69" s="58">
        <v>68</v>
      </c>
      <c r="P69" s="58" t="str">
        <f>IFERROR(INDEX(TableWRCalcPts[PLAYER],MATCH(TableWRRanks[[#This Row],[RK]],TableWRCalcPts[RK],0)),"")</f>
        <v>Caleb Douglas</v>
      </c>
      <c r="Q69" s="58" t="str">
        <f>IFERROR(INDEX(TableWRCalcPts[TM],MATCH(TableWRRanks[[#This Row],[RK]],TableWRCalcPts[RK],0)),"")</f>
        <v>MIA</v>
      </c>
      <c r="R69" s="58">
        <f>IFERROR(INDEX(TableWRCalcPts[BYE],MATCH(TableWRRanks[[#This Row],[RK]],TableWRCalcPts[RK],0)),"")</f>
        <v>6</v>
      </c>
      <c r="S69" s="95">
        <f>IFERROR(INDEX(TableWRCalcPts[Custom],MATCH(TableWRRanks[[#This Row],[RK]],TableWRCalcPts[RK],0)),"")</f>
        <v>95.519069823491961</v>
      </c>
      <c r="T69" s="140">
        <f>IF(VLOOKUP(TableWRRanks[[#This Row],[Player]],'Ranks w Proj'!$AE:$AO,11,FALSE)&lt;0,0,VLOOKUP(TableWRRanks[[#This Row],[Player]],'Ranks w Proj'!$AE:$AO,11,FALSE))</f>
        <v>0.98352060245280704</v>
      </c>
      <c r="V69" s="58">
        <v>68</v>
      </c>
      <c r="W69" s="58" t="str">
        <f>IFERROR(INDEX(TableTECalcPts[PLAYER],MATCH(TableTERanks[[#This Row],[RK]],TableTECalcPts[RK],0)),"")</f>
        <v>Ben Sims</v>
      </c>
      <c r="X69" s="58" t="str">
        <f>IFERROR(INDEX(TableTECalcPts[TM],MATCH(TableTERanks[[#This Row],[RK]],TableTECalcPts[RK],0)),"")</f>
        <v>MIA</v>
      </c>
      <c r="Y69" s="58">
        <f>IFERROR(INDEX(TableTECalcPts[BYE],MATCH(TableTERanks[[#This Row],[RK]],TableTECalcPts[RK],0)),"")</f>
        <v>6</v>
      </c>
      <c r="Z69" s="95">
        <f>IFERROR(INDEX(TableTECalcPts[Custom],MATCH(TableTERanks[[#This Row],[RK]],TableTECalcPts[RK],0)),"")</f>
        <v>12.296243042905495</v>
      </c>
      <c r="AA69" s="140">
        <f>IF(VLOOKUP(TableTERanks[[#This Row],[Player]],'Ranks w Proj'!$AR:$AZ,9,FALSE)&lt;0,0,VLOOKUP(TableTERanks[[#This Row],[Player]],'Ranks w Proj'!$AR:$AZ,9,FALSE))</f>
        <v>0</v>
      </c>
    </row>
    <row r="70" spans="1:27" x14ac:dyDescent="0.25">
      <c r="A70" s="58">
        <v>69</v>
      </c>
      <c r="B70" s="58" t="str">
        <f>IFERROR(INDEX(TableQBCalcPts[PLAYER],MATCH(TableQBRanks[[#This Row],[RK]],TableQBCalcPts[RK],0)),"")</f>
        <v>Drew Allar</v>
      </c>
      <c r="C70" s="58" t="str">
        <f>IFERROR(INDEX(TableQBCalcPts[TM],MATCH(TableQBRanks[[#This Row],[RK]],TableQBCalcPts[RK],0)),"")</f>
        <v>PIT</v>
      </c>
      <c r="D70" s="58">
        <f>IFERROR(INDEX(TableQBCalcPts[BYE],MATCH(TableQBRanks[[#This Row],[RK]],TableQBCalcPts[RK],0)),"")</f>
        <v>9</v>
      </c>
      <c r="E70" s="95">
        <f>IFERROR(INDEX(TableQBCalcPts[Custom],MATCH(TableQBRanks[[#This Row],[RK]],TableQBCalcPts[RK],0)),"")</f>
        <v>0</v>
      </c>
      <c r="F70" s="140">
        <f>IF(VLOOKUP(TableQBRanks[[#This Row],[Player]],'Ranks w Proj'!$B:$N,13,FALSE)&lt;0,0,VLOOKUP(TableQBRanks[[#This Row],[Player]],'Ranks w Proj'!$B:$N,13,FALSE))</f>
        <v>0</v>
      </c>
      <c r="H70" s="58">
        <v>69</v>
      </c>
      <c r="I70" s="58" t="str">
        <f>IFERROR(INDEX(TableRBCalcPts[PLAYER],MATCH(TableRBRanks[[#This Row],[RK]],TableRBCalcPts[RK],0)),"")</f>
        <v>Demond Claiborne</v>
      </c>
      <c r="J70" s="58" t="str">
        <f>IFERROR(INDEX(TableRBCalcPts[TM],MATCH(TableRBRanks[[#This Row],[RK]],TableRBCalcPts[RK],0)),"")</f>
        <v>MIN</v>
      </c>
      <c r="K70" s="58">
        <f>IFERROR(INDEX(TableRBCalcPts[BYE],MATCH(TableRBRanks[[#This Row],[RK]],TableRBCalcPts[RK],0)),"")</f>
        <v>6</v>
      </c>
      <c r="L70" s="95">
        <f>IFERROR(INDEX(TableRBCalcPts[Custom],MATCH(TableRBRanks[[#This Row],[RK]],TableRBCalcPts[RK],0)),"")</f>
        <v>41.682847688636514</v>
      </c>
      <c r="M70" s="140">
        <f>IF(VLOOKUP(TableRBRanks[[#This Row],[Player]],'Ranks w Proj'!$Q:$AB,12,FALSE)&lt;0,0,VLOOKUP(TableRBRanks[[#This Row],[Player]],'Ranks w Proj'!$Q:$AB,12,FALSE))</f>
        <v>0</v>
      </c>
      <c r="O70" s="58">
        <v>69</v>
      </c>
      <c r="P70" s="58" t="str">
        <f>IFERROR(INDEX(TableWRCalcPts[PLAYER],MATCH(TableWRRanks[[#This Row],[RK]],TableWRCalcPts[RK],0)),"")</f>
        <v>Jerry Jeudy</v>
      </c>
      <c r="Q70" s="58" t="str">
        <f>IFERROR(INDEX(TableWRCalcPts[TM],MATCH(TableWRRanks[[#This Row],[RK]],TableWRCalcPts[RK],0)),"")</f>
        <v>CLE</v>
      </c>
      <c r="R70" s="58">
        <f>IFERROR(INDEX(TableWRCalcPts[BYE],MATCH(TableWRRanks[[#This Row],[RK]],TableWRCalcPts[RK],0)),"")</f>
        <v>11</v>
      </c>
      <c r="S70" s="95">
        <f>IFERROR(INDEX(TableWRCalcPts[Custom],MATCH(TableWRRanks[[#This Row],[RK]],TableWRCalcPts[RK],0)),"")</f>
        <v>95.245616587967987</v>
      </c>
      <c r="T70" s="140">
        <f>IF(VLOOKUP(TableWRRanks[[#This Row],[Player]],'Ranks w Proj'!$AE:$AO,11,FALSE)&lt;0,0,VLOOKUP(TableWRRanks[[#This Row],[Player]],'Ranks w Proj'!$AE:$AO,11,FALSE))</f>
        <v>0.93214470401972305</v>
      </c>
      <c r="V70" s="58">
        <v>69</v>
      </c>
      <c r="W70" s="58" t="str">
        <f>IFERROR(INDEX(TableTECalcPts[PLAYER],MATCH(TableTERanks[[#This Row],[RK]],TableTECalcPts[RK],0)),"")</f>
        <v>Payne Durham</v>
      </c>
      <c r="X70" s="58" t="str">
        <f>IFERROR(INDEX(TableTECalcPts[TM],MATCH(TableTERanks[[#This Row],[RK]],TableTECalcPts[RK],0)),"")</f>
        <v>TB</v>
      </c>
      <c r="Y70" s="58">
        <f>IFERROR(INDEX(TableTECalcPts[BYE],MATCH(TableTERanks[[#This Row],[RK]],TableTECalcPts[RK],0)),"")</f>
        <v>10</v>
      </c>
      <c r="Z70" s="95">
        <f>IFERROR(INDEX(TableTECalcPts[Custom],MATCH(TableTERanks[[#This Row],[RK]],TableTECalcPts[RK],0)),"")</f>
        <v>11.544060613315855</v>
      </c>
      <c r="AA70" s="140">
        <f>IF(VLOOKUP(TableTERanks[[#This Row],[Player]],'Ranks w Proj'!$AR:$AZ,9,FALSE)&lt;0,0,VLOOKUP(TableTERanks[[#This Row],[Player]],'Ranks w Proj'!$AR:$AZ,9,FALSE))</f>
        <v>0</v>
      </c>
    </row>
    <row r="71" spans="1:27" x14ac:dyDescent="0.25">
      <c r="A71" s="58">
        <v>70</v>
      </c>
      <c r="B71" s="58" t="str">
        <f>IFERROR(INDEX(TableQBCalcPts[PLAYER],MATCH(TableQBRanks[[#This Row],[RK]],TableQBCalcPts[RK],0)),"")</f>
        <v/>
      </c>
      <c r="C71" s="58" t="str">
        <f>IFERROR(INDEX(TableQBCalcPts[TM],MATCH(TableQBRanks[[#This Row],[RK]],TableQBCalcPts[RK],0)),"")</f>
        <v/>
      </c>
      <c r="D71" s="58" t="str">
        <f>IFERROR(INDEX(TableQBCalcPts[BYE],MATCH(TableQBRanks[[#This Row],[RK]],TableQBCalcPts[RK],0)),"")</f>
        <v/>
      </c>
      <c r="E71" s="95" t="str">
        <f>IFERROR(INDEX(TableQBCalcPts[Custom],MATCH(TableQBRanks[[#This Row],[RK]],TableQBCalcPts[RK],0)),"")</f>
        <v/>
      </c>
      <c r="F71" s="140" t="str">
        <f>IF(VLOOKUP(TableQBRanks[[#This Row],[Player]],'Ranks w Proj'!$B:$N,13,FALSE)&lt;0,0,VLOOKUP(TableQBRanks[[#This Row],[Player]],'Ranks w Proj'!$B:$N,13,FALSE))</f>
        <v/>
      </c>
      <c r="H71" s="58">
        <v>70</v>
      </c>
      <c r="I71" s="58" t="str">
        <f>IFERROR(INDEX(TableRBCalcPts[PLAYER],MATCH(TableRBRanks[[#This Row],[RK]],TableRBCalcPts[RK],0)),"")</f>
        <v>Sean Tucker</v>
      </c>
      <c r="J71" s="58" t="str">
        <f>IFERROR(INDEX(TableRBCalcPts[TM],MATCH(TableRBRanks[[#This Row],[RK]],TableRBCalcPts[RK],0)),"")</f>
        <v>TB</v>
      </c>
      <c r="K71" s="58">
        <f>IFERROR(INDEX(TableRBCalcPts[BYE],MATCH(TableRBRanks[[#This Row],[RK]],TableRBCalcPts[RK],0)),"")</f>
        <v>10</v>
      </c>
      <c r="L71" s="95">
        <f>IFERROR(INDEX(TableRBCalcPts[Custom],MATCH(TableRBRanks[[#This Row],[RK]],TableRBCalcPts[RK],0)),"")</f>
        <v>39.186673354115001</v>
      </c>
      <c r="M71" s="140">
        <f>IF(VLOOKUP(TableRBRanks[[#This Row],[Player]],'Ranks w Proj'!$Q:$AB,12,FALSE)&lt;0,0,VLOOKUP(TableRBRanks[[#This Row],[Player]],'Ranks w Proj'!$Q:$AB,12,FALSE))</f>
        <v>0</v>
      </c>
      <c r="O71" s="58">
        <v>70</v>
      </c>
      <c r="P71" s="58" t="str">
        <f>IFERROR(INDEX(TableWRCalcPts[PLAYER],MATCH(TableWRRanks[[#This Row],[RK]],TableWRCalcPts[RK],0)),"")</f>
        <v>Tre Tucker</v>
      </c>
      <c r="Q71" s="58" t="str">
        <f>IFERROR(INDEX(TableWRCalcPts[TM],MATCH(TableWRRanks[[#This Row],[RK]],TableWRCalcPts[RK],0)),"")</f>
        <v>LV</v>
      </c>
      <c r="R71" s="58">
        <f>IFERROR(INDEX(TableWRCalcPts[BYE],MATCH(TableWRRanks[[#This Row],[RK]],TableWRCalcPts[RK],0)),"")</f>
        <v>13</v>
      </c>
      <c r="S71" s="95">
        <f>IFERROR(INDEX(TableWRCalcPts[Custom],MATCH(TableWRRanks[[#This Row],[RK]],TableWRCalcPts[RK],0)),"")</f>
        <v>92.360874869434014</v>
      </c>
      <c r="T71" s="140">
        <f>IF(VLOOKUP(TableWRRanks[[#This Row],[Player]],'Ranks w Proj'!$AE:$AO,11,FALSE)&lt;0,0,VLOOKUP(TableWRRanks[[#This Row],[Player]],'Ranks w Proj'!$AE:$AO,11,FALSE))</f>
        <v>0.39016465667050115</v>
      </c>
      <c r="V71" s="58">
        <v>70</v>
      </c>
      <c r="W71" s="58" t="str">
        <f>IFERROR(INDEX(TableTECalcPts[PLAYER],MATCH(TableTERanks[[#This Row],[RK]],TableTECalcPts[RK],0)),"")</f>
        <v>Mo Alie-Cox</v>
      </c>
      <c r="X71" s="58" t="str">
        <f>IFERROR(INDEX(TableTECalcPts[TM],MATCH(TableTERanks[[#This Row],[RK]],TableTECalcPts[RK],0)),"")</f>
        <v>IND</v>
      </c>
      <c r="Y71" s="58">
        <f>IFERROR(INDEX(TableTECalcPts[BYE],MATCH(TableTERanks[[#This Row],[RK]],TableTECalcPts[RK],0)),"")</f>
        <v>13</v>
      </c>
      <c r="Z71" s="95">
        <f>IFERROR(INDEX(TableTECalcPts[Custom],MATCH(TableTERanks[[#This Row],[RK]],TableTECalcPts[RK],0)),"")</f>
        <v>10.186703597056001</v>
      </c>
      <c r="AA71" s="140">
        <f>IF(VLOOKUP(TableTERanks[[#This Row],[Player]],'Ranks w Proj'!$AR:$AZ,9,FALSE)&lt;0,0,VLOOKUP(TableTERanks[[#This Row],[Player]],'Ranks w Proj'!$AR:$AZ,9,FALSE))</f>
        <v>0</v>
      </c>
    </row>
    <row r="72" spans="1:27" x14ac:dyDescent="0.25">
      <c r="A72" s="58">
        <v>71</v>
      </c>
      <c r="B72" s="58" t="str">
        <f>IFERROR(INDEX(TableQBCalcPts[PLAYER],MATCH(TableQBRanks[[#This Row],[RK]],TableQBCalcPts[RK],0)),"")</f>
        <v/>
      </c>
      <c r="C72" s="58" t="str">
        <f>IFERROR(INDEX(TableQBCalcPts[TM],MATCH(TableQBRanks[[#This Row],[RK]],TableQBCalcPts[RK],0)),"")</f>
        <v/>
      </c>
      <c r="D72" s="58" t="str">
        <f>IFERROR(INDEX(TableQBCalcPts[BYE],MATCH(TableQBRanks[[#This Row],[RK]],TableQBCalcPts[RK],0)),"")</f>
        <v/>
      </c>
      <c r="E72" s="95" t="str">
        <f>IFERROR(INDEX(TableQBCalcPts[Custom],MATCH(TableQBRanks[[#This Row],[RK]],TableQBCalcPts[RK],0)),"")</f>
        <v/>
      </c>
      <c r="F72" s="140" t="str">
        <f>IF(VLOOKUP(TableQBRanks[[#This Row],[Player]],'Ranks w Proj'!$B:$N,13,FALSE)&lt;0,0,VLOOKUP(TableQBRanks[[#This Row],[Player]],'Ranks w Proj'!$B:$N,13,FALSE))</f>
        <v/>
      </c>
      <c r="H72" s="58">
        <v>71</v>
      </c>
      <c r="I72" s="58" t="str">
        <f>IFERROR(INDEX(TableRBCalcPts[PLAYER],MATCH(TableRBRanks[[#This Row],[RK]],TableRBCalcPts[RK],0)),"")</f>
        <v>Chris Brooks</v>
      </c>
      <c r="J72" s="58" t="str">
        <f>IFERROR(INDEX(TableRBCalcPts[TM],MATCH(TableRBRanks[[#This Row],[RK]],TableRBCalcPts[RK],0)),"")</f>
        <v>GB</v>
      </c>
      <c r="K72" s="58">
        <f>IFERROR(INDEX(TableRBCalcPts[BYE],MATCH(TableRBRanks[[#This Row],[RK]],TableRBCalcPts[RK],0)),"")</f>
        <v>11</v>
      </c>
      <c r="L72" s="95">
        <f>IFERROR(INDEX(TableRBCalcPts[Custom],MATCH(TableRBRanks[[#This Row],[RK]],TableRBCalcPts[RK],0)),"")</f>
        <v>38.045966669694593</v>
      </c>
      <c r="M72" s="140">
        <f>IF(VLOOKUP(TableRBRanks[[#This Row],[Player]],'Ranks w Proj'!$Q:$AB,12,FALSE)&lt;0,0,VLOOKUP(TableRBRanks[[#This Row],[Player]],'Ranks w Proj'!$Q:$AB,12,FALSE))</f>
        <v>0</v>
      </c>
      <c r="O72" s="58">
        <v>71</v>
      </c>
      <c r="P72" s="58" t="str">
        <f>IFERROR(INDEX(TableWRCalcPts[PLAYER],MATCH(TableWRRanks[[#This Row],[RK]],TableWRCalcPts[RK],0)),"")</f>
        <v>Germie Bernard</v>
      </c>
      <c r="Q72" s="58" t="str">
        <f>IFERROR(INDEX(TableWRCalcPts[TM],MATCH(TableWRRanks[[#This Row],[RK]],TableWRCalcPts[RK],0)),"")</f>
        <v>PIT</v>
      </c>
      <c r="R72" s="58">
        <f>IFERROR(INDEX(TableWRCalcPts[BYE],MATCH(TableWRRanks[[#This Row],[RK]],TableWRCalcPts[RK],0)),"")</f>
        <v>9</v>
      </c>
      <c r="S72" s="95">
        <f>IFERROR(INDEX(TableWRCalcPts[Custom],MATCH(TableWRRanks[[#This Row],[RK]],TableWRCalcPts[RK],0)),"")</f>
        <v>91.944125838049231</v>
      </c>
      <c r="T72" s="140">
        <f>IF(VLOOKUP(TableWRRanks[[#This Row],[Player]],'Ranks w Proj'!$AE:$AO,11,FALSE)&lt;0,0,VLOOKUP(TableWRRanks[[#This Row],[Player]],'Ranks w Proj'!$AE:$AO,11,FALSE))</f>
        <v>0.31186660374205616</v>
      </c>
      <c r="V72" s="58">
        <v>71</v>
      </c>
      <c r="W72" s="58" t="str">
        <f>IFERROR(INDEX(TableTECalcPts[PLAYER],MATCH(TableTERanks[[#This Row],[RK]],TableTECalcPts[RK],0)),"")</f>
        <v>Nate Boerkircher</v>
      </c>
      <c r="X72" s="58" t="str">
        <f>IFERROR(INDEX(TableTECalcPts[TM],MATCH(TableTERanks[[#This Row],[RK]],TableTECalcPts[RK],0)),"")</f>
        <v>JAX</v>
      </c>
      <c r="Y72" s="58">
        <f>IFERROR(INDEX(TableTECalcPts[BYE],MATCH(TableTERanks[[#This Row],[RK]],TableTECalcPts[RK],0)),"")</f>
        <v>7</v>
      </c>
      <c r="Z72" s="95">
        <f>IFERROR(INDEX(TableTECalcPts[Custom],MATCH(TableTERanks[[#This Row],[RK]],TableTECalcPts[RK],0)),"")</f>
        <v>10.11322995377625</v>
      </c>
      <c r="AA72" s="140">
        <f>IF(VLOOKUP(TableTERanks[[#This Row],[Player]],'Ranks w Proj'!$AR:$AZ,9,FALSE)&lt;0,0,VLOOKUP(TableTERanks[[#This Row],[Player]],'Ranks w Proj'!$AR:$AZ,9,FALSE))</f>
        <v>0</v>
      </c>
    </row>
    <row r="73" spans="1:27" x14ac:dyDescent="0.25">
      <c r="A73" s="58">
        <v>72</v>
      </c>
      <c r="B73" s="58" t="str">
        <f>IFERROR(INDEX(TableQBCalcPts[PLAYER],MATCH(TableQBRanks[[#This Row],[RK]],TableQBCalcPts[RK],0)),"")</f>
        <v/>
      </c>
      <c r="C73" s="58" t="str">
        <f>IFERROR(INDEX(TableQBCalcPts[TM],MATCH(TableQBRanks[[#This Row],[RK]],TableQBCalcPts[RK],0)),"")</f>
        <v/>
      </c>
      <c r="D73" s="58" t="str">
        <f>IFERROR(INDEX(TableQBCalcPts[BYE],MATCH(TableQBRanks[[#This Row],[RK]],TableQBCalcPts[RK],0)),"")</f>
        <v/>
      </c>
      <c r="E73" s="95" t="str">
        <f>IFERROR(INDEX(TableQBCalcPts[Custom],MATCH(TableQBRanks[[#This Row],[RK]],TableQBCalcPts[RK],0)),"")</f>
        <v/>
      </c>
      <c r="F73" s="140" t="str">
        <f>IF(VLOOKUP(TableQBRanks[[#This Row],[Player]],'Ranks w Proj'!$B:$N,13,FALSE)&lt;0,0,VLOOKUP(TableQBRanks[[#This Row],[Player]],'Ranks w Proj'!$B:$N,13,FALSE))</f>
        <v/>
      </c>
      <c r="H73" s="58">
        <v>72</v>
      </c>
      <c r="I73" s="58" t="str">
        <f>IFERROR(INDEX(TableRBCalcPts[PLAYER],MATCH(TableRBRanks[[#This Row],[RK]],TableRBCalcPts[RK],0)),"")</f>
        <v>Zach Charbonnet</v>
      </c>
      <c r="J73" s="58" t="str">
        <f>IFERROR(INDEX(TableRBCalcPts[TM],MATCH(TableRBRanks[[#This Row],[RK]],TableRBCalcPts[RK],0)),"")</f>
        <v>SEA</v>
      </c>
      <c r="K73" s="58">
        <f>IFERROR(INDEX(TableRBCalcPts[BYE],MATCH(TableRBRanks[[#This Row],[RK]],TableRBCalcPts[RK],0)),"")</f>
        <v>11</v>
      </c>
      <c r="L73" s="95">
        <f>IFERROR(INDEX(TableRBCalcPts[Custom],MATCH(TableRBRanks[[#This Row],[RK]],TableRBCalcPts[RK],0)),"")</f>
        <v>37.480893777180206</v>
      </c>
      <c r="M73" s="140">
        <f>IF(VLOOKUP(TableRBRanks[[#This Row],[Player]],'Ranks w Proj'!$Q:$AB,12,FALSE)&lt;0,0,VLOOKUP(TableRBRanks[[#This Row],[Player]],'Ranks w Proj'!$Q:$AB,12,FALSE))</f>
        <v>0</v>
      </c>
      <c r="O73" s="58">
        <v>72</v>
      </c>
      <c r="P73" s="58" t="str">
        <f>IFERROR(INDEX(TableWRCalcPts[PLAYER],MATCH(TableWRRanks[[#This Row],[RK]],TableWRCalcPts[RK],0)),"")</f>
        <v>Cooper Kupp</v>
      </c>
      <c r="Q73" s="58" t="str">
        <f>IFERROR(INDEX(TableWRCalcPts[TM],MATCH(TableWRRanks[[#This Row],[RK]],TableWRCalcPts[RK],0)),"")</f>
        <v>SEA</v>
      </c>
      <c r="R73" s="58">
        <f>IFERROR(INDEX(TableWRCalcPts[BYE],MATCH(TableWRRanks[[#This Row],[RK]],TableWRCalcPts[RK],0)),"")</f>
        <v>11</v>
      </c>
      <c r="S73" s="95">
        <f>IFERROR(INDEX(TableWRCalcPts[Custom],MATCH(TableWRRanks[[#This Row],[RK]],TableWRCalcPts[RK],0)),"")</f>
        <v>90.871065206669996</v>
      </c>
      <c r="T73" s="140">
        <f>IF(VLOOKUP(TableWRRanks[[#This Row],[Player]],'Ranks w Proj'!$AE:$AO,11,FALSE)&lt;0,0,VLOOKUP(TableWRRanks[[#This Row],[Player]],'Ranks w Proj'!$AE:$AO,11,FALSE))</f>
        <v>0.11026191654702311</v>
      </c>
      <c r="V73" s="58">
        <v>72</v>
      </c>
      <c r="W73" s="58" t="str">
        <f>IFERROR(INDEX(TableTECalcPts[PLAYER],MATCH(TableTERanks[[#This Row],[RK]],TableTECalcPts[RK],0)),"")</f>
        <v>Sam Roush</v>
      </c>
      <c r="X73" s="58" t="str">
        <f>IFERROR(INDEX(TableTECalcPts[TM],MATCH(TableTERanks[[#This Row],[RK]],TableTECalcPts[RK],0)),"")</f>
        <v>CHI</v>
      </c>
      <c r="Y73" s="58">
        <f>IFERROR(INDEX(TableTECalcPts[BYE],MATCH(TableTERanks[[#This Row],[RK]],TableTECalcPts[RK],0)),"")</f>
        <v>10</v>
      </c>
      <c r="Z73" s="95">
        <f>IFERROR(INDEX(TableTECalcPts[Custom],MATCH(TableTERanks[[#This Row],[RK]],TableTECalcPts[RK],0)),"")</f>
        <v>9.4157313959958344</v>
      </c>
      <c r="AA73" s="140">
        <f>IF(VLOOKUP(TableTERanks[[#This Row],[Player]],'Ranks w Proj'!$AR:$AZ,9,FALSE)&lt;0,0,VLOOKUP(TableTERanks[[#This Row],[Player]],'Ranks w Proj'!$AR:$AZ,9,FALSE))</f>
        <v>0</v>
      </c>
    </row>
    <row r="74" spans="1:27" x14ac:dyDescent="0.25">
      <c r="A74" s="58">
        <v>73</v>
      </c>
      <c r="B74" s="58" t="str">
        <f>IFERROR(INDEX(TableQBCalcPts[PLAYER],MATCH(TableQBRanks[[#This Row],[RK]],TableQBCalcPts[RK],0)),"")</f>
        <v/>
      </c>
      <c r="C74" s="58" t="str">
        <f>IFERROR(INDEX(TableQBCalcPts[TM],MATCH(TableQBRanks[[#This Row],[RK]],TableQBCalcPts[RK],0)),"")</f>
        <v/>
      </c>
      <c r="D74" s="58" t="str">
        <f>IFERROR(INDEX(TableQBCalcPts[BYE],MATCH(TableQBRanks[[#This Row],[RK]],TableQBCalcPts[RK],0)),"")</f>
        <v/>
      </c>
      <c r="E74" s="95" t="str">
        <f>IFERROR(INDEX(TableQBCalcPts[Custom],MATCH(TableQBRanks[[#This Row],[RK]],TableQBCalcPts[RK],0)),"")</f>
        <v/>
      </c>
      <c r="F74" s="140" t="str">
        <f>IF(VLOOKUP(TableQBRanks[[#This Row],[Player]],'Ranks w Proj'!$B:$N,13,FALSE)&lt;0,0,VLOOKUP(TableQBRanks[[#This Row],[Player]],'Ranks w Proj'!$B:$N,13,FALSE))</f>
        <v/>
      </c>
      <c r="H74" s="58">
        <v>73</v>
      </c>
      <c r="I74" s="58" t="str">
        <f>IFERROR(INDEX(TableRBCalcPts[PLAYER],MATCH(TableRBRanks[[#This Row],[RK]],TableRBCalcPts[RK],0)),"")</f>
        <v>Jordan James</v>
      </c>
      <c r="J74" s="58" t="str">
        <f>IFERROR(INDEX(TableRBCalcPts[TM],MATCH(TableRBRanks[[#This Row],[RK]],TableRBCalcPts[RK],0)),"")</f>
        <v>SF</v>
      </c>
      <c r="K74" s="58">
        <f>IFERROR(INDEX(TableRBCalcPts[BYE],MATCH(TableRBRanks[[#This Row],[RK]],TableRBCalcPts[RK],0)),"")</f>
        <v>8</v>
      </c>
      <c r="L74" s="95">
        <f>IFERROR(INDEX(TableRBCalcPts[Custom],MATCH(TableRBRanks[[#This Row],[RK]],TableRBCalcPts[RK],0)),"")</f>
        <v>36.135550445991981</v>
      </c>
      <c r="M74" s="140">
        <f>IF(VLOOKUP(TableRBRanks[[#This Row],[Player]],'Ranks w Proj'!$Q:$AB,12,FALSE)&lt;0,0,VLOOKUP(TableRBRanks[[#This Row],[Player]],'Ranks w Proj'!$Q:$AB,12,FALSE))</f>
        <v>0</v>
      </c>
      <c r="O74" s="58">
        <v>73</v>
      </c>
      <c r="P74" s="58" t="str">
        <f>IFERROR(INDEX(TableWRCalcPts[PLAYER],MATCH(TableWRRanks[[#This Row],[RK]],TableWRCalcPts[RK],0)),"")</f>
        <v>Ryan Flournoy</v>
      </c>
      <c r="Q74" s="58" t="str">
        <f>IFERROR(INDEX(TableWRCalcPts[TM],MATCH(TableWRRanks[[#This Row],[RK]],TableWRCalcPts[RK],0)),"")</f>
        <v>DAL</v>
      </c>
      <c r="R74" s="58">
        <f>IFERROR(INDEX(TableWRCalcPts[BYE],MATCH(TableWRRanks[[#This Row],[RK]],TableWRCalcPts[RK],0)),"")</f>
        <v>14</v>
      </c>
      <c r="S74" s="95">
        <f>IFERROR(INDEX(TableWRCalcPts[Custom],MATCH(TableWRRanks[[#This Row],[RK]],TableWRCalcPts[RK],0)),"")</f>
        <v>90.284185390366062</v>
      </c>
      <c r="T74" s="140">
        <f>IF(VLOOKUP(TableWRRanks[[#This Row],[Player]],'Ranks w Proj'!$AE:$AO,11,FALSE)&lt;0,0,VLOOKUP(TableWRRanks[[#This Row],[Player]],'Ranks w Proj'!$AE:$AO,11,FALSE))</f>
        <v>0</v>
      </c>
      <c r="V74" s="58">
        <v>73</v>
      </c>
      <c r="W74" s="58" t="str">
        <f>IFERROR(INDEX(TableTECalcPts[PLAYER],MATCH(TableTERanks[[#This Row],[RK]],TableTECalcPts[RK],0)),"")</f>
        <v>Julian Hill</v>
      </c>
      <c r="X74" s="58" t="str">
        <f>IFERROR(INDEX(TableTECalcPts[TM],MATCH(TableTERanks[[#This Row],[RK]],TableTECalcPts[RK],0)),"")</f>
        <v>NE</v>
      </c>
      <c r="Y74" s="58">
        <f>IFERROR(INDEX(TableTECalcPts[BYE],MATCH(TableTERanks[[#This Row],[RK]],TableTECalcPts[RK],0)),"")</f>
        <v>11</v>
      </c>
      <c r="Z74" s="95">
        <f>IFERROR(INDEX(TableTECalcPts[Custom],MATCH(TableTERanks[[#This Row],[RK]],TableTECalcPts[RK],0)),"")</f>
        <v>9.4153772017176021</v>
      </c>
      <c r="AA74" s="140">
        <f>IF(VLOOKUP(TableTERanks[[#This Row],[Player]],'Ranks w Proj'!$AR:$AZ,9,FALSE)&lt;0,0,VLOOKUP(TableTERanks[[#This Row],[Player]],'Ranks w Proj'!$AR:$AZ,9,FALSE))</f>
        <v>0</v>
      </c>
    </row>
    <row r="75" spans="1:27" x14ac:dyDescent="0.25">
      <c r="A75" s="58">
        <v>74</v>
      </c>
      <c r="B75" s="58" t="str">
        <f>IFERROR(INDEX(TableQBCalcPts[PLAYER],MATCH(TableQBRanks[[#This Row],[RK]],TableQBCalcPts[RK],0)),"")</f>
        <v/>
      </c>
      <c r="C75" s="58" t="str">
        <f>IFERROR(INDEX(TableQBCalcPts[TM],MATCH(TableQBRanks[[#This Row],[RK]],TableQBCalcPts[RK],0)),"")</f>
        <v/>
      </c>
      <c r="D75" s="58" t="str">
        <f>IFERROR(INDEX(TableQBCalcPts[BYE],MATCH(TableQBRanks[[#This Row],[RK]],TableQBCalcPts[RK],0)),"")</f>
        <v/>
      </c>
      <c r="E75" s="95" t="str">
        <f>IFERROR(INDEX(TableQBCalcPts[Custom],MATCH(TableQBRanks[[#This Row],[RK]],TableQBCalcPts[RK],0)),"")</f>
        <v/>
      </c>
      <c r="F75" s="140" t="str">
        <f>IF(VLOOKUP(TableQBRanks[[#This Row],[Player]],'Ranks w Proj'!$B:$N,13,FALSE)&lt;0,0,VLOOKUP(TableQBRanks[[#This Row],[Player]],'Ranks w Proj'!$B:$N,13,FALSE))</f>
        <v/>
      </c>
      <c r="H75" s="58">
        <v>74</v>
      </c>
      <c r="I75" s="58" t="str">
        <f>IFERROR(INDEX(TableRBCalcPts[PLAYER],MATCH(TableRBRanks[[#This Row],[RK]],TableRBCalcPts[RK],0)),"")</f>
        <v>Malik Davis</v>
      </c>
      <c r="J75" s="58" t="str">
        <f>IFERROR(INDEX(TableRBCalcPts[TM],MATCH(TableRBRanks[[#This Row],[RK]],TableRBCalcPts[RK],0)),"")</f>
        <v>DAL</v>
      </c>
      <c r="K75" s="58">
        <f>IFERROR(INDEX(TableRBCalcPts[BYE],MATCH(TableRBRanks[[#This Row],[RK]],TableRBCalcPts[RK],0)),"")</f>
        <v>14</v>
      </c>
      <c r="L75" s="95">
        <f>IFERROR(INDEX(TableRBCalcPts[Custom],MATCH(TableRBRanks[[#This Row],[RK]],TableRBCalcPts[RK],0)),"")</f>
        <v>35.551474799190409</v>
      </c>
      <c r="M75" s="140">
        <f>IF(VLOOKUP(TableRBRanks[[#This Row],[Player]],'Ranks w Proj'!$Q:$AB,12,FALSE)&lt;0,0,VLOOKUP(TableRBRanks[[#This Row],[Player]],'Ranks w Proj'!$Q:$AB,12,FALSE))</f>
        <v>0</v>
      </c>
      <c r="O75" s="58">
        <v>74</v>
      </c>
      <c r="P75" s="58" t="str">
        <f>IFERROR(INDEX(TableWRCalcPts[PLAYER],MATCH(TableWRRanks[[#This Row],[RK]],TableWRCalcPts[RK],0)),"")</f>
        <v>Isaac TeSlaa</v>
      </c>
      <c r="Q75" s="58" t="str">
        <f>IFERROR(INDEX(TableWRCalcPts[TM],MATCH(TableWRRanks[[#This Row],[RK]],TableWRCalcPts[RK],0)),"")</f>
        <v>DET</v>
      </c>
      <c r="R75" s="58">
        <f>IFERROR(INDEX(TableWRCalcPts[BYE],MATCH(TableWRRanks[[#This Row],[RK]],TableWRCalcPts[RK],0)),"")</f>
        <v>6</v>
      </c>
      <c r="S75" s="95">
        <f>IFERROR(INDEX(TableWRCalcPts[Custom],MATCH(TableWRRanks[[#This Row],[RK]],TableWRCalcPts[RK],0)),"")</f>
        <v>88.820853202636783</v>
      </c>
      <c r="T75" s="140">
        <f>IF(VLOOKUP(TableWRRanks[[#This Row],[Player]],'Ranks w Proj'!$AE:$AO,11,FALSE)&lt;0,0,VLOOKUP(TableWRRanks[[#This Row],[Player]],'Ranks w Proj'!$AE:$AO,11,FALSE))</f>
        <v>0</v>
      </c>
      <c r="V75" s="58">
        <v>74</v>
      </c>
      <c r="W75" s="58" t="str">
        <f>IFERROR(INDEX(TableTECalcPts[PLAYER],MATCH(TableTERanks[[#This Row],[RK]],TableTECalcPts[RK],0)),"")</f>
        <v>Jeremy Ruckert</v>
      </c>
      <c r="X75" s="58" t="str">
        <f>IFERROR(INDEX(TableTECalcPts[TM],MATCH(TableTERanks[[#This Row],[RK]],TableTECalcPts[RK],0)),"")</f>
        <v>NYJ</v>
      </c>
      <c r="Y75" s="58">
        <f>IFERROR(INDEX(TableTECalcPts[BYE],MATCH(TableTERanks[[#This Row],[RK]],TableTECalcPts[RK],0)),"")</f>
        <v>13</v>
      </c>
      <c r="Z75" s="95">
        <f>IFERROR(INDEX(TableTECalcPts[Custom],MATCH(TableTERanks[[#This Row],[RK]],TableTECalcPts[RK],0)),"")</f>
        <v>9.0281802845379744</v>
      </c>
      <c r="AA75" s="140">
        <f>IF(VLOOKUP(TableTERanks[[#This Row],[Player]],'Ranks w Proj'!$AR:$AZ,9,FALSE)&lt;0,0,VLOOKUP(TableTERanks[[#This Row],[Player]],'Ranks w Proj'!$AR:$AZ,9,FALSE))</f>
        <v>0</v>
      </c>
    </row>
    <row r="76" spans="1:27" x14ac:dyDescent="0.25">
      <c r="A76" s="58">
        <v>75</v>
      </c>
      <c r="B76" s="58" t="str">
        <f>IFERROR(INDEX(TableQBCalcPts[PLAYER],MATCH(TableQBRanks[[#This Row],[RK]],TableQBCalcPts[RK],0)),"")</f>
        <v/>
      </c>
      <c r="C76" s="58" t="str">
        <f>IFERROR(INDEX(TableQBCalcPts[TM],MATCH(TableQBRanks[[#This Row],[RK]],TableQBCalcPts[RK],0)),"")</f>
        <v/>
      </c>
      <c r="D76" s="58" t="str">
        <f>IFERROR(INDEX(TableQBCalcPts[BYE],MATCH(TableQBRanks[[#This Row],[RK]],TableQBCalcPts[RK],0)),"")</f>
        <v/>
      </c>
      <c r="E76" s="95" t="str">
        <f>IFERROR(INDEX(TableQBCalcPts[Custom],MATCH(TableQBRanks[[#This Row],[RK]],TableQBCalcPts[RK],0)),"")</f>
        <v/>
      </c>
      <c r="F76" s="140" t="str">
        <f>IF(VLOOKUP(TableQBRanks[[#This Row],[Player]],'Ranks w Proj'!$B:$N,13,FALSE)&lt;0,0,VLOOKUP(TableQBRanks[[#This Row],[Player]],'Ranks w Proj'!$B:$N,13,FALSE))</f>
        <v/>
      </c>
      <c r="H76" s="58">
        <v>75</v>
      </c>
      <c r="I76" s="58" t="str">
        <f>IFERROR(INDEX(TableRBCalcPts[PLAYER],MATCH(TableRBRanks[[#This Row],[RK]],TableRBCalcPts[RK],0)),"")</f>
        <v>Trey Benson</v>
      </c>
      <c r="J76" s="58" t="str">
        <f>IFERROR(INDEX(TableRBCalcPts[TM],MATCH(TableRBRanks[[#This Row],[RK]],TableRBCalcPts[RK],0)),"")</f>
        <v>ARI</v>
      </c>
      <c r="K76" s="58">
        <f>IFERROR(INDEX(TableRBCalcPts[BYE],MATCH(TableRBRanks[[#This Row],[RK]],TableRBCalcPts[RK],0)),"")</f>
        <v>14</v>
      </c>
      <c r="L76" s="95">
        <f>IFERROR(INDEX(TableRBCalcPts[Custom],MATCH(TableRBRanks[[#This Row],[RK]],TableRBCalcPts[RK],0)),"")</f>
        <v>35.444868379199995</v>
      </c>
      <c r="M76" s="140">
        <f>IF(VLOOKUP(TableRBRanks[[#This Row],[Player]],'Ranks w Proj'!$Q:$AB,12,FALSE)&lt;0,0,VLOOKUP(TableRBRanks[[#This Row],[Player]],'Ranks w Proj'!$Q:$AB,12,FALSE))</f>
        <v>0</v>
      </c>
      <c r="O76" s="58">
        <v>75</v>
      </c>
      <c r="P76" s="58" t="str">
        <f>IFERROR(INDEX(TableWRCalcPts[PLAYER],MATCH(TableWRRanks[[#This Row],[RK]],TableWRCalcPts[RK],0)),"")</f>
        <v>Rashod Bateman</v>
      </c>
      <c r="Q76" s="58" t="str">
        <f>IFERROR(INDEX(TableWRCalcPts[TM],MATCH(TableWRRanks[[#This Row],[RK]],TableWRCalcPts[RK],0)),"")</f>
        <v>BAL</v>
      </c>
      <c r="R76" s="58">
        <f>IFERROR(INDEX(TableWRCalcPts[BYE],MATCH(TableWRRanks[[#This Row],[RK]],TableWRCalcPts[RK],0)),"")</f>
        <v>13</v>
      </c>
      <c r="S76" s="95">
        <f>IFERROR(INDEX(TableWRCalcPts[Custom],MATCH(TableWRRanks[[#This Row],[RK]],TableWRCalcPts[RK],0)),"")</f>
        <v>88.222170607161729</v>
      </c>
      <c r="T76" s="140">
        <f>IF(VLOOKUP(TableWRRanks[[#This Row],[Player]],'Ranks w Proj'!$AE:$AO,11,FALSE)&lt;0,0,VLOOKUP(TableWRRanks[[#This Row],[Player]],'Ranks w Proj'!$AE:$AO,11,FALSE))</f>
        <v>0</v>
      </c>
      <c r="V76" s="58">
        <v>75</v>
      </c>
      <c r="W76" s="58" t="str">
        <f>IFERROR(INDEX(TableTECalcPts[PLAYER],MATCH(TableTERanks[[#This Row],[RK]],TableTECalcPts[RK],0)),"")</f>
        <v>Jared Wiley</v>
      </c>
      <c r="X76" s="58" t="str">
        <f>IFERROR(INDEX(TableTECalcPts[TM],MATCH(TableTERanks[[#This Row],[RK]],TableTECalcPts[RK],0)),"")</f>
        <v>KC</v>
      </c>
      <c r="Y76" s="58">
        <f>IFERROR(INDEX(TableTECalcPts[BYE],MATCH(TableTERanks[[#This Row],[RK]],TableTECalcPts[RK],0)),"")</f>
        <v>5</v>
      </c>
      <c r="Z76" s="95">
        <f>IFERROR(INDEX(TableTECalcPts[Custom],MATCH(TableTERanks[[#This Row],[RK]],TableTECalcPts[RK],0)),"")</f>
        <v>7.7326866388358848</v>
      </c>
      <c r="AA76" s="140">
        <f>IF(VLOOKUP(TableTERanks[[#This Row],[Player]],'Ranks w Proj'!$AR:$AZ,9,FALSE)&lt;0,0,VLOOKUP(TableTERanks[[#This Row],[Player]],'Ranks w Proj'!$AR:$AZ,9,FALSE))</f>
        <v>0</v>
      </c>
    </row>
    <row r="77" spans="1:27" x14ac:dyDescent="0.25">
      <c r="A77" s="58">
        <v>76</v>
      </c>
      <c r="B77" s="58" t="str">
        <f>IFERROR(INDEX(TableQBCalcPts[PLAYER],MATCH(TableQBRanks[[#This Row],[RK]],TableQBCalcPts[RK],0)),"")</f>
        <v/>
      </c>
      <c r="C77" s="58" t="str">
        <f>IFERROR(INDEX(TableQBCalcPts[TM],MATCH(TableQBRanks[[#This Row],[RK]],TableQBCalcPts[RK],0)),"")</f>
        <v/>
      </c>
      <c r="D77" s="58" t="str">
        <f>IFERROR(INDEX(TableQBCalcPts[BYE],MATCH(TableQBRanks[[#This Row],[RK]],TableQBCalcPts[RK],0)),"")</f>
        <v/>
      </c>
      <c r="E77" s="95" t="str">
        <f>IFERROR(INDEX(TableQBCalcPts[Custom],MATCH(TableQBRanks[[#This Row],[RK]],TableQBCalcPts[RK],0)),"")</f>
        <v/>
      </c>
      <c r="F77" s="140" t="str">
        <f>IF(VLOOKUP(TableQBRanks[[#This Row],[Player]],'Ranks w Proj'!$B:$N,13,FALSE)&lt;0,0,VLOOKUP(TableQBRanks[[#This Row],[Player]],'Ranks w Proj'!$B:$N,13,FALSE))</f>
        <v/>
      </c>
      <c r="H77" s="58">
        <v>76</v>
      </c>
      <c r="I77" s="58" t="str">
        <f>IFERROR(INDEX(TableRBCalcPts[PLAYER],MATCH(TableRBRanks[[#This Row],[RK]],TableRBCalcPts[RK],0)),"")</f>
        <v>Kimani Vidal</v>
      </c>
      <c r="J77" s="58" t="str">
        <f>IFERROR(INDEX(TableRBCalcPts[TM],MATCH(TableRBRanks[[#This Row],[RK]],TableRBCalcPts[RK],0)),"")</f>
        <v>LAC</v>
      </c>
      <c r="K77" s="58">
        <f>IFERROR(INDEX(TableRBCalcPts[BYE],MATCH(TableRBRanks[[#This Row],[RK]],TableRBCalcPts[RK],0)),"")</f>
        <v>7</v>
      </c>
      <c r="L77" s="95">
        <f>IFERROR(INDEX(TableRBCalcPts[Custom],MATCH(TableRBRanks[[#This Row],[RK]],TableRBCalcPts[RK],0)),"")</f>
        <v>33.511478500499997</v>
      </c>
      <c r="M77" s="140">
        <f>IF(VLOOKUP(TableRBRanks[[#This Row],[Player]],'Ranks w Proj'!$Q:$AB,12,FALSE)&lt;0,0,VLOOKUP(TableRBRanks[[#This Row],[Player]],'Ranks w Proj'!$Q:$AB,12,FALSE))</f>
        <v>0</v>
      </c>
      <c r="O77" s="58">
        <v>76</v>
      </c>
      <c r="P77" s="58" t="str">
        <f>IFERROR(INDEX(TableWRCalcPts[PLAYER],MATCH(TableWRRanks[[#This Row],[RK]],TableWRCalcPts[RK],0)),"")</f>
        <v>Jauan Jennings</v>
      </c>
      <c r="Q77" s="58" t="str">
        <f>IFERROR(INDEX(TableWRCalcPts[TM],MATCH(TableWRRanks[[#This Row],[RK]],TableWRCalcPts[RK],0)),"")</f>
        <v>MIN</v>
      </c>
      <c r="R77" s="58">
        <f>IFERROR(INDEX(TableWRCalcPts[BYE],MATCH(TableWRRanks[[#This Row],[RK]],TableWRCalcPts[RK],0)),"")</f>
        <v>6</v>
      </c>
      <c r="S77" s="95">
        <f>IFERROR(INDEX(TableWRCalcPts[Custom],MATCH(TableWRRanks[[#This Row],[RK]],TableWRCalcPts[RK],0)),"")</f>
        <v>82.789156047990502</v>
      </c>
      <c r="T77" s="140">
        <f>IF(VLOOKUP(TableWRRanks[[#This Row],[Player]],'Ranks w Proj'!$AE:$AO,11,FALSE)&lt;0,0,VLOOKUP(TableWRRanks[[#This Row],[Player]],'Ranks w Proj'!$AE:$AO,11,FALSE))</f>
        <v>0</v>
      </c>
      <c r="V77" s="58">
        <v>76</v>
      </c>
      <c r="W77" s="58" t="str">
        <f>IFERROR(INDEX(TableTECalcPts[PLAYER],MATCH(TableTERanks[[#This Row],[RK]],TableTECalcPts[RK],0)),"")</f>
        <v>Foster Moreau</v>
      </c>
      <c r="X77" s="58" t="str">
        <f>IFERROR(INDEX(TableTECalcPts[TM],MATCH(TableTERanks[[#This Row],[RK]],TableTECalcPts[RK],0)),"")</f>
        <v>HOU</v>
      </c>
      <c r="Y77" s="58">
        <f>IFERROR(INDEX(TableTECalcPts[BYE],MATCH(TableTERanks[[#This Row],[RK]],TableTECalcPts[RK],0)),"")</f>
        <v>8</v>
      </c>
      <c r="Z77" s="95">
        <f>IFERROR(INDEX(TableTECalcPts[Custom],MATCH(TableTERanks[[#This Row],[RK]],TableTECalcPts[RK],0)),"")</f>
        <v>7.3582274793798348</v>
      </c>
      <c r="AA77" s="140">
        <f>IF(VLOOKUP(TableTERanks[[#This Row],[Player]],'Ranks w Proj'!$AR:$AZ,9,FALSE)&lt;0,0,VLOOKUP(TableTERanks[[#This Row],[Player]],'Ranks w Proj'!$AR:$AZ,9,FALSE))</f>
        <v>0</v>
      </c>
    </row>
    <row r="78" spans="1:27" x14ac:dyDescent="0.25">
      <c r="A78" s="58">
        <v>77</v>
      </c>
      <c r="B78" s="58" t="str">
        <f>IFERROR(INDEX(TableQBCalcPts[PLAYER],MATCH(TableQBRanks[[#This Row],[RK]],TableQBCalcPts[RK],0)),"")</f>
        <v/>
      </c>
      <c r="C78" s="58" t="str">
        <f>IFERROR(INDEX(TableQBCalcPts[TM],MATCH(TableQBRanks[[#This Row],[RK]],TableQBCalcPts[RK],0)),"")</f>
        <v/>
      </c>
      <c r="D78" s="58" t="str">
        <f>IFERROR(INDEX(TableQBCalcPts[BYE],MATCH(TableQBRanks[[#This Row],[RK]],TableQBCalcPts[RK],0)),"")</f>
        <v/>
      </c>
      <c r="E78" s="95" t="str">
        <f>IFERROR(INDEX(TableQBCalcPts[Custom],MATCH(TableQBRanks[[#This Row],[RK]],TableQBCalcPts[RK],0)),"")</f>
        <v/>
      </c>
      <c r="F78" s="140" t="str">
        <f>IF(VLOOKUP(TableQBRanks[[#This Row],[Player]],'Ranks w Proj'!$B:$N,13,FALSE)&lt;0,0,VLOOKUP(TableQBRanks[[#This Row],[Player]],'Ranks w Proj'!$B:$N,13,FALSE))</f>
        <v/>
      </c>
      <c r="H78" s="58">
        <v>77</v>
      </c>
      <c r="I78" s="58" t="str">
        <f>IFERROR(INDEX(TableRBCalcPts[PLAYER],MATCH(TableRBRanks[[#This Row],[RK]],TableRBCalcPts[RK],0)),"")</f>
        <v>Jaylen Wright</v>
      </c>
      <c r="J78" s="58" t="str">
        <f>IFERROR(INDEX(TableRBCalcPts[TM],MATCH(TableRBRanks[[#This Row],[RK]],TableRBCalcPts[RK],0)),"")</f>
        <v>MIA</v>
      </c>
      <c r="K78" s="58">
        <f>IFERROR(INDEX(TableRBCalcPts[BYE],MATCH(TableRBRanks[[#This Row],[RK]],TableRBCalcPts[RK],0)),"")</f>
        <v>6</v>
      </c>
      <c r="L78" s="95">
        <f>IFERROR(INDEX(TableRBCalcPts[Custom],MATCH(TableRBRanks[[#This Row],[RK]],TableRBCalcPts[RK],0)),"")</f>
        <v>28.488157787613616</v>
      </c>
      <c r="M78" s="140">
        <f>IF(VLOOKUP(TableRBRanks[[#This Row],[Player]],'Ranks w Proj'!$Q:$AB,12,FALSE)&lt;0,0,VLOOKUP(TableRBRanks[[#This Row],[Player]],'Ranks w Proj'!$Q:$AB,12,FALSE))</f>
        <v>0</v>
      </c>
      <c r="O78" s="58">
        <v>77</v>
      </c>
      <c r="P78" s="58" t="str">
        <f>IFERROR(INDEX(TableWRCalcPts[PLAYER],MATCH(TableWRRanks[[#This Row],[RK]],TableWRCalcPts[RK],0)),"")</f>
        <v>Darnell Mooney</v>
      </c>
      <c r="Q78" s="58" t="str">
        <f>IFERROR(INDEX(TableWRCalcPts[TM],MATCH(TableWRRanks[[#This Row],[RK]],TableWRCalcPts[RK],0)),"")</f>
        <v>NYG</v>
      </c>
      <c r="R78" s="58">
        <f>IFERROR(INDEX(TableWRCalcPts[BYE],MATCH(TableWRRanks[[#This Row],[RK]],TableWRCalcPts[RK],0)),"")</f>
        <v>8</v>
      </c>
      <c r="S78" s="95">
        <f>IFERROR(INDEX(TableWRCalcPts[Custom],MATCH(TableWRRanks[[#This Row],[RK]],TableWRCalcPts[RK],0)),"")</f>
        <v>80.506540304927114</v>
      </c>
      <c r="T78" s="140">
        <f>IF(VLOOKUP(TableWRRanks[[#This Row],[Player]],'Ranks w Proj'!$AE:$AO,11,FALSE)&lt;0,0,VLOOKUP(TableWRRanks[[#This Row],[Player]],'Ranks w Proj'!$AE:$AO,11,FALSE))</f>
        <v>0</v>
      </c>
      <c r="V78" s="58">
        <v>77</v>
      </c>
      <c r="W78" s="58" t="str">
        <f>IFERROR(INDEX(TableTECalcPts[PLAYER],MATCH(TableTERanks[[#This Row],[RK]],TableTECalcPts[RK],0)),"")</f>
        <v>Charlie Woerner</v>
      </c>
      <c r="X78" s="58" t="str">
        <f>IFERROR(INDEX(TableTECalcPts[TM],MATCH(TableTERanks[[#This Row],[RK]],TableTECalcPts[RK],0)),"")</f>
        <v>ATL</v>
      </c>
      <c r="Y78" s="58">
        <f>IFERROR(INDEX(TableTECalcPts[BYE],MATCH(TableTERanks[[#This Row],[RK]],TableTECalcPts[RK],0)),"")</f>
        <v>11</v>
      </c>
      <c r="Z78" s="95">
        <f>IFERROR(INDEX(TableTECalcPts[Custom],MATCH(TableTERanks[[#This Row],[RK]],TableTECalcPts[RK],0)),"")</f>
        <v>6.9441723627850118</v>
      </c>
      <c r="AA78" s="140">
        <f>IF(VLOOKUP(TableTERanks[[#This Row],[Player]],'Ranks w Proj'!$AR:$AZ,9,FALSE)&lt;0,0,VLOOKUP(TableTERanks[[#This Row],[Player]],'Ranks w Proj'!$AR:$AZ,9,FALSE))</f>
        <v>0</v>
      </c>
    </row>
    <row r="79" spans="1:27" x14ac:dyDescent="0.25">
      <c r="A79" s="58">
        <v>78</v>
      </c>
      <c r="B79" s="58" t="str">
        <f>IFERROR(INDEX(TableQBCalcPts[PLAYER],MATCH(TableQBRanks[[#This Row],[RK]],TableQBCalcPts[RK],0)),"")</f>
        <v/>
      </c>
      <c r="C79" s="58" t="str">
        <f>IFERROR(INDEX(TableQBCalcPts[TM],MATCH(TableQBRanks[[#This Row],[RK]],TableQBCalcPts[RK],0)),"")</f>
        <v/>
      </c>
      <c r="D79" s="58" t="str">
        <f>IFERROR(INDEX(TableQBCalcPts[BYE],MATCH(TableQBRanks[[#This Row],[RK]],TableQBCalcPts[RK],0)),"")</f>
        <v/>
      </c>
      <c r="E79" s="95" t="str">
        <f>IFERROR(INDEX(TableQBCalcPts[Custom],MATCH(TableQBRanks[[#This Row],[RK]],TableQBCalcPts[RK],0)),"")</f>
        <v/>
      </c>
      <c r="F79" s="140" t="str">
        <f>IF(VLOOKUP(TableQBRanks[[#This Row],[Player]],'Ranks w Proj'!$B:$N,13,FALSE)&lt;0,0,VLOOKUP(TableQBRanks[[#This Row],[Player]],'Ranks w Proj'!$B:$N,13,FALSE))</f>
        <v/>
      </c>
      <c r="H79" s="58">
        <v>78</v>
      </c>
      <c r="I79" s="58" t="str">
        <f>IFERROR(INDEX(TableRBCalcPts[PLAYER],MATCH(TableRBRanks[[#This Row],[RK]],TableRBCalcPts[RK],0)),"")</f>
        <v>Seth McGowan</v>
      </c>
      <c r="J79" s="58" t="str">
        <f>IFERROR(INDEX(TableRBCalcPts[TM],MATCH(TableRBRanks[[#This Row],[RK]],TableRBCalcPts[RK],0)),"")</f>
        <v>IND</v>
      </c>
      <c r="K79" s="58">
        <f>IFERROR(INDEX(TableRBCalcPts[BYE],MATCH(TableRBRanks[[#This Row],[RK]],TableRBCalcPts[RK],0)),"")</f>
        <v>13</v>
      </c>
      <c r="L79" s="95">
        <f>IFERROR(INDEX(TableRBCalcPts[Custom],MATCH(TableRBRanks[[#This Row],[RK]],TableRBCalcPts[RK],0)),"")</f>
        <v>28.320244486467573</v>
      </c>
      <c r="M79" s="140">
        <f>IF(VLOOKUP(TableRBRanks[[#This Row],[Player]],'Ranks w Proj'!$Q:$AB,12,FALSE)&lt;0,0,VLOOKUP(TableRBRanks[[#This Row],[Player]],'Ranks w Proj'!$Q:$AB,12,FALSE))</f>
        <v>0</v>
      </c>
      <c r="O79" s="58">
        <v>78</v>
      </c>
      <c r="P79" s="58" t="str">
        <f>IFERROR(INDEX(TableWRCalcPts[PLAYER],MATCH(TableWRRanks[[#This Row],[RK]],TableWRCalcPts[RK],0)),"")</f>
        <v>Malik Washington</v>
      </c>
      <c r="Q79" s="58" t="str">
        <f>IFERROR(INDEX(TableWRCalcPts[TM],MATCH(TableWRRanks[[#This Row],[RK]],TableWRCalcPts[RK],0)),"")</f>
        <v>MIA</v>
      </c>
      <c r="R79" s="58">
        <f>IFERROR(INDEX(TableWRCalcPts[BYE],MATCH(TableWRRanks[[#This Row],[RK]],TableWRCalcPts[RK],0)),"")</f>
        <v>6</v>
      </c>
      <c r="S79" s="95">
        <f>IFERROR(INDEX(TableWRCalcPts[Custom],MATCH(TableWRRanks[[#This Row],[RK]],TableWRCalcPts[RK],0)),"")</f>
        <v>80.337995544473287</v>
      </c>
      <c r="T79" s="140">
        <f>IF(VLOOKUP(TableWRRanks[[#This Row],[Player]],'Ranks w Proj'!$AE:$AO,11,FALSE)&lt;0,0,VLOOKUP(TableWRRanks[[#This Row],[Player]],'Ranks w Proj'!$AE:$AO,11,FALSE))</f>
        <v>0</v>
      </c>
      <c r="V79" s="58">
        <v>78</v>
      </c>
      <c r="W79" s="58" t="str">
        <f>IFERROR(INDEX(TableTECalcPts[PLAYER],MATCH(TableTERanks[[#This Row],[RK]],TableTECalcPts[RK],0)),"")</f>
        <v>Michael Trigg</v>
      </c>
      <c r="X79" s="58" t="str">
        <f>IFERROR(INDEX(TableTECalcPts[TM],MATCH(TableTERanks[[#This Row],[RK]],TableTECalcPts[RK],0)),"")</f>
        <v>DAL</v>
      </c>
      <c r="Y79" s="58">
        <f>IFERROR(INDEX(TableTECalcPts[BYE],MATCH(TableTERanks[[#This Row],[RK]],TableTECalcPts[RK],0)),"")</f>
        <v>14</v>
      </c>
      <c r="Z79" s="95">
        <f>IFERROR(INDEX(TableTECalcPts[Custom],MATCH(TableTERanks[[#This Row],[RK]],TableTECalcPts[RK],0)),"")</f>
        <v>5.4358435993400001</v>
      </c>
      <c r="AA79" s="140">
        <f>IF(VLOOKUP(TableTERanks[[#This Row],[Player]],'Ranks w Proj'!$AR:$AZ,9,FALSE)&lt;0,0,VLOOKUP(TableTERanks[[#This Row],[Player]],'Ranks w Proj'!$AR:$AZ,9,FALSE))</f>
        <v>0</v>
      </c>
    </row>
    <row r="80" spans="1:27" x14ac:dyDescent="0.25">
      <c r="A80" s="58">
        <v>79</v>
      </c>
      <c r="B80" s="58" t="str">
        <f>IFERROR(INDEX(TableQBCalcPts[PLAYER],MATCH(TableQBRanks[[#This Row],[RK]],TableQBCalcPts[RK],0)),"")</f>
        <v/>
      </c>
      <c r="C80" s="58" t="str">
        <f>IFERROR(INDEX(TableQBCalcPts[TM],MATCH(TableQBRanks[[#This Row],[RK]],TableQBCalcPts[RK],0)),"")</f>
        <v/>
      </c>
      <c r="D80" s="58" t="str">
        <f>IFERROR(INDEX(TableQBCalcPts[BYE],MATCH(TableQBRanks[[#This Row],[RK]],TableQBCalcPts[RK],0)),"")</f>
        <v/>
      </c>
      <c r="E80" s="95" t="str">
        <f>IFERROR(INDEX(TableQBCalcPts[Custom],MATCH(TableQBRanks[[#This Row],[RK]],TableQBCalcPts[RK],0)),"")</f>
        <v/>
      </c>
      <c r="F80" s="140" t="str">
        <f>IF(VLOOKUP(TableQBRanks[[#This Row],[Player]],'Ranks w Proj'!$B:$N,13,FALSE)&lt;0,0,VLOOKUP(TableQBRanks[[#This Row],[Player]],'Ranks w Proj'!$B:$N,13,FALSE))</f>
        <v/>
      </c>
      <c r="H80" s="58">
        <v>79</v>
      </c>
      <c r="I80" s="58" t="str">
        <f>IFERROR(INDEX(TableRBCalcPts[PLAYER],MATCH(TableRBRanks[[#This Row],[RK]],TableRBCalcPts[RK],0)),"")</f>
        <v>Isaiah Davis</v>
      </c>
      <c r="J80" s="58" t="str">
        <f>IFERROR(INDEX(TableRBCalcPts[TM],MATCH(TableRBRanks[[#This Row],[RK]],TableRBCalcPts[RK],0)),"")</f>
        <v>NYJ</v>
      </c>
      <c r="K80" s="58">
        <f>IFERROR(INDEX(TableRBCalcPts[BYE],MATCH(TableRBRanks[[#This Row],[RK]],TableRBCalcPts[RK],0)),"")</f>
        <v>13</v>
      </c>
      <c r="L80" s="95">
        <f>IFERROR(INDEX(TableRBCalcPts[Custom],MATCH(TableRBRanks[[#This Row],[RK]],TableRBCalcPts[RK],0)),"")</f>
        <v>27.570308632263728</v>
      </c>
      <c r="M80" s="140">
        <f>IF(VLOOKUP(TableRBRanks[[#This Row],[Player]],'Ranks w Proj'!$Q:$AB,12,FALSE)&lt;0,0,VLOOKUP(TableRBRanks[[#This Row],[Player]],'Ranks w Proj'!$Q:$AB,12,FALSE))</f>
        <v>0</v>
      </c>
      <c r="O80" s="58">
        <v>79</v>
      </c>
      <c r="P80" s="58" t="str">
        <f>IFERROR(INDEX(TableWRCalcPts[PLAYER],MATCH(TableWRRanks[[#This Row],[RK]],TableWRCalcPts[RK],0)),"")</f>
        <v>Jaylin Noel</v>
      </c>
      <c r="Q80" s="58" t="str">
        <f>IFERROR(INDEX(TableWRCalcPts[TM],MATCH(TableWRRanks[[#This Row],[RK]],TableWRCalcPts[RK],0)),"")</f>
        <v>HOU</v>
      </c>
      <c r="R80" s="58">
        <f>IFERROR(INDEX(TableWRCalcPts[BYE],MATCH(TableWRRanks[[#This Row],[RK]],TableWRCalcPts[RK],0)),"")</f>
        <v>8</v>
      </c>
      <c r="S80" s="95">
        <f>IFERROR(INDEX(TableWRCalcPts[Custom],MATCH(TableWRRanks[[#This Row],[RK]],TableWRCalcPts[RK],0)),"")</f>
        <v>74.661111555857417</v>
      </c>
      <c r="T80" s="140">
        <f>IF(VLOOKUP(TableWRRanks[[#This Row],[Player]],'Ranks w Proj'!$AE:$AO,11,FALSE)&lt;0,0,VLOOKUP(TableWRRanks[[#This Row],[Player]],'Ranks w Proj'!$AE:$AO,11,FALSE))</f>
        <v>0</v>
      </c>
      <c r="V80" s="58">
        <v>79</v>
      </c>
      <c r="W80" s="58" t="str">
        <f>IFERROR(INDEX(TableTECalcPts[PLAYER],MATCH(TableTERanks[[#This Row],[RK]],TableTECalcPts[RK],0)),"")</f>
        <v>Joe Royer</v>
      </c>
      <c r="X80" s="58" t="str">
        <f>IFERROR(INDEX(TableTECalcPts[TM],MATCH(TableTERanks[[#This Row],[RK]],TableTECalcPts[RK],0)),"")</f>
        <v>CLE</v>
      </c>
      <c r="Y80" s="58">
        <f>IFERROR(INDEX(TableTECalcPts[BYE],MATCH(TableTERanks[[#This Row],[RK]],TableTECalcPts[RK],0)),"")</f>
        <v>11</v>
      </c>
      <c r="Z80" s="95">
        <f>IFERROR(INDEX(TableTECalcPts[Custom],MATCH(TableTERanks[[#This Row],[RK]],TableTECalcPts[RK],0)),"")</f>
        <v>5.3156238957660626</v>
      </c>
      <c r="AA80" s="140">
        <f>IF(VLOOKUP(TableTERanks[[#This Row],[Player]],'Ranks w Proj'!$AR:$AZ,9,FALSE)&lt;0,0,VLOOKUP(TableTERanks[[#This Row],[Player]],'Ranks w Proj'!$AR:$AZ,9,FALSE))</f>
        <v>0</v>
      </c>
    </row>
    <row r="81" spans="8:27" x14ac:dyDescent="0.25">
      <c r="H81" s="58">
        <v>80</v>
      </c>
      <c r="I81" s="58" t="str">
        <f>IFERROR(INDEX(TableRBCalcPts[PLAYER],MATCH(TableRBRanks[[#This Row],[RK]],TableRBCalcPts[RK],0)),"")</f>
        <v>LeQuint Allen</v>
      </c>
      <c r="J81" s="58" t="str">
        <f>IFERROR(INDEX(TableRBCalcPts[TM],MATCH(TableRBRanks[[#This Row],[RK]],TableRBCalcPts[RK],0)),"")</f>
        <v>JAX</v>
      </c>
      <c r="K81" s="58">
        <f>IFERROR(INDEX(TableRBCalcPts[BYE],MATCH(TableRBRanks[[#This Row],[RK]],TableRBCalcPts[RK],0)),"")</f>
        <v>7</v>
      </c>
      <c r="L81" s="95">
        <f>IFERROR(INDEX(TableRBCalcPts[Custom],MATCH(TableRBRanks[[#This Row],[RK]],TableRBCalcPts[RK],0)),"")</f>
        <v>26.449989953767805</v>
      </c>
      <c r="M81" s="140">
        <f>IF(VLOOKUP(TableRBRanks[[#This Row],[Player]],'Ranks w Proj'!$Q:$AB,12,FALSE)&lt;0,0,VLOOKUP(TableRBRanks[[#This Row],[Player]],'Ranks w Proj'!$Q:$AB,12,FALSE))</f>
        <v>0</v>
      </c>
      <c r="O81" s="58">
        <v>80</v>
      </c>
      <c r="P81" s="58" t="str">
        <f>IFERROR(INDEX(TableWRCalcPts[PLAYER],MATCH(TableWRRanks[[#This Row],[RK]],TableWRCalcPts[RK],0)),"")</f>
        <v>Zachariah Branch</v>
      </c>
      <c r="Q81" s="58" t="str">
        <f>IFERROR(INDEX(TableWRCalcPts[TM],MATCH(TableWRRanks[[#This Row],[RK]],TableWRCalcPts[RK],0)),"")</f>
        <v>ATL</v>
      </c>
      <c r="R81" s="58">
        <f>IFERROR(INDEX(TableWRCalcPts[BYE],MATCH(TableWRRanks[[#This Row],[RK]],TableWRCalcPts[RK],0)),"")</f>
        <v>11</v>
      </c>
      <c r="S81" s="95">
        <f>IFERROR(INDEX(TableWRCalcPts[Custom],MATCH(TableWRRanks[[#This Row],[RK]],TableWRCalcPts[RK],0)),"")</f>
        <v>72.524694531828018</v>
      </c>
      <c r="T81" s="140">
        <f>IF(VLOOKUP(TableWRRanks[[#This Row],[Player]],'Ranks w Proj'!$AE:$AO,11,FALSE)&lt;0,0,VLOOKUP(TableWRRanks[[#This Row],[Player]],'Ranks w Proj'!$AE:$AO,11,FALSE))</f>
        <v>0</v>
      </c>
      <c r="V81" s="58">
        <v>80</v>
      </c>
      <c r="W81" s="58" t="str">
        <f>IFERROR(INDEX(TableTECalcPts[PLAYER],MATCH(TableTERanks[[#This Row],[RK]],TableTECalcPts[RK],0)),"")</f>
        <v>Tyler Conklin</v>
      </c>
      <c r="X81" s="58" t="str">
        <f>IFERROR(INDEX(TableTECalcPts[TM],MATCH(TableTERanks[[#This Row],[RK]],TableTECalcPts[RK],0)),"")</f>
        <v>DET</v>
      </c>
      <c r="Y81" s="58">
        <f>IFERROR(INDEX(TableTECalcPts[BYE],MATCH(TableTERanks[[#This Row],[RK]],TableTECalcPts[RK],0)),"")</f>
        <v>6</v>
      </c>
      <c r="Z81" s="95">
        <f>IFERROR(INDEX(TableTECalcPts[Custom],MATCH(TableTERanks[[#This Row],[RK]],TableTECalcPts[RK],0)),"")</f>
        <v>3.6983102392319984</v>
      </c>
      <c r="AA81" s="140">
        <f>IF(VLOOKUP(TableTERanks[[#This Row],[Player]],'Ranks w Proj'!$AR:$AZ,9,FALSE)&lt;0,0,VLOOKUP(TableTERanks[[#This Row],[Player]],'Ranks w Proj'!$AR:$AZ,9,FALSE))</f>
        <v>0</v>
      </c>
    </row>
    <row r="82" spans="8:27" x14ac:dyDescent="0.25">
      <c r="H82" s="58">
        <v>81</v>
      </c>
      <c r="I82" s="58" t="str">
        <f>IFERROR(INDEX(TableRBCalcPts[PLAYER],MATCH(TableRBRanks[[#This Row],[RK]],TableRBCalcPts[RK],0)),"")</f>
        <v>Rasheen Ali</v>
      </c>
      <c r="J82" s="58" t="str">
        <f>IFERROR(INDEX(TableRBCalcPts[TM],MATCH(TableRBRanks[[#This Row],[RK]],TableRBCalcPts[RK],0)),"")</f>
        <v>BAL</v>
      </c>
      <c r="K82" s="58">
        <f>IFERROR(INDEX(TableRBCalcPts[BYE],MATCH(TableRBRanks[[#This Row],[RK]],TableRBCalcPts[RK],0)),"")</f>
        <v>13</v>
      </c>
      <c r="L82" s="95">
        <f>IFERROR(INDEX(TableRBCalcPts[Custom],MATCH(TableRBRanks[[#This Row],[RK]],TableRBCalcPts[RK],0)),"")</f>
        <v>25.033389440736602</v>
      </c>
      <c r="M82" s="140">
        <f>IF(VLOOKUP(TableRBRanks[[#This Row],[Player]],'Ranks w Proj'!$Q:$AB,12,FALSE)&lt;0,0,VLOOKUP(TableRBRanks[[#This Row],[Player]],'Ranks w Proj'!$Q:$AB,12,FALSE))</f>
        <v>0</v>
      </c>
      <c r="O82" s="58">
        <v>81</v>
      </c>
      <c r="P82" s="58" t="str">
        <f>IFERROR(INDEX(TableWRCalcPts[PLAYER],MATCH(TableWRRanks[[#This Row],[RK]],TableWRCalcPts[RK],0)),"")</f>
        <v>Tank Dell</v>
      </c>
      <c r="Q82" s="58" t="str">
        <f>IFERROR(INDEX(TableWRCalcPts[TM],MATCH(TableWRRanks[[#This Row],[RK]],TableWRCalcPts[RK],0)),"")</f>
        <v>HOU</v>
      </c>
      <c r="R82" s="58">
        <f>IFERROR(INDEX(TableWRCalcPts[BYE],MATCH(TableWRRanks[[#This Row],[RK]],TableWRCalcPts[RK],0)),"")</f>
        <v>8</v>
      </c>
      <c r="S82" s="95">
        <f>IFERROR(INDEX(TableWRCalcPts[Custom],MATCH(TableWRRanks[[#This Row],[RK]],TableWRCalcPts[RK],0)),"")</f>
        <v>69.155467284078</v>
      </c>
      <c r="T82" s="140">
        <f>IF(VLOOKUP(TableWRRanks[[#This Row],[Player]],'Ranks w Proj'!$AE:$AO,11,FALSE)&lt;0,0,VLOOKUP(TableWRRanks[[#This Row],[Player]],'Ranks w Proj'!$AE:$AO,11,FALSE))</f>
        <v>0</v>
      </c>
      <c r="V82" s="58">
        <v>81</v>
      </c>
      <c r="W82" s="58" t="str">
        <f>IFERROR(INDEX(TableTECalcPts[PLAYER],MATCH(TableTERanks[[#This Row],[RK]],TableTECalcPts[RK],0)),"")</f>
        <v>Tip Reiman</v>
      </c>
      <c r="X82" s="58" t="str">
        <f>IFERROR(INDEX(TableTECalcPts[TM],MATCH(TableTERanks[[#This Row],[RK]],TableTECalcPts[RK],0)),"")</f>
        <v>ARI</v>
      </c>
      <c r="Y82" s="58">
        <f>IFERROR(INDEX(TableTECalcPts[BYE],MATCH(TableTERanks[[#This Row],[RK]],TableTECalcPts[RK],0)),"")</f>
        <v>14</v>
      </c>
      <c r="Z82" s="95">
        <f>IFERROR(INDEX(TableTECalcPts[Custom],MATCH(TableTERanks[[#This Row],[RK]],TableTECalcPts[RK],0)),"")</f>
        <v>3.1609387125002493</v>
      </c>
      <c r="AA82" s="140">
        <f>IF(VLOOKUP(TableTERanks[[#This Row],[Player]],'Ranks w Proj'!$AR:$AZ,9,FALSE)&lt;0,0,VLOOKUP(TableTERanks[[#This Row],[Player]],'Ranks w Proj'!$AR:$AZ,9,FALSE))</f>
        <v>0</v>
      </c>
    </row>
    <row r="83" spans="8:27" x14ac:dyDescent="0.25">
      <c r="H83" s="58">
        <v>82</v>
      </c>
      <c r="I83" s="58" t="str">
        <f>IFERROR(INDEX(TableRBCalcPts[PLAYER],MATCH(TableRBRanks[[#This Row],[RK]],TableRBCalcPts[RK],0)),"")</f>
        <v>Raheim Sanders</v>
      </c>
      <c r="J83" s="58" t="str">
        <f>IFERROR(INDEX(TableRBCalcPts[TM],MATCH(TableRBRanks[[#This Row],[RK]],TableRBCalcPts[RK],0)),"")</f>
        <v>CLE</v>
      </c>
      <c r="K83" s="58">
        <f>IFERROR(INDEX(TableRBCalcPts[BYE],MATCH(TableRBRanks[[#This Row],[RK]],TableRBCalcPts[RK],0)),"")</f>
        <v>11</v>
      </c>
      <c r="L83" s="95">
        <f>IFERROR(INDEX(TableRBCalcPts[Custom],MATCH(TableRBRanks[[#This Row],[RK]],TableRBCalcPts[RK],0)),"")</f>
        <v>24.411917979477352</v>
      </c>
      <c r="M83" s="140">
        <f>IF(VLOOKUP(TableRBRanks[[#This Row],[Player]],'Ranks w Proj'!$Q:$AB,12,FALSE)&lt;0,0,VLOOKUP(TableRBRanks[[#This Row],[Player]],'Ranks w Proj'!$Q:$AB,12,FALSE))</f>
        <v>0</v>
      </c>
      <c r="O83" s="58">
        <v>82</v>
      </c>
      <c r="P83" s="58" t="str">
        <f>IFERROR(INDEX(TableWRCalcPts[PLAYER],MATCH(TableWRRanks[[#This Row],[RK]],TableWRCalcPts[RK],0)),"")</f>
        <v>Nick Westbrook-Ikhine</v>
      </c>
      <c r="Q83" s="58" t="str">
        <f>IFERROR(INDEX(TableWRCalcPts[TM],MATCH(TableWRRanks[[#This Row],[RK]],TableWRCalcPts[RK],0)),"")</f>
        <v>IND</v>
      </c>
      <c r="R83" s="58">
        <f>IFERROR(INDEX(TableWRCalcPts[BYE],MATCH(TableWRRanks[[#This Row],[RK]],TableWRCalcPts[RK],0)),"")</f>
        <v>13</v>
      </c>
      <c r="S83" s="95">
        <f>IFERROR(INDEX(TableWRCalcPts[Custom],MATCH(TableWRRanks[[#This Row],[RK]],TableWRCalcPts[RK],0)),"")</f>
        <v>68.744066857804796</v>
      </c>
      <c r="T83" s="140">
        <f>IF(VLOOKUP(TableWRRanks[[#This Row],[Player]],'Ranks w Proj'!$AE:$AO,11,FALSE)&lt;0,0,VLOOKUP(TableWRRanks[[#This Row],[Player]],'Ranks w Proj'!$AE:$AO,11,FALSE))</f>
        <v>0</v>
      </c>
      <c r="V83" s="58">
        <v>82</v>
      </c>
      <c r="W83" s="58" t="str">
        <f>IFERROR(INDEX(TableTECalcPts[PLAYER],MATCH(TableTERanks[[#This Row],[RK]],TableTECalcPts[RK],0)),"")</f>
        <v>Thomas Fidone</v>
      </c>
      <c r="X83" s="58" t="str">
        <f>IFERROR(INDEX(TableTECalcPts[TM],MATCH(TableTERanks[[#This Row],[RK]],TableTECalcPts[RK],0)),"")</f>
        <v>NYG</v>
      </c>
      <c r="Y83" s="58">
        <f>IFERROR(INDEX(TableTECalcPts[BYE],MATCH(TableTERanks[[#This Row],[RK]],TableTECalcPts[RK],0)),"")</f>
        <v>8</v>
      </c>
      <c r="Z83" s="95">
        <f>IFERROR(INDEX(TableTECalcPts[Custom],MATCH(TableTERanks[[#This Row],[RK]],TableTECalcPts[RK],0)),"")</f>
        <v>2.8762172109034005</v>
      </c>
      <c r="AA83" s="140">
        <f>IF(VLOOKUP(TableTERanks[[#This Row],[Player]],'Ranks w Proj'!$AR:$AZ,9,FALSE)&lt;0,0,VLOOKUP(TableTERanks[[#This Row],[Player]],'Ranks w Proj'!$AR:$AZ,9,FALSE))</f>
        <v>0</v>
      </c>
    </row>
    <row r="84" spans="8:27" x14ac:dyDescent="0.25">
      <c r="H84" s="58">
        <v>83</v>
      </c>
      <c r="I84" s="58" t="str">
        <f>IFERROR(INDEX(TableRBCalcPts[PLAYER],MATCH(TableRBRanks[[#This Row],[RK]],TableRBCalcPts[RK],0)),"")</f>
        <v>Isaac Guerendo</v>
      </c>
      <c r="J84" s="58" t="str">
        <f>IFERROR(INDEX(TableRBCalcPts[TM],MATCH(TableRBRanks[[#This Row],[RK]],TableRBCalcPts[RK],0)),"")</f>
        <v>SF</v>
      </c>
      <c r="K84" s="58">
        <f>IFERROR(INDEX(TableRBCalcPts[BYE],MATCH(TableRBRanks[[#This Row],[RK]],TableRBCalcPts[RK],0)),"")</f>
        <v>8</v>
      </c>
      <c r="L84" s="95">
        <f>IFERROR(INDEX(TableRBCalcPts[Custom],MATCH(TableRBRanks[[#This Row],[RK]],TableRBCalcPts[RK],0)),"")</f>
        <v>23.5249336472157</v>
      </c>
      <c r="M84" s="140">
        <f>IF(VLOOKUP(TableRBRanks[[#This Row],[Player]],'Ranks w Proj'!$Q:$AB,12,FALSE)&lt;0,0,VLOOKUP(TableRBRanks[[#This Row],[Player]],'Ranks w Proj'!$Q:$AB,12,FALSE))</f>
        <v>0</v>
      </c>
      <c r="O84" s="58">
        <v>83</v>
      </c>
      <c r="P84" s="58" t="str">
        <f>IFERROR(INDEX(TableWRCalcPts[PLAYER],MATCH(TableWRRanks[[#This Row],[RK]],TableWRCalcPts[RK],0)),"")</f>
        <v>Elijah Sarratt</v>
      </c>
      <c r="Q84" s="58" t="str">
        <f>IFERROR(INDEX(TableWRCalcPts[TM],MATCH(TableWRRanks[[#This Row],[RK]],TableWRCalcPts[RK],0)),"")</f>
        <v>BAL</v>
      </c>
      <c r="R84" s="58">
        <f>IFERROR(INDEX(TableWRCalcPts[BYE],MATCH(TableWRRanks[[#This Row],[RK]],TableWRCalcPts[RK],0)),"")</f>
        <v>13</v>
      </c>
      <c r="S84" s="95">
        <f>IFERROR(INDEX(TableWRCalcPts[Custom],MATCH(TableWRRanks[[#This Row],[RK]],TableWRCalcPts[RK],0)),"")</f>
        <v>64.331268238132509</v>
      </c>
      <c r="T84" s="140">
        <f>IF(VLOOKUP(TableWRRanks[[#This Row],[Player]],'Ranks w Proj'!$AE:$AO,11,FALSE)&lt;0,0,VLOOKUP(TableWRRanks[[#This Row],[Player]],'Ranks w Proj'!$AE:$AO,11,FALSE))</f>
        <v>0</v>
      </c>
      <c r="V84" s="58">
        <v>83</v>
      </c>
      <c r="W84" s="58" t="str">
        <f>IFERROR(INDEX(TableTECalcPts[PLAYER],MATCH(TableTERanks[[#This Row],[RK]],TableTECalcPts[RK],0)),"")</f>
        <v>Ben Yurosek</v>
      </c>
      <c r="X84" s="58" t="str">
        <f>IFERROR(INDEX(TableTECalcPts[TM],MATCH(TableTERanks[[#This Row],[RK]],TableTECalcPts[RK],0)),"")</f>
        <v>MIN</v>
      </c>
      <c r="Y84" s="58">
        <f>IFERROR(INDEX(TableTECalcPts[BYE],MATCH(TableTERanks[[#This Row],[RK]],TableTECalcPts[RK],0)),"")</f>
        <v>6</v>
      </c>
      <c r="Z84" s="95">
        <f>IFERROR(INDEX(TableTECalcPts[Custom],MATCH(TableTERanks[[#This Row],[RK]],TableTECalcPts[RK],0)),"")</f>
        <v>2.8280353109866665</v>
      </c>
      <c r="AA84" s="140">
        <f>IF(VLOOKUP(TableTERanks[[#This Row],[Player]],'Ranks w Proj'!$AR:$AZ,9,FALSE)&lt;0,0,VLOOKUP(TableTERanks[[#This Row],[Player]],'Ranks w Proj'!$AR:$AZ,9,FALSE))</f>
        <v>0</v>
      </c>
    </row>
    <row r="85" spans="8:27" x14ac:dyDescent="0.25">
      <c r="H85" s="58">
        <v>84</v>
      </c>
      <c r="I85" s="58" t="str">
        <f>IFERROR(INDEX(TableRBCalcPts[PLAYER],MATCH(TableRBRanks[[#This Row],[RK]],TableRBCalcPts[RK],0)),"")</f>
        <v>Kendre Miller</v>
      </c>
      <c r="J85" s="58" t="str">
        <f>IFERROR(INDEX(TableRBCalcPts[TM],MATCH(TableRBRanks[[#This Row],[RK]],TableRBCalcPts[RK],0)),"")</f>
        <v>NO</v>
      </c>
      <c r="K85" s="58">
        <f>IFERROR(INDEX(TableRBCalcPts[BYE],MATCH(TableRBRanks[[#This Row],[RK]],TableRBCalcPts[RK],0)),"")</f>
        <v>8</v>
      </c>
      <c r="L85" s="95">
        <f>IFERROR(INDEX(TableRBCalcPts[Custom],MATCH(TableRBRanks[[#This Row],[RK]],TableRBCalcPts[RK],0)),"")</f>
        <v>19.692740092522268</v>
      </c>
      <c r="M85" s="140">
        <f>IF(VLOOKUP(TableRBRanks[[#This Row],[Player]],'Ranks w Proj'!$Q:$AB,12,FALSE)&lt;0,0,VLOOKUP(TableRBRanks[[#This Row],[Player]],'Ranks w Proj'!$Q:$AB,12,FALSE))</f>
        <v>0</v>
      </c>
      <c r="O85" s="58">
        <v>84</v>
      </c>
      <c r="P85" s="58" t="str">
        <f>IFERROR(INDEX(TableWRCalcPts[PLAYER],MATCH(TableWRRanks[[#This Row],[RK]],TableWRCalcPts[RK],0)),"")</f>
        <v>KaVontae Turpin</v>
      </c>
      <c r="Q85" s="58" t="str">
        <f>IFERROR(INDEX(TableWRCalcPts[TM],MATCH(TableWRRanks[[#This Row],[RK]],TableWRCalcPts[RK],0)),"")</f>
        <v>DAL</v>
      </c>
      <c r="R85" s="58">
        <f>IFERROR(INDEX(TableWRCalcPts[BYE],MATCH(TableWRRanks[[#This Row],[RK]],TableWRCalcPts[RK],0)),"")</f>
        <v>14</v>
      </c>
      <c r="S85" s="95">
        <f>IFERROR(INDEX(TableWRCalcPts[Custom],MATCH(TableWRRanks[[#This Row],[RK]],TableWRCalcPts[RK],0)),"")</f>
        <v>64.301898003885839</v>
      </c>
      <c r="T85" s="140">
        <f>IF(VLOOKUP(TableWRRanks[[#This Row],[Player]],'Ranks w Proj'!$AE:$AO,11,FALSE)&lt;0,0,VLOOKUP(TableWRRanks[[#This Row],[Player]],'Ranks w Proj'!$AE:$AO,11,FALSE))</f>
        <v>0</v>
      </c>
      <c r="V85" s="58">
        <v>84</v>
      </c>
      <c r="W85" s="58" t="str">
        <f>IFERROR(INDEX(TableTECalcPts[PLAYER],MATCH(TableTERanks[[#This Row],[RK]],TableTECalcPts[RK],0)),"")</f>
        <v>Grant Calcaterra</v>
      </c>
      <c r="X85" s="58" t="str">
        <f>IFERROR(INDEX(TableTECalcPts[TM],MATCH(TableTERanks[[#This Row],[RK]],TableTECalcPts[RK],0)),"")</f>
        <v>PHI</v>
      </c>
      <c r="Y85" s="58">
        <f>IFERROR(INDEX(TableTECalcPts[BYE],MATCH(TableTERanks[[#This Row],[RK]],TableTECalcPts[RK],0)),"")</f>
        <v>10</v>
      </c>
      <c r="Z85" s="95">
        <f>IFERROR(INDEX(TableTECalcPts[Custom],MATCH(TableTERanks[[#This Row],[RK]],TableTECalcPts[RK],0)),"")</f>
        <v>2.7483376113387723</v>
      </c>
      <c r="AA85" s="140">
        <f>IF(VLOOKUP(TableTERanks[[#This Row],[Player]],'Ranks w Proj'!$AR:$AZ,9,FALSE)&lt;0,0,VLOOKUP(TableTERanks[[#This Row],[Player]],'Ranks w Proj'!$AR:$AZ,9,FALSE))</f>
        <v>0</v>
      </c>
    </row>
    <row r="86" spans="8:27" x14ac:dyDescent="0.25">
      <c r="H86" s="58">
        <v>85</v>
      </c>
      <c r="I86" s="58" t="str">
        <f>IFERROR(INDEX(TableRBCalcPts[PLAYER],MATCH(TableRBRanks[[#This Row],[RK]],TableRBCalcPts[RK],0)),"")</f>
        <v>DJ Giddens</v>
      </c>
      <c r="J86" s="58" t="str">
        <f>IFERROR(INDEX(TableRBCalcPts[TM],MATCH(TableRBRanks[[#This Row],[RK]],TableRBCalcPts[RK],0)),"")</f>
        <v>IND</v>
      </c>
      <c r="K86" s="58">
        <f>IFERROR(INDEX(TableRBCalcPts[BYE],MATCH(TableRBRanks[[#This Row],[RK]],TableRBCalcPts[RK],0)),"")</f>
        <v>13</v>
      </c>
      <c r="L86" s="95">
        <f>IFERROR(INDEX(TableRBCalcPts[Custom],MATCH(TableRBRanks[[#This Row],[RK]],TableRBCalcPts[RK],0)),"")</f>
        <v>18.811448871008182</v>
      </c>
      <c r="M86" s="140">
        <f>IF(VLOOKUP(TableRBRanks[[#This Row],[Player]],'Ranks w Proj'!$Q:$AB,12,FALSE)&lt;0,0,VLOOKUP(TableRBRanks[[#This Row],[Player]],'Ranks w Proj'!$Q:$AB,12,FALSE))</f>
        <v>0</v>
      </c>
      <c r="O86" s="58">
        <v>85</v>
      </c>
      <c r="P86" s="58" t="str">
        <f>IFERROR(INDEX(TableWRCalcPts[PLAYER],MATCH(TableWRRanks[[#This Row],[RK]],TableWRCalcPts[RK],0)),"")</f>
        <v>Troy Franklin</v>
      </c>
      <c r="Q86" s="58" t="str">
        <f>IFERROR(INDEX(TableWRCalcPts[TM],MATCH(TableWRRanks[[#This Row],[RK]],TableWRCalcPts[RK],0)),"")</f>
        <v>DEN</v>
      </c>
      <c r="R86" s="58">
        <f>IFERROR(INDEX(TableWRCalcPts[BYE],MATCH(TableWRRanks[[#This Row],[RK]],TableWRCalcPts[RK],0)),"")</f>
        <v>10</v>
      </c>
      <c r="S86" s="95">
        <f>IFERROR(INDEX(TableWRCalcPts[Custom],MATCH(TableWRRanks[[#This Row],[RK]],TableWRCalcPts[RK],0)),"")</f>
        <v>62.943624265789154</v>
      </c>
      <c r="T86" s="140">
        <f>IF(VLOOKUP(TableWRRanks[[#This Row],[Player]],'Ranks w Proj'!$AE:$AO,11,FALSE)&lt;0,0,VLOOKUP(TableWRRanks[[#This Row],[Player]],'Ranks w Proj'!$AE:$AO,11,FALSE))</f>
        <v>0</v>
      </c>
      <c r="V86" s="58">
        <v>85</v>
      </c>
      <c r="W86" s="58" t="str">
        <f>IFERROR(INDEX(TableTECalcPts[PLAYER],MATCH(TableTERanks[[#This Row],[RK]],TableTECalcPts[RK],0)),"")</f>
        <v>Jack Stoll</v>
      </c>
      <c r="X86" s="58" t="str">
        <f>IFERROR(INDEX(TableTECalcPts[TM],MATCH(TableTERanks[[#This Row],[RK]],TableTECalcPts[RK],0)),"")</f>
        <v>CLE</v>
      </c>
      <c r="Y86" s="58">
        <f>IFERROR(INDEX(TableTECalcPts[BYE],MATCH(TableTERanks[[#This Row],[RK]],TableTECalcPts[RK],0)),"")</f>
        <v>11</v>
      </c>
      <c r="Z86" s="95">
        <f>IFERROR(INDEX(TableTECalcPts[Custom],MATCH(TableTERanks[[#This Row],[RK]],TableTECalcPts[RK],0)),"")</f>
        <v>2.41486631694</v>
      </c>
      <c r="AA86" s="140">
        <f>IF(VLOOKUP(TableTERanks[[#This Row],[Player]],'Ranks w Proj'!$AR:$AZ,9,FALSE)&lt;0,0,VLOOKUP(TableTERanks[[#This Row],[Player]],'Ranks w Proj'!$AR:$AZ,9,FALSE))</f>
        <v>0</v>
      </c>
    </row>
    <row r="87" spans="8:27" x14ac:dyDescent="0.25">
      <c r="H87" s="58">
        <v>86</v>
      </c>
      <c r="I87" s="58" t="str">
        <f>IFERROR(INDEX(TableRBCalcPts[PLAYER],MATCH(TableRBRanks[[#This Row],[RK]],TableRBCalcPts[RK],0)),"")</f>
        <v>Eli Heidenreich</v>
      </c>
      <c r="J87" s="58" t="str">
        <f>IFERROR(INDEX(TableRBCalcPts[TM],MATCH(TableRBRanks[[#This Row],[RK]],TableRBCalcPts[RK],0)),"")</f>
        <v>PIT</v>
      </c>
      <c r="K87" s="58">
        <f>IFERROR(INDEX(TableRBCalcPts[BYE],MATCH(TableRBRanks[[#This Row],[RK]],TableRBCalcPts[RK],0)),"")</f>
        <v>9</v>
      </c>
      <c r="L87" s="95">
        <f>IFERROR(INDEX(TableRBCalcPts[Custom],MATCH(TableRBRanks[[#This Row],[RK]],TableRBCalcPts[RK],0)),"")</f>
        <v>18.546025150799998</v>
      </c>
      <c r="M87" s="140">
        <f>IF(VLOOKUP(TableRBRanks[[#This Row],[Player]],'Ranks w Proj'!$Q:$AB,12,FALSE)&lt;0,0,VLOOKUP(TableRBRanks[[#This Row],[Player]],'Ranks w Proj'!$Q:$AB,12,FALSE))</f>
        <v>0</v>
      </c>
      <c r="O87" s="58">
        <v>86</v>
      </c>
      <c r="P87" s="58" t="str">
        <f>IFERROR(INDEX(TableWRCalcPts[PLAYER],MATCH(TableWRRanks[[#This Row],[RK]],TableWRCalcPts[RK],0)),"")</f>
        <v>Darius Slayton</v>
      </c>
      <c r="Q87" s="58" t="str">
        <f>IFERROR(INDEX(TableWRCalcPts[TM],MATCH(TableWRRanks[[#This Row],[RK]],TableWRCalcPts[RK],0)),"")</f>
        <v>NYG</v>
      </c>
      <c r="R87" s="58">
        <f>IFERROR(INDEX(TableWRCalcPts[BYE],MATCH(TableWRRanks[[#This Row],[RK]],TableWRCalcPts[RK],0)),"")</f>
        <v>8</v>
      </c>
      <c r="S87" s="95">
        <f>IFERROR(INDEX(TableWRCalcPts[Custom],MATCH(TableWRRanks[[#This Row],[RK]],TableWRCalcPts[RK],0)),"")</f>
        <v>60.325066147251512</v>
      </c>
      <c r="T87" s="140">
        <f>IF(VLOOKUP(TableWRRanks[[#This Row],[Player]],'Ranks w Proj'!$AE:$AO,11,FALSE)&lt;0,0,VLOOKUP(TableWRRanks[[#This Row],[Player]],'Ranks w Proj'!$AE:$AO,11,FALSE))</f>
        <v>0</v>
      </c>
      <c r="V87" s="58">
        <v>86</v>
      </c>
      <c r="W87" s="58" t="str">
        <f>IFERROR(INDEX(TableTECalcPts[PLAYER],MATCH(TableTERanks[[#This Row],[RK]],TableTECalcPts[RK],0)),"")</f>
        <v>Josh Cuevas</v>
      </c>
      <c r="X87" s="58" t="str">
        <f>IFERROR(INDEX(TableTECalcPts[TM],MATCH(TableTERanks[[#This Row],[RK]],TableTECalcPts[RK],0)),"")</f>
        <v>BAL</v>
      </c>
      <c r="Y87" s="58">
        <f>IFERROR(INDEX(TableTECalcPts[BYE],MATCH(TableTERanks[[#This Row],[RK]],TableTECalcPts[RK],0)),"")</f>
        <v>13</v>
      </c>
      <c r="Z87" s="95">
        <f>IFERROR(INDEX(TableTECalcPts[Custom],MATCH(TableTERanks[[#This Row],[RK]],TableTECalcPts[RK],0)),"")</f>
        <v>0</v>
      </c>
      <c r="AA87" s="140">
        <f>IF(VLOOKUP(TableTERanks[[#This Row],[Player]],'Ranks w Proj'!$AR:$AZ,9,FALSE)&lt;0,0,VLOOKUP(TableTERanks[[#This Row],[Player]],'Ranks w Proj'!$AR:$AZ,9,FALSE))</f>
        <v>0</v>
      </c>
    </row>
    <row r="88" spans="8:27" x14ac:dyDescent="0.25">
      <c r="H88" s="58">
        <v>87</v>
      </c>
      <c r="I88" s="58" t="str">
        <f>IFERROR(INDEX(TableRBCalcPts[PLAYER],MATCH(TableRBRanks[[#This Row],[RK]],TableRBCalcPts[RK],0)),"")</f>
        <v>Jeremy McNichols</v>
      </c>
      <c r="J88" s="58" t="str">
        <f>IFERROR(INDEX(TableRBCalcPts[TM],MATCH(TableRBRanks[[#This Row],[RK]],TableRBCalcPts[RK],0)),"")</f>
        <v>WSH</v>
      </c>
      <c r="K88" s="58">
        <f>IFERROR(INDEX(TableRBCalcPts[BYE],MATCH(TableRBRanks[[#This Row],[RK]],TableRBCalcPts[RK],0)),"")</f>
        <v>7</v>
      </c>
      <c r="L88" s="95">
        <f>IFERROR(INDEX(TableRBCalcPts[Custom],MATCH(TableRBRanks[[#This Row],[RK]],TableRBCalcPts[RK],0)),"")</f>
        <v>17.610929481321268</v>
      </c>
      <c r="M88" s="140">
        <f>IF(VLOOKUP(TableRBRanks[[#This Row],[Player]],'Ranks w Proj'!$Q:$AB,12,FALSE)&lt;0,0,VLOOKUP(TableRBRanks[[#This Row],[Player]],'Ranks w Proj'!$Q:$AB,12,FALSE))</f>
        <v>0</v>
      </c>
      <c r="O88" s="58">
        <v>87</v>
      </c>
      <c r="P88" s="58" t="str">
        <f>IFERROR(INDEX(TableWRCalcPts[PLAYER],MATCH(TableWRRanks[[#This Row],[RK]],TableWRCalcPts[RK],0)),"")</f>
        <v>Malachi Fields</v>
      </c>
      <c r="Q88" s="58" t="str">
        <f>IFERROR(INDEX(TableWRCalcPts[TM],MATCH(TableWRRanks[[#This Row],[RK]],TableWRCalcPts[RK],0)),"")</f>
        <v>NYG</v>
      </c>
      <c r="R88" s="58">
        <f>IFERROR(INDEX(TableWRCalcPts[BYE],MATCH(TableWRRanks[[#This Row],[RK]],TableWRCalcPts[RK],0)),"")</f>
        <v>8</v>
      </c>
      <c r="S88" s="95">
        <f>IFERROR(INDEX(TableWRCalcPts[Custom],MATCH(TableWRRanks[[#This Row],[RK]],TableWRCalcPts[RK],0)),"")</f>
        <v>60.094954234465909</v>
      </c>
      <c r="T88" s="140">
        <f>IF(VLOOKUP(TableWRRanks[[#This Row],[Player]],'Ranks w Proj'!$AE:$AO,11,FALSE)&lt;0,0,VLOOKUP(TableWRRanks[[#This Row],[Player]],'Ranks w Proj'!$AE:$AO,11,FALSE))</f>
        <v>0</v>
      </c>
      <c r="V88" s="58">
        <v>87</v>
      </c>
      <c r="W88" s="58" t="str">
        <f>IFERROR(INDEX(TableTECalcPts[PLAYER],MATCH(TableTERanks[[#This Row],[RK]],TableTECalcPts[RK],0)),"")</f>
        <v>Drew Sample</v>
      </c>
      <c r="X88" s="58" t="str">
        <f>IFERROR(INDEX(TableTECalcPts[TM],MATCH(TableTERanks[[#This Row],[RK]],TableTECalcPts[RK],0)),"")</f>
        <v>CIN</v>
      </c>
      <c r="Y88" s="58">
        <f>IFERROR(INDEX(TableTECalcPts[BYE],MATCH(TableTERanks[[#This Row],[RK]],TableTECalcPts[RK],0)),"")</f>
        <v>6</v>
      </c>
      <c r="Z88" s="95">
        <f>IFERROR(INDEX(TableTECalcPts[Custom],MATCH(TableTERanks[[#This Row],[RK]],TableTECalcPts[RK],0)),"")</f>
        <v>0</v>
      </c>
      <c r="AA88" s="140">
        <f>IF(VLOOKUP(TableTERanks[[#This Row],[Player]],'Ranks w Proj'!$AR:$AZ,9,FALSE)&lt;0,0,VLOOKUP(TableTERanks[[#This Row],[Player]],'Ranks w Proj'!$AR:$AZ,9,FALSE))</f>
        <v>0</v>
      </c>
    </row>
    <row r="89" spans="8:27" x14ac:dyDescent="0.25">
      <c r="H89" s="58">
        <v>88</v>
      </c>
      <c r="I89" s="58" t="str">
        <f>IFERROR(INDEX(TableRBCalcPts[PLAYER],MATCH(TableRBRanks[[#This Row],[RK]],TableRBCalcPts[RK],0)),"")</f>
        <v>Adam Randall</v>
      </c>
      <c r="J89" s="58" t="str">
        <f>IFERROR(INDEX(TableRBCalcPts[TM],MATCH(TableRBRanks[[#This Row],[RK]],TableRBCalcPts[RK],0)),"")</f>
        <v>BAL</v>
      </c>
      <c r="K89" s="58">
        <f>IFERROR(INDEX(TableRBCalcPts[BYE],MATCH(TableRBRanks[[#This Row],[RK]],TableRBCalcPts[RK],0)),"")</f>
        <v>13</v>
      </c>
      <c r="L89" s="95">
        <f>IFERROR(INDEX(TableRBCalcPts[Custom],MATCH(TableRBRanks[[#This Row],[RK]],TableRBCalcPts[RK],0)),"")</f>
        <v>17.490709129228215</v>
      </c>
      <c r="M89" s="140">
        <f>IF(VLOOKUP(TableRBRanks[[#This Row],[Player]],'Ranks w Proj'!$Q:$AB,12,FALSE)&lt;0,0,VLOOKUP(TableRBRanks[[#This Row],[Player]],'Ranks w Proj'!$Q:$AB,12,FALSE))</f>
        <v>0</v>
      </c>
      <c r="O89" s="58">
        <v>88</v>
      </c>
      <c r="P89" s="58" t="str">
        <f>IFERROR(INDEX(TableWRCalcPts[PLAYER],MATCH(TableWRRanks[[#This Row],[RK]],TableWRCalcPts[RK],0)),"")</f>
        <v>Dont'e Thornton</v>
      </c>
      <c r="Q89" s="58" t="str">
        <f>IFERROR(INDEX(TableWRCalcPts[TM],MATCH(TableWRRanks[[#This Row],[RK]],TableWRCalcPts[RK],0)),"")</f>
        <v>LV</v>
      </c>
      <c r="R89" s="58">
        <f>IFERROR(INDEX(TableWRCalcPts[BYE],MATCH(TableWRRanks[[#This Row],[RK]],TableWRCalcPts[RK],0)),"")</f>
        <v>13</v>
      </c>
      <c r="S89" s="95">
        <f>IFERROR(INDEX(TableWRCalcPts[Custom],MATCH(TableWRRanks[[#This Row],[RK]],TableWRCalcPts[RK],0)),"")</f>
        <v>59.321079235535038</v>
      </c>
      <c r="T89" s="140">
        <f>IF(VLOOKUP(TableWRRanks[[#This Row],[Player]],'Ranks w Proj'!$AE:$AO,11,FALSE)&lt;0,0,VLOOKUP(TableWRRanks[[#This Row],[Player]],'Ranks w Proj'!$AE:$AO,11,FALSE))</f>
        <v>0</v>
      </c>
      <c r="V89" s="58">
        <v>88</v>
      </c>
      <c r="W89" s="58" t="str">
        <f>IFERROR(INDEX(TableTECalcPts[PLAYER],MATCH(TableTERanks[[#This Row],[RK]],TableTECalcPts[RK],0)),"")</f>
        <v/>
      </c>
      <c r="X89" s="58" t="str">
        <f>IFERROR(INDEX(TableTECalcPts[TM],MATCH(TableTERanks[[#This Row],[RK]],TableTECalcPts[RK],0)),"")</f>
        <v/>
      </c>
      <c r="Y89" s="58" t="str">
        <f>IFERROR(INDEX(TableTECalcPts[BYE],MATCH(TableTERanks[[#This Row],[RK]],TableTECalcPts[RK],0)),"")</f>
        <v/>
      </c>
      <c r="Z89" s="95" t="str">
        <f>IFERROR(INDEX(TableTECalcPts[Custom],MATCH(TableTERanks[[#This Row],[RK]],TableTECalcPts[RK],0)),"")</f>
        <v/>
      </c>
      <c r="AA89" s="140" t="str">
        <f>IF(VLOOKUP(TableTERanks[[#This Row],[Player]],'Ranks w Proj'!$AR:$AZ,9,FALSE)&lt;0,0,VLOOKUP(TableTERanks[[#This Row],[Player]],'Ranks w Proj'!$AR:$AZ,9,FALSE))</f>
        <v/>
      </c>
    </row>
    <row r="90" spans="8:27" x14ac:dyDescent="0.25">
      <c r="H90" s="58">
        <v>89</v>
      </c>
      <c r="I90" s="58" t="str">
        <f>IFERROR(INDEX(TableRBCalcPts[PLAYER],MATCH(TableRBRanks[[#This Row],[RK]],TableRBCalcPts[RK],0)),"")</f>
        <v>Devin Singletary</v>
      </c>
      <c r="J90" s="58" t="str">
        <f>IFERROR(INDEX(TableRBCalcPts[TM],MATCH(TableRBRanks[[#This Row],[RK]],TableRBCalcPts[RK],0)),"")</f>
        <v>NYG</v>
      </c>
      <c r="K90" s="58">
        <f>IFERROR(INDEX(TableRBCalcPts[BYE],MATCH(TableRBRanks[[#This Row],[RK]],TableRBCalcPts[RK],0)),"")</f>
        <v>8</v>
      </c>
      <c r="L90" s="95">
        <f>IFERROR(INDEX(TableRBCalcPts[Custom],MATCH(TableRBRanks[[#This Row],[RK]],TableRBCalcPts[RK],0)),"")</f>
        <v>17.45946486942</v>
      </c>
      <c r="M90" s="140">
        <f>IF(VLOOKUP(TableRBRanks[[#This Row],[Player]],'Ranks w Proj'!$Q:$AB,12,FALSE)&lt;0,0,VLOOKUP(TableRBRanks[[#This Row],[Player]],'Ranks w Proj'!$Q:$AB,12,FALSE))</f>
        <v>0</v>
      </c>
      <c r="O90" s="58">
        <v>89</v>
      </c>
      <c r="P90" s="58" t="str">
        <f>IFERROR(INDEX(TableWRCalcPts[PLAYER],MATCH(TableWRRanks[[#This Row],[RK]],TableWRCalcPts[RK],0)),"")</f>
        <v>Jahan Dotson</v>
      </c>
      <c r="Q90" s="58" t="str">
        <f>IFERROR(INDEX(TableWRCalcPts[TM],MATCH(TableWRRanks[[#This Row],[RK]],TableWRCalcPts[RK],0)),"")</f>
        <v>ATL</v>
      </c>
      <c r="R90" s="58">
        <f>IFERROR(INDEX(TableWRCalcPts[BYE],MATCH(TableWRRanks[[#This Row],[RK]],TableWRCalcPts[RK],0)),"")</f>
        <v>11</v>
      </c>
      <c r="S90" s="95">
        <f>IFERROR(INDEX(TableWRCalcPts[Custom],MATCH(TableWRRanks[[#This Row],[RK]],TableWRCalcPts[RK],0)),"")</f>
        <v>59.177708380316076</v>
      </c>
      <c r="T90" s="140">
        <f>IF(VLOOKUP(TableWRRanks[[#This Row],[Player]],'Ranks w Proj'!$AE:$AO,11,FALSE)&lt;0,0,VLOOKUP(TableWRRanks[[#This Row],[Player]],'Ranks w Proj'!$AE:$AO,11,FALSE))</f>
        <v>0</v>
      </c>
      <c r="V90" s="58">
        <v>89</v>
      </c>
      <c r="W90" s="58" t="str">
        <f>IFERROR(INDEX(TableTECalcPts[PLAYER],MATCH(TableTERanks[[#This Row],[RK]],TableTECalcPts[RK],0)),"")</f>
        <v/>
      </c>
      <c r="X90" s="58" t="str">
        <f>IFERROR(INDEX(TableTECalcPts[TM],MATCH(TableTERanks[[#This Row],[RK]],TableTECalcPts[RK],0)),"")</f>
        <v/>
      </c>
      <c r="Y90" s="58" t="str">
        <f>IFERROR(INDEX(TableTECalcPts[BYE],MATCH(TableTERanks[[#This Row],[RK]],TableTECalcPts[RK],0)),"")</f>
        <v/>
      </c>
      <c r="Z90" s="95" t="str">
        <f>IFERROR(INDEX(TableTECalcPts[Custom],MATCH(TableTERanks[[#This Row],[RK]],TableTECalcPts[RK],0)),"")</f>
        <v/>
      </c>
      <c r="AA90" s="140" t="str">
        <f>IF(VLOOKUP(TableTERanks[[#This Row],[Player]],'Ranks w Proj'!$AR:$AZ,9,FALSE)&lt;0,0,VLOOKUP(TableTERanks[[#This Row],[Player]],'Ranks w Proj'!$AR:$AZ,9,FALSE))</f>
        <v/>
      </c>
    </row>
    <row r="91" spans="8:27" x14ac:dyDescent="0.25">
      <c r="H91" s="58">
        <v>90</v>
      </c>
      <c r="I91" s="58" t="str">
        <f>IFERROR(INDEX(TableRBCalcPts[PLAYER],MATCH(TableRBRanks[[#This Row],[RK]],TableRBCalcPts[RK],0)),"")</f>
        <v>Jacob Saylors</v>
      </c>
      <c r="J91" s="58" t="str">
        <f>IFERROR(INDEX(TableRBCalcPts[TM],MATCH(TableRBRanks[[#This Row],[RK]],TableRBCalcPts[RK],0)),"")</f>
        <v>DET</v>
      </c>
      <c r="K91" s="58">
        <f>IFERROR(INDEX(TableRBCalcPts[BYE],MATCH(TableRBRanks[[#This Row],[RK]],TableRBCalcPts[RK],0)),"")</f>
        <v>6</v>
      </c>
      <c r="L91" s="95">
        <f>IFERROR(INDEX(TableRBCalcPts[Custom],MATCH(TableRBRanks[[#This Row],[RK]],TableRBCalcPts[RK],0)),"")</f>
        <v>15.698531844016635</v>
      </c>
      <c r="M91" s="140">
        <f>IF(VLOOKUP(TableRBRanks[[#This Row],[Player]],'Ranks w Proj'!$Q:$AB,12,FALSE)&lt;0,0,VLOOKUP(TableRBRanks[[#This Row],[Player]],'Ranks w Proj'!$Q:$AB,12,FALSE))</f>
        <v>0</v>
      </c>
      <c r="O91" s="58">
        <v>90</v>
      </c>
      <c r="P91" s="58" t="str">
        <f>IFERROR(INDEX(TableWRCalcPts[PLAYER],MATCH(TableWRRanks[[#This Row],[RK]],TableWRCalcPts[RK],0)),"")</f>
        <v>Xavier Legette</v>
      </c>
      <c r="Q91" s="58" t="str">
        <f>IFERROR(INDEX(TableWRCalcPts[TM],MATCH(TableWRRanks[[#This Row],[RK]],TableWRCalcPts[RK],0)),"")</f>
        <v>CAR</v>
      </c>
      <c r="R91" s="58">
        <f>IFERROR(INDEX(TableWRCalcPts[BYE],MATCH(TableWRRanks[[#This Row],[RK]],TableWRCalcPts[RK],0)),"")</f>
        <v>5</v>
      </c>
      <c r="S91" s="95">
        <f>IFERROR(INDEX(TableWRCalcPts[Custom],MATCH(TableWRRanks[[#This Row],[RK]],TableWRCalcPts[RK],0)),"")</f>
        <v>58.952262247216787</v>
      </c>
      <c r="T91" s="140">
        <f>IF(VLOOKUP(TableWRRanks[[#This Row],[Player]],'Ranks w Proj'!$AE:$AO,11,FALSE)&lt;0,0,VLOOKUP(TableWRRanks[[#This Row],[Player]],'Ranks w Proj'!$AE:$AO,11,FALSE))</f>
        <v>0</v>
      </c>
      <c r="V91" s="58">
        <v>90</v>
      </c>
      <c r="W91" s="58" t="str">
        <f>IFERROR(INDEX(TableTECalcPts[PLAYER],MATCH(TableTERanks[[#This Row],[RK]],TableTECalcPts[RK],0)),"")</f>
        <v/>
      </c>
      <c r="X91" s="58" t="str">
        <f>IFERROR(INDEX(TableTECalcPts[TM],MATCH(TableTERanks[[#This Row],[RK]],TableTECalcPts[RK],0)),"")</f>
        <v/>
      </c>
      <c r="Y91" s="58" t="str">
        <f>IFERROR(INDEX(TableTECalcPts[BYE],MATCH(TableTERanks[[#This Row],[RK]],TableTECalcPts[RK],0)),"")</f>
        <v/>
      </c>
      <c r="Z91" s="95" t="str">
        <f>IFERROR(INDEX(TableTECalcPts[Custom],MATCH(TableTERanks[[#This Row],[RK]],TableTECalcPts[RK],0)),"")</f>
        <v/>
      </c>
      <c r="AA91" s="140" t="str">
        <f>IF(VLOOKUP(TableTERanks[[#This Row],[Player]],'Ranks w Proj'!$AR:$AZ,9,FALSE)&lt;0,0,VLOOKUP(TableTERanks[[#This Row],[Player]],'Ranks w Proj'!$AR:$AZ,9,FALSE))</f>
        <v/>
      </c>
    </row>
    <row r="92" spans="8:27" x14ac:dyDescent="0.25">
      <c r="H92" s="58">
        <v>91</v>
      </c>
      <c r="I92" s="58" t="str">
        <f>IFERROR(INDEX(TableRBCalcPts[PLAYER],MATCH(TableRBRanks[[#This Row],[RK]],TableRBCalcPts[RK],0)),"")</f>
        <v>Tyler Goodson</v>
      </c>
      <c r="J92" s="58" t="str">
        <f>IFERROR(INDEX(TableRBCalcPts[TM],MATCH(TableRBRanks[[#This Row],[RK]],TableRBCalcPts[RK],0)),"")</f>
        <v>ATL</v>
      </c>
      <c r="K92" s="58">
        <f>IFERROR(INDEX(TableRBCalcPts[BYE],MATCH(TableRBRanks[[#This Row],[RK]],TableRBCalcPts[RK],0)),"")</f>
        <v>11</v>
      </c>
      <c r="L92" s="95">
        <f>IFERROR(INDEX(TableRBCalcPts[Custom],MATCH(TableRBRanks[[#This Row],[RK]],TableRBCalcPts[RK],0)),"")</f>
        <v>15.265039037157166</v>
      </c>
      <c r="M92" s="140">
        <f>IF(VLOOKUP(TableRBRanks[[#This Row],[Player]],'Ranks w Proj'!$Q:$AB,12,FALSE)&lt;0,0,VLOOKUP(TableRBRanks[[#This Row],[Player]],'Ranks w Proj'!$Q:$AB,12,FALSE))</f>
        <v>0</v>
      </c>
      <c r="O92" s="58">
        <v>91</v>
      </c>
      <c r="P92" s="58" t="str">
        <f>IFERROR(INDEX(TableWRCalcPts[PLAYER],MATCH(TableWRRanks[[#This Row],[RK]],TableWRCalcPts[RK],0)),"")</f>
        <v>Ja'Kobi Lane</v>
      </c>
      <c r="Q92" s="58" t="str">
        <f>IFERROR(INDEX(TableWRCalcPts[TM],MATCH(TableWRRanks[[#This Row],[RK]],TableWRCalcPts[RK],0)),"")</f>
        <v>BAL</v>
      </c>
      <c r="R92" s="58">
        <f>IFERROR(INDEX(TableWRCalcPts[BYE],MATCH(TableWRRanks[[#This Row],[RK]],TableWRCalcPts[RK],0)),"")</f>
        <v>13</v>
      </c>
      <c r="S92" s="95">
        <f>IFERROR(INDEX(TableWRCalcPts[Custom],MATCH(TableWRRanks[[#This Row],[RK]],TableWRCalcPts[RK],0)),"")</f>
        <v>58.907507146847031</v>
      </c>
      <c r="T92" s="140">
        <f>IF(VLOOKUP(TableWRRanks[[#This Row],[Player]],'Ranks w Proj'!$AE:$AO,11,FALSE)&lt;0,0,VLOOKUP(TableWRRanks[[#This Row],[Player]],'Ranks w Proj'!$AE:$AO,11,FALSE))</f>
        <v>0</v>
      </c>
      <c r="V92" s="58">
        <v>91</v>
      </c>
      <c r="W92" s="58" t="str">
        <f>IFERROR(INDEX(TableTECalcPts[PLAYER],MATCH(TableTERanks[[#This Row],[RK]],TableTECalcPts[RK],0)),"")</f>
        <v/>
      </c>
      <c r="X92" s="58" t="str">
        <f>IFERROR(INDEX(TableTECalcPts[TM],MATCH(TableTERanks[[#This Row],[RK]],TableTECalcPts[RK],0)),"")</f>
        <v/>
      </c>
      <c r="Y92" s="58" t="str">
        <f>IFERROR(INDEX(TableTECalcPts[BYE],MATCH(TableTERanks[[#This Row],[RK]],TableTECalcPts[RK],0)),"")</f>
        <v/>
      </c>
      <c r="Z92" s="95" t="str">
        <f>IFERROR(INDEX(TableTECalcPts[Custom],MATCH(TableTERanks[[#This Row],[RK]],TableTECalcPts[RK],0)),"")</f>
        <v/>
      </c>
      <c r="AA92" s="140" t="str">
        <f>IF(VLOOKUP(TableTERanks[[#This Row],[Player]],'Ranks w Proj'!$AR:$AZ,9,FALSE)&lt;0,0,VLOOKUP(TableTERanks[[#This Row],[Player]],'Ranks w Proj'!$AR:$AZ,9,FALSE))</f>
        <v/>
      </c>
    </row>
    <row r="93" spans="8:27" x14ac:dyDescent="0.25">
      <c r="H93" s="58">
        <v>92</v>
      </c>
      <c r="I93" s="58" t="str">
        <f>IFERROR(INDEX(TableRBCalcPts[PLAYER],MATCH(TableRBRanks[[#This Row],[RK]],TableRBCalcPts[RK],0)),"")</f>
        <v>Jawhar Jordan</v>
      </c>
      <c r="J93" s="58" t="str">
        <f>IFERROR(INDEX(TableRBCalcPts[TM],MATCH(TableRBRanks[[#This Row],[RK]],TableRBCalcPts[RK],0)),"")</f>
        <v>HOU</v>
      </c>
      <c r="K93" s="58">
        <f>IFERROR(INDEX(TableRBCalcPts[BYE],MATCH(TableRBRanks[[#This Row],[RK]],TableRBCalcPts[RK],0)),"")</f>
        <v>8</v>
      </c>
      <c r="L93" s="95">
        <f>IFERROR(INDEX(TableRBCalcPts[Custom],MATCH(TableRBRanks[[#This Row],[RK]],TableRBCalcPts[RK],0)),"")</f>
        <v>14.980269438246003</v>
      </c>
      <c r="M93" s="140">
        <f>IF(VLOOKUP(TableRBRanks[[#This Row],[Player]],'Ranks w Proj'!$Q:$AB,12,FALSE)&lt;0,0,VLOOKUP(TableRBRanks[[#This Row],[Player]],'Ranks w Proj'!$Q:$AB,12,FALSE))</f>
        <v>0</v>
      </c>
      <c r="O93" s="58">
        <v>92</v>
      </c>
      <c r="P93" s="58" t="str">
        <f>IFERROR(INDEX(TableWRCalcPts[PLAYER],MATCH(TableWRRanks[[#This Row],[RK]],TableWRCalcPts[RK],0)),"")</f>
        <v>Kayshon Boutte</v>
      </c>
      <c r="Q93" s="58" t="str">
        <f>IFERROR(INDEX(TableWRCalcPts[TM],MATCH(TableWRRanks[[#This Row],[RK]],TableWRCalcPts[RK],0)),"")</f>
        <v>NE</v>
      </c>
      <c r="R93" s="58">
        <f>IFERROR(INDEX(TableWRCalcPts[BYE],MATCH(TableWRRanks[[#This Row],[RK]],TableWRCalcPts[RK],0)),"")</f>
        <v>11</v>
      </c>
      <c r="S93" s="95">
        <f>IFERROR(INDEX(TableWRCalcPts[Custom],MATCH(TableWRRanks[[#This Row],[RK]],TableWRCalcPts[RK],0)),"")</f>
        <v>56.509578151941582</v>
      </c>
      <c r="T93" s="140">
        <f>IF(VLOOKUP(TableWRRanks[[#This Row],[Player]],'Ranks w Proj'!$AE:$AO,11,FALSE)&lt;0,0,VLOOKUP(TableWRRanks[[#This Row],[Player]],'Ranks w Proj'!$AE:$AO,11,FALSE))</f>
        <v>0</v>
      </c>
      <c r="V93" s="58">
        <v>92</v>
      </c>
      <c r="W93" s="58" t="str">
        <f>IFERROR(INDEX(TableTECalcPts[PLAYER],MATCH(TableTERanks[[#This Row],[RK]],TableTECalcPts[RK],0)),"")</f>
        <v/>
      </c>
      <c r="X93" s="58" t="str">
        <f>IFERROR(INDEX(TableTECalcPts[TM],MATCH(TableTERanks[[#This Row],[RK]],TableTECalcPts[RK],0)),"")</f>
        <v/>
      </c>
      <c r="Y93" s="58" t="str">
        <f>IFERROR(INDEX(TableTECalcPts[BYE],MATCH(TableTERanks[[#This Row],[RK]],TableTECalcPts[RK],0)),"")</f>
        <v/>
      </c>
      <c r="Z93" s="95" t="str">
        <f>IFERROR(INDEX(TableTECalcPts[Custom],MATCH(TableTERanks[[#This Row],[RK]],TableTECalcPts[RK],0)),"")</f>
        <v/>
      </c>
      <c r="AA93" s="140" t="str">
        <f>IF(VLOOKUP(TableTERanks[[#This Row],[Player]],'Ranks w Proj'!$AR:$AZ,9,FALSE)&lt;0,0,VLOOKUP(TableTERanks[[#This Row],[Player]],'Ranks w Proj'!$AR:$AZ,9,FALSE))</f>
        <v/>
      </c>
    </row>
    <row r="94" spans="8:27" x14ac:dyDescent="0.25">
      <c r="H94" s="58">
        <v>93</v>
      </c>
      <c r="I94" s="58" t="str">
        <f>IFERROR(INDEX(TableRBCalcPts[PLAYER],MATCH(TableRBRanks[[#This Row],[RK]],TableRBCalcPts[RK],0)),"")</f>
        <v>Tahj Brooks</v>
      </c>
      <c r="J94" s="58" t="str">
        <f>IFERROR(INDEX(TableRBCalcPts[TM],MATCH(TableRBRanks[[#This Row],[RK]],TableRBCalcPts[RK],0)),"")</f>
        <v>CIN</v>
      </c>
      <c r="K94" s="58">
        <f>IFERROR(INDEX(TableRBCalcPts[BYE],MATCH(TableRBRanks[[#This Row],[RK]],TableRBCalcPts[RK],0)),"")</f>
        <v>6</v>
      </c>
      <c r="L94" s="95">
        <f>IFERROR(INDEX(TableRBCalcPts[Custom],MATCH(TableRBRanks[[#This Row],[RK]],TableRBCalcPts[RK],0)),"")</f>
        <v>14.242156410960854</v>
      </c>
      <c r="M94" s="140">
        <f>IF(VLOOKUP(TableRBRanks[[#This Row],[Player]],'Ranks w Proj'!$Q:$AB,12,FALSE)&lt;0,0,VLOOKUP(TableRBRanks[[#This Row],[Player]],'Ranks w Proj'!$Q:$AB,12,FALSE))</f>
        <v>0</v>
      </c>
      <c r="O94" s="58">
        <v>93</v>
      </c>
      <c r="P94" s="58" t="str">
        <f>IFERROR(INDEX(TableWRCalcPts[PLAYER],MATCH(TableWRRanks[[#This Row],[RK]],TableWRCalcPts[RK],0)),"")</f>
        <v>Isaiah Bond</v>
      </c>
      <c r="Q94" s="58" t="str">
        <f>IFERROR(INDEX(TableWRCalcPts[TM],MATCH(TableWRRanks[[#This Row],[RK]],TableWRCalcPts[RK],0)),"")</f>
        <v>CLE</v>
      </c>
      <c r="R94" s="58">
        <f>IFERROR(INDEX(TableWRCalcPts[BYE],MATCH(TableWRRanks[[#This Row],[RK]],TableWRCalcPts[RK],0)),"")</f>
        <v>11</v>
      </c>
      <c r="S94" s="95">
        <f>IFERROR(INDEX(TableWRCalcPts[Custom],MATCH(TableWRRanks[[#This Row],[RK]],TableWRCalcPts[RK],0)),"")</f>
        <v>56.398321364111993</v>
      </c>
      <c r="T94" s="140">
        <f>IF(VLOOKUP(TableWRRanks[[#This Row],[Player]],'Ranks w Proj'!$AE:$AO,11,FALSE)&lt;0,0,VLOOKUP(TableWRRanks[[#This Row],[Player]],'Ranks w Proj'!$AE:$AO,11,FALSE))</f>
        <v>0</v>
      </c>
      <c r="V94" s="58">
        <v>93</v>
      </c>
      <c r="W94" s="58" t="str">
        <f>IFERROR(INDEX(TableTECalcPts[PLAYER],MATCH(TableTERanks[[#This Row],[RK]],TableTECalcPts[RK],0)),"")</f>
        <v/>
      </c>
      <c r="X94" s="58" t="str">
        <f>IFERROR(INDEX(TableTECalcPts[TM],MATCH(TableTERanks[[#This Row],[RK]],TableTECalcPts[RK],0)),"")</f>
        <v/>
      </c>
      <c r="Y94" s="58" t="str">
        <f>IFERROR(INDEX(TableTECalcPts[BYE],MATCH(TableTERanks[[#This Row],[RK]],TableTECalcPts[RK],0)),"")</f>
        <v/>
      </c>
      <c r="Z94" s="95" t="str">
        <f>IFERROR(INDEX(TableTECalcPts[Custom],MATCH(TableTERanks[[#This Row],[RK]],TableTECalcPts[RK],0)),"")</f>
        <v/>
      </c>
      <c r="AA94" s="140" t="str">
        <f>IF(VLOOKUP(TableTERanks[[#This Row],[Player]],'Ranks w Proj'!$AR:$AZ,9,FALSE)&lt;0,0,VLOOKUP(TableTERanks[[#This Row],[Player]],'Ranks w Proj'!$AR:$AZ,9,FALSE))</f>
        <v/>
      </c>
    </row>
    <row r="95" spans="8:27" x14ac:dyDescent="0.25">
      <c r="H95" s="58">
        <v>94</v>
      </c>
      <c r="I95" s="58" t="str">
        <f>IFERROR(INDEX(TableRBCalcPts[PLAYER],MATCH(TableRBRanks[[#This Row],[RK]],TableRBCalcPts[RK],0)),"")</f>
        <v>Trevor Etienne</v>
      </c>
      <c r="J95" s="58" t="str">
        <f>IFERROR(INDEX(TableRBCalcPts[TM],MATCH(TableRBRanks[[#This Row],[RK]],TableRBCalcPts[RK],0)),"")</f>
        <v>CAR</v>
      </c>
      <c r="K95" s="58">
        <f>IFERROR(INDEX(TableRBCalcPts[BYE],MATCH(TableRBRanks[[#This Row],[RK]],TableRBCalcPts[RK],0)),"")</f>
        <v>5</v>
      </c>
      <c r="L95" s="95">
        <f>IFERROR(INDEX(TableRBCalcPts[Custom],MATCH(TableRBRanks[[#This Row],[RK]],TableRBCalcPts[RK],0)),"")</f>
        <v>13.911921761422212</v>
      </c>
      <c r="M95" s="140">
        <f>IF(VLOOKUP(TableRBRanks[[#This Row],[Player]],'Ranks w Proj'!$Q:$AB,12,FALSE)&lt;0,0,VLOOKUP(TableRBRanks[[#This Row],[Player]],'Ranks w Proj'!$Q:$AB,12,FALSE))</f>
        <v>0</v>
      </c>
      <c r="O95" s="58">
        <v>94</v>
      </c>
      <c r="P95" s="58" t="str">
        <f>IFERROR(INDEX(TableWRCalcPts[PLAYER],MATCH(TableWRRanks[[#This Row],[RK]],TableWRCalcPts[RK],0)),"")</f>
        <v>Olamide Zaccheaus</v>
      </c>
      <c r="Q95" s="58" t="str">
        <f>IFERROR(INDEX(TableWRCalcPts[TM],MATCH(TableWRRanks[[#This Row],[RK]],TableWRCalcPts[RK],0)),"")</f>
        <v>ATL</v>
      </c>
      <c r="R95" s="58">
        <f>IFERROR(INDEX(TableWRCalcPts[BYE],MATCH(TableWRRanks[[#This Row],[RK]],TableWRCalcPts[RK],0)),"")</f>
        <v>11</v>
      </c>
      <c r="S95" s="95">
        <f>IFERROR(INDEX(TableWRCalcPts[Custom],MATCH(TableWRRanks[[#This Row],[RK]],TableWRCalcPts[RK],0)),"")</f>
        <v>54.86571406748574</v>
      </c>
      <c r="T95" s="140">
        <f>IF(VLOOKUP(TableWRRanks[[#This Row],[Player]],'Ranks w Proj'!$AE:$AO,11,FALSE)&lt;0,0,VLOOKUP(TableWRRanks[[#This Row],[Player]],'Ranks w Proj'!$AE:$AO,11,FALSE))</f>
        <v>0</v>
      </c>
      <c r="V95" s="58">
        <v>94</v>
      </c>
      <c r="W95" s="58" t="str">
        <f>IFERROR(INDEX(TableTECalcPts[PLAYER],MATCH(TableTERanks[[#This Row],[RK]],TableTECalcPts[RK],0)),"")</f>
        <v/>
      </c>
      <c r="X95" s="58" t="str">
        <f>IFERROR(INDEX(TableTECalcPts[TM],MATCH(TableTERanks[[#This Row],[RK]],TableTECalcPts[RK],0)),"")</f>
        <v/>
      </c>
      <c r="Y95" s="58" t="str">
        <f>IFERROR(INDEX(TableTECalcPts[BYE],MATCH(TableTERanks[[#This Row],[RK]],TableTECalcPts[RK],0)),"")</f>
        <v/>
      </c>
      <c r="Z95" s="95" t="str">
        <f>IFERROR(INDEX(TableTECalcPts[Custom],MATCH(TableTERanks[[#This Row],[RK]],TableTECalcPts[RK],0)),"")</f>
        <v/>
      </c>
      <c r="AA95" s="140" t="str">
        <f>IF(VLOOKUP(TableTERanks[[#This Row],[Player]],'Ranks w Proj'!$AR:$AZ,9,FALSE)&lt;0,0,VLOOKUP(TableTERanks[[#This Row],[Player]],'Ranks w Proj'!$AR:$AZ,9,FALSE))</f>
        <v/>
      </c>
    </row>
    <row r="96" spans="8:27" x14ac:dyDescent="0.25">
      <c r="H96" s="58">
        <v>95</v>
      </c>
      <c r="I96" s="58" t="str">
        <f>IFERROR(INDEX(TableRBCalcPts[PLAYER],MATCH(TableRBRanks[[#This Row],[RK]],TableRBCalcPts[RK],0)),"")</f>
        <v>Jam Miller</v>
      </c>
      <c r="J96" s="58" t="str">
        <f>IFERROR(INDEX(TableRBCalcPts[TM],MATCH(TableRBRanks[[#This Row],[RK]],TableRBCalcPts[RK],0)),"")</f>
        <v>NE</v>
      </c>
      <c r="K96" s="58">
        <f>IFERROR(INDEX(TableRBCalcPts[BYE],MATCH(TableRBRanks[[#This Row],[RK]],TableRBCalcPts[RK],0)),"")</f>
        <v>11</v>
      </c>
      <c r="L96" s="95">
        <f>IFERROR(INDEX(TableRBCalcPts[Custom],MATCH(TableRBRanks[[#This Row],[RK]],TableRBCalcPts[RK],0)),"")</f>
        <v>13.865478244445967</v>
      </c>
      <c r="M96" s="140">
        <f>IF(VLOOKUP(TableRBRanks[[#This Row],[Player]],'Ranks w Proj'!$Q:$AB,12,FALSE)&lt;0,0,VLOOKUP(TableRBRanks[[#This Row],[Player]],'Ranks w Proj'!$Q:$AB,12,FALSE))</f>
        <v>0</v>
      </c>
      <c r="O96" s="58">
        <v>95</v>
      </c>
      <c r="P96" s="58" t="str">
        <f>IFERROR(INDEX(TableWRCalcPts[PLAYER],MATCH(TableWRRanks[[#This Row],[RK]],TableWRCalcPts[RK],0)),"")</f>
        <v>Tre' Harris</v>
      </c>
      <c r="Q96" s="58" t="str">
        <f>IFERROR(INDEX(TableWRCalcPts[TM],MATCH(TableWRRanks[[#This Row],[RK]],TableWRCalcPts[RK],0)),"")</f>
        <v>LAC</v>
      </c>
      <c r="R96" s="58">
        <f>IFERROR(INDEX(TableWRCalcPts[BYE],MATCH(TableWRRanks[[#This Row],[RK]],TableWRCalcPts[RK],0)),"")</f>
        <v>7</v>
      </c>
      <c r="S96" s="95">
        <f>IFERROR(INDEX(TableWRCalcPts[Custom],MATCH(TableWRRanks[[#This Row],[RK]],TableWRCalcPts[RK],0)),"")</f>
        <v>54.683768684072831</v>
      </c>
      <c r="T96" s="140">
        <f>IF(VLOOKUP(TableWRRanks[[#This Row],[Player]],'Ranks w Proj'!$AE:$AO,11,FALSE)&lt;0,0,VLOOKUP(TableWRRanks[[#This Row],[Player]],'Ranks w Proj'!$AE:$AO,11,FALSE))</f>
        <v>0</v>
      </c>
      <c r="V96" s="58">
        <v>95</v>
      </c>
      <c r="W96" s="58" t="str">
        <f>IFERROR(INDEX(TableTECalcPts[PLAYER],MATCH(TableTERanks[[#This Row],[RK]],TableTECalcPts[RK],0)),"")</f>
        <v/>
      </c>
      <c r="X96" s="58" t="str">
        <f>IFERROR(INDEX(TableTECalcPts[TM],MATCH(TableTERanks[[#This Row],[RK]],TableTECalcPts[RK],0)),"")</f>
        <v/>
      </c>
      <c r="Y96" s="58" t="str">
        <f>IFERROR(INDEX(TableTECalcPts[BYE],MATCH(TableTERanks[[#This Row],[RK]],TableTECalcPts[RK],0)),"")</f>
        <v/>
      </c>
      <c r="Z96" s="95" t="str">
        <f>IFERROR(INDEX(TableTECalcPts[Custom],MATCH(TableTERanks[[#This Row],[RK]],TableTECalcPts[RK],0)),"")</f>
        <v/>
      </c>
      <c r="AA96" s="140" t="str">
        <f>IF(VLOOKUP(TableTERanks[[#This Row],[Player]],'Ranks w Proj'!$AR:$AZ,9,FALSE)&lt;0,0,VLOOKUP(TableTERanks[[#This Row],[Player]],'Ranks w Proj'!$AR:$AZ,9,FALSE))</f>
        <v/>
      </c>
    </row>
    <row r="97" spans="8:27" x14ac:dyDescent="0.25">
      <c r="H97" s="58">
        <v>96</v>
      </c>
      <c r="I97" s="58" t="str">
        <f>IFERROR(INDEX(TableRBCalcPts[PLAYER],MATCH(TableRBRanks[[#This Row],[RK]],TableRBCalcPts[RK],0)),"")</f>
        <v>James Conner</v>
      </c>
      <c r="J97" s="58" t="str">
        <f>IFERROR(INDEX(TableRBCalcPts[TM],MATCH(TableRBRanks[[#This Row],[RK]],TableRBCalcPts[RK],0)),"")</f>
        <v>ARI</v>
      </c>
      <c r="K97" s="58">
        <f>IFERROR(INDEX(TableRBCalcPts[BYE],MATCH(TableRBRanks[[#This Row],[RK]],TableRBCalcPts[RK],0)),"")</f>
        <v>14</v>
      </c>
      <c r="L97" s="95">
        <f>IFERROR(INDEX(TableRBCalcPts[Custom],MATCH(TableRBRanks[[#This Row],[RK]],TableRBCalcPts[RK],0)),"")</f>
        <v>13.772880264725597</v>
      </c>
      <c r="M97" s="140">
        <f>IF(VLOOKUP(TableRBRanks[[#This Row],[Player]],'Ranks w Proj'!$Q:$AB,12,FALSE)&lt;0,0,VLOOKUP(TableRBRanks[[#This Row],[Player]],'Ranks w Proj'!$Q:$AB,12,FALSE))</f>
        <v>0</v>
      </c>
      <c r="O97" s="58">
        <v>96</v>
      </c>
      <c r="P97" s="58" t="str">
        <f>IFERROR(INDEX(TableWRCalcPts[PLAYER],MATCH(TableWRRanks[[#This Row],[RK]],TableWRCalcPts[RK],0)),"")</f>
        <v>Kendrick Bourne</v>
      </c>
      <c r="Q97" s="58" t="str">
        <f>IFERROR(INDEX(TableWRCalcPts[TM],MATCH(TableWRRanks[[#This Row],[RK]],TableWRCalcPts[RK],0)),"")</f>
        <v>ARI</v>
      </c>
      <c r="R97" s="58">
        <f>IFERROR(INDEX(TableWRCalcPts[BYE],MATCH(TableWRRanks[[#This Row],[RK]],TableWRCalcPts[RK],0)),"")</f>
        <v>14</v>
      </c>
      <c r="S97" s="95">
        <f>IFERROR(INDEX(TableWRCalcPts[Custom],MATCH(TableWRRanks[[#This Row],[RK]],TableWRCalcPts[RK],0)),"")</f>
        <v>53.352890943744001</v>
      </c>
      <c r="T97" s="140">
        <f>IF(VLOOKUP(TableWRRanks[[#This Row],[Player]],'Ranks w Proj'!$AE:$AO,11,FALSE)&lt;0,0,VLOOKUP(TableWRRanks[[#This Row],[Player]],'Ranks w Proj'!$AE:$AO,11,FALSE))</f>
        <v>0</v>
      </c>
      <c r="V97" s="58">
        <v>96</v>
      </c>
      <c r="W97" s="58" t="str">
        <f>IFERROR(INDEX(TableTECalcPts[PLAYER],MATCH(TableTERanks[[#This Row],[RK]],TableTECalcPts[RK],0)),"")</f>
        <v/>
      </c>
      <c r="X97" s="58" t="str">
        <f>IFERROR(INDEX(TableTECalcPts[TM],MATCH(TableTERanks[[#This Row],[RK]],TableTECalcPts[RK],0)),"")</f>
        <v/>
      </c>
      <c r="Y97" s="58" t="str">
        <f>IFERROR(INDEX(TableTECalcPts[BYE],MATCH(TableTERanks[[#This Row],[RK]],TableTECalcPts[RK],0)),"")</f>
        <v/>
      </c>
      <c r="Z97" s="95" t="str">
        <f>IFERROR(INDEX(TableTECalcPts[Custom],MATCH(TableTERanks[[#This Row],[RK]],TableTECalcPts[RK],0)),"")</f>
        <v/>
      </c>
      <c r="AA97" s="140" t="str">
        <f>IF(VLOOKUP(TableTERanks[[#This Row],[Player]],'Ranks w Proj'!$AR:$AZ,9,FALSE)&lt;0,0,VLOOKUP(TableTERanks[[#This Row],[Player]],'Ranks w Proj'!$AR:$AZ,9,FALSE))</f>
        <v/>
      </c>
    </row>
    <row r="98" spans="8:27" x14ac:dyDescent="0.25">
      <c r="H98" s="58">
        <v>97</v>
      </c>
      <c r="I98" s="58" t="str">
        <f>IFERROR(INDEX(TableRBCalcPts[PLAYER],MATCH(TableRBRanks[[#This Row],[RK]],TableRBCalcPts[RK],0)),"")</f>
        <v>Will Shipley</v>
      </c>
      <c r="J98" s="58" t="str">
        <f>IFERROR(INDEX(TableRBCalcPts[TM],MATCH(TableRBRanks[[#This Row],[RK]],TableRBCalcPts[RK],0)),"")</f>
        <v>PHI</v>
      </c>
      <c r="K98" s="58">
        <f>IFERROR(INDEX(TableRBCalcPts[BYE],MATCH(TableRBRanks[[#This Row],[RK]],TableRBCalcPts[RK],0)),"")</f>
        <v>10</v>
      </c>
      <c r="L98" s="95">
        <f>IFERROR(INDEX(TableRBCalcPts[Custom],MATCH(TableRBRanks[[#This Row],[RK]],TableRBCalcPts[RK],0)),"")</f>
        <v>13.630349818932</v>
      </c>
      <c r="M98" s="140">
        <f>IF(VLOOKUP(TableRBRanks[[#This Row],[Player]],'Ranks w Proj'!$Q:$AB,12,FALSE)&lt;0,0,VLOOKUP(TableRBRanks[[#This Row],[Player]],'Ranks w Proj'!$Q:$AB,12,FALSE))</f>
        <v>0</v>
      </c>
      <c r="O98" s="58">
        <v>97</v>
      </c>
      <c r="P98" s="58" t="str">
        <f>IFERROR(INDEX(TableWRCalcPts[PLAYER],MATCH(TableWRRanks[[#This Row],[RK]],TableWRCalcPts[RK],0)),"")</f>
        <v>Chris Bell</v>
      </c>
      <c r="Q98" s="58" t="str">
        <f>IFERROR(INDEX(TableWRCalcPts[TM],MATCH(TableWRRanks[[#This Row],[RK]],TableWRCalcPts[RK],0)),"")</f>
        <v>MIA</v>
      </c>
      <c r="R98" s="58">
        <f>IFERROR(INDEX(TableWRCalcPts[BYE],MATCH(TableWRRanks[[#This Row],[RK]],TableWRCalcPts[RK],0)),"")</f>
        <v>6</v>
      </c>
      <c r="S98" s="95">
        <f>IFERROR(INDEX(TableWRCalcPts[Custom],MATCH(TableWRRanks[[#This Row],[RK]],TableWRCalcPts[RK],0)),"")</f>
        <v>53.023781179522445</v>
      </c>
      <c r="T98" s="140">
        <f>IF(VLOOKUP(TableWRRanks[[#This Row],[Player]],'Ranks w Proj'!$AE:$AO,11,FALSE)&lt;0,0,VLOOKUP(TableWRRanks[[#This Row],[Player]],'Ranks w Proj'!$AE:$AO,11,FALSE))</f>
        <v>0</v>
      </c>
      <c r="V98" s="58">
        <v>97</v>
      </c>
      <c r="W98" s="58" t="str">
        <f>IFERROR(INDEX(TableTECalcPts[PLAYER],MATCH(TableTERanks[[#This Row],[RK]],TableTECalcPts[RK],0)),"")</f>
        <v/>
      </c>
      <c r="X98" s="58" t="str">
        <f>IFERROR(INDEX(TableTECalcPts[TM],MATCH(TableTERanks[[#This Row],[RK]],TableTECalcPts[RK],0)),"")</f>
        <v/>
      </c>
      <c r="Y98" s="58" t="str">
        <f>IFERROR(INDEX(TableTECalcPts[BYE],MATCH(TableTERanks[[#This Row],[RK]],TableTECalcPts[RK],0)),"")</f>
        <v/>
      </c>
      <c r="Z98" s="95" t="str">
        <f>IFERROR(INDEX(TableTECalcPts[Custom],MATCH(TableTERanks[[#This Row],[RK]],TableTECalcPts[RK],0)),"")</f>
        <v/>
      </c>
      <c r="AA98" s="140" t="str">
        <f>IF(VLOOKUP(TableTERanks[[#This Row],[Player]],'Ranks w Proj'!$AR:$AZ,9,FALSE)&lt;0,0,VLOOKUP(TableTERanks[[#This Row],[Player]],'Ranks w Proj'!$AR:$AZ,9,FALSE))</f>
        <v/>
      </c>
    </row>
    <row r="99" spans="8:27" x14ac:dyDescent="0.25">
      <c r="H99" s="58">
        <v>98</v>
      </c>
      <c r="I99" s="58" t="str">
        <f>IFERROR(INDEX(TableRBCalcPts[PLAYER],MATCH(TableRBRanks[[#This Row],[RK]],TableRBCalcPts[RK],0)),"")</f>
        <v>George Holani</v>
      </c>
      <c r="J99" s="58" t="str">
        <f>IFERROR(INDEX(TableRBCalcPts[TM],MATCH(TableRBRanks[[#This Row],[RK]],TableRBCalcPts[RK],0)),"")</f>
        <v>SEA</v>
      </c>
      <c r="K99" s="58">
        <f>IFERROR(INDEX(TableRBCalcPts[BYE],MATCH(TableRBRanks[[#This Row],[RK]],TableRBCalcPts[RK],0)),"")</f>
        <v>11</v>
      </c>
      <c r="L99" s="95">
        <f>IFERROR(INDEX(TableRBCalcPts[Custom],MATCH(TableRBRanks[[#This Row],[RK]],TableRBCalcPts[RK],0)),"")</f>
        <v>12.132345115509112</v>
      </c>
      <c r="M99" s="140">
        <f>IF(VLOOKUP(TableRBRanks[[#This Row],[Player]],'Ranks w Proj'!$Q:$AB,12,FALSE)&lt;0,0,VLOOKUP(TableRBRanks[[#This Row],[Player]],'Ranks w Proj'!$Q:$AB,12,FALSE))</f>
        <v>0</v>
      </c>
      <c r="O99" s="58">
        <v>98</v>
      </c>
      <c r="P99" s="58" t="str">
        <f>IFERROR(INDEX(TableWRCalcPts[PLAYER],MATCH(TableWRRanks[[#This Row],[RK]],TableWRCalcPts[RK],0)),"")</f>
        <v>Dontayvion Wicks</v>
      </c>
      <c r="Q99" s="58" t="str">
        <f>IFERROR(INDEX(TableWRCalcPts[TM],MATCH(TableWRRanks[[#This Row],[RK]],TableWRCalcPts[RK],0)),"")</f>
        <v>PHI</v>
      </c>
      <c r="R99" s="58">
        <f>IFERROR(INDEX(TableWRCalcPts[BYE],MATCH(TableWRRanks[[#This Row],[RK]],TableWRCalcPts[RK],0)),"")</f>
        <v>10</v>
      </c>
      <c r="S99" s="95">
        <f>IFERROR(INDEX(TableWRCalcPts[Custom],MATCH(TableWRRanks[[#This Row],[RK]],TableWRCalcPts[RK],0)),"")</f>
        <v>52.067609080945914</v>
      </c>
      <c r="T99" s="140">
        <f>IF(VLOOKUP(TableWRRanks[[#This Row],[Player]],'Ranks w Proj'!$AE:$AO,11,FALSE)&lt;0,0,VLOOKUP(TableWRRanks[[#This Row],[Player]],'Ranks w Proj'!$AE:$AO,11,FALSE))</f>
        <v>0</v>
      </c>
      <c r="V99" s="58">
        <v>98</v>
      </c>
      <c r="W99" s="58" t="str">
        <f>IFERROR(INDEX(TableTECalcPts[PLAYER],MATCH(TableTERanks[[#This Row],[RK]],TableTECalcPts[RK],0)),"")</f>
        <v/>
      </c>
      <c r="X99" s="58" t="str">
        <f>IFERROR(INDEX(TableTECalcPts[TM],MATCH(TableTERanks[[#This Row],[RK]],TableTECalcPts[RK],0)),"")</f>
        <v/>
      </c>
      <c r="Y99" s="58" t="str">
        <f>IFERROR(INDEX(TableTECalcPts[BYE],MATCH(TableTERanks[[#This Row],[RK]],TableTECalcPts[RK],0)),"")</f>
        <v/>
      </c>
      <c r="Z99" s="95" t="str">
        <f>IFERROR(INDEX(TableTECalcPts[Custom],MATCH(TableTERanks[[#This Row],[RK]],TableTECalcPts[RK],0)),"")</f>
        <v/>
      </c>
      <c r="AA99" s="140" t="str">
        <f>IF(VLOOKUP(TableTERanks[[#This Row],[Player]],'Ranks w Proj'!$AR:$AZ,9,FALSE)&lt;0,0,VLOOKUP(TableTERanks[[#This Row],[Player]],'Ranks w Proj'!$AR:$AZ,9,FALSE))</f>
        <v/>
      </c>
    </row>
    <row r="100" spans="8:27" x14ac:dyDescent="0.25">
      <c r="H100" s="58">
        <v>99</v>
      </c>
      <c r="I100" s="58" t="str">
        <f>IFERROR(INDEX(TableRBCalcPts[PLAYER],MATCH(TableRBRanks[[#This Row],[RK]],TableRBCalcPts[RK],0)),"")</f>
        <v>Roschon Johnson</v>
      </c>
      <c r="J100" s="58" t="str">
        <f>IFERROR(INDEX(TableRBCalcPts[TM],MATCH(TableRBRanks[[#This Row],[RK]],TableRBCalcPts[RK],0)),"")</f>
        <v>CHI</v>
      </c>
      <c r="K100" s="58">
        <f>IFERROR(INDEX(TableRBCalcPts[BYE],MATCH(TableRBRanks[[#This Row],[RK]],TableRBCalcPts[RK],0)),"")</f>
        <v>10</v>
      </c>
      <c r="L100" s="95">
        <f>IFERROR(INDEX(TableRBCalcPts[Custom],MATCH(TableRBRanks[[#This Row],[RK]],TableRBCalcPts[RK],0)),"")</f>
        <v>12.132202592868293</v>
      </c>
      <c r="M100" s="140">
        <f>IF(VLOOKUP(TableRBRanks[[#This Row],[Player]],'Ranks w Proj'!$Q:$AB,12,FALSE)&lt;0,0,VLOOKUP(TableRBRanks[[#This Row],[Player]],'Ranks w Proj'!$Q:$AB,12,FALSE))</f>
        <v>0</v>
      </c>
      <c r="O100" s="58">
        <v>99</v>
      </c>
      <c r="P100" s="58" t="str">
        <f>IFERROR(INDEX(TableWRCalcPts[PLAYER],MATCH(TableWRRanks[[#This Row],[RK]],TableWRCalcPts[RK],0)),"")</f>
        <v>Pat Bryant</v>
      </c>
      <c r="Q100" s="58" t="str">
        <f>IFERROR(INDEX(TableWRCalcPts[TM],MATCH(TableWRRanks[[#This Row],[RK]],TableWRCalcPts[RK],0)),"")</f>
        <v>DEN</v>
      </c>
      <c r="R100" s="58">
        <f>IFERROR(INDEX(TableWRCalcPts[BYE],MATCH(TableWRRanks[[#This Row],[RK]],TableWRCalcPts[RK],0)),"")</f>
        <v>10</v>
      </c>
      <c r="S100" s="95">
        <f>IFERROR(INDEX(TableWRCalcPts[Custom],MATCH(TableWRRanks[[#This Row],[RK]],TableWRCalcPts[RK],0)),"")</f>
        <v>51.354758488633621</v>
      </c>
      <c r="T100" s="140">
        <f>IF(VLOOKUP(TableWRRanks[[#This Row],[Player]],'Ranks w Proj'!$AE:$AO,11,FALSE)&lt;0,0,VLOOKUP(TableWRRanks[[#This Row],[Player]],'Ranks w Proj'!$AE:$AO,11,FALSE))</f>
        <v>0</v>
      </c>
      <c r="V100" s="58">
        <v>99</v>
      </c>
      <c r="W100" s="58" t="str">
        <f>IFERROR(INDEX(TableTECalcPts[PLAYER],MATCH(TableTERanks[[#This Row],[RK]],TableTECalcPts[RK],0)),"")</f>
        <v/>
      </c>
      <c r="X100" s="58" t="str">
        <f>IFERROR(INDEX(TableTECalcPts[TM],MATCH(TableTERanks[[#This Row],[RK]],TableTECalcPts[RK],0)),"")</f>
        <v/>
      </c>
      <c r="Y100" s="58" t="str">
        <f>IFERROR(INDEX(TableTECalcPts[BYE],MATCH(TableTERanks[[#This Row],[RK]],TableTECalcPts[RK],0)),"")</f>
        <v/>
      </c>
      <c r="Z100" s="95" t="str">
        <f>IFERROR(INDEX(TableTECalcPts[Custom],MATCH(TableTERanks[[#This Row],[RK]],TableTECalcPts[RK],0)),"")</f>
        <v/>
      </c>
      <c r="AA100" s="140" t="str">
        <f>IF(VLOOKUP(TableTERanks[[#This Row],[Player]],'Ranks w Proj'!$AR:$AZ,9,FALSE)&lt;0,0,VLOOKUP(TableTERanks[[#This Row],[Player]],'Ranks w Proj'!$AR:$AZ,9,FALSE))</f>
        <v/>
      </c>
    </row>
    <row r="101" spans="8:27" x14ac:dyDescent="0.25">
      <c r="H101" s="58">
        <v>100</v>
      </c>
      <c r="I101" s="58" t="str">
        <f>IFERROR(INDEX(TableRBCalcPts[PLAYER],MATCH(TableRBRanks[[#This Row],[RK]],TableRBCalcPts[RK],0)),"")</f>
        <v>AJ Dillon</v>
      </c>
      <c r="J101" s="58" t="str">
        <f>IFERROR(INDEX(TableRBCalcPts[TM],MATCH(TableRBRanks[[#This Row],[RK]],TableRBCalcPts[RK],0)),"")</f>
        <v>CAR</v>
      </c>
      <c r="K101" s="58">
        <f>IFERROR(INDEX(TableRBCalcPts[BYE],MATCH(TableRBRanks[[#This Row],[RK]],TableRBCalcPts[RK],0)),"")</f>
        <v>5</v>
      </c>
      <c r="L101" s="95">
        <f>IFERROR(INDEX(TableRBCalcPts[Custom],MATCH(TableRBRanks[[#This Row],[RK]],TableRBCalcPts[RK],0)),"")</f>
        <v>11.967500160000002</v>
      </c>
      <c r="M101" s="140">
        <f>IF(VLOOKUP(TableRBRanks[[#This Row],[Player]],'Ranks w Proj'!$Q:$AB,12,FALSE)&lt;0,0,VLOOKUP(TableRBRanks[[#This Row],[Player]],'Ranks w Proj'!$Q:$AB,12,FALSE))</f>
        <v>0</v>
      </c>
      <c r="O101" s="58">
        <v>100</v>
      </c>
      <c r="P101" s="58" t="str">
        <f>IFERROR(INDEX(TableWRCalcPts[PLAYER],MATCH(TableWRRanks[[#This Row],[RK]],TableWRCalcPts[RK],0)),"")</f>
        <v>Devaughn Vele</v>
      </c>
      <c r="Q101" s="58" t="str">
        <f>IFERROR(INDEX(TableWRCalcPts[TM],MATCH(TableWRRanks[[#This Row],[RK]],TableWRCalcPts[RK],0)),"")</f>
        <v>NO</v>
      </c>
      <c r="R101" s="58">
        <f>IFERROR(INDEX(TableWRCalcPts[BYE],MATCH(TableWRRanks[[#This Row],[RK]],TableWRCalcPts[RK],0)),"")</f>
        <v>8</v>
      </c>
      <c r="S101" s="95">
        <f>IFERROR(INDEX(TableWRCalcPts[Custom],MATCH(TableWRRanks[[#This Row],[RK]],TableWRCalcPts[RK],0)),"")</f>
        <v>51.274309412403603</v>
      </c>
      <c r="T101" s="140">
        <f>IF(VLOOKUP(TableWRRanks[[#This Row],[Player]],'Ranks w Proj'!$AE:$AO,11,FALSE)&lt;0,0,VLOOKUP(TableWRRanks[[#This Row],[Player]],'Ranks w Proj'!$AE:$AO,11,FALSE))</f>
        <v>0</v>
      </c>
      <c r="V101" s="58">
        <v>100</v>
      </c>
      <c r="W101" s="58" t="str">
        <f>IFERROR(INDEX(TableTECalcPts[PLAYER],MATCH(TableTERanks[[#This Row],[RK]],TableTECalcPts[RK],0)),"")</f>
        <v/>
      </c>
      <c r="X101" s="58" t="str">
        <f>IFERROR(INDEX(TableTECalcPts[TM],MATCH(TableTERanks[[#This Row],[RK]],TableTECalcPts[RK],0)),"")</f>
        <v/>
      </c>
      <c r="Y101" s="58" t="str">
        <f>IFERROR(INDEX(TableTECalcPts[BYE],MATCH(TableTERanks[[#This Row],[RK]],TableTECalcPts[RK],0)),"")</f>
        <v/>
      </c>
      <c r="Z101" s="95" t="str">
        <f>IFERROR(INDEX(TableTECalcPts[Custom],MATCH(TableTERanks[[#This Row],[RK]],TableTECalcPts[RK],0)),"")</f>
        <v/>
      </c>
      <c r="AA101" s="140" t="str">
        <f>IF(VLOOKUP(TableTERanks[[#This Row],[Player]],'Ranks w Proj'!$AR:$AZ,9,FALSE)&lt;0,0,VLOOKUP(TableTERanks[[#This Row],[Player]],'Ranks w Proj'!$AR:$AZ,9,FALSE))</f>
        <v/>
      </c>
    </row>
    <row r="102" spans="8:27" x14ac:dyDescent="0.25">
      <c r="H102" s="58">
        <v>101</v>
      </c>
      <c r="I102" s="58" t="str">
        <f>IFERROR(INDEX(TableRBCalcPts[PLAYER],MATCH(TableRBRanks[[#This Row],[RK]],TableRBCalcPts[RK],0)),"")</f>
        <v>Brashard Smith</v>
      </c>
      <c r="J102" s="58" t="str">
        <f>IFERROR(INDEX(TableRBCalcPts[TM],MATCH(TableRBRanks[[#This Row],[RK]],TableRBCalcPts[RK],0)),"")</f>
        <v>KC</v>
      </c>
      <c r="K102" s="58">
        <f>IFERROR(INDEX(TableRBCalcPts[BYE],MATCH(TableRBRanks[[#This Row],[RK]],TableRBCalcPts[RK],0)),"")</f>
        <v>5</v>
      </c>
      <c r="L102" s="95">
        <f>IFERROR(INDEX(TableRBCalcPts[Custom],MATCH(TableRBRanks[[#This Row],[RK]],TableRBCalcPts[RK],0)),"")</f>
        <v>11.255544510304615</v>
      </c>
      <c r="M102" s="140">
        <f>IF(VLOOKUP(TableRBRanks[[#This Row],[Player]],'Ranks w Proj'!$Q:$AB,12,FALSE)&lt;0,0,VLOOKUP(TableRBRanks[[#This Row],[Player]],'Ranks w Proj'!$Q:$AB,12,FALSE))</f>
        <v>0</v>
      </c>
      <c r="O102" s="58">
        <v>101</v>
      </c>
      <c r="P102" s="58" t="str">
        <f>IFERROR(INDEX(TableWRCalcPts[PLAYER],MATCH(TableWRRanks[[#This Row],[RK]],TableWRCalcPts[RK],0)),"")</f>
        <v>Savion Williams</v>
      </c>
      <c r="Q102" s="58" t="str">
        <f>IFERROR(INDEX(TableWRCalcPts[TM],MATCH(TableWRRanks[[#This Row],[RK]],TableWRCalcPts[RK],0)),"")</f>
        <v>GB</v>
      </c>
      <c r="R102" s="58">
        <f>IFERROR(INDEX(TableWRCalcPts[BYE],MATCH(TableWRRanks[[#This Row],[RK]],TableWRCalcPts[RK],0)),"")</f>
        <v>11</v>
      </c>
      <c r="S102" s="95">
        <f>IFERROR(INDEX(TableWRCalcPts[Custom],MATCH(TableWRRanks[[#This Row],[RK]],TableWRCalcPts[RK],0)),"")</f>
        <v>50.259188410268962</v>
      </c>
      <c r="T102" s="140">
        <f>IF(VLOOKUP(TableWRRanks[[#This Row],[Player]],'Ranks w Proj'!$AE:$AO,11,FALSE)&lt;0,0,VLOOKUP(TableWRRanks[[#This Row],[Player]],'Ranks w Proj'!$AE:$AO,11,FALSE))</f>
        <v>0</v>
      </c>
    </row>
    <row r="103" spans="8:27" x14ac:dyDescent="0.25">
      <c r="H103" s="58">
        <v>102</v>
      </c>
      <c r="I103" s="58" t="str">
        <f>IFERROR(INDEX(TableRBCalcPts[PLAYER],MATCH(TableRBRanks[[#This Row],[RK]],TableRBCalcPts[RK],0)),"")</f>
        <v>Kaleb Johnson</v>
      </c>
      <c r="J103" s="58" t="str">
        <f>IFERROR(INDEX(TableRBCalcPts[TM],MATCH(TableRBRanks[[#This Row],[RK]],TableRBCalcPts[RK],0)),"")</f>
        <v>PIT</v>
      </c>
      <c r="K103" s="58">
        <f>IFERROR(INDEX(TableRBCalcPts[BYE],MATCH(TableRBRanks[[#This Row],[RK]],TableRBCalcPts[RK],0)),"")</f>
        <v>9</v>
      </c>
      <c r="L103" s="95">
        <f>IFERROR(INDEX(TableRBCalcPts[Custom],MATCH(TableRBRanks[[#This Row],[RK]],TableRBCalcPts[RK],0)),"")</f>
        <v>9.8838128931439329</v>
      </c>
      <c r="M103" s="140">
        <f>IF(VLOOKUP(TableRBRanks[[#This Row],[Player]],'Ranks w Proj'!$Q:$AB,12,FALSE)&lt;0,0,VLOOKUP(TableRBRanks[[#This Row],[Player]],'Ranks w Proj'!$Q:$AB,12,FALSE))</f>
        <v>0</v>
      </c>
      <c r="O103" s="58">
        <v>102</v>
      </c>
      <c r="P103" s="58" t="str">
        <f>IFERROR(INDEX(TableWRCalcPts[PLAYER],MATCH(TableWRRanks[[#This Row],[RK]],TableWRCalcPts[RK],0)),"")</f>
        <v>Dyami Brown</v>
      </c>
      <c r="Q103" s="58" t="str">
        <f>IFERROR(INDEX(TableWRCalcPts[TM],MATCH(TableWRRanks[[#This Row],[RK]],TableWRCalcPts[RK],0)),"")</f>
        <v>WSH</v>
      </c>
      <c r="R103" s="58">
        <f>IFERROR(INDEX(TableWRCalcPts[BYE],MATCH(TableWRRanks[[#This Row],[RK]],TableWRCalcPts[RK],0)),"")</f>
        <v>7</v>
      </c>
      <c r="S103" s="95">
        <f>IFERROR(INDEX(TableWRCalcPts[Custom],MATCH(TableWRRanks[[#This Row],[RK]],TableWRCalcPts[RK],0)),"")</f>
        <v>50.015364219898544</v>
      </c>
      <c r="T103" s="140">
        <f>IF(VLOOKUP(TableWRRanks[[#This Row],[Player]],'Ranks w Proj'!$AE:$AO,11,FALSE)&lt;0,0,VLOOKUP(TableWRRanks[[#This Row],[Player]],'Ranks w Proj'!$AE:$AO,11,FALSE))</f>
        <v>0</v>
      </c>
    </row>
    <row r="104" spans="8:27" x14ac:dyDescent="0.25">
      <c r="H104" s="58">
        <v>103</v>
      </c>
      <c r="I104" s="58" t="str">
        <f>IFERROR(INDEX(TableRBCalcPts[PLAYER],MATCH(TableRBRanks[[#This Row],[RK]],TableRBCalcPts[RK],0)),"")</f>
        <v>Phil Mafah</v>
      </c>
      <c r="J104" s="58" t="str">
        <f>IFERROR(INDEX(TableRBCalcPts[TM],MATCH(TableRBRanks[[#This Row],[RK]],TableRBCalcPts[RK],0)),"")</f>
        <v>DAL</v>
      </c>
      <c r="K104" s="58">
        <f>IFERROR(INDEX(TableRBCalcPts[BYE],MATCH(TableRBRanks[[#This Row],[RK]],TableRBCalcPts[RK],0)),"")</f>
        <v>14</v>
      </c>
      <c r="L104" s="95">
        <f>IFERROR(INDEX(TableRBCalcPts[Custom],MATCH(TableRBRanks[[#This Row],[RK]],TableRBCalcPts[RK],0)),"")</f>
        <v>9.1067104810430006</v>
      </c>
      <c r="M104" s="140">
        <f>IF(VLOOKUP(TableRBRanks[[#This Row],[Player]],'Ranks w Proj'!$Q:$AB,12,FALSE)&lt;0,0,VLOOKUP(TableRBRanks[[#This Row],[Player]],'Ranks w Proj'!$Q:$AB,12,FALSE))</f>
        <v>0</v>
      </c>
      <c r="O104" s="58">
        <v>103</v>
      </c>
      <c r="P104" s="58" t="str">
        <f>IFERROR(INDEX(TableWRCalcPts[PLAYER],MATCH(TableWRRanks[[#This Row],[RK]],TableWRCalcPts[RK],0)),"")</f>
        <v>Keon Coleman</v>
      </c>
      <c r="Q104" s="58" t="str">
        <f>IFERROR(INDEX(TableWRCalcPts[TM],MATCH(TableWRRanks[[#This Row],[RK]],TableWRCalcPts[RK],0)),"")</f>
        <v>BUF</v>
      </c>
      <c r="R104" s="58">
        <f>IFERROR(INDEX(TableWRCalcPts[BYE],MATCH(TableWRRanks[[#This Row],[RK]],TableWRCalcPts[RK],0)),"")</f>
        <v>7</v>
      </c>
      <c r="S104" s="95">
        <f>IFERROR(INDEX(TableWRCalcPts[Custom],MATCH(TableWRRanks[[#This Row],[RK]],TableWRCalcPts[RK],0)),"")</f>
        <v>49.820494964486386</v>
      </c>
      <c r="T104" s="140">
        <f>IF(VLOOKUP(TableWRRanks[[#This Row],[Player]],'Ranks w Proj'!$AE:$AO,11,FALSE)&lt;0,0,VLOOKUP(TableWRRanks[[#This Row],[Player]],'Ranks w Proj'!$AE:$AO,11,FALSE))</f>
        <v>0</v>
      </c>
    </row>
    <row r="105" spans="8:27" x14ac:dyDescent="0.25">
      <c r="H105" s="58">
        <v>104</v>
      </c>
      <c r="I105" s="58" t="str">
        <f>IFERROR(INDEX(TableRBCalcPts[PLAYER],MATCH(TableRBRanks[[#This Row],[RK]],TableRBCalcPts[RK],0)),"")</f>
        <v>Jaleel McLaughlin</v>
      </c>
      <c r="J105" s="58" t="str">
        <f>IFERROR(INDEX(TableRBCalcPts[TM],MATCH(TableRBRanks[[#This Row],[RK]],TableRBCalcPts[RK],0)),"")</f>
        <v>DEN</v>
      </c>
      <c r="K105" s="58">
        <f>IFERROR(INDEX(TableRBCalcPts[BYE],MATCH(TableRBRanks[[#This Row],[RK]],TableRBCalcPts[RK],0)),"")</f>
        <v>10</v>
      </c>
      <c r="L105" s="95">
        <f>IFERROR(INDEX(TableRBCalcPts[Custom],MATCH(TableRBRanks[[#This Row],[RK]],TableRBCalcPts[RK],0)),"")</f>
        <v>8.9377350666132891</v>
      </c>
      <c r="M105" s="140">
        <f>IF(VLOOKUP(TableRBRanks[[#This Row],[Player]],'Ranks w Proj'!$Q:$AB,12,FALSE)&lt;0,0,VLOOKUP(TableRBRanks[[#This Row],[Player]],'Ranks w Proj'!$Q:$AB,12,FALSE))</f>
        <v>0</v>
      </c>
      <c r="O105" s="58">
        <v>104</v>
      </c>
      <c r="P105" s="58" t="str">
        <f>IFERROR(INDEX(TableWRCalcPts[PLAYER],MATCH(TableWRRanks[[#This Row],[RK]],TableWRCalcPts[RK],0)),"")</f>
        <v>Ted Hurst</v>
      </c>
      <c r="Q105" s="58" t="str">
        <f>IFERROR(INDEX(TableWRCalcPts[TM],MATCH(TableWRRanks[[#This Row],[RK]],TableWRCalcPts[RK],0)),"")</f>
        <v>TB</v>
      </c>
      <c r="R105" s="58">
        <f>IFERROR(INDEX(TableWRCalcPts[BYE],MATCH(TableWRRanks[[#This Row],[RK]],TableWRCalcPts[RK],0)),"")</f>
        <v>10</v>
      </c>
      <c r="S105" s="95">
        <f>IFERROR(INDEX(TableWRCalcPts[Custom],MATCH(TableWRRanks[[#This Row],[RK]],TableWRCalcPts[RK],0)),"")</f>
        <v>47.619043990707816</v>
      </c>
      <c r="T105" s="140">
        <f>IF(VLOOKUP(TableWRRanks[[#This Row],[Player]],'Ranks w Proj'!$AE:$AO,11,FALSE)&lt;0,0,VLOOKUP(TableWRRanks[[#This Row],[Player]],'Ranks w Proj'!$AE:$AO,11,FALSE))</f>
        <v>0</v>
      </c>
    </row>
    <row r="106" spans="8:27" x14ac:dyDescent="0.25">
      <c r="H106" s="58">
        <v>105</v>
      </c>
      <c r="I106" s="58" t="str">
        <f>IFERROR(INDEX(TableRBCalcPts[PLAYER],MATCH(TableRBRanks[[#This Row],[RK]],TableRBCalcPts[RK],0)),"")</f>
        <v>Jarquez Hunter</v>
      </c>
      <c r="J106" s="58" t="str">
        <f>IFERROR(INDEX(TableRBCalcPts[TM],MATCH(TableRBRanks[[#This Row],[RK]],TableRBCalcPts[RK],0)),"")</f>
        <v>LAR</v>
      </c>
      <c r="K106" s="58">
        <f>IFERROR(INDEX(TableRBCalcPts[BYE],MATCH(TableRBRanks[[#This Row],[RK]],TableRBCalcPts[RK],0)),"")</f>
        <v>11</v>
      </c>
      <c r="L106" s="95">
        <f>IFERROR(INDEX(TableRBCalcPts[Custom],MATCH(TableRBRanks[[#This Row],[RK]],TableRBCalcPts[RK],0)),"")</f>
        <v>8.4242846217409966</v>
      </c>
      <c r="M106" s="140">
        <f>IF(VLOOKUP(TableRBRanks[[#This Row],[Player]],'Ranks w Proj'!$Q:$AB,12,FALSE)&lt;0,0,VLOOKUP(TableRBRanks[[#This Row],[Player]],'Ranks w Proj'!$Q:$AB,12,FALSE))</f>
        <v>0</v>
      </c>
      <c r="O106" s="58">
        <v>105</v>
      </c>
      <c r="P106" s="58" t="str">
        <f>IFERROR(INDEX(TableWRCalcPts[PLAYER],MATCH(TableWRRanks[[#This Row],[RK]],TableWRCalcPts[RK],0)),"")</f>
        <v>Travis Hunter</v>
      </c>
      <c r="Q106" s="58" t="str">
        <f>IFERROR(INDEX(TableWRCalcPts[TM],MATCH(TableWRRanks[[#This Row],[RK]],TableWRCalcPts[RK],0)),"")</f>
        <v>JAX</v>
      </c>
      <c r="R106" s="58">
        <f>IFERROR(INDEX(TableWRCalcPts[BYE],MATCH(TableWRRanks[[#This Row],[RK]],TableWRCalcPts[RK],0)),"")</f>
        <v>7</v>
      </c>
      <c r="S106" s="95">
        <f>IFERROR(INDEX(TableWRCalcPts[Custom],MATCH(TableWRRanks[[#This Row],[RK]],TableWRCalcPts[RK],0)),"")</f>
        <v>45.395094095769608</v>
      </c>
      <c r="T106" s="140">
        <f>IF(VLOOKUP(TableWRRanks[[#This Row],[Player]],'Ranks w Proj'!$AE:$AO,11,FALSE)&lt;0,0,VLOOKUP(TableWRRanks[[#This Row],[Player]],'Ranks w Proj'!$AE:$AO,11,FALSE))</f>
        <v>0</v>
      </c>
    </row>
    <row r="107" spans="8:27" x14ac:dyDescent="0.25">
      <c r="H107" s="58">
        <v>106</v>
      </c>
      <c r="I107" s="58" t="str">
        <f>IFERROR(INDEX(TableRBCalcPts[PLAYER],MATCH(TableRBRanks[[#This Row],[RK]],TableRBCalcPts[RK],0)),"")</f>
        <v>Devin Neal</v>
      </c>
      <c r="J107" s="58" t="str">
        <f>IFERROR(INDEX(TableRBCalcPts[TM],MATCH(TableRBRanks[[#This Row],[RK]],TableRBCalcPts[RK],0)),"")</f>
        <v>NO</v>
      </c>
      <c r="K107" s="58">
        <f>IFERROR(INDEX(TableRBCalcPts[BYE],MATCH(TableRBRanks[[#This Row],[RK]],TableRBCalcPts[RK],0)),"")</f>
        <v>8</v>
      </c>
      <c r="L107" s="95">
        <f>IFERROR(INDEX(TableRBCalcPts[Custom],MATCH(TableRBRanks[[#This Row],[RK]],TableRBCalcPts[RK],0)),"")</f>
        <v>7.6840138446847996</v>
      </c>
      <c r="M107" s="140">
        <f>IF(VLOOKUP(TableRBRanks[[#This Row],[Player]],'Ranks w Proj'!$Q:$AB,12,FALSE)&lt;0,0,VLOOKUP(TableRBRanks[[#This Row],[Player]],'Ranks w Proj'!$Q:$AB,12,FALSE))</f>
        <v>0</v>
      </c>
      <c r="O107" s="58">
        <v>106</v>
      </c>
      <c r="P107" s="58" t="str">
        <f>IFERROR(INDEX(TableWRCalcPts[PLAYER],MATCH(TableWRRanks[[#This Row],[RK]],TableWRCalcPts[RK],0)),"")</f>
        <v>De'Zhaun Stribling</v>
      </c>
      <c r="Q107" s="58" t="str">
        <f>IFERROR(INDEX(TableWRCalcPts[TM],MATCH(TableWRRanks[[#This Row],[RK]],TableWRCalcPts[RK],0)),"")</f>
        <v>SF</v>
      </c>
      <c r="R107" s="58">
        <f>IFERROR(INDEX(TableWRCalcPts[BYE],MATCH(TableWRRanks[[#This Row],[RK]],TableWRCalcPts[RK],0)),"")</f>
        <v>8</v>
      </c>
      <c r="S107" s="95">
        <f>IFERROR(INDEX(TableWRCalcPts[Custom],MATCH(TableWRRanks[[#This Row],[RK]],TableWRCalcPts[RK],0)),"")</f>
        <v>45.1604312615232</v>
      </c>
      <c r="T107" s="140">
        <f>IF(VLOOKUP(TableWRRanks[[#This Row],[Player]],'Ranks w Proj'!$AE:$AO,11,FALSE)&lt;0,0,VLOOKUP(TableWRRanks[[#This Row],[Player]],'Ranks w Proj'!$AE:$AO,11,FALSE))</f>
        <v>0</v>
      </c>
    </row>
    <row r="108" spans="8:27" x14ac:dyDescent="0.25">
      <c r="H108" s="58">
        <v>107</v>
      </c>
      <c r="I108" s="58" t="str">
        <f>IFERROR(INDEX(TableRBCalcPts[PLAYER],MATCH(TableRBRanks[[#This Row],[RK]],TableRBCalcPts[RK],0)),"")</f>
        <v>Dylan Laube</v>
      </c>
      <c r="J108" s="58" t="str">
        <f>IFERROR(INDEX(TableRBCalcPts[TM],MATCH(TableRBRanks[[#This Row],[RK]],TableRBCalcPts[RK],0)),"")</f>
        <v>LV</v>
      </c>
      <c r="K108" s="58">
        <f>IFERROR(INDEX(TableRBCalcPts[BYE],MATCH(TableRBRanks[[#This Row],[RK]],TableRBCalcPts[RK],0)),"")</f>
        <v>13</v>
      </c>
      <c r="L108" s="95">
        <f>IFERROR(INDEX(TableRBCalcPts[Custom],MATCH(TableRBRanks[[#This Row],[RK]],TableRBCalcPts[RK],0)),"")</f>
        <v>7.6774450373660468</v>
      </c>
      <c r="M108" s="140">
        <f>IF(VLOOKUP(TableRBRanks[[#This Row],[Player]],'Ranks w Proj'!$Q:$AB,12,FALSE)&lt;0,0,VLOOKUP(TableRBRanks[[#This Row],[Player]],'Ranks w Proj'!$Q:$AB,12,FALSE))</f>
        <v>0</v>
      </c>
      <c r="O108" s="58">
        <v>107</v>
      </c>
      <c r="P108" s="58" t="str">
        <f>IFERROR(INDEX(TableWRCalcPts[PLAYER],MATCH(TableWRRanks[[#This Row],[RK]],TableWRCalcPts[RK],0)),"")</f>
        <v>John Metchie</v>
      </c>
      <c r="Q108" s="58" t="str">
        <f>IFERROR(INDEX(TableWRCalcPts[TM],MATCH(TableWRRanks[[#This Row],[RK]],TableWRCalcPts[RK],0)),"")</f>
        <v>CAR</v>
      </c>
      <c r="R108" s="58">
        <f>IFERROR(INDEX(TableWRCalcPts[BYE],MATCH(TableWRRanks[[#This Row],[RK]],TableWRCalcPts[RK],0)),"")</f>
        <v>5</v>
      </c>
      <c r="S108" s="95">
        <f>IFERROR(INDEX(TableWRCalcPts[Custom],MATCH(TableWRRanks[[#This Row],[RK]],TableWRCalcPts[RK],0)),"")</f>
        <v>44.115849021183735</v>
      </c>
      <c r="T108" s="140">
        <f>IF(VLOOKUP(TableWRRanks[[#This Row],[Player]],'Ranks w Proj'!$AE:$AO,11,FALSE)&lt;0,0,VLOOKUP(TableWRRanks[[#This Row],[Player]],'Ranks w Proj'!$AE:$AO,11,FALSE))</f>
        <v>0</v>
      </c>
    </row>
    <row r="109" spans="8:27" x14ac:dyDescent="0.25">
      <c r="H109" s="58">
        <v>108</v>
      </c>
      <c r="I109" s="58" t="str">
        <f>IFERROR(INDEX(TableRBCalcPts[PLAYER],MATCH(TableRBRanks[[#This Row],[RK]],TableRBCalcPts[RK],0)),"")</f>
        <v>Pierre Strong</v>
      </c>
      <c r="J109" s="58" t="str">
        <f>IFERROR(INDEX(TableRBCalcPts[TM],MATCH(TableRBRanks[[#This Row],[RK]],TableRBCalcPts[RK],0)),"")</f>
        <v>GB</v>
      </c>
      <c r="K109" s="58">
        <f>IFERROR(INDEX(TableRBCalcPts[BYE],MATCH(TableRBRanks[[#This Row],[RK]],TableRBCalcPts[RK],0)),"")</f>
        <v>11</v>
      </c>
      <c r="L109" s="95">
        <f>IFERROR(INDEX(TableRBCalcPts[Custom],MATCH(TableRBRanks[[#This Row],[RK]],TableRBCalcPts[RK],0)),"")</f>
        <v>3.2733783155570535</v>
      </c>
      <c r="M109" s="140">
        <f>IF(VLOOKUP(TableRBRanks[[#This Row],[Player]],'Ranks w Proj'!$Q:$AB,12,FALSE)&lt;0,0,VLOOKUP(TableRBRanks[[#This Row],[Player]],'Ranks w Proj'!$Q:$AB,12,FALSE))</f>
        <v>0</v>
      </c>
      <c r="O109" s="58">
        <v>108</v>
      </c>
      <c r="P109" s="58" t="str">
        <f>IFERROR(INDEX(TableWRCalcPts[PLAYER],MATCH(TableWRRanks[[#This Row],[RK]],TableWRCalcPts[RK],0)),"")</f>
        <v>Mack Hollins</v>
      </c>
      <c r="Q109" s="58" t="str">
        <f>IFERROR(INDEX(TableWRCalcPts[TM],MATCH(TableWRRanks[[#This Row],[RK]],TableWRCalcPts[RK],0)),"")</f>
        <v>NE</v>
      </c>
      <c r="R109" s="58">
        <f>IFERROR(INDEX(TableWRCalcPts[BYE],MATCH(TableWRRanks[[#This Row],[RK]],TableWRCalcPts[RK],0)),"")</f>
        <v>11</v>
      </c>
      <c r="S109" s="95">
        <f>IFERROR(INDEX(TableWRCalcPts[Custom],MATCH(TableWRRanks[[#This Row],[RK]],TableWRCalcPts[RK],0)),"")</f>
        <v>42.408964281509647</v>
      </c>
      <c r="T109" s="140">
        <f>IF(VLOOKUP(TableWRRanks[[#This Row],[Player]],'Ranks w Proj'!$AE:$AO,11,FALSE)&lt;0,0,VLOOKUP(TableWRRanks[[#This Row],[Player]],'Ranks w Proj'!$AE:$AO,11,FALSE))</f>
        <v>0</v>
      </c>
    </row>
    <row r="110" spans="8:27" x14ac:dyDescent="0.25">
      <c r="H110" s="58">
        <v>109</v>
      </c>
      <c r="I110" s="58" t="str">
        <f>IFERROR(INDEX(TableRBCalcPts[PLAYER],MATCH(TableRBRanks[[#This Row],[RK]],TableRBCalcPts[RK],0)),"")</f>
        <v/>
      </c>
      <c r="J110" s="58" t="str">
        <f>IFERROR(INDEX(TableRBCalcPts[TM],MATCH(TableRBRanks[[#This Row],[RK]],TableRBCalcPts[RK],0)),"")</f>
        <v/>
      </c>
      <c r="K110" s="58" t="str">
        <f>IFERROR(INDEX(TableRBCalcPts[BYE],MATCH(TableRBRanks[[#This Row],[RK]],TableRBCalcPts[RK],0)),"")</f>
        <v/>
      </c>
      <c r="L110" s="95" t="str">
        <f>IFERROR(INDEX(TableRBCalcPts[Custom],MATCH(TableRBRanks[[#This Row],[RK]],TableRBCalcPts[RK],0)),"")</f>
        <v/>
      </c>
      <c r="M110" s="140" t="str">
        <f>IF(VLOOKUP(TableRBRanks[[#This Row],[Player]],'Ranks w Proj'!$Q:$AB,12,FALSE)&lt;0,0,VLOOKUP(TableRBRanks[[#This Row],[Player]],'Ranks w Proj'!$Q:$AB,12,FALSE))</f>
        <v/>
      </c>
      <c r="O110" s="58">
        <v>109</v>
      </c>
      <c r="P110" s="58" t="str">
        <f>IFERROR(INDEX(TableWRCalcPts[PLAYER],MATCH(TableWRRanks[[#This Row],[RK]],TableWRCalcPts[RK],0)),"")</f>
        <v>Elic Ayomanor</v>
      </c>
      <c r="Q110" s="58" t="str">
        <f>IFERROR(INDEX(TableWRCalcPts[TM],MATCH(TableWRRanks[[#This Row],[RK]],TableWRCalcPts[RK],0)),"")</f>
        <v>TEN</v>
      </c>
      <c r="R110" s="58">
        <f>IFERROR(INDEX(TableWRCalcPts[BYE],MATCH(TableWRRanks[[#This Row],[RK]],TableWRCalcPts[RK],0)),"")</f>
        <v>9</v>
      </c>
      <c r="S110" s="95">
        <f>IFERROR(INDEX(TableWRCalcPts[Custom],MATCH(TableWRRanks[[#This Row],[RK]],TableWRCalcPts[RK],0)),"")</f>
        <v>42.293158152537607</v>
      </c>
      <c r="T110" s="140">
        <f>IF(VLOOKUP(TableWRRanks[[#This Row],[Player]],'Ranks w Proj'!$AE:$AO,11,FALSE)&lt;0,0,VLOOKUP(TableWRRanks[[#This Row],[Player]],'Ranks w Proj'!$AE:$AO,11,FALSE))</f>
        <v>0</v>
      </c>
    </row>
    <row r="111" spans="8:27" x14ac:dyDescent="0.25">
      <c r="H111" s="58">
        <v>110</v>
      </c>
      <c r="I111" s="58" t="str">
        <f>IFERROR(INDEX(TableRBCalcPts[PLAYER],MATCH(TableRBRanks[[#This Row],[RK]],TableRBCalcPts[RK],0)),"")</f>
        <v/>
      </c>
      <c r="J111" s="58" t="str">
        <f>IFERROR(INDEX(TableRBCalcPts[TM],MATCH(TableRBRanks[[#This Row],[RK]],TableRBCalcPts[RK],0)),"")</f>
        <v/>
      </c>
      <c r="K111" s="58" t="str">
        <f>IFERROR(INDEX(TableRBCalcPts[BYE],MATCH(TableRBRanks[[#This Row],[RK]],TableRBCalcPts[RK],0)),"")</f>
        <v/>
      </c>
      <c r="L111" s="95" t="str">
        <f>IFERROR(INDEX(TableRBCalcPts[Custom],MATCH(TableRBRanks[[#This Row],[RK]],TableRBCalcPts[RK],0)),"")</f>
        <v/>
      </c>
      <c r="M111" s="140" t="str">
        <f>IF(VLOOKUP(TableRBRanks[[#This Row],[Player]],'Ranks w Proj'!$Q:$AB,12,FALSE)&lt;0,0,VLOOKUP(TableRBRanks[[#This Row],[Player]],'Ranks w Proj'!$Q:$AB,12,FALSE))</f>
        <v/>
      </c>
      <c r="O111" s="58">
        <v>110</v>
      </c>
      <c r="P111" s="58" t="str">
        <f>IFERROR(INDEX(TableWRCalcPts[PLAYER],MATCH(TableWRRanks[[#This Row],[RK]],TableWRCalcPts[RK],0)),"")</f>
        <v>Kalif Raymond</v>
      </c>
      <c r="Q111" s="58" t="str">
        <f>IFERROR(INDEX(TableWRCalcPts[TM],MATCH(TableWRRanks[[#This Row],[RK]],TableWRCalcPts[RK],0)),"")</f>
        <v>CHI</v>
      </c>
      <c r="R111" s="58">
        <f>IFERROR(INDEX(TableWRCalcPts[BYE],MATCH(TableWRRanks[[#This Row],[RK]],TableWRCalcPts[RK],0)),"")</f>
        <v>10</v>
      </c>
      <c r="S111" s="95">
        <f>IFERROR(INDEX(TableWRCalcPts[Custom],MATCH(TableWRRanks[[#This Row],[RK]],TableWRCalcPts[RK],0)),"")</f>
        <v>41.749922059333976</v>
      </c>
      <c r="T111" s="140">
        <f>IF(VLOOKUP(TableWRRanks[[#This Row],[Player]],'Ranks w Proj'!$AE:$AO,11,FALSE)&lt;0,0,VLOOKUP(TableWRRanks[[#This Row],[Player]],'Ranks w Proj'!$AE:$AO,11,FALSE))</f>
        <v>0</v>
      </c>
    </row>
    <row r="112" spans="8:27" x14ac:dyDescent="0.25">
      <c r="H112" s="58">
        <v>111</v>
      </c>
      <c r="I112" s="58" t="str">
        <f>IFERROR(INDEX(TableRBCalcPts[PLAYER],MATCH(TableRBRanks[[#This Row],[RK]],TableRBCalcPts[RK],0)),"")</f>
        <v/>
      </c>
      <c r="J112" s="58" t="str">
        <f>IFERROR(INDEX(TableRBCalcPts[TM],MATCH(TableRBRanks[[#This Row],[RK]],TableRBCalcPts[RK],0)),"")</f>
        <v/>
      </c>
      <c r="K112" s="58" t="str">
        <f>IFERROR(INDEX(TableRBCalcPts[BYE],MATCH(TableRBRanks[[#This Row],[RK]],TableRBCalcPts[RK],0)),"")</f>
        <v/>
      </c>
      <c r="L112" s="95" t="str">
        <f>IFERROR(INDEX(TableRBCalcPts[Custom],MATCH(TableRBRanks[[#This Row],[RK]],TableRBCalcPts[RK],0)),"")</f>
        <v/>
      </c>
      <c r="M112" s="140" t="str">
        <f>IF(VLOOKUP(TableRBRanks[[#This Row],[Player]],'Ranks w Proj'!$Q:$AB,12,FALSE)&lt;0,0,VLOOKUP(TableRBRanks[[#This Row],[Player]],'Ranks w Proj'!$Q:$AB,12,FALSE))</f>
        <v/>
      </c>
      <c r="O112" s="58">
        <v>111</v>
      </c>
      <c r="P112" s="58" t="str">
        <f>IFERROR(INDEX(TableWRCalcPts[PLAYER],MATCH(TableWRRanks[[#This Row],[RK]],TableWRCalcPts[RK],0)),"")</f>
        <v>Devontez Walker</v>
      </c>
      <c r="Q112" s="58" t="str">
        <f>IFERROR(INDEX(TableWRCalcPts[TM],MATCH(TableWRRanks[[#This Row],[RK]],TableWRCalcPts[RK],0)),"")</f>
        <v>BAL</v>
      </c>
      <c r="R112" s="58">
        <f>IFERROR(INDEX(TableWRCalcPts[BYE],MATCH(TableWRRanks[[#This Row],[RK]],TableWRCalcPts[RK],0)),"")</f>
        <v>13</v>
      </c>
      <c r="S112" s="95">
        <f>IFERROR(INDEX(TableWRCalcPts[Custom],MATCH(TableWRRanks[[#This Row],[RK]],TableWRCalcPts[RK],0)),"")</f>
        <v>40.708507950084538</v>
      </c>
      <c r="T112" s="140">
        <f>IF(VLOOKUP(TableWRRanks[[#This Row],[Player]],'Ranks w Proj'!$AE:$AO,11,FALSE)&lt;0,0,VLOOKUP(TableWRRanks[[#This Row],[Player]],'Ranks w Proj'!$AE:$AO,11,FALSE))</f>
        <v>0</v>
      </c>
    </row>
    <row r="113" spans="8:20" x14ac:dyDescent="0.25">
      <c r="H113" s="58">
        <v>112</v>
      </c>
      <c r="I113" s="58" t="str">
        <f>IFERROR(INDEX(TableRBCalcPts[PLAYER],MATCH(TableRBRanks[[#This Row],[RK]],TableRBCalcPts[RK],0)),"")</f>
        <v/>
      </c>
      <c r="J113" s="58" t="str">
        <f>IFERROR(INDEX(TableRBCalcPts[TM],MATCH(TableRBRanks[[#This Row],[RK]],TableRBCalcPts[RK],0)),"")</f>
        <v/>
      </c>
      <c r="K113" s="58" t="str">
        <f>IFERROR(INDEX(TableRBCalcPts[BYE],MATCH(TableRBRanks[[#This Row],[RK]],TableRBCalcPts[RK],0)),"")</f>
        <v/>
      </c>
      <c r="L113" s="95" t="str">
        <f>IFERROR(INDEX(TableRBCalcPts[Custom],MATCH(TableRBRanks[[#This Row],[RK]],TableRBCalcPts[RK],0)),"")</f>
        <v/>
      </c>
      <c r="M113" s="140" t="str">
        <f>IF(VLOOKUP(TableRBRanks[[#This Row],[Player]],'Ranks w Proj'!$Q:$AB,12,FALSE)&lt;0,0,VLOOKUP(TableRBRanks[[#This Row],[Player]],'Ranks w Proj'!$Q:$AB,12,FALSE))</f>
        <v/>
      </c>
      <c r="O113" s="58">
        <v>112</v>
      </c>
      <c r="P113" s="58" t="str">
        <f>IFERROR(INDEX(TableWRCalcPts[PLAYER],MATCH(TableWRRanks[[#This Row],[RK]],TableWRCalcPts[RK],0)),"")</f>
        <v>Tory Horton</v>
      </c>
      <c r="Q113" s="58" t="str">
        <f>IFERROR(INDEX(TableWRCalcPts[TM],MATCH(TableWRRanks[[#This Row],[RK]],TableWRCalcPts[RK],0)),"")</f>
        <v>SEA</v>
      </c>
      <c r="R113" s="58">
        <f>IFERROR(INDEX(TableWRCalcPts[BYE],MATCH(TableWRRanks[[#This Row],[RK]],TableWRCalcPts[RK],0)),"")</f>
        <v>11</v>
      </c>
      <c r="S113" s="95">
        <f>IFERROR(INDEX(TableWRCalcPts[Custom],MATCH(TableWRRanks[[#This Row],[RK]],TableWRCalcPts[RK],0)),"")</f>
        <v>39.720708971919365</v>
      </c>
      <c r="T113" s="140">
        <f>IF(VLOOKUP(TableWRRanks[[#This Row],[Player]],'Ranks w Proj'!$AE:$AO,11,FALSE)&lt;0,0,VLOOKUP(TableWRRanks[[#This Row],[Player]],'Ranks w Proj'!$AE:$AO,11,FALSE))</f>
        <v>0</v>
      </c>
    </row>
    <row r="114" spans="8:20" x14ac:dyDescent="0.25">
      <c r="H114" s="58">
        <v>113</v>
      </c>
      <c r="I114" s="58" t="str">
        <f>IFERROR(INDEX(TableRBCalcPts[PLAYER],MATCH(TableRBRanks[[#This Row],[RK]],TableRBCalcPts[RK],0)),"")</f>
        <v/>
      </c>
      <c r="J114" s="58" t="str">
        <f>IFERROR(INDEX(TableRBCalcPts[TM],MATCH(TableRBRanks[[#This Row],[RK]],TableRBCalcPts[RK],0)),"")</f>
        <v/>
      </c>
      <c r="K114" s="58" t="str">
        <f>IFERROR(INDEX(TableRBCalcPts[BYE],MATCH(TableRBRanks[[#This Row],[RK]],TableRBCalcPts[RK],0)),"")</f>
        <v/>
      </c>
      <c r="L114" s="95" t="str">
        <f>IFERROR(INDEX(TableRBCalcPts[Custom],MATCH(TableRBRanks[[#This Row],[RK]],TableRBCalcPts[RK],0)),"")</f>
        <v/>
      </c>
      <c r="M114" s="140" t="str">
        <f>IF(VLOOKUP(TableRBRanks[[#This Row],[Player]],'Ranks w Proj'!$Q:$AB,12,FALSE)&lt;0,0,VLOOKUP(TableRBRanks[[#This Row],[Player]],'Ranks w Proj'!$Q:$AB,12,FALSE))</f>
        <v/>
      </c>
      <c r="O114" s="58">
        <v>113</v>
      </c>
      <c r="P114" s="58" t="str">
        <f>IFERROR(INDEX(TableWRCalcPts[PLAYER],MATCH(TableWRRanks[[#This Row],[RK]],TableWRCalcPts[RK],0)),"")</f>
        <v>Konata Mumpfield</v>
      </c>
      <c r="Q114" s="58" t="str">
        <f>IFERROR(INDEX(TableWRCalcPts[TM],MATCH(TableWRRanks[[#This Row],[RK]],TableWRCalcPts[RK],0)),"")</f>
        <v>LAR</v>
      </c>
      <c r="R114" s="58">
        <f>IFERROR(INDEX(TableWRCalcPts[BYE],MATCH(TableWRRanks[[#This Row],[RK]],TableWRCalcPts[RK],0)),"")</f>
        <v>11</v>
      </c>
      <c r="S114" s="95">
        <f>IFERROR(INDEX(TableWRCalcPts[Custom],MATCH(TableWRRanks[[#This Row],[RK]],TableWRCalcPts[RK],0)),"")</f>
        <v>39.670482529071322</v>
      </c>
      <c r="T114" s="140">
        <f>IF(VLOOKUP(TableWRRanks[[#This Row],[Player]],'Ranks w Proj'!$AE:$AO,11,FALSE)&lt;0,0,VLOOKUP(TableWRRanks[[#This Row],[Player]],'Ranks w Proj'!$AE:$AO,11,FALSE))</f>
        <v>0</v>
      </c>
    </row>
    <row r="115" spans="8:20" x14ac:dyDescent="0.25">
      <c r="H115" s="58">
        <v>114</v>
      </c>
      <c r="I115" s="58" t="str">
        <f>IFERROR(INDEX(TableRBCalcPts[PLAYER],MATCH(TableRBRanks[[#This Row],[RK]],TableRBCalcPts[RK],0)),"")</f>
        <v/>
      </c>
      <c r="J115" s="58" t="str">
        <f>IFERROR(INDEX(TableRBCalcPts[TM],MATCH(TableRBRanks[[#This Row],[RK]],TableRBCalcPts[RK],0)),"")</f>
        <v/>
      </c>
      <c r="K115" s="58" t="str">
        <f>IFERROR(INDEX(TableRBCalcPts[BYE],MATCH(TableRBRanks[[#This Row],[RK]],TableRBCalcPts[RK],0)),"")</f>
        <v/>
      </c>
      <c r="L115" s="95" t="str">
        <f>IFERROR(INDEX(TableRBCalcPts[Custom],MATCH(TableRBRanks[[#This Row],[RK]],TableRBCalcPts[RK],0)),"")</f>
        <v/>
      </c>
      <c r="M115" s="140" t="str">
        <f>IF(VLOOKUP(TableRBRanks[[#This Row],[Player]],'Ranks w Proj'!$Q:$AB,12,FALSE)&lt;0,0,VLOOKUP(TableRBRanks[[#This Row],[Player]],'Ranks w Proj'!$Q:$AB,12,FALSE))</f>
        <v/>
      </c>
      <c r="O115" s="58">
        <v>114</v>
      </c>
      <c r="P115" s="58" t="str">
        <f>IFERROR(INDEX(TableWRCalcPts[PLAYER],MATCH(TableWRRanks[[#This Row],[RK]],TableWRCalcPts[RK],0)),"")</f>
        <v>Treylon Burks</v>
      </c>
      <c r="Q115" s="58" t="str">
        <f>IFERROR(INDEX(TableWRCalcPts[TM],MATCH(TableWRRanks[[#This Row],[RK]],TableWRCalcPts[RK],0)),"")</f>
        <v>WSH</v>
      </c>
      <c r="R115" s="58">
        <f>IFERROR(INDEX(TableWRCalcPts[BYE],MATCH(TableWRRanks[[#This Row],[RK]],TableWRCalcPts[RK],0)),"")</f>
        <v>7</v>
      </c>
      <c r="S115" s="95">
        <f>IFERROR(INDEX(TableWRCalcPts[Custom],MATCH(TableWRRanks[[#This Row],[RK]],TableWRCalcPts[RK],0)),"")</f>
        <v>39.492766813743984</v>
      </c>
      <c r="T115" s="140">
        <f>IF(VLOOKUP(TableWRRanks[[#This Row],[Player]],'Ranks w Proj'!$AE:$AO,11,FALSE)&lt;0,0,VLOOKUP(TableWRRanks[[#This Row],[Player]],'Ranks w Proj'!$AE:$AO,11,FALSE))</f>
        <v>0</v>
      </c>
    </row>
    <row r="116" spans="8:20" x14ac:dyDescent="0.25">
      <c r="H116" s="58">
        <v>115</v>
      </c>
      <c r="I116" s="58" t="str">
        <f>IFERROR(INDEX(TableRBCalcPts[PLAYER],MATCH(TableRBRanks[[#This Row],[RK]],TableRBCalcPts[RK],0)),"")</f>
        <v/>
      </c>
      <c r="J116" s="58" t="str">
        <f>IFERROR(INDEX(TableRBCalcPts[TM],MATCH(TableRBRanks[[#This Row],[RK]],TableRBCalcPts[RK],0)),"")</f>
        <v/>
      </c>
      <c r="K116" s="58" t="str">
        <f>IFERROR(INDEX(TableRBCalcPts[BYE],MATCH(TableRBRanks[[#This Row],[RK]],TableRBCalcPts[RK],0)),"")</f>
        <v/>
      </c>
      <c r="L116" s="95" t="str">
        <f>IFERROR(INDEX(TableRBCalcPts[Custom],MATCH(TableRBRanks[[#This Row],[RK]],TableRBCalcPts[RK],0)),"")</f>
        <v/>
      </c>
      <c r="M116" s="140" t="str">
        <f>IF(VLOOKUP(TableRBRanks[[#This Row],[Player]],'Ranks w Proj'!$Q:$AB,12,FALSE)&lt;0,0,VLOOKUP(TableRBRanks[[#This Row],[Player]],'Ranks w Proj'!$Q:$AB,12,FALSE))</f>
        <v/>
      </c>
      <c r="O116" s="58">
        <v>115</v>
      </c>
      <c r="P116" s="58" t="str">
        <f>IFERROR(INDEX(TableWRCalcPts[PLAYER],MATCH(TableWRRanks[[#This Row],[RK]],TableWRCalcPts[RK],0)),"")</f>
        <v>DeMario Douglas</v>
      </c>
      <c r="Q116" s="58" t="str">
        <f>IFERROR(INDEX(TableWRCalcPts[TM],MATCH(TableWRRanks[[#This Row],[RK]],TableWRCalcPts[RK],0)),"")</f>
        <v>NE</v>
      </c>
      <c r="R116" s="58">
        <f>IFERROR(INDEX(TableWRCalcPts[BYE],MATCH(TableWRRanks[[#This Row],[RK]],TableWRCalcPts[RK],0)),"")</f>
        <v>11</v>
      </c>
      <c r="S116" s="95">
        <f>IFERROR(INDEX(TableWRCalcPts[Custom],MATCH(TableWRRanks[[#This Row],[RK]],TableWRCalcPts[RK],0)),"")</f>
        <v>39.490949945018883</v>
      </c>
      <c r="T116" s="140">
        <f>IF(VLOOKUP(TableWRRanks[[#This Row],[Player]],'Ranks w Proj'!$AE:$AO,11,FALSE)&lt;0,0,VLOOKUP(TableWRRanks[[#This Row],[Player]],'Ranks w Proj'!$AE:$AO,11,FALSE))</f>
        <v>0</v>
      </c>
    </row>
    <row r="117" spans="8:20" x14ac:dyDescent="0.25">
      <c r="H117" s="58">
        <v>116</v>
      </c>
      <c r="I117" s="58" t="str">
        <f>IFERROR(INDEX(TableRBCalcPts[PLAYER],MATCH(TableRBRanks[[#This Row],[RK]],TableRBCalcPts[RK],0)),"")</f>
        <v/>
      </c>
      <c r="J117" s="58" t="str">
        <f>IFERROR(INDEX(TableRBCalcPts[TM],MATCH(TableRBRanks[[#This Row],[RK]],TableRBCalcPts[RK],0)),"")</f>
        <v/>
      </c>
      <c r="K117" s="58" t="str">
        <f>IFERROR(INDEX(TableRBCalcPts[BYE],MATCH(TableRBRanks[[#This Row],[RK]],TableRBCalcPts[RK],0)),"")</f>
        <v/>
      </c>
      <c r="L117" s="95" t="str">
        <f>IFERROR(INDEX(TableRBCalcPts[Custom],MATCH(TableRBRanks[[#This Row],[RK]],TableRBCalcPts[RK],0)),"")</f>
        <v/>
      </c>
      <c r="M117" s="140" t="str">
        <f>IF(VLOOKUP(TableRBRanks[[#This Row],[Player]],'Ranks w Proj'!$Q:$AB,12,FALSE)&lt;0,0,VLOOKUP(TableRBRanks[[#This Row],[Player]],'Ranks w Proj'!$Q:$AB,12,FALSE))</f>
        <v/>
      </c>
      <c r="O117" s="58">
        <v>116</v>
      </c>
      <c r="P117" s="58" t="str">
        <f>IFERROR(INDEX(TableWRCalcPts[PLAYER],MATCH(TableWRRanks[[#This Row],[RK]],TableWRCalcPts[RK],0)),"")</f>
        <v>Christian Kirk</v>
      </c>
      <c r="Q117" s="58" t="str">
        <f>IFERROR(INDEX(TableWRCalcPts[TM],MATCH(TableWRRanks[[#This Row],[RK]],TableWRCalcPts[RK],0)),"")</f>
        <v>SF</v>
      </c>
      <c r="R117" s="58">
        <f>IFERROR(INDEX(TableWRCalcPts[BYE],MATCH(TableWRRanks[[#This Row],[RK]],TableWRCalcPts[RK],0)),"")</f>
        <v>8</v>
      </c>
      <c r="S117" s="95">
        <f>IFERROR(INDEX(TableWRCalcPts[Custom],MATCH(TableWRRanks[[#This Row],[RK]],TableWRCalcPts[RK],0)),"")</f>
        <v>38.671375046540604</v>
      </c>
      <c r="T117" s="140">
        <f>IF(VLOOKUP(TableWRRanks[[#This Row],[Player]],'Ranks w Proj'!$AE:$AO,11,FALSE)&lt;0,0,VLOOKUP(TableWRRanks[[#This Row],[Player]],'Ranks w Proj'!$AE:$AO,11,FALSE))</f>
        <v>0</v>
      </c>
    </row>
    <row r="118" spans="8:20" x14ac:dyDescent="0.25">
      <c r="H118" s="58">
        <v>117</v>
      </c>
      <c r="I118" s="58" t="str">
        <f>IFERROR(INDEX(TableRBCalcPts[PLAYER],MATCH(TableRBRanks[[#This Row],[RK]],TableRBCalcPts[RK],0)),"")</f>
        <v/>
      </c>
      <c r="J118" s="58" t="str">
        <f>IFERROR(INDEX(TableRBCalcPts[TM],MATCH(TableRBRanks[[#This Row],[RK]],TableRBCalcPts[RK],0)),"")</f>
        <v/>
      </c>
      <c r="K118" s="58" t="str">
        <f>IFERROR(INDEX(TableRBCalcPts[BYE],MATCH(TableRBRanks[[#This Row],[RK]],TableRBCalcPts[RK],0)),"")</f>
        <v/>
      </c>
      <c r="L118" s="95" t="str">
        <f>IFERROR(INDEX(TableRBCalcPts[Custom],MATCH(TableRBRanks[[#This Row],[RK]],TableRBCalcPts[RK],0)),"")</f>
        <v/>
      </c>
      <c r="M118" s="140" t="str">
        <f>IF(VLOOKUP(TableRBRanks[[#This Row],[Player]],'Ranks w Proj'!$Q:$AB,12,FALSE)&lt;0,0,VLOOKUP(TableRBRanks[[#This Row],[Player]],'Ranks w Proj'!$Q:$AB,12,FALSE))</f>
        <v/>
      </c>
      <c r="O118" s="58">
        <v>117</v>
      </c>
      <c r="P118" s="58" t="str">
        <f>IFERROR(INDEX(TableWRCalcPts[PLAYER],MATCH(TableWRRanks[[#This Row],[RK]],TableWRCalcPts[RK],0)),"")</f>
        <v>Joshua Palmer</v>
      </c>
      <c r="Q118" s="58" t="str">
        <f>IFERROR(INDEX(TableWRCalcPts[TM],MATCH(TableWRRanks[[#This Row],[RK]],TableWRCalcPts[RK],0)),"")</f>
        <v>BUF</v>
      </c>
      <c r="R118" s="58">
        <f>IFERROR(INDEX(TableWRCalcPts[BYE],MATCH(TableWRRanks[[#This Row],[RK]],TableWRCalcPts[RK],0)),"")</f>
        <v>7</v>
      </c>
      <c r="S118" s="95">
        <f>IFERROR(INDEX(TableWRCalcPts[Custom],MATCH(TableWRRanks[[#This Row],[RK]],TableWRCalcPts[RK],0)),"")</f>
        <v>37.047699019147593</v>
      </c>
      <c r="T118" s="140">
        <f>IF(VLOOKUP(TableWRRanks[[#This Row],[Player]],'Ranks w Proj'!$AE:$AO,11,FALSE)&lt;0,0,VLOOKUP(TableWRRanks[[#This Row],[Player]],'Ranks w Proj'!$AE:$AO,11,FALSE))</f>
        <v>0</v>
      </c>
    </row>
    <row r="119" spans="8:20" x14ac:dyDescent="0.25">
      <c r="H119" s="58">
        <v>118</v>
      </c>
      <c r="I119" s="58" t="str">
        <f>IFERROR(INDEX(TableRBCalcPts[PLAYER],MATCH(TableRBRanks[[#This Row],[RK]],TableRBCalcPts[RK],0)),"")</f>
        <v/>
      </c>
      <c r="J119" s="58" t="str">
        <f>IFERROR(INDEX(TableRBCalcPts[TM],MATCH(TableRBRanks[[#This Row],[RK]],TableRBCalcPts[RK],0)),"")</f>
        <v/>
      </c>
      <c r="K119" s="58" t="str">
        <f>IFERROR(INDEX(TableRBCalcPts[BYE],MATCH(TableRBRanks[[#This Row],[RK]],TableRBCalcPts[RK],0)),"")</f>
        <v/>
      </c>
      <c r="L119" s="95" t="str">
        <f>IFERROR(INDEX(TableRBCalcPts[Custom],MATCH(TableRBRanks[[#This Row],[RK]],TableRBCalcPts[RK],0)),"")</f>
        <v/>
      </c>
      <c r="M119" s="140" t="str">
        <f>IF(VLOOKUP(TableRBRanks[[#This Row],[Player]],'Ranks w Proj'!$Q:$AB,12,FALSE)&lt;0,0,VLOOKUP(TableRBRanks[[#This Row],[Player]],'Ranks w Proj'!$Q:$AB,12,FALSE))</f>
        <v/>
      </c>
      <c r="O119" s="58">
        <v>118</v>
      </c>
      <c r="P119" s="58" t="str">
        <f>IFERROR(INDEX(TableWRCalcPts[PLAYER],MATCH(TableWRRanks[[#This Row],[RK]],TableWRCalcPts[RK],0)),"")</f>
        <v>Jaylin Lane</v>
      </c>
      <c r="Q119" s="58" t="str">
        <f>IFERROR(INDEX(TableWRCalcPts[TM],MATCH(TableWRRanks[[#This Row],[RK]],TableWRCalcPts[RK],0)),"")</f>
        <v>WSH</v>
      </c>
      <c r="R119" s="58">
        <f>IFERROR(INDEX(TableWRCalcPts[BYE],MATCH(TableWRRanks[[#This Row],[RK]],TableWRCalcPts[RK],0)),"")</f>
        <v>7</v>
      </c>
      <c r="S119" s="95">
        <f>IFERROR(INDEX(TableWRCalcPts[Custom],MATCH(TableWRRanks[[#This Row],[RK]],TableWRCalcPts[RK],0)),"")</f>
        <v>33.911979493432312</v>
      </c>
      <c r="T119" s="140">
        <f>IF(VLOOKUP(TableWRRanks[[#This Row],[Player]],'Ranks w Proj'!$AE:$AO,11,FALSE)&lt;0,0,VLOOKUP(TableWRRanks[[#This Row],[Player]],'Ranks w Proj'!$AE:$AO,11,FALSE))</f>
        <v>0</v>
      </c>
    </row>
    <row r="120" spans="8:20" x14ac:dyDescent="0.25">
      <c r="H120" s="58">
        <v>119</v>
      </c>
      <c r="I120" s="58" t="str">
        <f>IFERROR(INDEX(TableRBCalcPts[PLAYER],MATCH(TableRBRanks[[#This Row],[RK]],TableRBCalcPts[RK],0)),"")</f>
        <v/>
      </c>
      <c r="J120" s="58" t="str">
        <f>IFERROR(INDEX(TableRBCalcPts[TM],MATCH(TableRBRanks[[#This Row],[RK]],TableRBCalcPts[RK],0)),"")</f>
        <v/>
      </c>
      <c r="K120" s="58" t="str">
        <f>IFERROR(INDEX(TableRBCalcPts[BYE],MATCH(TableRBRanks[[#This Row],[RK]],TableRBCalcPts[RK],0)),"")</f>
        <v/>
      </c>
      <c r="L120" s="95" t="str">
        <f>IFERROR(INDEX(TableRBCalcPts[Custom],MATCH(TableRBRanks[[#This Row],[RK]],TableRBCalcPts[RK],0)),"")</f>
        <v/>
      </c>
      <c r="M120" s="140" t="str">
        <f>IF(VLOOKUP(TableRBRanks[[#This Row],[Player]],'Ranks w Proj'!$Q:$AB,12,FALSE)&lt;0,0,VLOOKUP(TableRBRanks[[#This Row],[Player]],'Ranks w Proj'!$Q:$AB,12,FALSE))</f>
        <v/>
      </c>
      <c r="O120" s="58">
        <v>119</v>
      </c>
      <c r="P120" s="58" t="str">
        <f>IFERROR(INDEX(TableWRCalcPts[PLAYER],MATCH(TableWRRanks[[#This Row],[RK]],TableWRCalcPts[RK],0)),"")</f>
        <v>Marvin Mims</v>
      </c>
      <c r="Q120" s="58" t="str">
        <f>IFERROR(INDEX(TableWRCalcPts[TM],MATCH(TableWRRanks[[#This Row],[RK]],TableWRCalcPts[RK],0)),"")</f>
        <v>DEN</v>
      </c>
      <c r="R120" s="58">
        <f>IFERROR(INDEX(TableWRCalcPts[BYE],MATCH(TableWRRanks[[#This Row],[RK]],TableWRCalcPts[RK],0)),"")</f>
        <v>10</v>
      </c>
      <c r="S120" s="95">
        <f>IFERROR(INDEX(TableWRCalcPts[Custom],MATCH(TableWRRanks[[#This Row],[RK]],TableWRCalcPts[RK],0)),"")</f>
        <v>33.661668735305163</v>
      </c>
      <c r="T120" s="140">
        <f>IF(VLOOKUP(TableWRRanks[[#This Row],[Player]],'Ranks w Proj'!$AE:$AO,11,FALSE)&lt;0,0,VLOOKUP(TableWRRanks[[#This Row],[Player]],'Ranks w Proj'!$AE:$AO,11,FALSE))</f>
        <v>0</v>
      </c>
    </row>
    <row r="121" spans="8:20" x14ac:dyDescent="0.25">
      <c r="H121" s="58">
        <v>120</v>
      </c>
      <c r="I121" s="58" t="str">
        <f>IFERROR(INDEX(TableRBCalcPts[PLAYER],MATCH(TableRBRanks[[#This Row],[RK]],TableRBCalcPts[RK],0)),"")</f>
        <v/>
      </c>
      <c r="J121" s="58" t="str">
        <f>IFERROR(INDEX(TableRBCalcPts[TM],MATCH(TableRBRanks[[#This Row],[RK]],TableRBCalcPts[RK],0)),"")</f>
        <v/>
      </c>
      <c r="K121" s="58" t="str">
        <f>IFERROR(INDEX(TableRBCalcPts[BYE],MATCH(TableRBRanks[[#This Row],[RK]],TableRBCalcPts[RK],0)),"")</f>
        <v/>
      </c>
      <c r="L121" s="95" t="str">
        <f>IFERROR(INDEX(TableRBCalcPts[Custom],MATCH(TableRBRanks[[#This Row],[RK]],TableRBCalcPts[RK],0)),"")</f>
        <v/>
      </c>
      <c r="M121" s="140" t="str">
        <f>IF(VLOOKUP(TableRBRanks[[#This Row],[Player]],'Ranks w Proj'!$Q:$AB,12,FALSE)&lt;0,0,VLOOKUP(TableRBRanks[[#This Row],[Player]],'Ranks w Proj'!$Q:$AB,12,FALSE))</f>
        <v/>
      </c>
      <c r="O121" s="58">
        <v>120</v>
      </c>
      <c r="P121" s="58" t="str">
        <f>IFERROR(INDEX(TableWRCalcPts[PLAYER],MATCH(TableWRRanks[[#This Row],[RK]],TableWRCalcPts[RK],0)),"")</f>
        <v>Jalen Royals</v>
      </c>
      <c r="Q121" s="58" t="str">
        <f>IFERROR(INDEX(TableWRCalcPts[TM],MATCH(TableWRRanks[[#This Row],[RK]],TableWRCalcPts[RK],0)),"")</f>
        <v>KC</v>
      </c>
      <c r="R121" s="58">
        <f>IFERROR(INDEX(TableWRCalcPts[BYE],MATCH(TableWRRanks[[#This Row],[RK]],TableWRCalcPts[RK],0)),"")</f>
        <v>5</v>
      </c>
      <c r="S121" s="95">
        <f>IFERROR(INDEX(TableWRCalcPts[Custom],MATCH(TableWRRanks[[#This Row],[RK]],TableWRCalcPts[RK],0)),"")</f>
        <v>33.070103720230257</v>
      </c>
      <c r="T121" s="140">
        <f>IF(VLOOKUP(TableWRRanks[[#This Row],[Player]],'Ranks w Proj'!$AE:$AO,11,FALSE)&lt;0,0,VLOOKUP(TableWRRanks[[#This Row],[Player]],'Ranks w Proj'!$AE:$AO,11,FALSE))</f>
        <v>0</v>
      </c>
    </row>
    <row r="122" spans="8:20" x14ac:dyDescent="0.25">
      <c r="H122" s="58">
        <v>121</v>
      </c>
      <c r="I122" s="58" t="str">
        <f>IFERROR(INDEX(TableRBCalcPts[PLAYER],MATCH(TableRBRanks[[#This Row],[RK]],TableRBCalcPts[RK],0)),"")</f>
        <v/>
      </c>
      <c r="J122" s="58" t="str">
        <f>IFERROR(INDEX(TableRBCalcPts[TM],MATCH(TableRBRanks[[#This Row],[RK]],TableRBCalcPts[RK],0)),"")</f>
        <v/>
      </c>
      <c r="K122" s="58" t="str">
        <f>IFERROR(INDEX(TableRBCalcPts[BYE],MATCH(TableRBRanks[[#This Row],[RK]],TableRBCalcPts[RK],0)),"")</f>
        <v/>
      </c>
      <c r="L122" s="95" t="str">
        <f>IFERROR(INDEX(TableRBCalcPts[Custom],MATCH(TableRBRanks[[#This Row],[RK]],TableRBCalcPts[RK],0)),"")</f>
        <v/>
      </c>
      <c r="M122" s="140" t="str">
        <f>IF(VLOOKUP(TableRBRanks[[#This Row],[Player]],'Ranks w Proj'!$Q:$AB,12,FALSE)&lt;0,0,VLOOKUP(TableRBRanks[[#This Row],[Player]],'Ranks w Proj'!$Q:$AB,12,FALSE))</f>
        <v/>
      </c>
      <c r="O122" s="58">
        <v>121</v>
      </c>
      <c r="P122" s="58" t="str">
        <f>IFERROR(INDEX(TableWRCalcPts[PLAYER],MATCH(TableWRRanks[[#This Row],[RK]],TableWRCalcPts[RK],0)),"")</f>
        <v>Tutu Atwell</v>
      </c>
      <c r="Q122" s="58" t="str">
        <f>IFERROR(INDEX(TableWRCalcPts[TM],MATCH(TableWRRanks[[#This Row],[RK]],TableWRCalcPts[RK],0)),"")</f>
        <v>MIA</v>
      </c>
      <c r="R122" s="58">
        <f>IFERROR(INDEX(TableWRCalcPts[BYE],MATCH(TableWRRanks[[#This Row],[RK]],TableWRCalcPts[RK],0)),"")</f>
        <v>6</v>
      </c>
      <c r="S122" s="95">
        <f>IFERROR(INDEX(TableWRCalcPts[Custom],MATCH(TableWRRanks[[#This Row],[RK]],TableWRCalcPts[RK],0)),"")</f>
        <v>32.392578640116241</v>
      </c>
      <c r="T122" s="140">
        <f>IF(VLOOKUP(TableWRRanks[[#This Row],[Player]],'Ranks w Proj'!$AE:$AO,11,FALSE)&lt;0,0,VLOOKUP(TableWRRanks[[#This Row],[Player]],'Ranks w Proj'!$AE:$AO,11,FALSE))</f>
        <v>0</v>
      </c>
    </row>
    <row r="123" spans="8:20" x14ac:dyDescent="0.25">
      <c r="H123" s="58">
        <v>122</v>
      </c>
      <c r="I123" s="58" t="str">
        <f>IFERROR(INDEX(TableRBCalcPts[PLAYER],MATCH(TableRBRanks[[#This Row],[RK]],TableRBCalcPts[RK],0)),"")</f>
        <v/>
      </c>
      <c r="J123" s="58" t="str">
        <f>IFERROR(INDEX(TableRBCalcPts[TM],MATCH(TableRBRanks[[#This Row],[RK]],TableRBCalcPts[RK],0)),"")</f>
        <v/>
      </c>
      <c r="K123" s="58" t="str">
        <f>IFERROR(INDEX(TableRBCalcPts[BYE],MATCH(TableRBRanks[[#This Row],[RK]],TableRBCalcPts[RK],0)),"")</f>
        <v/>
      </c>
      <c r="L123" s="95" t="str">
        <f>IFERROR(INDEX(TableRBCalcPts[Custom],MATCH(TableRBRanks[[#This Row],[RK]],TableRBCalcPts[RK],0)),"")</f>
        <v/>
      </c>
      <c r="M123" s="140" t="str">
        <f>IF(VLOOKUP(TableRBRanks[[#This Row],[Player]],'Ranks w Proj'!$Q:$AB,12,FALSE)&lt;0,0,VLOOKUP(TableRBRanks[[#This Row],[Player]],'Ranks w Proj'!$Q:$AB,12,FALSE))</f>
        <v/>
      </c>
      <c r="O123" s="58">
        <v>122</v>
      </c>
      <c r="P123" s="58" t="str">
        <f>IFERROR(INDEX(TableWRCalcPts[PLAYER],MATCH(TableWRRanks[[#This Row],[RK]],TableWRCalcPts[RK],0)),"")</f>
        <v>Skyler Bell</v>
      </c>
      <c r="Q123" s="58" t="str">
        <f>IFERROR(INDEX(TableWRCalcPts[TM],MATCH(TableWRRanks[[#This Row],[RK]],TableWRCalcPts[RK],0)),"")</f>
        <v>BUF</v>
      </c>
      <c r="R123" s="58">
        <f>IFERROR(INDEX(TableWRCalcPts[BYE],MATCH(TableWRRanks[[#This Row],[RK]],TableWRCalcPts[RK],0)),"")</f>
        <v>7</v>
      </c>
      <c r="S123" s="95">
        <f>IFERROR(INDEX(TableWRCalcPts[Custom],MATCH(TableWRRanks[[#This Row],[RK]],TableWRCalcPts[RK],0)),"")</f>
        <v>28.439761475201344</v>
      </c>
      <c r="T123" s="140">
        <f>IF(VLOOKUP(TableWRRanks[[#This Row],[Player]],'Ranks w Proj'!$AE:$AO,11,FALSE)&lt;0,0,VLOOKUP(TableWRRanks[[#This Row],[Player]],'Ranks w Proj'!$AE:$AO,11,FALSE))</f>
        <v>0</v>
      </c>
    </row>
    <row r="124" spans="8:20" x14ac:dyDescent="0.25">
      <c r="H124" s="58">
        <v>123</v>
      </c>
      <c r="I124" s="58" t="str">
        <f>IFERROR(INDEX(TableRBCalcPts[PLAYER],MATCH(TableRBRanks[[#This Row],[RK]],TableRBCalcPts[RK],0)),"")</f>
        <v/>
      </c>
      <c r="J124" s="58" t="str">
        <f>IFERROR(INDEX(TableRBCalcPts[TM],MATCH(TableRBRanks[[#This Row],[RK]],TableRBCalcPts[RK],0)),"")</f>
        <v/>
      </c>
      <c r="K124" s="58" t="str">
        <f>IFERROR(INDEX(TableRBCalcPts[BYE],MATCH(TableRBRanks[[#This Row],[RK]],TableRBCalcPts[RK],0)),"")</f>
        <v/>
      </c>
      <c r="L124" s="95" t="str">
        <f>IFERROR(INDEX(TableRBCalcPts[Custom],MATCH(TableRBRanks[[#This Row],[RK]],TableRBCalcPts[RK],0)),"")</f>
        <v/>
      </c>
      <c r="M124" s="140" t="str">
        <f>IF(VLOOKUP(TableRBRanks[[#This Row],[Player]],'Ranks w Proj'!$Q:$AB,12,FALSE)&lt;0,0,VLOOKUP(TableRBRanks[[#This Row],[Player]],'Ranks w Proj'!$Q:$AB,12,FALSE))</f>
        <v/>
      </c>
      <c r="O124" s="58">
        <v>123</v>
      </c>
      <c r="P124" s="58" t="str">
        <f>IFERROR(INDEX(TableWRCalcPts[PLAYER],MATCH(TableWRRanks[[#This Row],[RK]],TableWRCalcPts[RK],0)),"")</f>
        <v>Hollywood Brown</v>
      </c>
      <c r="Q124" s="58" t="str">
        <f>IFERROR(INDEX(TableWRCalcPts[TM],MATCH(TableWRRanks[[#This Row],[RK]],TableWRCalcPts[RK],0)),"")</f>
        <v>PHI</v>
      </c>
      <c r="R124" s="58">
        <f>IFERROR(INDEX(TableWRCalcPts[BYE],MATCH(TableWRRanks[[#This Row],[RK]],TableWRCalcPts[RK],0)),"")</f>
        <v>10</v>
      </c>
      <c r="S124" s="95">
        <f>IFERROR(INDEX(TableWRCalcPts[Custom],MATCH(TableWRRanks[[#This Row],[RK]],TableWRCalcPts[RK],0)),"")</f>
        <v>27.400382337814349</v>
      </c>
      <c r="T124" s="140">
        <f>IF(VLOOKUP(TableWRRanks[[#This Row],[Player]],'Ranks w Proj'!$AE:$AO,11,FALSE)&lt;0,0,VLOOKUP(TableWRRanks[[#This Row],[Player]],'Ranks w Proj'!$AE:$AO,11,FALSE))</f>
        <v>0</v>
      </c>
    </row>
    <row r="125" spans="8:20" x14ac:dyDescent="0.25">
      <c r="H125" s="58">
        <v>124</v>
      </c>
      <c r="I125" s="58" t="str">
        <f>IFERROR(INDEX(TableRBCalcPts[PLAYER],MATCH(TableRBRanks[[#This Row],[RK]],TableRBCalcPts[RK],0)),"")</f>
        <v/>
      </c>
      <c r="J125" s="58" t="str">
        <f>IFERROR(INDEX(TableRBCalcPts[TM],MATCH(TableRBRanks[[#This Row],[RK]],TableRBCalcPts[RK],0)),"")</f>
        <v/>
      </c>
      <c r="K125" s="58" t="str">
        <f>IFERROR(INDEX(TableRBCalcPts[BYE],MATCH(TableRBRanks[[#This Row],[RK]],TableRBCalcPts[RK],0)),"")</f>
        <v/>
      </c>
      <c r="L125" s="95" t="str">
        <f>IFERROR(INDEX(TableRBCalcPts[Custom],MATCH(TableRBRanks[[#This Row],[RK]],TableRBCalcPts[RK],0)),"")</f>
        <v/>
      </c>
      <c r="M125" s="140" t="str">
        <f>IF(VLOOKUP(TableRBRanks[[#This Row],[Player]],'Ranks w Proj'!$Q:$AB,12,FALSE)&lt;0,0,VLOOKUP(TableRBRanks[[#This Row],[Player]],'Ranks w Proj'!$Q:$AB,12,FALSE))</f>
        <v/>
      </c>
      <c r="O125" s="58">
        <v>124</v>
      </c>
      <c r="P125" s="58" t="str">
        <f>IFERROR(INDEX(TableWRCalcPts[PLAYER],MATCH(TableWRRanks[[#This Row],[RK]],TableWRCalcPts[RK],0)),"")</f>
        <v>Brenen Thompson</v>
      </c>
      <c r="Q125" s="58" t="str">
        <f>IFERROR(INDEX(TableWRCalcPts[TM],MATCH(TableWRRanks[[#This Row],[RK]],TableWRCalcPts[RK],0)),"")</f>
        <v>LAC</v>
      </c>
      <c r="R125" s="58">
        <f>IFERROR(INDEX(TableWRCalcPts[BYE],MATCH(TableWRRanks[[#This Row],[RK]],TableWRCalcPts[RK],0)),"")</f>
        <v>7</v>
      </c>
      <c r="S125" s="95">
        <f>IFERROR(INDEX(TableWRCalcPts[Custom],MATCH(TableWRRanks[[#This Row],[RK]],TableWRCalcPts[RK],0)),"")</f>
        <v>26.470364031111</v>
      </c>
      <c r="T125" s="140">
        <f>IF(VLOOKUP(TableWRRanks[[#This Row],[Player]],'Ranks w Proj'!$AE:$AO,11,FALSE)&lt;0,0,VLOOKUP(TableWRRanks[[#This Row],[Player]],'Ranks w Proj'!$AE:$AO,11,FALSE))</f>
        <v>0</v>
      </c>
    </row>
    <row r="126" spans="8:20" x14ac:dyDescent="0.25">
      <c r="H126" s="58">
        <v>125</v>
      </c>
      <c r="I126" s="58" t="str">
        <f>IFERROR(INDEX(TableRBCalcPts[PLAYER],MATCH(TableRBRanks[[#This Row],[RK]],TableRBCalcPts[RK],0)),"")</f>
        <v/>
      </c>
      <c r="J126" s="58" t="str">
        <f>IFERROR(INDEX(TableRBCalcPts[TM],MATCH(TableRBRanks[[#This Row],[RK]],TableRBCalcPts[RK],0)),"")</f>
        <v/>
      </c>
      <c r="K126" s="58" t="str">
        <f>IFERROR(INDEX(TableRBCalcPts[BYE],MATCH(TableRBRanks[[#This Row],[RK]],TableRBCalcPts[RK],0)),"")</f>
        <v/>
      </c>
      <c r="L126" s="95" t="str">
        <f>IFERROR(INDEX(TableRBCalcPts[Custom],MATCH(TableRBRanks[[#This Row],[RK]],TableRBCalcPts[RK],0)),"")</f>
        <v/>
      </c>
      <c r="M126" s="140" t="str">
        <f>IF(VLOOKUP(TableRBRanks[[#This Row],[Player]],'Ranks w Proj'!$Q:$AB,12,FALSE)&lt;0,0,VLOOKUP(TableRBRanks[[#This Row],[Player]],'Ranks w Proj'!$Q:$AB,12,FALSE))</f>
        <v/>
      </c>
      <c r="O126" s="58">
        <v>125</v>
      </c>
      <c r="P126" s="58" t="str">
        <f>IFERROR(INDEX(TableWRCalcPts[PLAYER],MATCH(TableWRRanks[[#This Row],[RK]],TableWRCalcPts[RK],0)),"")</f>
        <v>Greg Dortch</v>
      </c>
      <c r="Q126" s="58" t="str">
        <f>IFERROR(INDEX(TableWRCalcPts[TM],MATCH(TableWRRanks[[#This Row],[RK]],TableWRCalcPts[RK],0)),"")</f>
        <v>DET</v>
      </c>
      <c r="R126" s="58">
        <f>IFERROR(INDEX(TableWRCalcPts[BYE],MATCH(TableWRRanks[[#This Row],[RK]],TableWRCalcPts[RK],0)),"")</f>
        <v>6</v>
      </c>
      <c r="S126" s="95">
        <f>IFERROR(INDEX(TableWRCalcPts[Custom],MATCH(TableWRRanks[[#This Row],[RK]],TableWRCalcPts[RK],0)),"")</f>
        <v>22.326040630091825</v>
      </c>
      <c r="T126" s="140">
        <f>IF(VLOOKUP(TableWRRanks[[#This Row],[Player]],'Ranks w Proj'!$AE:$AO,11,FALSE)&lt;0,0,VLOOKUP(TableWRRanks[[#This Row],[Player]],'Ranks w Proj'!$AE:$AO,11,FALSE))</f>
        <v>0</v>
      </c>
    </row>
    <row r="127" spans="8:20" x14ac:dyDescent="0.25">
      <c r="H127" s="58">
        <v>126</v>
      </c>
      <c r="I127" s="58" t="str">
        <f>IFERROR(INDEX(TableRBCalcPts[PLAYER],MATCH(TableRBRanks[[#This Row],[RK]],TableRBCalcPts[RK],0)),"")</f>
        <v/>
      </c>
      <c r="J127" s="58" t="str">
        <f>IFERROR(INDEX(TableRBCalcPts[TM],MATCH(TableRBRanks[[#This Row],[RK]],TableRBCalcPts[RK],0)),"")</f>
        <v/>
      </c>
      <c r="K127" s="58" t="str">
        <f>IFERROR(INDEX(TableRBCalcPts[BYE],MATCH(TableRBRanks[[#This Row],[RK]],TableRBCalcPts[RK],0)),"")</f>
        <v/>
      </c>
      <c r="L127" s="95" t="str">
        <f>IFERROR(INDEX(TableRBCalcPts[Custom],MATCH(TableRBRanks[[#This Row],[RK]],TableRBCalcPts[RK],0)),"")</f>
        <v/>
      </c>
      <c r="M127" s="140" t="str">
        <f>IF(VLOOKUP(TableRBRanks[[#This Row],[Player]],'Ranks w Proj'!$Q:$AB,12,FALSE)&lt;0,0,VLOOKUP(TableRBRanks[[#This Row],[Player]],'Ranks w Proj'!$Q:$AB,12,FALSE))</f>
        <v/>
      </c>
      <c r="O127" s="58">
        <v>126</v>
      </c>
      <c r="P127" s="58" t="str">
        <f>IFERROR(INDEX(TableWRCalcPts[PLAYER],MATCH(TableWRRanks[[#This Row],[RK]],TableWRCalcPts[RK],0)),"")</f>
        <v>Kevin Coleman</v>
      </c>
      <c r="Q127" s="58" t="str">
        <f>IFERROR(INDEX(TableWRCalcPts[TM],MATCH(TableWRRanks[[#This Row],[RK]],TableWRCalcPts[RK],0)),"")</f>
        <v>MIA</v>
      </c>
      <c r="R127" s="58">
        <f>IFERROR(INDEX(TableWRCalcPts[BYE],MATCH(TableWRRanks[[#This Row],[RK]],TableWRCalcPts[RK],0)),"")</f>
        <v>6</v>
      </c>
      <c r="S127" s="95">
        <f>IFERROR(INDEX(TableWRCalcPts[Custom],MATCH(TableWRRanks[[#This Row],[RK]],TableWRCalcPts[RK],0)),"")</f>
        <v>21.182855032088817</v>
      </c>
      <c r="T127" s="140">
        <f>IF(VLOOKUP(TableWRRanks[[#This Row],[Player]],'Ranks w Proj'!$AE:$AO,11,FALSE)&lt;0,0,VLOOKUP(TableWRRanks[[#This Row],[Player]],'Ranks w Proj'!$AE:$AO,11,FALSE))</f>
        <v>0</v>
      </c>
    </row>
    <row r="128" spans="8:20" x14ac:dyDescent="0.25">
      <c r="H128" s="58">
        <v>127</v>
      </c>
      <c r="I128" s="58" t="str">
        <f>IFERROR(INDEX(TableRBCalcPts[PLAYER],MATCH(TableRBRanks[[#This Row],[RK]],TableRBCalcPts[RK],0)),"")</f>
        <v/>
      </c>
      <c r="J128" s="58" t="str">
        <f>IFERROR(INDEX(TableRBCalcPts[TM],MATCH(TableRBRanks[[#This Row],[RK]],TableRBCalcPts[RK],0)),"")</f>
        <v/>
      </c>
      <c r="K128" s="58" t="str">
        <f>IFERROR(INDEX(TableRBCalcPts[BYE],MATCH(TableRBRanks[[#This Row],[RK]],TableRBCalcPts[RK],0)),"")</f>
        <v/>
      </c>
      <c r="L128" s="95" t="str">
        <f>IFERROR(INDEX(TableRBCalcPts[Custom],MATCH(TableRBRanks[[#This Row],[RK]],TableRBCalcPts[RK],0)),"")</f>
        <v/>
      </c>
      <c r="M128" s="140" t="str">
        <f>IF(VLOOKUP(TableRBRanks[[#This Row],[Player]],'Ranks w Proj'!$Q:$AB,12,FALSE)&lt;0,0,VLOOKUP(TableRBRanks[[#This Row],[Player]],'Ranks w Proj'!$Q:$AB,12,FALSE))</f>
        <v/>
      </c>
      <c r="O128" s="58">
        <v>127</v>
      </c>
      <c r="P128" s="58" t="str">
        <f>IFERROR(INDEX(TableWRCalcPts[PLAYER],MATCH(TableWRRanks[[#This Row],[RK]],TableWRCalcPts[RK],0)),"")</f>
        <v>Deion Burks</v>
      </c>
      <c r="Q128" s="58" t="str">
        <f>IFERROR(INDEX(TableWRCalcPts[TM],MATCH(TableWRRanks[[#This Row],[RK]],TableWRCalcPts[RK],0)),"")</f>
        <v>IND</v>
      </c>
      <c r="R128" s="58">
        <f>IFERROR(INDEX(TableWRCalcPts[BYE],MATCH(TableWRRanks[[#This Row],[RK]],TableWRCalcPts[RK],0)),"")</f>
        <v>13</v>
      </c>
      <c r="S128" s="95">
        <f>IFERROR(INDEX(TableWRCalcPts[Custom],MATCH(TableWRRanks[[#This Row],[RK]],TableWRCalcPts[RK],0)),"")</f>
        <v>20.528811020256004</v>
      </c>
      <c r="T128" s="140">
        <f>IF(VLOOKUP(TableWRRanks[[#This Row],[Player]],'Ranks w Proj'!$AE:$AO,11,FALSE)&lt;0,0,VLOOKUP(TableWRRanks[[#This Row],[Player]],'Ranks w Proj'!$AE:$AO,11,FALSE))</f>
        <v>0</v>
      </c>
    </row>
    <row r="129" spans="8:20" x14ac:dyDescent="0.25">
      <c r="H129" s="58">
        <v>128</v>
      </c>
      <c r="I129" s="58" t="str">
        <f>IFERROR(INDEX(TableRBCalcPts[PLAYER],MATCH(TableRBRanks[[#This Row],[RK]],TableRBCalcPts[RK],0)),"")</f>
        <v/>
      </c>
      <c r="J129" s="58" t="str">
        <f>IFERROR(INDEX(TableRBCalcPts[TM],MATCH(TableRBRanks[[#This Row],[RK]],TableRBCalcPts[RK],0)),"")</f>
        <v/>
      </c>
      <c r="K129" s="58" t="str">
        <f>IFERROR(INDEX(TableRBCalcPts[BYE],MATCH(TableRBRanks[[#This Row],[RK]],TableRBCalcPts[RK],0)),"")</f>
        <v/>
      </c>
      <c r="L129" s="95" t="str">
        <f>IFERROR(INDEX(TableRBCalcPts[Custom],MATCH(TableRBRanks[[#This Row],[RK]],TableRBCalcPts[RK],0)),"")</f>
        <v/>
      </c>
      <c r="M129" s="140" t="str">
        <f>IF(VLOOKUP(TableRBRanks[[#This Row],[Player]],'Ranks w Proj'!$Q:$AB,12,FALSE)&lt;0,0,VLOOKUP(TableRBRanks[[#This Row],[Player]],'Ranks w Proj'!$Q:$AB,12,FALSE))</f>
        <v/>
      </c>
      <c r="O129" s="58">
        <v>128</v>
      </c>
      <c r="P129" s="58" t="str">
        <f>IFERROR(INDEX(TableWRCalcPts[PLAYER],MATCH(TableWRRanks[[#This Row],[RK]],TableWRCalcPts[RK],0)),"")</f>
        <v>Jordan Whittington</v>
      </c>
      <c r="Q129" s="58" t="str">
        <f>IFERROR(INDEX(TableWRCalcPts[TM],MATCH(TableWRRanks[[#This Row],[RK]],TableWRCalcPts[RK],0)),"")</f>
        <v>LAR</v>
      </c>
      <c r="R129" s="58">
        <f>IFERROR(INDEX(TableWRCalcPts[BYE],MATCH(TableWRRanks[[#This Row],[RK]],TableWRCalcPts[RK],0)),"")</f>
        <v>11</v>
      </c>
      <c r="S129" s="95">
        <f>IFERROR(INDEX(TableWRCalcPts[Custom],MATCH(TableWRRanks[[#This Row],[RK]],TableWRCalcPts[RK],0)),"")</f>
        <v>20.472066670981437</v>
      </c>
      <c r="T129" s="140">
        <f>IF(VLOOKUP(TableWRRanks[[#This Row],[Player]],'Ranks w Proj'!$AE:$AO,11,FALSE)&lt;0,0,VLOOKUP(TableWRRanks[[#This Row],[Player]],'Ranks w Proj'!$AE:$AO,11,FALSE))</f>
        <v>0</v>
      </c>
    </row>
    <row r="130" spans="8:20" x14ac:dyDescent="0.25">
      <c r="H130" s="58">
        <v>129</v>
      </c>
      <c r="I130" s="58" t="str">
        <f>IFERROR(INDEX(TableRBCalcPts[PLAYER],MATCH(TableRBRanks[[#This Row],[RK]],TableRBCalcPts[RK],0)),"")</f>
        <v/>
      </c>
      <c r="J130" s="58" t="str">
        <f>IFERROR(INDEX(TableRBCalcPts[TM],MATCH(TableRBRanks[[#This Row],[RK]],TableRBCalcPts[RK],0)),"")</f>
        <v/>
      </c>
      <c r="K130" s="58" t="str">
        <f>IFERROR(INDEX(TableRBCalcPts[BYE],MATCH(TableRBRanks[[#This Row],[RK]],TableRBCalcPts[RK],0)),"")</f>
        <v/>
      </c>
      <c r="L130" s="95" t="str">
        <f>IFERROR(INDEX(TableRBCalcPts[Custom],MATCH(TableRBRanks[[#This Row],[RK]],TableRBCalcPts[RK],0)),"")</f>
        <v/>
      </c>
      <c r="M130" s="140" t="str">
        <f>IF(VLOOKUP(TableRBRanks[[#This Row],[Player]],'Ranks w Proj'!$Q:$AB,12,FALSE)&lt;0,0,VLOOKUP(TableRBRanks[[#This Row],[Player]],'Ranks w Proj'!$Q:$AB,12,FALSE))</f>
        <v/>
      </c>
      <c r="O130" s="58">
        <v>129</v>
      </c>
      <c r="P130" s="58" t="str">
        <f>IFERROR(INDEX(TableWRCalcPts[PLAYER],MATCH(TableWRRanks[[#This Row],[RK]],TableWRCalcPts[RK],0)),"")</f>
        <v>Bryce Lance</v>
      </c>
      <c r="Q130" s="58" t="str">
        <f>IFERROR(INDEX(TableWRCalcPts[TM],MATCH(TableWRRanks[[#This Row],[RK]],TableWRCalcPts[RK],0)),"")</f>
        <v>NO</v>
      </c>
      <c r="R130" s="58">
        <f>IFERROR(INDEX(TableWRCalcPts[BYE],MATCH(TableWRRanks[[#This Row],[RK]],TableWRCalcPts[RK],0)),"")</f>
        <v>8</v>
      </c>
      <c r="S130" s="95">
        <f>IFERROR(INDEX(TableWRCalcPts[Custom],MATCH(TableWRRanks[[#This Row],[RK]],TableWRCalcPts[RK],0)),"")</f>
        <v>20.315367916447233</v>
      </c>
      <c r="T130" s="140">
        <f>IF(VLOOKUP(TableWRRanks[[#This Row],[Player]],'Ranks w Proj'!$AE:$AO,11,FALSE)&lt;0,0,VLOOKUP(TableWRRanks[[#This Row],[Player]],'Ranks w Proj'!$AE:$AO,11,FALSE))</f>
        <v>0</v>
      </c>
    </row>
    <row r="131" spans="8:20" x14ac:dyDescent="0.25">
      <c r="H131" s="58">
        <v>130</v>
      </c>
      <c r="I131" s="58" t="str">
        <f>IFERROR(INDEX(TableRBCalcPts[PLAYER],MATCH(TableRBRanks[[#This Row],[RK]],TableRBCalcPts[RK],0)),"")</f>
        <v/>
      </c>
      <c r="J131" s="58" t="str">
        <f>IFERROR(INDEX(TableRBCalcPts[TM],MATCH(TableRBRanks[[#This Row],[RK]],TableRBCalcPts[RK],0)),"")</f>
        <v/>
      </c>
      <c r="K131" s="58" t="str">
        <f>IFERROR(INDEX(TableRBCalcPts[BYE],MATCH(TableRBRanks[[#This Row],[RK]],TableRBCalcPts[RK],0)),"")</f>
        <v/>
      </c>
      <c r="L131" s="95" t="str">
        <f>IFERROR(INDEX(TableRBCalcPts[Custom],MATCH(TableRBRanks[[#This Row],[RK]],TableRBCalcPts[RK],0)),"")</f>
        <v/>
      </c>
      <c r="M131" s="140" t="str">
        <f>IF(VLOOKUP(TableRBRanks[[#This Row],[Player]],'Ranks w Proj'!$Q:$AB,12,FALSE)&lt;0,0,VLOOKUP(TableRBRanks[[#This Row],[Player]],'Ranks w Proj'!$Q:$AB,12,FALSE))</f>
        <v/>
      </c>
      <c r="O131" s="58">
        <v>130</v>
      </c>
      <c r="P131" s="58" t="str">
        <f>IFERROR(INDEX(TableWRCalcPts[PLAYER],MATCH(TableWRRanks[[#This Row],[RK]],TableWRCalcPts[RK],0)),"")</f>
        <v>Chimere Dike</v>
      </c>
      <c r="Q131" s="58" t="str">
        <f>IFERROR(INDEX(TableWRCalcPts[TM],MATCH(TableWRRanks[[#This Row],[RK]],TableWRCalcPts[RK],0)),"")</f>
        <v>TEN</v>
      </c>
      <c r="R131" s="58">
        <f>IFERROR(INDEX(TableWRCalcPts[BYE],MATCH(TableWRRanks[[#This Row],[RK]],TableWRCalcPts[RK],0)),"")</f>
        <v>9</v>
      </c>
      <c r="S131" s="95">
        <f>IFERROR(INDEX(TableWRCalcPts[Custom],MATCH(TableWRRanks[[#This Row],[RK]],TableWRCalcPts[RK],0)),"")</f>
        <v>19.953913792414774</v>
      </c>
      <c r="T131" s="140">
        <f>IF(VLOOKUP(TableWRRanks[[#This Row],[Player]],'Ranks w Proj'!$AE:$AO,11,FALSE)&lt;0,0,VLOOKUP(TableWRRanks[[#This Row],[Player]],'Ranks w Proj'!$AE:$AO,11,FALSE))</f>
        <v>0</v>
      </c>
    </row>
    <row r="132" spans="8:20" x14ac:dyDescent="0.25">
      <c r="H132" s="58">
        <v>131</v>
      </c>
      <c r="I132" s="58" t="str">
        <f>IFERROR(INDEX(TableRBCalcPts[PLAYER],MATCH(TableRBRanks[[#This Row],[RK]],TableRBCalcPts[RK],0)),"")</f>
        <v/>
      </c>
      <c r="J132" s="58" t="str">
        <f>IFERROR(INDEX(TableRBCalcPts[TM],MATCH(TableRBRanks[[#This Row],[RK]],TableRBCalcPts[RK],0)),"")</f>
        <v/>
      </c>
      <c r="K132" s="58" t="str">
        <f>IFERROR(INDEX(TableRBCalcPts[BYE],MATCH(TableRBRanks[[#This Row],[RK]],TableRBCalcPts[RK],0)),"")</f>
        <v/>
      </c>
      <c r="L132" s="95" t="str">
        <f>IFERROR(INDEX(TableRBCalcPts[Custom],MATCH(TableRBRanks[[#This Row],[RK]],TableRBCalcPts[RK],0)),"")</f>
        <v/>
      </c>
      <c r="M132" s="140" t="str">
        <f>IF(VLOOKUP(TableRBRanks[[#This Row],[Player]],'Ranks w Proj'!$Q:$AB,12,FALSE)&lt;0,0,VLOOKUP(TableRBRanks[[#This Row],[Player]],'Ranks w Proj'!$Q:$AB,12,FALSE))</f>
        <v/>
      </c>
      <c r="O132" s="58">
        <v>131</v>
      </c>
      <c r="P132" s="58" t="str">
        <f>IFERROR(INDEX(TableWRCalcPts[PLAYER],MATCH(TableWRRanks[[#This Row],[RK]],TableWRCalcPts[RK],0)),"")</f>
        <v>Xavier Hutchinson</v>
      </c>
      <c r="Q132" s="58" t="str">
        <f>IFERROR(INDEX(TableWRCalcPts[TM],MATCH(TableWRRanks[[#This Row],[RK]],TableWRCalcPts[RK],0)),"")</f>
        <v>HOU</v>
      </c>
      <c r="R132" s="58">
        <f>IFERROR(INDEX(TableWRCalcPts[BYE],MATCH(TableWRRanks[[#This Row],[RK]],TableWRCalcPts[RK],0)),"")</f>
        <v>8</v>
      </c>
      <c r="S132" s="95">
        <f>IFERROR(INDEX(TableWRCalcPts[Custom],MATCH(TableWRRanks[[#This Row],[RK]],TableWRCalcPts[RK],0)),"")</f>
        <v>19.341758900520006</v>
      </c>
      <c r="T132" s="140">
        <f>IF(VLOOKUP(TableWRRanks[[#This Row],[Player]],'Ranks w Proj'!$AE:$AO,11,FALSE)&lt;0,0,VLOOKUP(TableWRRanks[[#This Row],[Player]],'Ranks w Proj'!$AE:$AO,11,FALSE))</f>
        <v>0</v>
      </c>
    </row>
    <row r="133" spans="8:20" x14ac:dyDescent="0.25">
      <c r="H133" s="58">
        <v>132</v>
      </c>
      <c r="I133" s="58" t="str">
        <f>IFERROR(INDEX(TableRBCalcPts[PLAYER],MATCH(TableRBRanks[[#This Row],[RK]],TableRBCalcPts[RK],0)),"")</f>
        <v/>
      </c>
      <c r="J133" s="58" t="str">
        <f>IFERROR(INDEX(TableRBCalcPts[TM],MATCH(TableRBRanks[[#This Row],[RK]],TableRBCalcPts[RK],0)),"")</f>
        <v/>
      </c>
      <c r="K133" s="58" t="str">
        <f>IFERROR(INDEX(TableRBCalcPts[BYE],MATCH(TableRBRanks[[#This Row],[RK]],TableRBCalcPts[RK],0)),"")</f>
        <v/>
      </c>
      <c r="L133" s="95" t="str">
        <f>IFERROR(INDEX(TableRBCalcPts[Custom],MATCH(TableRBRanks[[#This Row],[RK]],TableRBCalcPts[RK],0)),"")</f>
        <v/>
      </c>
      <c r="M133" s="140" t="str">
        <f>IF(VLOOKUP(TableRBRanks[[#This Row],[Player]],'Ranks w Proj'!$Q:$AB,12,FALSE)&lt;0,0,VLOOKUP(TableRBRanks[[#This Row],[Player]],'Ranks w Proj'!$Q:$AB,12,FALSE))</f>
        <v/>
      </c>
      <c r="O133" s="58">
        <v>132</v>
      </c>
      <c r="P133" s="58" t="str">
        <f>IFERROR(INDEX(TableWRCalcPts[PLAYER],MATCH(TableWRRanks[[#This Row],[RK]],TableWRCalcPts[RK],0)),"")</f>
        <v>Mitchell Tinsley</v>
      </c>
      <c r="Q133" s="58" t="str">
        <f>IFERROR(INDEX(TableWRCalcPts[TM],MATCH(TableWRRanks[[#This Row],[RK]],TableWRCalcPts[RK],0)),"")</f>
        <v>CIN</v>
      </c>
      <c r="R133" s="58">
        <f>IFERROR(INDEX(TableWRCalcPts[BYE],MATCH(TableWRRanks[[#This Row],[RK]],TableWRCalcPts[RK],0)),"")</f>
        <v>6</v>
      </c>
      <c r="S133" s="95">
        <f>IFERROR(INDEX(TableWRCalcPts[Custom],MATCH(TableWRRanks[[#This Row],[RK]],TableWRCalcPts[RK],0)),"")</f>
        <v>18.148756411178923</v>
      </c>
      <c r="T133" s="140">
        <f>IF(VLOOKUP(TableWRRanks[[#This Row],[Player]],'Ranks w Proj'!$AE:$AO,11,FALSE)&lt;0,0,VLOOKUP(TableWRRanks[[#This Row],[Player]],'Ranks w Proj'!$AE:$AO,11,FALSE))</f>
        <v>0</v>
      </c>
    </row>
    <row r="134" spans="8:20" x14ac:dyDescent="0.25">
      <c r="H134" s="58">
        <v>133</v>
      </c>
      <c r="I134" s="58" t="str">
        <f>IFERROR(INDEX(TableRBCalcPts[PLAYER],MATCH(TableRBRanks[[#This Row],[RK]],TableRBCalcPts[RK],0)),"")</f>
        <v/>
      </c>
      <c r="J134" s="58" t="str">
        <f>IFERROR(INDEX(TableRBCalcPts[TM],MATCH(TableRBRanks[[#This Row],[RK]],TableRBCalcPts[RK],0)),"")</f>
        <v/>
      </c>
      <c r="K134" s="58" t="str">
        <f>IFERROR(INDEX(TableRBCalcPts[BYE],MATCH(TableRBRanks[[#This Row],[RK]],TableRBCalcPts[RK],0)),"")</f>
        <v/>
      </c>
      <c r="L134" s="95" t="str">
        <f>IFERROR(INDEX(TableRBCalcPts[Custom],MATCH(TableRBRanks[[#This Row],[RK]],TableRBCalcPts[RK],0)),"")</f>
        <v/>
      </c>
      <c r="M134" s="140" t="str">
        <f>IF(VLOOKUP(TableRBRanks[[#This Row],[Player]],'Ranks w Proj'!$Q:$AB,12,FALSE)&lt;0,0,VLOOKUP(TableRBRanks[[#This Row],[Player]],'Ranks w Proj'!$Q:$AB,12,FALSE))</f>
        <v/>
      </c>
      <c r="O134" s="58">
        <v>133</v>
      </c>
      <c r="P134" s="58" t="str">
        <f>IFERROR(INDEX(TableWRCalcPts[PLAYER],MATCH(TableWRRanks[[#This Row],[RK]],TableWRCalcPts[RK],0)),"")</f>
        <v>Tim Patrick</v>
      </c>
      <c r="Q134" s="58" t="str">
        <f>IFERROR(INDEX(TableWRCalcPts[TM],MATCH(TableWRRanks[[#This Row],[RK]],TableWRCalcPts[RK],0)),"")</f>
        <v>NYJ</v>
      </c>
      <c r="R134" s="58">
        <f>IFERROR(INDEX(TableWRCalcPts[BYE],MATCH(TableWRRanks[[#This Row],[RK]],TableWRCalcPts[RK],0)),"")</f>
        <v>13</v>
      </c>
      <c r="S134" s="95">
        <f>IFERROR(INDEX(TableWRCalcPts[Custom],MATCH(TableWRRanks[[#This Row],[RK]],TableWRCalcPts[RK],0)),"")</f>
        <v>18.042811324773403</v>
      </c>
      <c r="T134" s="140">
        <f>IF(VLOOKUP(TableWRRanks[[#This Row],[Player]],'Ranks w Proj'!$AE:$AO,11,FALSE)&lt;0,0,VLOOKUP(TableWRRanks[[#This Row],[Player]],'Ranks w Proj'!$AE:$AO,11,FALSE))</f>
        <v>0</v>
      </c>
    </row>
    <row r="135" spans="8:20" x14ac:dyDescent="0.25">
      <c r="H135" s="58">
        <v>134</v>
      </c>
      <c r="I135" s="58" t="str">
        <f>IFERROR(INDEX(TableRBCalcPts[PLAYER],MATCH(TableRBRanks[[#This Row],[RK]],TableRBCalcPts[RK],0)),"")</f>
        <v/>
      </c>
      <c r="J135" s="58" t="str">
        <f>IFERROR(INDEX(TableRBCalcPts[TM],MATCH(TableRBRanks[[#This Row],[RK]],TableRBCalcPts[RK],0)),"")</f>
        <v/>
      </c>
      <c r="K135" s="58" t="str">
        <f>IFERROR(INDEX(TableRBCalcPts[BYE],MATCH(TableRBRanks[[#This Row],[RK]],TableRBCalcPts[RK],0)),"")</f>
        <v/>
      </c>
      <c r="L135" s="95" t="str">
        <f>IFERROR(INDEX(TableRBCalcPts[Custom],MATCH(TableRBRanks[[#This Row],[RK]],TableRBCalcPts[RK],0)),"")</f>
        <v/>
      </c>
      <c r="M135" s="140" t="str">
        <f>IF(VLOOKUP(TableRBRanks[[#This Row],[Player]],'Ranks w Proj'!$Q:$AB,12,FALSE)&lt;0,0,VLOOKUP(TableRBRanks[[#This Row],[Player]],'Ranks w Proj'!$Q:$AB,12,FALSE))</f>
        <v/>
      </c>
      <c r="O135" s="58">
        <v>134</v>
      </c>
      <c r="P135" s="58" t="str">
        <f>IFERROR(INDEX(TableWRCalcPts[PLAYER],MATCH(TableWRRanks[[#This Row],[RK]],TableWRCalcPts[RK],0)),"")</f>
        <v>Luke McCaffrey</v>
      </c>
      <c r="Q135" s="58" t="str">
        <f>IFERROR(INDEX(TableWRCalcPts[TM],MATCH(TableWRRanks[[#This Row],[RK]],TableWRCalcPts[RK],0)),"")</f>
        <v>WSH</v>
      </c>
      <c r="R135" s="58">
        <f>IFERROR(INDEX(TableWRCalcPts[BYE],MATCH(TableWRRanks[[#This Row],[RK]],TableWRCalcPts[RK],0)),"")</f>
        <v>7</v>
      </c>
      <c r="S135" s="95">
        <f>IFERROR(INDEX(TableWRCalcPts[Custom],MATCH(TableWRRanks[[#This Row],[RK]],TableWRCalcPts[RK],0)),"")</f>
        <v>16.997646659839997</v>
      </c>
      <c r="T135" s="140">
        <f>IF(VLOOKUP(TableWRRanks[[#This Row],[Player]],'Ranks w Proj'!$AE:$AO,11,FALSE)&lt;0,0,VLOOKUP(TableWRRanks[[#This Row],[Player]],'Ranks w Proj'!$AE:$AO,11,FALSE))</f>
        <v>0</v>
      </c>
    </row>
    <row r="136" spans="8:20" x14ac:dyDescent="0.25">
      <c r="H136" s="58">
        <v>135</v>
      </c>
      <c r="I136" s="58" t="str">
        <f>IFERROR(INDEX(TableRBCalcPts[PLAYER],MATCH(TableRBRanks[[#This Row],[RK]],TableRBCalcPts[RK],0)),"")</f>
        <v/>
      </c>
      <c r="J136" s="58" t="str">
        <f>IFERROR(INDEX(TableRBCalcPts[TM],MATCH(TableRBRanks[[#This Row],[RK]],TableRBCalcPts[RK],0)),"")</f>
        <v/>
      </c>
      <c r="K136" s="58" t="str">
        <f>IFERROR(INDEX(TableRBCalcPts[BYE],MATCH(TableRBRanks[[#This Row],[RK]],TableRBCalcPts[RK],0)),"")</f>
        <v/>
      </c>
      <c r="L136" s="95" t="str">
        <f>IFERROR(INDEX(TableRBCalcPts[Custom],MATCH(TableRBRanks[[#This Row],[RK]],TableRBCalcPts[RK],0)),"")</f>
        <v/>
      </c>
      <c r="M136" s="140" t="str">
        <f>IF(VLOOKUP(TableRBRanks[[#This Row],[Player]],'Ranks w Proj'!$Q:$AB,12,FALSE)&lt;0,0,VLOOKUP(TableRBRanks[[#This Row],[Player]],'Ranks w Proj'!$Q:$AB,12,FALSE))</f>
        <v/>
      </c>
      <c r="O136" s="58">
        <v>135</v>
      </c>
      <c r="P136" s="58" t="str">
        <f>IFERROR(INDEX(TableWRCalcPts[PLAYER],MATCH(TableWRRanks[[#This Row],[RK]],TableWRCalcPts[RK],0)),"")</f>
        <v>Xavier Smith</v>
      </c>
      <c r="Q136" s="58" t="str">
        <f>IFERROR(INDEX(TableWRCalcPts[TM],MATCH(TableWRRanks[[#This Row],[RK]],TableWRCalcPts[RK],0)),"")</f>
        <v>LAR</v>
      </c>
      <c r="R136" s="58">
        <f>IFERROR(INDEX(TableWRCalcPts[BYE],MATCH(TableWRRanks[[#This Row],[RK]],TableWRCalcPts[RK],0)),"")</f>
        <v>11</v>
      </c>
      <c r="S136" s="95">
        <f>IFERROR(INDEX(TableWRCalcPts[Custom],MATCH(TableWRRanks[[#This Row],[RK]],TableWRCalcPts[RK],0)),"")</f>
        <v>16.653893820591978</v>
      </c>
      <c r="T136" s="140">
        <f>IF(VLOOKUP(TableWRRanks[[#This Row],[Player]],'Ranks w Proj'!$AE:$AO,11,FALSE)&lt;0,0,VLOOKUP(TableWRRanks[[#This Row],[Player]],'Ranks w Proj'!$AE:$AO,11,FALSE))</f>
        <v>0</v>
      </c>
    </row>
    <row r="137" spans="8:20" x14ac:dyDescent="0.25">
      <c r="H137" s="58">
        <v>136</v>
      </c>
      <c r="I137" s="58" t="str">
        <f>IFERROR(INDEX(TableRBCalcPts[PLAYER],MATCH(TableRBRanks[[#This Row],[RK]],TableRBCalcPts[RK],0)),"")</f>
        <v/>
      </c>
      <c r="J137" s="58" t="str">
        <f>IFERROR(INDEX(TableRBCalcPts[TM],MATCH(TableRBRanks[[#This Row],[RK]],TableRBCalcPts[RK],0)),"")</f>
        <v/>
      </c>
      <c r="K137" s="58" t="str">
        <f>IFERROR(INDEX(TableRBCalcPts[BYE],MATCH(TableRBRanks[[#This Row],[RK]],TableRBCalcPts[RK],0)),"")</f>
        <v/>
      </c>
      <c r="L137" s="95" t="str">
        <f>IFERROR(INDEX(TableRBCalcPts[Custom],MATCH(TableRBRanks[[#This Row],[RK]],TableRBCalcPts[RK],0)),"")</f>
        <v/>
      </c>
      <c r="M137" s="140" t="str">
        <f>IF(VLOOKUP(TableRBRanks[[#This Row],[Player]],'Ranks w Proj'!$Q:$AB,12,FALSE)&lt;0,0,VLOOKUP(TableRBRanks[[#This Row],[Player]],'Ranks w Proj'!$Q:$AB,12,FALSE))</f>
        <v/>
      </c>
      <c r="O137" s="58">
        <v>136</v>
      </c>
      <c r="P137" s="58" t="str">
        <f>IFERROR(INDEX(TableWRCalcPts[PLAYER],MATCH(TableWRRanks[[#This Row],[RK]],TableWRCalcPts[RK],0)),"")</f>
        <v>Ashton Dulin</v>
      </c>
      <c r="Q137" s="58" t="str">
        <f>IFERROR(INDEX(TableWRCalcPts[TM],MATCH(TableWRRanks[[#This Row],[RK]],TableWRCalcPts[RK],0)),"")</f>
        <v>IND</v>
      </c>
      <c r="R137" s="58">
        <f>IFERROR(INDEX(TableWRCalcPts[BYE],MATCH(TableWRRanks[[#This Row],[RK]],TableWRCalcPts[RK],0)),"")</f>
        <v>13</v>
      </c>
      <c r="S137" s="95">
        <f>IFERROR(INDEX(TableWRCalcPts[Custom],MATCH(TableWRRanks[[#This Row],[RK]],TableWRCalcPts[RK],0)),"")</f>
        <v>15.8948597865901</v>
      </c>
      <c r="T137" s="140">
        <f>IF(VLOOKUP(TableWRRanks[[#This Row],[Player]],'Ranks w Proj'!$AE:$AO,11,FALSE)&lt;0,0,VLOOKUP(TableWRRanks[[#This Row],[Player]],'Ranks w Proj'!$AE:$AO,11,FALSE))</f>
        <v>0</v>
      </c>
    </row>
    <row r="138" spans="8:20" x14ac:dyDescent="0.25">
      <c r="H138" s="58">
        <v>137</v>
      </c>
      <c r="I138" s="58" t="str">
        <f>IFERROR(INDEX(TableRBCalcPts[PLAYER],MATCH(TableRBRanks[[#This Row],[RK]],TableRBCalcPts[RK],0)),"")</f>
        <v/>
      </c>
      <c r="J138" s="58" t="str">
        <f>IFERROR(INDEX(TableRBCalcPts[TM],MATCH(TableRBRanks[[#This Row],[RK]],TableRBCalcPts[RK],0)),"")</f>
        <v/>
      </c>
      <c r="K138" s="58" t="str">
        <f>IFERROR(INDEX(TableRBCalcPts[BYE],MATCH(TableRBRanks[[#This Row],[RK]],TableRBCalcPts[RK],0)),"")</f>
        <v/>
      </c>
      <c r="L138" s="95" t="str">
        <f>IFERROR(INDEX(TableRBCalcPts[Custom],MATCH(TableRBRanks[[#This Row],[RK]],TableRBCalcPts[RK],0)),"")</f>
        <v/>
      </c>
      <c r="M138" s="140" t="str">
        <f>IF(VLOOKUP(TableRBRanks[[#This Row],[Player]],'Ranks w Proj'!$Q:$AB,12,FALSE)&lt;0,0,VLOOKUP(TableRBRanks[[#This Row],[Player]],'Ranks w Proj'!$Q:$AB,12,FALSE))</f>
        <v/>
      </c>
      <c r="O138" s="58">
        <v>137</v>
      </c>
      <c r="P138" s="58" t="str">
        <f>IFERROR(INDEX(TableWRCalcPts[PLAYER],MATCH(TableWRRanks[[#This Row],[RK]],TableWRCalcPts[RK],0)),"")</f>
        <v>Ben Skowronek</v>
      </c>
      <c r="Q138" s="58" t="str">
        <f>IFERROR(INDEX(TableWRCalcPts[TM],MATCH(TableWRRanks[[#This Row],[RK]],TableWRCalcPts[RK],0)),"")</f>
        <v>PIT</v>
      </c>
      <c r="R138" s="58">
        <f>IFERROR(INDEX(TableWRCalcPts[BYE],MATCH(TableWRRanks[[#This Row],[RK]],TableWRCalcPts[RK],0)),"")</f>
        <v>9</v>
      </c>
      <c r="S138" s="95">
        <f>IFERROR(INDEX(TableWRCalcPts[Custom],MATCH(TableWRRanks[[#This Row],[RK]],TableWRCalcPts[RK],0)),"")</f>
        <v>14.542424820000003</v>
      </c>
      <c r="T138" s="140">
        <f>IF(VLOOKUP(TableWRRanks[[#This Row],[Player]],'Ranks w Proj'!$AE:$AO,11,FALSE)&lt;0,0,VLOOKUP(TableWRRanks[[#This Row],[Player]],'Ranks w Proj'!$AE:$AO,11,FALSE))</f>
        <v>0</v>
      </c>
    </row>
    <row r="139" spans="8:20" x14ac:dyDescent="0.25">
      <c r="H139" s="58">
        <v>138</v>
      </c>
      <c r="I139" s="58" t="str">
        <f>IFERROR(INDEX(TableRBCalcPts[PLAYER],MATCH(TableRBRanks[[#This Row],[RK]],TableRBCalcPts[RK],0)),"")</f>
        <v/>
      </c>
      <c r="J139" s="58" t="str">
        <f>IFERROR(INDEX(TableRBCalcPts[TM],MATCH(TableRBRanks[[#This Row],[RK]],TableRBCalcPts[RK],0)),"")</f>
        <v/>
      </c>
      <c r="K139" s="58" t="str">
        <f>IFERROR(INDEX(TableRBCalcPts[BYE],MATCH(TableRBRanks[[#This Row],[RK]],TableRBCalcPts[RK],0)),"")</f>
        <v/>
      </c>
      <c r="L139" s="95" t="str">
        <f>IFERROR(INDEX(TableRBCalcPts[Custom],MATCH(TableRBRanks[[#This Row],[RK]],TableRBCalcPts[RK],0)),"")</f>
        <v/>
      </c>
      <c r="M139" s="140" t="str">
        <f>IF(VLOOKUP(TableRBRanks[[#This Row],[Player]],'Ranks w Proj'!$Q:$AB,12,FALSE)&lt;0,0,VLOOKUP(TableRBRanks[[#This Row],[Player]],'Ranks w Proj'!$Q:$AB,12,FALSE))</f>
        <v/>
      </c>
      <c r="O139" s="58">
        <v>138</v>
      </c>
      <c r="P139" s="58" t="str">
        <f>IFERROR(INDEX(TableWRCalcPts[PLAYER],MATCH(TableWRRanks[[#This Row],[RK]],TableWRCalcPts[RK],0)),"")</f>
        <v>Elijah Moore</v>
      </c>
      <c r="Q139" s="58" t="str">
        <f>IFERROR(INDEX(TableWRCalcPts[TM],MATCH(TableWRRanks[[#This Row],[RK]],TableWRCalcPts[RK],0)),"")</f>
        <v>PHI</v>
      </c>
      <c r="R139" s="58">
        <f>IFERROR(INDEX(TableWRCalcPts[BYE],MATCH(TableWRRanks[[#This Row],[RK]],TableWRCalcPts[RK],0)),"")</f>
        <v>10</v>
      </c>
      <c r="S139" s="95">
        <f>IFERROR(INDEX(TableWRCalcPts[Custom],MATCH(TableWRRanks[[#This Row],[RK]],TableWRCalcPts[RK],0)),"")</f>
        <v>14.119421015700002</v>
      </c>
      <c r="T139" s="140">
        <f>IF(VLOOKUP(TableWRRanks[[#This Row],[Player]],'Ranks w Proj'!$AE:$AO,11,FALSE)&lt;0,0,VLOOKUP(TableWRRanks[[#This Row],[Player]],'Ranks w Proj'!$AE:$AO,11,FALSE))</f>
        <v>0</v>
      </c>
    </row>
    <row r="140" spans="8:20" x14ac:dyDescent="0.25">
      <c r="H140" s="58">
        <v>139</v>
      </c>
      <c r="I140" s="58" t="str">
        <f>IFERROR(INDEX(TableRBCalcPts[PLAYER],MATCH(TableRBRanks[[#This Row],[RK]],TableRBCalcPts[RK],0)),"")</f>
        <v/>
      </c>
      <c r="J140" s="58" t="str">
        <f>IFERROR(INDEX(TableRBCalcPts[TM],MATCH(TableRBRanks[[#This Row],[RK]],TableRBCalcPts[RK],0)),"")</f>
        <v/>
      </c>
      <c r="K140" s="58" t="str">
        <f>IFERROR(INDEX(TableRBCalcPts[BYE],MATCH(TableRBRanks[[#This Row],[RK]],TableRBCalcPts[RK],0)),"")</f>
        <v/>
      </c>
      <c r="L140" s="95" t="str">
        <f>IFERROR(INDEX(TableRBCalcPts[Custom],MATCH(TableRBRanks[[#This Row],[RK]],TableRBCalcPts[RK],0)),"")</f>
        <v/>
      </c>
      <c r="M140" s="140" t="str">
        <f>IF(VLOOKUP(TableRBRanks[[#This Row],[Player]],'Ranks w Proj'!$Q:$AB,12,FALSE)&lt;0,0,VLOOKUP(TableRBRanks[[#This Row],[Player]],'Ranks w Proj'!$Q:$AB,12,FALSE))</f>
        <v/>
      </c>
      <c r="O140" s="58">
        <v>139</v>
      </c>
      <c r="P140" s="58" t="str">
        <f>IFERROR(INDEX(TableWRCalcPts[PLAYER],MATCH(TableWRRanks[[#This Row],[RK]],TableWRCalcPts[RK],0)),"")</f>
        <v>Zavion Thomas</v>
      </c>
      <c r="Q140" s="58" t="str">
        <f>IFERROR(INDEX(TableWRCalcPts[TM],MATCH(TableWRRanks[[#This Row],[RK]],TableWRCalcPts[RK],0)),"")</f>
        <v>CHI</v>
      </c>
      <c r="R140" s="58">
        <f>IFERROR(INDEX(TableWRCalcPts[BYE],MATCH(TableWRRanks[[#This Row],[RK]],TableWRCalcPts[RK],0)),"")</f>
        <v>10</v>
      </c>
      <c r="S140" s="95">
        <f>IFERROR(INDEX(TableWRCalcPts[Custom],MATCH(TableWRRanks[[#This Row],[RK]],TableWRCalcPts[RK],0)),"")</f>
        <v>13.443018380953294</v>
      </c>
      <c r="T140" s="140">
        <f>IF(VLOOKUP(TableWRRanks[[#This Row],[Player]],'Ranks w Proj'!$AE:$AO,11,FALSE)&lt;0,0,VLOOKUP(TableWRRanks[[#This Row],[Player]],'Ranks w Proj'!$AE:$AO,11,FALSE))</f>
        <v>0</v>
      </c>
    </row>
    <row r="141" spans="8:20" x14ac:dyDescent="0.25">
      <c r="H141" s="58">
        <v>140</v>
      </c>
      <c r="I141" s="58" t="str">
        <f>IFERROR(INDEX(TableRBCalcPts[PLAYER],MATCH(TableRBRanks[[#This Row],[RK]],TableRBCalcPts[RK],0)),"")</f>
        <v/>
      </c>
      <c r="J141" s="58" t="str">
        <f>IFERROR(INDEX(TableRBCalcPts[TM],MATCH(TableRBRanks[[#This Row],[RK]],TableRBCalcPts[RK],0)),"")</f>
        <v/>
      </c>
      <c r="K141" s="58" t="str">
        <f>IFERROR(INDEX(TableRBCalcPts[BYE],MATCH(TableRBRanks[[#This Row],[RK]],TableRBCalcPts[RK],0)),"")</f>
        <v/>
      </c>
      <c r="L141" s="95" t="str">
        <f>IFERROR(INDEX(TableRBCalcPts[Custom],MATCH(TableRBRanks[[#This Row],[RK]],TableRBCalcPts[RK],0)),"")</f>
        <v/>
      </c>
      <c r="M141" s="140" t="str">
        <f>IF(VLOOKUP(TableRBRanks[[#This Row],[Player]],'Ranks w Proj'!$Q:$AB,12,FALSE)&lt;0,0,VLOOKUP(TableRBRanks[[#This Row],[Player]],'Ranks w Proj'!$Q:$AB,12,FALSE))</f>
        <v/>
      </c>
      <c r="O141" s="58">
        <v>140</v>
      </c>
      <c r="P141" s="58" t="str">
        <f>IFERROR(INDEX(TableWRCalcPts[PLAYER],MATCH(TableWRRanks[[#This Row],[RK]],TableWRCalcPts[RK],0)),"")</f>
        <v>Dermarcus Robinson</v>
      </c>
      <c r="Q141" s="58" t="str">
        <f>IFERROR(INDEX(TableWRCalcPts[TM],MATCH(TableWRRanks[[#This Row],[RK]],TableWRCalcPts[RK],0)),"")</f>
        <v>SF</v>
      </c>
      <c r="R141" s="58">
        <f>IFERROR(INDEX(TableWRCalcPts[BYE],MATCH(TableWRRanks[[#This Row],[RK]],TableWRCalcPts[RK],0)),"")</f>
        <v>8</v>
      </c>
      <c r="S141" s="95">
        <f>IFERROR(INDEX(TableWRCalcPts[Custom],MATCH(TableWRRanks[[#This Row],[RK]],TableWRCalcPts[RK],0)),"")</f>
        <v>13.142608134655999</v>
      </c>
      <c r="T141" s="140">
        <f>IF(VLOOKUP(TableWRRanks[[#This Row],[Player]],'Ranks w Proj'!$AE:$AO,11,FALSE)&lt;0,0,VLOOKUP(TableWRRanks[[#This Row],[Player]],'Ranks w Proj'!$AE:$AO,11,FALSE))</f>
        <v>0</v>
      </c>
    </row>
    <row r="142" spans="8:20" x14ac:dyDescent="0.25">
      <c r="H142" s="58">
        <v>141</v>
      </c>
      <c r="I142" s="58" t="str">
        <f>IFERROR(INDEX(TableRBCalcPts[PLAYER],MATCH(TableRBRanks[[#This Row],[RK]],TableRBCalcPts[RK],0)),"")</f>
        <v/>
      </c>
      <c r="J142" s="58" t="str">
        <f>IFERROR(INDEX(TableRBCalcPts[TM],MATCH(TableRBRanks[[#This Row],[RK]],TableRBCalcPts[RK],0)),"")</f>
        <v/>
      </c>
      <c r="K142" s="58" t="str">
        <f>IFERROR(INDEX(TableRBCalcPts[BYE],MATCH(TableRBRanks[[#This Row],[RK]],TableRBCalcPts[RK],0)),"")</f>
        <v/>
      </c>
      <c r="L142" s="95" t="str">
        <f>IFERROR(INDEX(TableRBCalcPts[Custom],MATCH(TableRBRanks[[#This Row],[RK]],TableRBCalcPts[RK],0)),"")</f>
        <v/>
      </c>
      <c r="M142" s="140" t="str">
        <f>IF(VLOOKUP(TableRBRanks[[#This Row],[Player]],'Ranks w Proj'!$Q:$AB,12,FALSE)&lt;0,0,VLOOKUP(TableRBRanks[[#This Row],[Player]],'Ranks w Proj'!$Q:$AB,12,FALSE))</f>
        <v/>
      </c>
      <c r="O142" s="58">
        <v>141</v>
      </c>
      <c r="P142" s="58" t="str">
        <f>IFERROR(INDEX(TableWRCalcPts[PLAYER],MATCH(TableWRRanks[[#This Row],[RK]],TableWRCalcPts[RK],0)),"")</f>
        <v>KeAndre Lambert-Smith</v>
      </c>
      <c r="Q142" s="58" t="str">
        <f>IFERROR(INDEX(TableWRCalcPts[TM],MATCH(TableWRRanks[[#This Row],[RK]],TableWRCalcPts[RK],0)),"")</f>
        <v>LAC</v>
      </c>
      <c r="R142" s="58">
        <f>IFERROR(INDEX(TableWRCalcPts[BYE],MATCH(TableWRRanks[[#This Row],[RK]],TableWRCalcPts[RK],0)),"")</f>
        <v>7</v>
      </c>
      <c r="S142" s="95">
        <f>IFERROR(INDEX(TableWRCalcPts[Custom],MATCH(TableWRRanks[[#This Row],[RK]],TableWRCalcPts[RK],0)),"")</f>
        <v>12.662289954847298</v>
      </c>
      <c r="T142" s="140">
        <f>IF(VLOOKUP(TableWRRanks[[#This Row],[Player]],'Ranks w Proj'!$AE:$AO,11,FALSE)&lt;0,0,VLOOKUP(TableWRRanks[[#This Row],[Player]],'Ranks w Proj'!$AE:$AO,11,FALSE))</f>
        <v>0</v>
      </c>
    </row>
    <row r="143" spans="8:20" x14ac:dyDescent="0.25">
      <c r="H143" s="58">
        <v>142</v>
      </c>
      <c r="I143" s="58" t="str">
        <f>IFERROR(INDEX(TableRBCalcPts[PLAYER],MATCH(TableRBRanks[[#This Row],[RK]],TableRBCalcPts[RK],0)),"")</f>
        <v/>
      </c>
      <c r="J143" s="58" t="str">
        <f>IFERROR(INDEX(TableRBCalcPts[TM],MATCH(TableRBRanks[[#This Row],[RK]],TableRBCalcPts[RK],0)),"")</f>
        <v/>
      </c>
      <c r="K143" s="58" t="str">
        <f>IFERROR(INDEX(TableRBCalcPts[BYE],MATCH(TableRBRanks[[#This Row],[RK]],TableRBCalcPts[RK],0)),"")</f>
        <v/>
      </c>
      <c r="L143" s="95" t="str">
        <f>IFERROR(INDEX(TableRBCalcPts[Custom],MATCH(TableRBRanks[[#This Row],[RK]],TableRBCalcPts[RK],0)),"")</f>
        <v/>
      </c>
      <c r="M143" s="140" t="str">
        <f>IF(VLOOKUP(TableRBRanks[[#This Row],[Player]],'Ranks w Proj'!$Q:$AB,12,FALSE)&lt;0,0,VLOOKUP(TableRBRanks[[#This Row],[Player]],'Ranks w Proj'!$Q:$AB,12,FALSE))</f>
        <v/>
      </c>
      <c r="O143" s="58">
        <v>142</v>
      </c>
      <c r="P143" s="58" t="str">
        <f>IFERROR(INDEX(TableWRCalcPts[PLAYER],MATCH(TableWRRanks[[#This Row],[RK]],TableWRCalcPts[RK],0)),"")</f>
        <v>Calvin Austin</v>
      </c>
      <c r="Q143" s="58" t="str">
        <f>IFERROR(INDEX(TableWRCalcPts[TM],MATCH(TableWRRanks[[#This Row],[RK]],TableWRCalcPts[RK],0)),"")</f>
        <v>NYG</v>
      </c>
      <c r="R143" s="58">
        <f>IFERROR(INDEX(TableWRCalcPts[BYE],MATCH(TableWRRanks[[#This Row],[RK]],TableWRCalcPts[RK],0)),"")</f>
        <v>8</v>
      </c>
      <c r="S143" s="95">
        <f>IFERROR(INDEX(TableWRCalcPts[Custom],MATCH(TableWRRanks[[#This Row],[RK]],TableWRCalcPts[RK],0)),"")</f>
        <v>12.083934808922724</v>
      </c>
      <c r="T143" s="140">
        <f>IF(VLOOKUP(TableWRRanks[[#This Row],[Player]],'Ranks w Proj'!$AE:$AO,11,FALSE)&lt;0,0,VLOOKUP(TableWRRanks[[#This Row],[Player]],'Ranks w Proj'!$AE:$AO,11,FALSE))</f>
        <v>0</v>
      </c>
    </row>
    <row r="144" spans="8:20" x14ac:dyDescent="0.25">
      <c r="H144" s="58">
        <v>143</v>
      </c>
      <c r="I144" s="58" t="str">
        <f>IFERROR(INDEX(TableRBCalcPts[PLAYER],MATCH(TableRBRanks[[#This Row],[RK]],TableRBCalcPts[RK],0)),"")</f>
        <v/>
      </c>
      <c r="J144" s="58" t="str">
        <f>IFERROR(INDEX(TableRBCalcPts[TM],MATCH(TableRBRanks[[#This Row],[RK]],TableRBCalcPts[RK],0)),"")</f>
        <v/>
      </c>
      <c r="K144" s="58" t="str">
        <f>IFERROR(INDEX(TableRBCalcPts[BYE],MATCH(TableRBRanks[[#This Row],[RK]],TableRBCalcPts[RK],0)),"")</f>
        <v/>
      </c>
      <c r="L144" s="95" t="str">
        <f>IFERROR(INDEX(TableRBCalcPts[Custom],MATCH(TableRBRanks[[#This Row],[RK]],TableRBCalcPts[RK],0)),"")</f>
        <v/>
      </c>
      <c r="M144" s="140" t="str">
        <f>IF(VLOOKUP(TableRBRanks[[#This Row],[Player]],'Ranks w Proj'!$Q:$AB,12,FALSE)&lt;0,0,VLOOKUP(TableRBRanks[[#This Row],[Player]],'Ranks w Proj'!$Q:$AB,12,FALSE))</f>
        <v/>
      </c>
      <c r="O144" s="58">
        <v>143</v>
      </c>
      <c r="P144" s="58" t="str">
        <f>IFERROR(INDEX(TableWRCalcPts[PLAYER],MATCH(TableWRRanks[[#This Row],[RK]],TableWRCalcPts[RK],0)),"")</f>
        <v>Tez Johnson</v>
      </c>
      <c r="Q144" s="58" t="str">
        <f>IFERROR(INDEX(TableWRCalcPts[TM],MATCH(TableWRRanks[[#This Row],[RK]],TableWRCalcPts[RK],0)),"")</f>
        <v>TB</v>
      </c>
      <c r="R144" s="58">
        <f>IFERROR(INDEX(TableWRCalcPts[BYE],MATCH(TableWRRanks[[#This Row],[RK]],TableWRCalcPts[RK],0)),"")</f>
        <v>10</v>
      </c>
      <c r="S144" s="95">
        <f>IFERROR(INDEX(TableWRCalcPts[Custom],MATCH(TableWRRanks[[#This Row],[RK]],TableWRCalcPts[RK],0)),"")</f>
        <v>11.598759577124993</v>
      </c>
      <c r="T144" s="140">
        <f>IF(VLOOKUP(TableWRRanks[[#This Row],[Player]],'Ranks w Proj'!$AE:$AO,11,FALSE)&lt;0,0,VLOOKUP(TableWRRanks[[#This Row],[Player]],'Ranks w Proj'!$AE:$AO,11,FALSE))</f>
        <v>0</v>
      </c>
    </row>
    <row r="145" spans="8:20" x14ac:dyDescent="0.25">
      <c r="H145" s="58">
        <v>144</v>
      </c>
      <c r="I145" s="58" t="str">
        <f>IFERROR(INDEX(TableRBCalcPts[PLAYER],MATCH(TableRBRanks[[#This Row],[RK]],TableRBCalcPts[RK],0)),"")</f>
        <v/>
      </c>
      <c r="J145" s="58" t="str">
        <f>IFERROR(INDEX(TableRBCalcPts[TM],MATCH(TableRBRanks[[#This Row],[RK]],TableRBCalcPts[RK],0)),"")</f>
        <v/>
      </c>
      <c r="K145" s="58" t="str">
        <f>IFERROR(INDEX(TableRBCalcPts[BYE],MATCH(TableRBRanks[[#This Row],[RK]],TableRBCalcPts[RK],0)),"")</f>
        <v/>
      </c>
      <c r="L145" s="95" t="str">
        <f>IFERROR(INDEX(TableRBCalcPts[Custom],MATCH(TableRBRanks[[#This Row],[RK]],TableRBCalcPts[RK],0)),"")</f>
        <v/>
      </c>
      <c r="M145" s="140" t="str">
        <f>IF(VLOOKUP(TableRBRanks[[#This Row],[Player]],'Ranks w Proj'!$Q:$AB,12,FALSE)&lt;0,0,VLOOKUP(TableRBRanks[[#This Row],[Player]],'Ranks w Proj'!$Q:$AB,12,FALSE))</f>
        <v/>
      </c>
      <c r="O145" s="58">
        <v>144</v>
      </c>
      <c r="P145" s="58" t="str">
        <f>IFERROR(INDEX(TableWRCalcPts[PLAYER],MATCH(TableWRRanks[[#This Row],[RK]],TableWRCalcPts[RK],0)),"")</f>
        <v>Charlie Jones</v>
      </c>
      <c r="Q145" s="58" t="str">
        <f>IFERROR(INDEX(TableWRCalcPts[TM],MATCH(TableWRRanks[[#This Row],[RK]],TableWRCalcPts[RK],0)),"")</f>
        <v>CIN</v>
      </c>
      <c r="R145" s="58">
        <f>IFERROR(INDEX(TableWRCalcPts[BYE],MATCH(TableWRRanks[[#This Row],[RK]],TableWRCalcPts[RK],0)),"")</f>
        <v>6</v>
      </c>
      <c r="S145" s="95">
        <f>IFERROR(INDEX(TableWRCalcPts[Custom],MATCH(TableWRRanks[[#This Row],[RK]],TableWRCalcPts[RK],0)),"")</f>
        <v>11.123085750000001</v>
      </c>
      <c r="T145" s="140">
        <f>IF(VLOOKUP(TableWRRanks[[#This Row],[Player]],'Ranks w Proj'!$AE:$AO,11,FALSE)&lt;0,0,VLOOKUP(TableWRRanks[[#This Row],[Player]],'Ranks w Proj'!$AE:$AO,11,FALSE))</f>
        <v>0</v>
      </c>
    </row>
    <row r="146" spans="8:20" x14ac:dyDescent="0.25">
      <c r="H146" s="58">
        <v>145</v>
      </c>
      <c r="I146" s="58" t="str">
        <f>IFERROR(INDEX(TableRBCalcPts[PLAYER],MATCH(TableRBRanks[[#This Row],[RK]],TableRBCalcPts[RK],0)),"")</f>
        <v/>
      </c>
      <c r="J146" s="58" t="str">
        <f>IFERROR(INDEX(TableRBCalcPts[TM],MATCH(TableRBRanks[[#This Row],[RK]],TableRBCalcPts[RK],0)),"")</f>
        <v/>
      </c>
      <c r="K146" s="58" t="str">
        <f>IFERROR(INDEX(TableRBCalcPts[BYE],MATCH(TableRBRanks[[#This Row],[RK]],TableRBCalcPts[RK],0)),"")</f>
        <v/>
      </c>
      <c r="L146" s="95" t="str">
        <f>IFERROR(INDEX(TableRBCalcPts[Custom],MATCH(TableRBRanks[[#This Row],[RK]],TableRBCalcPts[RK],0)),"")</f>
        <v/>
      </c>
      <c r="M146" s="140" t="str">
        <f>IF(VLOOKUP(TableRBRanks[[#This Row],[Player]],'Ranks w Proj'!$Q:$AB,12,FALSE)&lt;0,0,VLOOKUP(TableRBRanks[[#This Row],[Player]],'Ranks w Proj'!$Q:$AB,12,FALSE))</f>
        <v/>
      </c>
      <c r="O146" s="58">
        <v>145</v>
      </c>
      <c r="P146" s="58" t="str">
        <f>IFERROR(INDEX(TableWRCalcPts[PLAYER],MATCH(TableWRRanks[[#This Row],[RK]],TableWRCalcPts[RK],0)),"")</f>
        <v>K.J. Osborn</v>
      </c>
      <c r="Q146" s="58" t="str">
        <f>IFERROR(INDEX(TableWRCalcPts[TM],MATCH(TableWRRanks[[#This Row],[RK]],TableWRCalcPts[RK],0)),"")</f>
        <v>TEN</v>
      </c>
      <c r="R146" s="58">
        <f>IFERROR(INDEX(TableWRCalcPts[BYE],MATCH(TableWRRanks[[#This Row],[RK]],TableWRCalcPts[RK],0)),"")</f>
        <v>9</v>
      </c>
      <c r="S146" s="95">
        <f>IFERROR(INDEX(TableWRCalcPts[Custom],MATCH(TableWRRanks[[#This Row],[RK]],TableWRCalcPts[RK],0)),"")</f>
        <v>10.322717076403201</v>
      </c>
      <c r="T146" s="140">
        <f>IF(VLOOKUP(TableWRRanks[[#This Row],[Player]],'Ranks w Proj'!$AE:$AO,11,FALSE)&lt;0,0,VLOOKUP(TableWRRanks[[#This Row],[Player]],'Ranks w Proj'!$AE:$AO,11,FALSE))</f>
        <v>0</v>
      </c>
    </row>
    <row r="147" spans="8:20" x14ac:dyDescent="0.25">
      <c r="H147" s="58">
        <v>146</v>
      </c>
      <c r="I147" s="58" t="str">
        <f>IFERROR(INDEX(TableRBCalcPts[PLAYER],MATCH(TableRBRanks[[#This Row],[RK]],TableRBCalcPts[RK],0)),"")</f>
        <v/>
      </c>
      <c r="J147" s="58" t="str">
        <f>IFERROR(INDEX(TableRBCalcPts[TM],MATCH(TableRBRanks[[#This Row],[RK]],TableRBCalcPts[RK],0)),"")</f>
        <v/>
      </c>
      <c r="K147" s="58" t="str">
        <f>IFERROR(INDEX(TableRBCalcPts[BYE],MATCH(TableRBRanks[[#This Row],[RK]],TableRBCalcPts[RK],0)),"")</f>
        <v/>
      </c>
      <c r="L147" s="95" t="str">
        <f>IFERROR(INDEX(TableRBCalcPts[Custom],MATCH(TableRBRanks[[#This Row],[RK]],TableRBCalcPts[RK],0)),"")</f>
        <v/>
      </c>
      <c r="M147" s="140" t="str">
        <f>IF(VLOOKUP(TableRBRanks[[#This Row],[Player]],'Ranks w Proj'!$Q:$AB,12,FALSE)&lt;0,0,VLOOKUP(TableRBRanks[[#This Row],[Player]],'Ranks w Proj'!$Q:$AB,12,FALSE))</f>
        <v/>
      </c>
      <c r="O147" s="58">
        <v>146</v>
      </c>
      <c r="P147" s="58" t="str">
        <f>IFERROR(INDEX(TableWRCalcPts[PLAYER],MATCH(TableWRRanks[[#This Row],[RK]],TableWRCalcPts[RK],0)),"")</f>
        <v>Cyrus Allen</v>
      </c>
      <c r="Q147" s="58" t="str">
        <f>IFERROR(INDEX(TableWRCalcPts[TM],MATCH(TableWRRanks[[#This Row],[RK]],TableWRCalcPts[RK],0)),"")</f>
        <v>KC</v>
      </c>
      <c r="R147" s="58">
        <f>IFERROR(INDEX(TableWRCalcPts[BYE],MATCH(TableWRRanks[[#This Row],[RK]],TableWRCalcPts[RK],0)),"")</f>
        <v>5</v>
      </c>
      <c r="S147" s="95">
        <f>IFERROR(INDEX(TableWRCalcPts[Custom],MATCH(TableWRRanks[[#This Row],[RK]],TableWRCalcPts[RK],0)),"")</f>
        <v>9.8725740621899973</v>
      </c>
      <c r="T147" s="140">
        <f>IF(VLOOKUP(TableWRRanks[[#This Row],[Player]],'Ranks w Proj'!$AE:$AO,11,FALSE)&lt;0,0,VLOOKUP(TableWRRanks[[#This Row],[Player]],'Ranks w Proj'!$AE:$AO,11,FALSE))</f>
        <v>0</v>
      </c>
    </row>
    <row r="148" spans="8:20" x14ac:dyDescent="0.25">
      <c r="H148" s="58">
        <v>147</v>
      </c>
      <c r="I148" s="58" t="str">
        <f>IFERROR(INDEX(TableRBCalcPts[PLAYER],MATCH(TableRBRanks[[#This Row],[RK]],TableRBCalcPts[RK],0)),"")</f>
        <v/>
      </c>
      <c r="J148" s="58" t="str">
        <f>IFERROR(INDEX(TableRBCalcPts[TM],MATCH(TableRBRanks[[#This Row],[RK]],TableRBCalcPts[RK],0)),"")</f>
        <v/>
      </c>
      <c r="K148" s="58" t="str">
        <f>IFERROR(INDEX(TableRBCalcPts[BYE],MATCH(TableRBRanks[[#This Row],[RK]],TableRBCalcPts[RK],0)),"")</f>
        <v/>
      </c>
      <c r="L148" s="95" t="str">
        <f>IFERROR(INDEX(TableRBCalcPts[Custom],MATCH(TableRBRanks[[#This Row],[RK]],TableRBCalcPts[RK],0)),"")</f>
        <v/>
      </c>
      <c r="M148" s="140" t="str">
        <f>IF(VLOOKUP(TableRBRanks[[#This Row],[Player]],'Ranks w Proj'!$Q:$AB,12,FALSE)&lt;0,0,VLOOKUP(TableRBRanks[[#This Row],[Player]],'Ranks w Proj'!$Q:$AB,12,FALSE))</f>
        <v/>
      </c>
      <c r="O148" s="58">
        <v>147</v>
      </c>
      <c r="P148" s="58" t="str">
        <f>IFERROR(INDEX(TableWRCalcPts[PLAYER],MATCH(TableWRRanks[[#This Row],[RK]],TableWRCalcPts[RK],0)),"")</f>
        <v>Tai Felton</v>
      </c>
      <c r="Q148" s="58" t="str">
        <f>IFERROR(INDEX(TableWRCalcPts[TM],MATCH(TableWRRanks[[#This Row],[RK]],TableWRCalcPts[RK],0)),"")</f>
        <v>MIN</v>
      </c>
      <c r="R148" s="58">
        <f>IFERROR(INDEX(TableWRCalcPts[BYE],MATCH(TableWRRanks[[#This Row],[RK]],TableWRCalcPts[RK],0)),"")</f>
        <v>6</v>
      </c>
      <c r="S148" s="95">
        <f>IFERROR(INDEX(TableWRCalcPts[Custom],MATCH(TableWRRanks[[#This Row],[RK]],TableWRCalcPts[RK],0)),"")</f>
        <v>9.7061602971908254</v>
      </c>
      <c r="T148" s="140">
        <f>IF(VLOOKUP(TableWRRanks[[#This Row],[Player]],'Ranks w Proj'!$AE:$AO,11,FALSE)&lt;0,0,VLOOKUP(TableWRRanks[[#This Row],[Player]],'Ranks w Proj'!$AE:$AO,11,FALSE))</f>
        <v>0</v>
      </c>
    </row>
    <row r="149" spans="8:20" x14ac:dyDescent="0.25">
      <c r="H149" s="58">
        <v>148</v>
      </c>
      <c r="I149" s="58" t="str">
        <f>IFERROR(INDEX(TableRBCalcPts[PLAYER],MATCH(TableRBRanks[[#This Row],[RK]],TableRBCalcPts[RK],0)),"")</f>
        <v/>
      </c>
      <c r="J149" s="58" t="str">
        <f>IFERROR(INDEX(TableRBCalcPts[TM],MATCH(TableRBRanks[[#This Row],[RK]],TableRBCalcPts[RK],0)),"")</f>
        <v/>
      </c>
      <c r="K149" s="58" t="str">
        <f>IFERROR(INDEX(TableRBCalcPts[BYE],MATCH(TableRBRanks[[#This Row],[RK]],TableRBCalcPts[RK],0)),"")</f>
        <v/>
      </c>
      <c r="L149" s="95" t="str">
        <f>IFERROR(INDEX(TableRBCalcPts[Custom],MATCH(TableRBRanks[[#This Row],[RK]],TableRBCalcPts[RK],0)),"")</f>
        <v/>
      </c>
      <c r="M149" s="140" t="str">
        <f>IF(VLOOKUP(TableRBRanks[[#This Row],[Player]],'Ranks w Proj'!$Q:$AB,12,FALSE)&lt;0,0,VLOOKUP(TableRBRanks[[#This Row],[Player]],'Ranks w Proj'!$Q:$AB,12,FALSE))</f>
        <v/>
      </c>
      <c r="O149" s="58">
        <v>148</v>
      </c>
      <c r="P149" s="58" t="str">
        <f>IFERROR(INDEX(TableWRCalcPts[PLAYER],MATCH(TableWRRanks[[#This Row],[RK]],TableWRCalcPts[RK],0)),"")</f>
        <v>Mecole Hardman</v>
      </c>
      <c r="Q149" s="58" t="str">
        <f>IFERROR(INDEX(TableWRCalcPts[TM],MATCH(TableWRRanks[[#This Row],[RK]],TableWRCalcPts[RK],0)),"")</f>
        <v>BUF</v>
      </c>
      <c r="R149" s="58">
        <f>IFERROR(INDEX(TableWRCalcPts[BYE],MATCH(TableWRRanks[[#This Row],[RK]],TableWRCalcPts[RK],0)),"")</f>
        <v>7</v>
      </c>
      <c r="S149" s="95">
        <f>IFERROR(INDEX(TableWRCalcPts[Custom],MATCH(TableWRRanks[[#This Row],[RK]],TableWRCalcPts[RK],0)),"")</f>
        <v>9.1560975886379978</v>
      </c>
      <c r="T149" s="140">
        <f>IF(VLOOKUP(TableWRRanks[[#This Row],[Player]],'Ranks w Proj'!$AE:$AO,11,FALSE)&lt;0,0,VLOOKUP(TableWRRanks[[#This Row],[Player]],'Ranks w Proj'!$AE:$AO,11,FALSE))</f>
        <v>0</v>
      </c>
    </row>
    <row r="150" spans="8:20" x14ac:dyDescent="0.25">
      <c r="H150" s="58">
        <v>149</v>
      </c>
      <c r="I150" s="58" t="str">
        <f>IFERROR(INDEX(TableRBCalcPts[PLAYER],MATCH(TableRBRanks[[#This Row],[RK]],TableRBCalcPts[RK],0)),"")</f>
        <v/>
      </c>
      <c r="J150" s="58" t="str">
        <f>IFERROR(INDEX(TableRBCalcPts[TM],MATCH(TableRBRanks[[#This Row],[RK]],TableRBCalcPts[RK],0)),"")</f>
        <v/>
      </c>
      <c r="K150" s="58" t="str">
        <f>IFERROR(INDEX(TableRBCalcPts[BYE],MATCH(TableRBRanks[[#This Row],[RK]],TableRBCalcPts[RK],0)),"")</f>
        <v/>
      </c>
      <c r="L150" s="95" t="str">
        <f>IFERROR(INDEX(TableRBCalcPts[Custom],MATCH(TableRBRanks[[#This Row],[RK]],TableRBCalcPts[RK],0)),"")</f>
        <v/>
      </c>
      <c r="M150" s="140" t="str">
        <f>IF(VLOOKUP(TableRBRanks[[#This Row],[Player]],'Ranks w Proj'!$Q:$AB,12,FALSE)&lt;0,0,VLOOKUP(TableRBRanks[[#This Row],[Player]],'Ranks w Proj'!$Q:$AB,12,FALSE))</f>
        <v/>
      </c>
      <c r="O150" s="58">
        <v>149</v>
      </c>
      <c r="P150" s="58" t="str">
        <f>IFERROR(INDEX(TableWRCalcPts[PLAYER],MATCH(TableWRRanks[[#This Row],[RK]],TableWRCalcPts[RK],0)),"")</f>
        <v>Jimmy Horn</v>
      </c>
      <c r="Q150" s="58" t="str">
        <f>IFERROR(INDEX(TableWRCalcPts[TM],MATCH(TableWRRanks[[#This Row],[RK]],TableWRCalcPts[RK],0)),"")</f>
        <v>CAR</v>
      </c>
      <c r="R150" s="58">
        <f>IFERROR(INDEX(TableWRCalcPts[BYE],MATCH(TableWRRanks[[#This Row],[RK]],TableWRCalcPts[RK],0)),"")</f>
        <v>5</v>
      </c>
      <c r="S150" s="95">
        <f>IFERROR(INDEX(TableWRCalcPts[Custom],MATCH(TableWRRanks[[#This Row],[RK]],TableWRCalcPts[RK],0)),"")</f>
        <v>8.7033181439178939</v>
      </c>
      <c r="T150" s="140">
        <f>IF(VLOOKUP(TableWRRanks[[#This Row],[Player]],'Ranks w Proj'!$AE:$AO,11,FALSE)&lt;0,0,VLOOKUP(TableWRRanks[[#This Row],[Player]],'Ranks w Proj'!$AE:$AO,11,FALSE))</f>
        <v>0</v>
      </c>
    </row>
    <row r="151" spans="8:20" x14ac:dyDescent="0.25">
      <c r="H151" s="58">
        <v>150</v>
      </c>
      <c r="I151" s="58" t="str">
        <f>IFERROR(INDEX(TableRBCalcPts[PLAYER],MATCH(TableRBRanks[[#This Row],[RK]],TableRBCalcPts[RK],0)),"")</f>
        <v/>
      </c>
      <c r="J151" s="58" t="str">
        <f>IFERROR(INDEX(TableRBCalcPts[TM],MATCH(TableRBRanks[[#This Row],[RK]],TableRBCalcPts[RK],0)),"")</f>
        <v/>
      </c>
      <c r="K151" s="58" t="str">
        <f>IFERROR(INDEX(TableRBCalcPts[BYE],MATCH(TableRBRanks[[#This Row],[RK]],TableRBCalcPts[RK],0)),"")</f>
        <v/>
      </c>
      <c r="L151" s="95" t="str">
        <f>IFERROR(INDEX(TableRBCalcPts[Custom],MATCH(TableRBRanks[[#This Row],[RK]],TableRBCalcPts[RK],0)),"")</f>
        <v/>
      </c>
      <c r="M151" s="140" t="str">
        <f>IF(VLOOKUP(TableRBRanks[[#This Row],[Player]],'Ranks w Proj'!$Q:$AB,12,FALSE)&lt;0,0,VLOOKUP(TableRBRanks[[#This Row],[Player]],'Ranks w Proj'!$Q:$AB,12,FALSE))</f>
        <v/>
      </c>
      <c r="O151" s="58">
        <v>150</v>
      </c>
      <c r="P151" s="58" t="str">
        <f>IFERROR(INDEX(TableWRCalcPts[PLAYER],MATCH(TableWRRanks[[#This Row],[RK]],TableWRCalcPts[RK],0)),"")</f>
        <v>Jonathan Mingo</v>
      </c>
      <c r="Q151" s="58" t="str">
        <f>IFERROR(INDEX(TableWRCalcPts[TM],MATCH(TableWRRanks[[#This Row],[RK]],TableWRCalcPts[RK],0)),"")</f>
        <v>DAL</v>
      </c>
      <c r="R151" s="58">
        <f>IFERROR(INDEX(TableWRCalcPts[BYE],MATCH(TableWRRanks[[#This Row],[RK]],TableWRCalcPts[RK],0)),"")</f>
        <v>14</v>
      </c>
      <c r="S151" s="95">
        <f>IFERROR(INDEX(TableWRCalcPts[Custom],MATCH(TableWRRanks[[#This Row],[RK]],TableWRCalcPts[RK],0)),"")</f>
        <v>8.6646782331413945</v>
      </c>
      <c r="T151" s="140">
        <f>IF(VLOOKUP(TableWRRanks[[#This Row],[Player]],'Ranks w Proj'!$AE:$AO,11,FALSE)&lt;0,0,VLOOKUP(TableWRRanks[[#This Row],[Player]],'Ranks w Proj'!$AE:$AO,11,FALSE))</f>
        <v>0</v>
      </c>
    </row>
    <row r="152" spans="8:20" x14ac:dyDescent="0.25">
      <c r="H152" s="58">
        <v>151</v>
      </c>
      <c r="I152" s="58" t="str">
        <f>IFERROR(INDEX(TableRBCalcPts[PLAYER],MATCH(TableRBRanks[[#This Row],[RK]],TableRBCalcPts[RK],0)),"")</f>
        <v/>
      </c>
      <c r="J152" s="58" t="str">
        <f>IFERROR(INDEX(TableRBCalcPts[TM],MATCH(TableRBRanks[[#This Row],[RK]],TableRBCalcPts[RK],0)),"")</f>
        <v/>
      </c>
      <c r="K152" s="58" t="str">
        <f>IFERROR(INDEX(TableRBCalcPts[BYE],MATCH(TableRBRanks[[#This Row],[RK]],TableRBCalcPts[RK],0)),"")</f>
        <v/>
      </c>
      <c r="L152" s="95" t="str">
        <f>IFERROR(INDEX(TableRBCalcPts[Custom],MATCH(TableRBRanks[[#This Row],[RK]],TableRBCalcPts[RK],0)),"")</f>
        <v/>
      </c>
      <c r="M152" s="140" t="str">
        <f>IF(VLOOKUP(TableRBRanks[[#This Row],[Player]],'Ranks w Proj'!$Q:$AB,12,FALSE)&lt;0,0,VLOOKUP(TableRBRanks[[#This Row],[Player]],'Ranks w Proj'!$Q:$AB,12,FALSE))</f>
        <v/>
      </c>
      <c r="O152" s="58">
        <v>151</v>
      </c>
      <c r="P152" s="58" t="str">
        <f>IFERROR(INDEX(TableWRCalcPts[PLAYER],MATCH(TableWRRanks[[#This Row],[RK]],TableWRCalcPts[RK],0)),"")</f>
        <v>Cedric Tillman</v>
      </c>
      <c r="Q152" s="58" t="str">
        <f>IFERROR(INDEX(TableWRCalcPts[TM],MATCH(TableWRRanks[[#This Row],[RK]],TableWRCalcPts[RK],0)),"")</f>
        <v>CLE</v>
      </c>
      <c r="R152" s="58">
        <f>IFERROR(INDEX(TableWRCalcPts[BYE],MATCH(TableWRRanks[[#This Row],[RK]],TableWRCalcPts[RK],0)),"")</f>
        <v>11</v>
      </c>
      <c r="S152" s="95">
        <f>IFERROR(INDEX(TableWRCalcPts[Custom],MATCH(TableWRRanks[[#This Row],[RK]],TableWRCalcPts[RK],0)),"")</f>
        <v>8.6514761718000006</v>
      </c>
      <c r="T152" s="140">
        <f>IF(VLOOKUP(TableWRRanks[[#This Row],[Player]],'Ranks w Proj'!$AE:$AO,11,FALSE)&lt;0,0,VLOOKUP(TableWRRanks[[#This Row],[Player]],'Ranks w Proj'!$AE:$AO,11,FALSE))</f>
        <v>0</v>
      </c>
    </row>
    <row r="153" spans="8:20" x14ac:dyDescent="0.25">
      <c r="H153" s="58">
        <v>152</v>
      </c>
      <c r="I153" s="58" t="str">
        <f>IFERROR(INDEX(TableRBCalcPts[PLAYER],MATCH(TableRBRanks[[#This Row],[RK]],TableRBCalcPts[RK],0)),"")</f>
        <v/>
      </c>
      <c r="J153" s="58" t="str">
        <f>IFERROR(INDEX(TableRBCalcPts[TM],MATCH(TableRBRanks[[#This Row],[RK]],TableRBCalcPts[RK],0)),"")</f>
        <v/>
      </c>
      <c r="K153" s="58" t="str">
        <f>IFERROR(INDEX(TableRBCalcPts[BYE],MATCH(TableRBRanks[[#This Row],[RK]],TableRBCalcPts[RK],0)),"")</f>
        <v/>
      </c>
      <c r="L153" s="95" t="str">
        <f>IFERROR(INDEX(TableRBCalcPts[Custom],MATCH(TableRBRanks[[#This Row],[RK]],TableRBCalcPts[RK],0)),"")</f>
        <v/>
      </c>
      <c r="M153" s="140" t="str">
        <f>IF(VLOOKUP(TableRBRanks[[#This Row],[Player]],'Ranks w Proj'!$Q:$AB,12,FALSE)&lt;0,0,VLOOKUP(TableRBRanks[[#This Row],[Player]],'Ranks w Proj'!$Q:$AB,12,FALSE))</f>
        <v/>
      </c>
      <c r="O153" s="58">
        <v>152</v>
      </c>
      <c r="P153" s="58" t="str">
        <f>IFERROR(INDEX(TableWRCalcPts[PLAYER],MATCH(TableWRRanks[[#This Row],[RK]],TableWRCalcPts[RK],0)),"")</f>
        <v>Beaux Collins</v>
      </c>
      <c r="Q153" s="58" t="str">
        <f>IFERROR(INDEX(TableWRCalcPts[TM],MATCH(TableWRRanks[[#This Row],[RK]],TableWRCalcPts[RK],0)),"")</f>
        <v>NYG</v>
      </c>
      <c r="R153" s="58">
        <f>IFERROR(INDEX(TableWRCalcPts[BYE],MATCH(TableWRRanks[[#This Row],[RK]],TableWRCalcPts[RK],0)),"")</f>
        <v>8</v>
      </c>
      <c r="S153" s="95">
        <f>IFERROR(INDEX(TableWRCalcPts[Custom],MATCH(TableWRRanks[[#This Row],[RK]],TableWRCalcPts[RK],0)),"")</f>
        <v>8.3371175754971993</v>
      </c>
      <c r="T153" s="140">
        <f>IF(VLOOKUP(TableWRRanks[[#This Row],[Player]],'Ranks w Proj'!$AE:$AO,11,FALSE)&lt;0,0,VLOOKUP(TableWRRanks[[#This Row],[Player]],'Ranks w Proj'!$AE:$AO,11,FALSE))</f>
        <v>0</v>
      </c>
    </row>
    <row r="154" spans="8:20" x14ac:dyDescent="0.25">
      <c r="H154" s="58">
        <v>153</v>
      </c>
      <c r="I154" s="58" t="str">
        <f>IFERROR(INDEX(TableRBCalcPts[PLAYER],MATCH(TableRBRanks[[#This Row],[RK]],TableRBCalcPts[RK],0)),"")</f>
        <v/>
      </c>
      <c r="J154" s="58" t="str">
        <f>IFERROR(INDEX(TableRBCalcPts[TM],MATCH(TableRBRanks[[#This Row],[RK]],TableRBCalcPts[RK],0)),"")</f>
        <v/>
      </c>
      <c r="K154" s="58" t="str">
        <f>IFERROR(INDEX(TableRBCalcPts[BYE],MATCH(TableRBRanks[[#This Row],[RK]],TableRBCalcPts[RK],0)),"")</f>
        <v/>
      </c>
      <c r="L154" s="95" t="str">
        <f>IFERROR(INDEX(TableRBCalcPts[Custom],MATCH(TableRBRanks[[#This Row],[RK]],TableRBCalcPts[RK],0)),"")</f>
        <v/>
      </c>
      <c r="M154" s="140" t="str">
        <f>IF(VLOOKUP(TableRBRanks[[#This Row],[Player]],'Ranks w Proj'!$Q:$AB,12,FALSE)&lt;0,0,VLOOKUP(TableRBRanks[[#This Row],[Player]],'Ranks w Proj'!$Q:$AB,12,FALSE))</f>
        <v/>
      </c>
      <c r="O154" s="58">
        <v>153</v>
      </c>
      <c r="P154" s="58" t="str">
        <f>IFERROR(INDEX(TableWRCalcPts[PLAYER],MATCH(TableWRRanks[[#This Row],[RK]],TableWRCalcPts[RK],0)),"")</f>
        <v>Darius Cooper</v>
      </c>
      <c r="Q154" s="58" t="str">
        <f>IFERROR(INDEX(TableWRCalcPts[TM],MATCH(TableWRRanks[[#This Row],[RK]],TableWRCalcPts[RK],0)),"")</f>
        <v>PHI</v>
      </c>
      <c r="R154" s="58">
        <f>IFERROR(INDEX(TableWRCalcPts[BYE],MATCH(TableWRRanks[[#This Row],[RK]],TableWRCalcPts[RK],0)),"")</f>
        <v>10</v>
      </c>
      <c r="S154" s="95">
        <f>IFERROR(INDEX(TableWRCalcPts[Custom],MATCH(TableWRRanks[[#This Row],[RK]],TableWRCalcPts[RK],0)),"")</f>
        <v>8.0354077095599976</v>
      </c>
      <c r="T154" s="140">
        <f>IF(VLOOKUP(TableWRRanks[[#This Row],[Player]],'Ranks w Proj'!$AE:$AO,11,FALSE)&lt;0,0,VLOOKUP(TableWRRanks[[#This Row],[Player]],'Ranks w Proj'!$AE:$AO,11,FALSE))</f>
        <v>0</v>
      </c>
    </row>
    <row r="155" spans="8:20" x14ac:dyDescent="0.25">
      <c r="H155" s="58">
        <v>154</v>
      </c>
      <c r="I155" s="58" t="str">
        <f>IFERROR(INDEX(TableRBCalcPts[PLAYER],MATCH(TableRBRanks[[#This Row],[RK]],TableRBCalcPts[RK],0)),"")</f>
        <v/>
      </c>
      <c r="J155" s="58" t="str">
        <f>IFERROR(INDEX(TableRBCalcPts[TM],MATCH(TableRBRanks[[#This Row],[RK]],TableRBCalcPts[RK],0)),"")</f>
        <v/>
      </c>
      <c r="K155" s="58" t="str">
        <f>IFERROR(INDEX(TableRBCalcPts[BYE],MATCH(TableRBRanks[[#This Row],[RK]],TableRBCalcPts[RK],0)),"")</f>
        <v/>
      </c>
      <c r="L155" s="95" t="str">
        <f>IFERROR(INDEX(TableRBCalcPts[Custom],MATCH(TableRBRanks[[#This Row],[RK]],TableRBCalcPts[RK],0)),"")</f>
        <v/>
      </c>
      <c r="M155" s="140" t="str">
        <f>IF(VLOOKUP(TableRBRanks[[#This Row],[Player]],'Ranks w Proj'!$Q:$AB,12,FALSE)&lt;0,0,VLOOKUP(TableRBRanks[[#This Row],[Player]],'Ranks w Proj'!$Q:$AB,12,FALSE))</f>
        <v/>
      </c>
      <c r="O155" s="58">
        <v>154</v>
      </c>
      <c r="P155" s="58" t="str">
        <f>IFERROR(INDEX(TableWRCalcPts[PLAYER],MATCH(TableWRRanks[[#This Row],[RK]],TableWRCalcPts[RK],0)),"")</f>
        <v>Cedrick Wilson</v>
      </c>
      <c r="Q155" s="58" t="str">
        <f>IFERROR(INDEX(TableWRCalcPts[TM],MATCH(TableWRRanks[[#This Row],[RK]],TableWRCalcPts[RK],0)),"")</f>
        <v>DET</v>
      </c>
      <c r="R155" s="58">
        <f>IFERROR(INDEX(TableWRCalcPts[BYE],MATCH(TableWRRanks[[#This Row],[RK]],TableWRCalcPts[RK],0)),"")</f>
        <v>6</v>
      </c>
      <c r="S155" s="95">
        <f>IFERROR(INDEX(TableWRCalcPts[Custom],MATCH(TableWRRanks[[#This Row],[RK]],TableWRCalcPts[RK],0)),"")</f>
        <v>7.9979096735999979</v>
      </c>
      <c r="T155" s="140">
        <f>IF(VLOOKUP(TableWRRanks[[#This Row],[Player]],'Ranks w Proj'!$AE:$AO,11,FALSE)&lt;0,0,VLOOKUP(TableWRRanks[[#This Row],[Player]],'Ranks w Proj'!$AE:$AO,11,FALSE))</f>
        <v>0</v>
      </c>
    </row>
    <row r="156" spans="8:20" x14ac:dyDescent="0.25">
      <c r="H156" s="58">
        <v>155</v>
      </c>
      <c r="I156" s="58" t="str">
        <f>IFERROR(INDEX(TableRBCalcPts[PLAYER],MATCH(TableRBRanks[[#This Row],[RK]],TableRBCalcPts[RK],0)),"")</f>
        <v/>
      </c>
      <c r="J156" s="58" t="str">
        <f>IFERROR(INDEX(TableRBCalcPts[TM],MATCH(TableRBRanks[[#This Row],[RK]],TableRBCalcPts[RK],0)),"")</f>
        <v/>
      </c>
      <c r="K156" s="58" t="str">
        <f>IFERROR(INDEX(TableRBCalcPts[BYE],MATCH(TableRBRanks[[#This Row],[RK]],TableRBCalcPts[RK],0)),"")</f>
        <v/>
      </c>
      <c r="L156" s="95" t="str">
        <f>IFERROR(INDEX(TableRBCalcPts[Custom],MATCH(TableRBRanks[[#This Row],[RK]],TableRBCalcPts[RK],0)),"")</f>
        <v/>
      </c>
      <c r="M156" s="140" t="str">
        <f>IF(VLOOKUP(TableRBRanks[[#This Row],[Player]],'Ranks w Proj'!$Q:$AB,12,FALSE)&lt;0,0,VLOOKUP(TableRBRanks[[#This Row],[Player]],'Ranks w Proj'!$Q:$AB,12,FALSE))</f>
        <v/>
      </c>
      <c r="O156" s="58">
        <v>155</v>
      </c>
      <c r="P156" s="58" t="str">
        <f>IFERROR(INDEX(TableWRCalcPts[PLAYER],MATCH(TableWRRanks[[#This Row],[RK]],TableWRCalcPts[RK],0)),"")</f>
        <v>Bo Melton</v>
      </c>
      <c r="Q156" s="58" t="str">
        <f>IFERROR(INDEX(TableWRCalcPts[TM],MATCH(TableWRRanks[[#This Row],[RK]],TableWRCalcPts[RK],0)),"")</f>
        <v>GB</v>
      </c>
      <c r="R156" s="58">
        <f>IFERROR(INDEX(TableWRCalcPts[BYE],MATCH(TableWRRanks[[#This Row],[RK]],TableWRCalcPts[RK],0)),"")</f>
        <v>11</v>
      </c>
      <c r="S156" s="95">
        <f>IFERROR(INDEX(TableWRCalcPts[Custom],MATCH(TableWRRanks[[#This Row],[RK]],TableWRCalcPts[RK],0)),"")</f>
        <v>7.8853193424873274</v>
      </c>
      <c r="T156" s="140">
        <f>IF(VLOOKUP(TableWRRanks[[#This Row],[Player]],'Ranks w Proj'!$AE:$AO,11,FALSE)&lt;0,0,VLOOKUP(TableWRRanks[[#This Row],[Player]],'Ranks w Proj'!$AE:$AO,11,FALSE))</f>
        <v>0</v>
      </c>
    </row>
    <row r="157" spans="8:20" x14ac:dyDescent="0.25">
      <c r="H157" s="58">
        <v>156</v>
      </c>
      <c r="I157" s="58" t="str">
        <f>IFERROR(INDEX(TableRBCalcPts[PLAYER],MATCH(TableRBRanks[[#This Row],[RK]],TableRBCalcPts[RK],0)),"")</f>
        <v/>
      </c>
      <c r="J157" s="58" t="str">
        <f>IFERROR(INDEX(TableRBCalcPts[TM],MATCH(TableRBRanks[[#This Row],[RK]],TableRBCalcPts[RK],0)),"")</f>
        <v/>
      </c>
      <c r="K157" s="58" t="str">
        <f>IFERROR(INDEX(TableRBCalcPts[BYE],MATCH(TableRBRanks[[#This Row],[RK]],TableRBCalcPts[RK],0)),"")</f>
        <v/>
      </c>
      <c r="L157" s="95" t="str">
        <f>IFERROR(INDEX(TableRBCalcPts[Custom],MATCH(TableRBRanks[[#This Row],[RK]],TableRBCalcPts[RK],0)),"")</f>
        <v/>
      </c>
      <c r="M157" s="140" t="str">
        <f>IF(VLOOKUP(TableRBRanks[[#This Row],[Player]],'Ranks w Proj'!$Q:$AB,12,FALSE)&lt;0,0,VLOOKUP(TableRBRanks[[#This Row],[Player]],'Ranks w Proj'!$Q:$AB,12,FALSE))</f>
        <v/>
      </c>
      <c r="O157" s="58">
        <v>156</v>
      </c>
      <c r="P157" s="58" t="str">
        <f>IFERROR(INDEX(TableWRCalcPts[PLAYER],MATCH(TableWRRanks[[#This Row],[RK]],TableWRCalcPts[RK],0)),"")</f>
        <v>Roman Wilson</v>
      </c>
      <c r="Q157" s="58" t="str">
        <f>IFERROR(INDEX(TableWRCalcPts[TM],MATCH(TableWRRanks[[#This Row],[RK]],TableWRCalcPts[RK],0)),"")</f>
        <v>PIT</v>
      </c>
      <c r="R157" s="58">
        <f>IFERROR(INDEX(TableWRCalcPts[BYE],MATCH(TableWRRanks[[#This Row],[RK]],TableWRCalcPts[RK],0)),"")</f>
        <v>9</v>
      </c>
      <c r="S157" s="95">
        <f>IFERROR(INDEX(TableWRCalcPts[Custom],MATCH(TableWRRanks[[#This Row],[RK]],TableWRCalcPts[RK],0)),"")</f>
        <v>7.8258581215897616</v>
      </c>
      <c r="T157" s="140">
        <f>IF(VLOOKUP(TableWRRanks[[#This Row],[Player]],'Ranks w Proj'!$AE:$AO,11,FALSE)&lt;0,0,VLOOKUP(TableWRRanks[[#This Row],[Player]],'Ranks w Proj'!$AE:$AO,11,FALSE))</f>
        <v>0</v>
      </c>
    </row>
    <row r="158" spans="8:20" x14ac:dyDescent="0.25">
      <c r="H158" s="58">
        <v>157</v>
      </c>
      <c r="I158" s="58" t="str">
        <f>IFERROR(INDEX(TableRBCalcPts[PLAYER],MATCH(TableRBRanks[[#This Row],[RK]],TableRBCalcPts[RK],0)),"")</f>
        <v/>
      </c>
      <c r="J158" s="58" t="str">
        <f>IFERROR(INDEX(TableRBCalcPts[TM],MATCH(TableRBRanks[[#This Row],[RK]],TableRBCalcPts[RK],0)),"")</f>
        <v/>
      </c>
      <c r="K158" s="58" t="str">
        <f>IFERROR(INDEX(TableRBCalcPts[BYE],MATCH(TableRBRanks[[#This Row],[RK]],TableRBCalcPts[RK],0)),"")</f>
        <v/>
      </c>
      <c r="L158" s="95" t="str">
        <f>IFERROR(INDEX(TableRBCalcPts[Custom],MATCH(TableRBRanks[[#This Row],[RK]],TableRBCalcPts[RK],0)),"")</f>
        <v/>
      </c>
      <c r="M158" s="140" t="str">
        <f>IF(VLOOKUP(TableRBRanks[[#This Row],[Player]],'Ranks w Proj'!$Q:$AB,12,FALSE)&lt;0,0,VLOOKUP(TableRBRanks[[#This Row],[Player]],'Ranks w Proj'!$Q:$AB,12,FALSE))</f>
        <v/>
      </c>
      <c r="O158" s="58">
        <v>157</v>
      </c>
      <c r="P158" s="58" t="str">
        <f>IFERROR(INDEX(TableWRCalcPts[PLAYER],MATCH(TableWRRanks[[#This Row],[RK]],TableWRCalcPts[RK],0)),"")</f>
        <v>Reggie Virgil</v>
      </c>
      <c r="Q158" s="58" t="str">
        <f>IFERROR(INDEX(TableWRCalcPts[TM],MATCH(TableWRRanks[[#This Row],[RK]],TableWRCalcPts[RK],0)),"")</f>
        <v>ARI</v>
      </c>
      <c r="R158" s="58">
        <f>IFERROR(INDEX(TableWRCalcPts[BYE],MATCH(TableWRRanks[[#This Row],[RK]],TableWRCalcPts[RK],0)),"")</f>
        <v>14</v>
      </c>
      <c r="S158" s="95">
        <f>IFERROR(INDEX(TableWRCalcPts[Custom],MATCH(TableWRRanks[[#This Row],[RK]],TableWRCalcPts[RK],0)),"")</f>
        <v>7.6309495955056024</v>
      </c>
      <c r="T158" s="140">
        <f>IF(VLOOKUP(TableWRRanks[[#This Row],[Player]],'Ranks w Proj'!$AE:$AO,11,FALSE)&lt;0,0,VLOOKUP(TableWRRanks[[#This Row],[Player]],'Ranks w Proj'!$AE:$AO,11,FALSE))</f>
        <v>0</v>
      </c>
    </row>
    <row r="159" spans="8:20" x14ac:dyDescent="0.25">
      <c r="H159" s="58">
        <v>158</v>
      </c>
      <c r="I159" s="58" t="str">
        <f>IFERROR(INDEX(TableRBCalcPts[PLAYER],MATCH(TableRBRanks[[#This Row],[RK]],TableRBCalcPts[RK],0)),"")</f>
        <v/>
      </c>
      <c r="J159" s="58" t="str">
        <f>IFERROR(INDEX(TableRBCalcPts[TM],MATCH(TableRBRanks[[#This Row],[RK]],TableRBCalcPts[RK],0)),"")</f>
        <v/>
      </c>
      <c r="K159" s="58" t="str">
        <f>IFERROR(INDEX(TableRBCalcPts[BYE],MATCH(TableRBRanks[[#This Row],[RK]],TableRBCalcPts[RK],0)),"")</f>
        <v/>
      </c>
      <c r="L159" s="95" t="str">
        <f>IFERROR(INDEX(TableRBCalcPts[Custom],MATCH(TableRBRanks[[#This Row],[RK]],TableRBCalcPts[RK],0)),"")</f>
        <v/>
      </c>
      <c r="M159" s="140" t="str">
        <f>IF(VLOOKUP(TableRBRanks[[#This Row],[Player]],'Ranks w Proj'!$Q:$AB,12,FALSE)&lt;0,0,VLOOKUP(TableRBRanks[[#This Row],[Player]],'Ranks w Proj'!$Q:$AB,12,FALSE))</f>
        <v/>
      </c>
      <c r="O159" s="58">
        <v>158</v>
      </c>
      <c r="P159" s="58" t="str">
        <f>IFERROR(INDEX(TableWRCalcPts[PLAYER],MATCH(TableWRRanks[[#This Row],[RK]],TableWRCalcPts[RK],0)),"")</f>
        <v>Marquez Valdes-Scantling</v>
      </c>
      <c r="Q159" s="58" t="str">
        <f>IFERROR(INDEX(TableWRCalcPts[TM],MATCH(TableWRRanks[[#This Row],[RK]],TableWRCalcPts[RK],0)),"")</f>
        <v>DAL</v>
      </c>
      <c r="R159" s="58">
        <f>IFERROR(INDEX(TableWRCalcPts[BYE],MATCH(TableWRRanks[[#This Row],[RK]],TableWRCalcPts[RK],0)),"")</f>
        <v>14</v>
      </c>
      <c r="S159" s="95">
        <f>IFERROR(INDEX(TableWRCalcPts[Custom],MATCH(TableWRRanks[[#This Row],[RK]],TableWRCalcPts[RK],0)),"")</f>
        <v>7.5520263973000006</v>
      </c>
      <c r="T159" s="140">
        <f>IF(VLOOKUP(TableWRRanks[[#This Row],[Player]],'Ranks w Proj'!$AE:$AO,11,FALSE)&lt;0,0,VLOOKUP(TableWRRanks[[#This Row],[Player]],'Ranks w Proj'!$AE:$AO,11,FALSE))</f>
        <v>0</v>
      </c>
    </row>
    <row r="160" spans="8:20" x14ac:dyDescent="0.25">
      <c r="H160" s="58">
        <v>159</v>
      </c>
      <c r="I160" s="58" t="str">
        <f>IFERROR(INDEX(TableRBCalcPts[PLAYER],MATCH(TableRBRanks[[#This Row],[RK]],TableRBCalcPts[RK],0)),"")</f>
        <v/>
      </c>
      <c r="J160" s="58" t="str">
        <f>IFERROR(INDEX(TableRBCalcPts[TM],MATCH(TableRBRanks[[#This Row],[RK]],TableRBCalcPts[RK],0)),"")</f>
        <v/>
      </c>
      <c r="K160" s="58" t="str">
        <f>IFERROR(INDEX(TableRBCalcPts[BYE],MATCH(TableRBRanks[[#This Row],[RK]],TableRBCalcPts[RK],0)),"")</f>
        <v/>
      </c>
      <c r="L160" s="95" t="str">
        <f>IFERROR(INDEX(TableRBCalcPts[Custom],MATCH(TableRBRanks[[#This Row],[RK]],TableRBCalcPts[RK],0)),"")</f>
        <v/>
      </c>
      <c r="M160" s="140" t="str">
        <f>IF(VLOOKUP(TableRBRanks[[#This Row],[Player]],'Ranks w Proj'!$Q:$AB,12,FALSE)&lt;0,0,VLOOKUP(TableRBRanks[[#This Row],[Player]],'Ranks w Proj'!$Q:$AB,12,FALSE))</f>
        <v/>
      </c>
      <c r="O160" s="58">
        <v>159</v>
      </c>
      <c r="P160" s="58" t="str">
        <f>IFERROR(INDEX(TableWRCalcPts[PLAYER],MATCH(TableWRRanks[[#This Row],[RK]],TableWRCalcPts[RK],0)),"")</f>
        <v>Casey Washington</v>
      </c>
      <c r="Q160" s="58" t="str">
        <f>IFERROR(INDEX(TableWRCalcPts[TM],MATCH(TableWRRanks[[#This Row],[RK]],TableWRCalcPts[RK],0)),"")</f>
        <v>ATL</v>
      </c>
      <c r="R160" s="58">
        <f>IFERROR(INDEX(TableWRCalcPts[BYE],MATCH(TableWRRanks[[#This Row],[RK]],TableWRCalcPts[RK],0)),"")</f>
        <v>11</v>
      </c>
      <c r="S160" s="95">
        <f>IFERROR(INDEX(TableWRCalcPts[Custom],MATCH(TableWRRanks[[#This Row],[RK]],TableWRCalcPts[RK],0)),"")</f>
        <v>7.5085715524680019</v>
      </c>
      <c r="T160" s="140">
        <f>IF(VLOOKUP(TableWRRanks[[#This Row],[Player]],'Ranks w Proj'!$AE:$AO,11,FALSE)&lt;0,0,VLOOKUP(TableWRRanks[[#This Row],[Player]],'Ranks w Proj'!$AE:$AO,11,FALSE))</f>
        <v>0</v>
      </c>
    </row>
    <row r="161" spans="8:20" x14ac:dyDescent="0.25">
      <c r="H161" s="58">
        <v>160</v>
      </c>
      <c r="I161" s="58" t="str">
        <f>IFERROR(INDEX(TableRBCalcPts[PLAYER],MATCH(TableRBRanks[[#This Row],[RK]],TableRBCalcPts[RK],0)),"")</f>
        <v/>
      </c>
      <c r="J161" s="58" t="str">
        <f>IFERROR(INDEX(TableRBCalcPts[TM],MATCH(TableRBRanks[[#This Row],[RK]],TableRBCalcPts[RK],0)),"")</f>
        <v/>
      </c>
      <c r="K161" s="58" t="str">
        <f>IFERROR(INDEX(TableRBCalcPts[BYE],MATCH(TableRBRanks[[#This Row],[RK]],TableRBCalcPts[RK],0)),"")</f>
        <v/>
      </c>
      <c r="L161" s="95" t="str">
        <f>IFERROR(INDEX(TableRBCalcPts[Custom],MATCH(TableRBRanks[[#This Row],[RK]],TableRBCalcPts[RK],0)),"")</f>
        <v/>
      </c>
      <c r="M161" s="140" t="str">
        <f>IF(VLOOKUP(TableRBRanks[[#This Row],[Player]],'Ranks w Proj'!$Q:$AB,12,FALSE)&lt;0,0,VLOOKUP(TableRBRanks[[#This Row],[Player]],'Ranks w Proj'!$Q:$AB,12,FALSE))</f>
        <v/>
      </c>
      <c r="O161" s="58">
        <v>160</v>
      </c>
      <c r="P161" s="58" t="str">
        <f>IFERROR(INDEX(TableWRCalcPts[PLAYER],MATCH(TableWRRanks[[#This Row],[RK]],TableWRCalcPts[RK],0)),"")</f>
        <v>Jahdae Walker</v>
      </c>
      <c r="Q161" s="58" t="str">
        <f>IFERROR(INDEX(TableWRCalcPts[TM],MATCH(TableWRRanks[[#This Row],[RK]],TableWRCalcPts[RK],0)),"")</f>
        <v>CHI</v>
      </c>
      <c r="R161" s="58">
        <f>IFERROR(INDEX(TableWRCalcPts[BYE],MATCH(TableWRRanks[[#This Row],[RK]],TableWRCalcPts[RK],0)),"")</f>
        <v>10</v>
      </c>
      <c r="S161" s="95">
        <f>IFERROR(INDEX(TableWRCalcPts[Custom],MATCH(TableWRRanks[[#This Row],[RK]],TableWRCalcPts[RK],0)),"")</f>
        <v>7.3437099440049272</v>
      </c>
      <c r="T161" s="140">
        <f>IF(VLOOKUP(TableWRRanks[[#This Row],[Player]],'Ranks w Proj'!$AE:$AO,11,FALSE)&lt;0,0,VLOOKUP(TableWRRanks[[#This Row],[Player]],'Ranks w Proj'!$AE:$AO,11,FALSE))</f>
        <v>0</v>
      </c>
    </row>
    <row r="162" spans="8:20" x14ac:dyDescent="0.25">
      <c r="H162" s="58">
        <v>161</v>
      </c>
      <c r="I162" s="58" t="str">
        <f>IFERROR(INDEX(TableRBCalcPts[PLAYER],MATCH(TableRBRanks[[#This Row],[RK]],TableRBCalcPts[RK],0)),"")</f>
        <v/>
      </c>
      <c r="J162" s="58" t="str">
        <f>IFERROR(INDEX(TableRBCalcPts[TM],MATCH(TableRBRanks[[#This Row],[RK]],TableRBCalcPts[RK],0)),"")</f>
        <v/>
      </c>
      <c r="K162" s="58" t="str">
        <f>IFERROR(INDEX(TableRBCalcPts[BYE],MATCH(TableRBRanks[[#This Row],[RK]],TableRBCalcPts[RK],0)),"")</f>
        <v/>
      </c>
      <c r="L162" s="95" t="str">
        <f>IFERROR(INDEX(TableRBCalcPts[Custom],MATCH(TableRBRanks[[#This Row],[RK]],TableRBCalcPts[RK],0)),"")</f>
        <v/>
      </c>
      <c r="M162" s="140" t="str">
        <f>IF(VLOOKUP(TableRBRanks[[#This Row],[Player]],'Ranks w Proj'!$Q:$AB,12,FALSE)&lt;0,0,VLOOKUP(TableRBRanks[[#This Row],[Player]],'Ranks w Proj'!$Q:$AB,12,FALSE))</f>
        <v/>
      </c>
      <c r="O162" s="58">
        <v>161</v>
      </c>
      <c r="P162" s="58" t="str">
        <f>IFERROR(INDEX(TableWRCalcPts[PLAYER],MATCH(TableWRRanks[[#This Row],[RK]],TableWRCalcPts[RK],0)),"")</f>
        <v>Jake Bobo</v>
      </c>
      <c r="Q162" s="58" t="str">
        <f>IFERROR(INDEX(TableWRCalcPts[TM],MATCH(TableWRRanks[[#This Row],[RK]],TableWRCalcPts[RK],0)),"")</f>
        <v>SEA</v>
      </c>
      <c r="R162" s="58">
        <f>IFERROR(INDEX(TableWRCalcPts[BYE],MATCH(TableWRRanks[[#This Row],[RK]],TableWRCalcPts[RK],0)),"")</f>
        <v>11</v>
      </c>
      <c r="S162" s="95">
        <f>IFERROR(INDEX(TableWRCalcPts[Custom],MATCH(TableWRRanks[[#This Row],[RK]],TableWRCalcPts[RK],0)),"")</f>
        <v>7.1671548843720014</v>
      </c>
      <c r="T162" s="140">
        <f>IF(VLOOKUP(TableWRRanks[[#This Row],[Player]],'Ranks w Proj'!$AE:$AO,11,FALSE)&lt;0,0,VLOOKUP(TableWRRanks[[#This Row],[Player]],'Ranks w Proj'!$AE:$AO,11,FALSE))</f>
        <v>0</v>
      </c>
    </row>
    <row r="163" spans="8:20" x14ac:dyDescent="0.25">
      <c r="H163" s="58">
        <v>162</v>
      </c>
      <c r="I163" s="58" t="str">
        <f>IFERROR(INDEX(TableRBCalcPts[PLAYER],MATCH(TableRBRanks[[#This Row],[RK]],TableRBCalcPts[RK],0)),"")</f>
        <v/>
      </c>
      <c r="J163" s="58" t="str">
        <f>IFERROR(INDEX(TableRBCalcPts[TM],MATCH(TableRBRanks[[#This Row],[RK]],TableRBCalcPts[RK],0)),"")</f>
        <v/>
      </c>
      <c r="K163" s="58" t="str">
        <f>IFERROR(INDEX(TableRBCalcPts[BYE],MATCH(TableRBRanks[[#This Row],[RK]],TableRBCalcPts[RK],0)),"")</f>
        <v/>
      </c>
      <c r="L163" s="95" t="str">
        <f>IFERROR(INDEX(TableRBCalcPts[Custom],MATCH(TableRBRanks[[#This Row],[RK]],TableRBCalcPts[RK],0)),"")</f>
        <v/>
      </c>
      <c r="M163" s="140" t="str">
        <f>IF(VLOOKUP(TableRBRanks[[#This Row],[Player]],'Ranks w Proj'!$Q:$AB,12,FALSE)&lt;0,0,VLOOKUP(TableRBRanks[[#This Row],[Player]],'Ranks w Proj'!$Q:$AB,12,FALSE))</f>
        <v/>
      </c>
      <c r="O163" s="58">
        <v>162</v>
      </c>
      <c r="P163" s="58" t="str">
        <f>IFERROR(INDEX(TableWRCalcPts[PLAYER],MATCH(TableWRRanks[[#This Row],[RK]],TableWRCalcPts[RK],0)),"")</f>
        <v>Kyle Williams</v>
      </c>
      <c r="Q163" s="58" t="str">
        <f>IFERROR(INDEX(TableWRCalcPts[TM],MATCH(TableWRRanks[[#This Row],[RK]],TableWRCalcPts[RK],0)),"")</f>
        <v>NE</v>
      </c>
      <c r="R163" s="58">
        <f>IFERROR(INDEX(TableWRCalcPts[BYE],MATCH(TableWRRanks[[#This Row],[RK]],TableWRCalcPts[RK],0)),"")</f>
        <v>11</v>
      </c>
      <c r="S163" s="95">
        <f>IFERROR(INDEX(TableWRCalcPts[Custom],MATCH(TableWRRanks[[#This Row],[RK]],TableWRCalcPts[RK],0)),"")</f>
        <v>7.1026774721279979</v>
      </c>
      <c r="T163" s="140">
        <f>IF(VLOOKUP(TableWRRanks[[#This Row],[Player]],'Ranks w Proj'!$AE:$AO,11,FALSE)&lt;0,0,VLOOKUP(TableWRRanks[[#This Row],[Player]],'Ranks w Proj'!$AE:$AO,11,FALSE))</f>
        <v>0</v>
      </c>
    </row>
    <row r="164" spans="8:20" x14ac:dyDescent="0.25">
      <c r="H164" s="58">
        <v>163</v>
      </c>
      <c r="I164" s="58" t="str">
        <f>IFERROR(INDEX(TableRBCalcPts[PLAYER],MATCH(TableRBRanks[[#This Row],[RK]],TableRBCalcPts[RK],0)),"")</f>
        <v/>
      </c>
      <c r="J164" s="58" t="str">
        <f>IFERROR(INDEX(TableRBCalcPts[TM],MATCH(TableRBRanks[[#This Row],[RK]],TableRBCalcPts[RK],0)),"")</f>
        <v/>
      </c>
      <c r="K164" s="58" t="str">
        <f>IFERROR(INDEX(TableRBCalcPts[BYE],MATCH(TableRBRanks[[#This Row],[RK]],TableRBCalcPts[RK],0)),"")</f>
        <v/>
      </c>
      <c r="L164" s="95" t="str">
        <f>IFERROR(INDEX(TableRBCalcPts[Custom],MATCH(TableRBRanks[[#This Row],[RK]],TableRBCalcPts[RK],0)),"")</f>
        <v/>
      </c>
      <c r="M164" s="140" t="str">
        <f>IF(VLOOKUP(TableRBRanks[[#This Row],[Player]],'Ranks w Proj'!$Q:$AB,12,FALSE)&lt;0,0,VLOOKUP(TableRBRanks[[#This Row],[Player]],'Ranks w Proj'!$Q:$AB,12,FALSE))</f>
        <v/>
      </c>
      <c r="O164" s="58">
        <v>163</v>
      </c>
      <c r="P164" s="58" t="str">
        <f>IFERROR(INDEX(TableWRCalcPts[PLAYER],MATCH(TableWRRanks[[#This Row],[RK]],TableWRCalcPts[RK],0)),"")</f>
        <v>Mason Tipton</v>
      </c>
      <c r="Q164" s="58" t="str">
        <f>IFERROR(INDEX(TableWRCalcPts[TM],MATCH(TableWRRanks[[#This Row],[RK]],TableWRCalcPts[RK],0)),"")</f>
        <v>NO</v>
      </c>
      <c r="R164" s="58">
        <f>IFERROR(INDEX(TableWRCalcPts[BYE],MATCH(TableWRRanks[[#This Row],[RK]],TableWRCalcPts[RK],0)),"")</f>
        <v>8</v>
      </c>
      <c r="S164" s="95">
        <f>IFERROR(INDEX(TableWRCalcPts[Custom],MATCH(TableWRRanks[[#This Row],[RK]],TableWRCalcPts[RK],0)),"")</f>
        <v>6.7051481333759995</v>
      </c>
      <c r="T164" s="140">
        <f>IF(VLOOKUP(TableWRRanks[[#This Row],[Player]],'Ranks w Proj'!$AE:$AO,11,FALSE)&lt;0,0,VLOOKUP(TableWRRanks[[#This Row],[Player]],'Ranks w Proj'!$AE:$AO,11,FALSE))</f>
        <v>0</v>
      </c>
    </row>
    <row r="165" spans="8:20" x14ac:dyDescent="0.25">
      <c r="H165" s="58">
        <v>164</v>
      </c>
      <c r="I165" s="58" t="str">
        <f>IFERROR(INDEX(TableRBCalcPts[PLAYER],MATCH(TableRBRanks[[#This Row],[RK]],TableRBCalcPts[RK],0)),"")</f>
        <v/>
      </c>
      <c r="J165" s="58" t="str">
        <f>IFERROR(INDEX(TableRBCalcPts[TM],MATCH(TableRBRanks[[#This Row],[RK]],TableRBCalcPts[RK],0)),"")</f>
        <v/>
      </c>
      <c r="K165" s="58" t="str">
        <f>IFERROR(INDEX(TableRBCalcPts[BYE],MATCH(TableRBRanks[[#This Row],[RK]],TableRBCalcPts[RK],0)),"")</f>
        <v/>
      </c>
      <c r="L165" s="95" t="str">
        <f>IFERROR(INDEX(TableRBCalcPts[Custom],MATCH(TableRBRanks[[#This Row],[RK]],TableRBCalcPts[RK],0)),"")</f>
        <v/>
      </c>
      <c r="M165" s="140" t="str">
        <f>IF(VLOOKUP(TableRBRanks[[#This Row],[Player]],'Ranks w Proj'!$Q:$AB,12,FALSE)&lt;0,0,VLOOKUP(TableRBRanks[[#This Row],[Player]],'Ranks w Proj'!$Q:$AB,12,FALSE))</f>
        <v/>
      </c>
      <c r="O165" s="58">
        <v>164</v>
      </c>
      <c r="P165" s="58" t="str">
        <f>IFERROR(INDEX(TableWRCalcPts[PLAYER],MATCH(TableWRRanks[[#This Row],[RK]],TableWRCalcPts[RK],0)),"")</f>
        <v>Jordan Watkins</v>
      </c>
      <c r="Q165" s="58" t="str">
        <f>IFERROR(INDEX(TableWRCalcPts[TM],MATCH(TableWRRanks[[#This Row],[RK]],TableWRCalcPts[RK],0)),"")</f>
        <v>SF</v>
      </c>
      <c r="R165" s="58">
        <f>IFERROR(INDEX(TableWRCalcPts[BYE],MATCH(TableWRRanks[[#This Row],[RK]],TableWRCalcPts[RK],0)),"")</f>
        <v>8</v>
      </c>
      <c r="S165" s="95">
        <f>IFERROR(INDEX(TableWRCalcPts[Custom],MATCH(TableWRRanks[[#This Row],[RK]],TableWRCalcPts[RK],0)),"")</f>
        <v>6.6859447263304252</v>
      </c>
      <c r="T165" s="140">
        <f>IF(VLOOKUP(TableWRRanks[[#This Row],[Player]],'Ranks w Proj'!$AE:$AO,11,FALSE)&lt;0,0,VLOOKUP(TableWRRanks[[#This Row],[Player]],'Ranks w Proj'!$AE:$AO,11,FALSE))</f>
        <v>0</v>
      </c>
    </row>
    <row r="166" spans="8:20" x14ac:dyDescent="0.25">
      <c r="H166" s="58">
        <v>165</v>
      </c>
      <c r="I166" s="58" t="str">
        <f>IFERROR(INDEX(TableRBCalcPts[PLAYER],MATCH(TableRBRanks[[#This Row],[RK]],TableRBCalcPts[RK],0)),"")</f>
        <v/>
      </c>
      <c r="J166" s="58" t="str">
        <f>IFERROR(INDEX(TableRBCalcPts[TM],MATCH(TableRBRanks[[#This Row],[RK]],TableRBCalcPts[RK],0)),"")</f>
        <v/>
      </c>
      <c r="K166" s="58" t="str">
        <f>IFERROR(INDEX(TableRBCalcPts[BYE],MATCH(TableRBRanks[[#This Row],[RK]],TableRBCalcPts[RK],0)),"")</f>
        <v/>
      </c>
      <c r="L166" s="95" t="str">
        <f>IFERROR(INDEX(TableRBCalcPts[Custom],MATCH(TableRBRanks[[#This Row],[RK]],TableRBCalcPts[RK],0)),"")</f>
        <v/>
      </c>
      <c r="M166" s="140" t="str">
        <f>IF(VLOOKUP(TableRBRanks[[#This Row],[Player]],'Ranks w Proj'!$Q:$AB,12,FALSE)&lt;0,0,VLOOKUP(TableRBRanks[[#This Row],[Player]],'Ranks w Proj'!$Q:$AB,12,FALSE))</f>
        <v/>
      </c>
      <c r="O166" s="58">
        <v>165</v>
      </c>
      <c r="P166" s="58" t="str">
        <f>IFERROR(INDEX(TableWRCalcPts[PLAYER],MATCH(TableWRRanks[[#This Row],[RK]],TableWRCalcPts[RK],0)),"")</f>
        <v>CJ Daniels</v>
      </c>
      <c r="Q166" s="58" t="str">
        <f>IFERROR(INDEX(TableWRCalcPts[TM],MATCH(TableWRRanks[[#This Row],[RK]],TableWRCalcPts[RK],0)),"")</f>
        <v>LAR</v>
      </c>
      <c r="R166" s="58">
        <f>IFERROR(INDEX(TableWRCalcPts[BYE],MATCH(TableWRRanks[[#This Row],[RK]],TableWRCalcPts[RK],0)),"")</f>
        <v>11</v>
      </c>
      <c r="S166" s="95">
        <f>IFERROR(INDEX(TableWRCalcPts[Custom],MATCH(TableWRRanks[[#This Row],[RK]],TableWRCalcPts[RK],0)),"")</f>
        <v>6.4120360256657101</v>
      </c>
      <c r="T166" s="140">
        <f>IF(VLOOKUP(TableWRRanks[[#This Row],[Player]],'Ranks w Proj'!$AE:$AO,11,FALSE)&lt;0,0,VLOOKUP(TableWRRanks[[#This Row],[Player]],'Ranks w Proj'!$AE:$AO,11,FALSE))</f>
        <v>0</v>
      </c>
    </row>
    <row r="167" spans="8:20" x14ac:dyDescent="0.25">
      <c r="H167" s="58">
        <v>166</v>
      </c>
      <c r="I167" s="58" t="str">
        <f>IFERROR(INDEX(TableRBCalcPts[PLAYER],MATCH(TableRBRanks[[#This Row],[RK]],TableRBCalcPts[RK],0)),"")</f>
        <v/>
      </c>
      <c r="J167" s="58" t="str">
        <f>IFERROR(INDEX(TableRBCalcPts[TM],MATCH(TableRBRanks[[#This Row],[RK]],TableRBCalcPts[RK],0)),"")</f>
        <v/>
      </c>
      <c r="K167" s="58" t="str">
        <f>IFERROR(INDEX(TableRBCalcPts[BYE],MATCH(TableRBRanks[[#This Row],[RK]],TableRBCalcPts[RK],0)),"")</f>
        <v/>
      </c>
      <c r="L167" s="95" t="str">
        <f>IFERROR(INDEX(TableRBCalcPts[Custom],MATCH(TableRBRanks[[#This Row],[RK]],TableRBCalcPts[RK],0)),"")</f>
        <v/>
      </c>
      <c r="M167" s="140" t="str">
        <f>IF(VLOOKUP(TableRBRanks[[#This Row],[Player]],'Ranks w Proj'!$Q:$AB,12,FALSE)&lt;0,0,VLOOKUP(TableRBRanks[[#This Row],[Player]],'Ranks w Proj'!$Q:$AB,12,FALSE))</f>
        <v/>
      </c>
      <c r="O167" s="58">
        <v>166</v>
      </c>
      <c r="P167" s="58" t="str">
        <f>IFERROR(INDEX(TableWRCalcPts[PLAYER],MATCH(TableWRRanks[[#This Row],[RK]],TableWRCalcPts[RK],0)),"")</f>
        <v>Kameron Johnson</v>
      </c>
      <c r="Q167" s="58" t="str">
        <f>IFERROR(INDEX(TableWRCalcPts[TM],MATCH(TableWRRanks[[#This Row],[RK]],TableWRCalcPts[RK],0)),"")</f>
        <v>TB</v>
      </c>
      <c r="R167" s="58">
        <f>IFERROR(INDEX(TableWRCalcPts[BYE],MATCH(TableWRRanks[[#This Row],[RK]],TableWRCalcPts[RK],0)),"")</f>
        <v>10</v>
      </c>
      <c r="S167" s="95">
        <f>IFERROR(INDEX(TableWRCalcPts[Custom],MATCH(TableWRRanks[[#This Row],[RK]],TableWRCalcPts[RK],0)),"")</f>
        <v>6.3680204445311972</v>
      </c>
      <c r="T167" s="140">
        <f>IF(VLOOKUP(TableWRRanks[[#This Row],[Player]],'Ranks w Proj'!$AE:$AO,11,FALSE)&lt;0,0,VLOOKUP(TableWRRanks[[#This Row],[Player]],'Ranks w Proj'!$AE:$AO,11,FALSE))</f>
        <v>0</v>
      </c>
    </row>
    <row r="168" spans="8:20" x14ac:dyDescent="0.25">
      <c r="H168" s="58">
        <v>167</v>
      </c>
      <c r="I168" s="58" t="str">
        <f>IFERROR(INDEX(TableRBCalcPts[PLAYER],MATCH(TableRBRanks[[#This Row],[RK]],TableRBCalcPts[RK],0)),"")</f>
        <v/>
      </c>
      <c r="J168" s="58" t="str">
        <f>IFERROR(INDEX(TableRBCalcPts[TM],MATCH(TableRBRanks[[#This Row],[RK]],TableRBCalcPts[RK],0)),"")</f>
        <v/>
      </c>
      <c r="K168" s="58" t="str">
        <f>IFERROR(INDEX(TableRBCalcPts[BYE],MATCH(TableRBRanks[[#This Row],[RK]],TableRBCalcPts[RK],0)),"")</f>
        <v/>
      </c>
      <c r="L168" s="95" t="str">
        <f>IFERROR(INDEX(TableRBCalcPts[Custom],MATCH(TableRBRanks[[#This Row],[RK]],TableRBCalcPts[RK],0)),"")</f>
        <v/>
      </c>
      <c r="M168" s="140" t="str">
        <f>IF(VLOOKUP(TableRBRanks[[#This Row],[Player]],'Ranks w Proj'!$Q:$AB,12,FALSE)&lt;0,0,VLOOKUP(TableRBRanks[[#This Row],[Player]],'Ranks w Proj'!$Q:$AB,12,FALSE))</f>
        <v/>
      </c>
      <c r="O168" s="58">
        <v>167</v>
      </c>
      <c r="P168" s="58" t="str">
        <f>IFERROR(INDEX(TableWRCalcPts[PLAYER],MATCH(TableWRRanks[[#This Row],[RK]],TableWRCalcPts[RK],0)),"")</f>
        <v>Justin Watson</v>
      </c>
      <c r="Q168" s="58" t="str">
        <f>IFERROR(INDEX(TableWRCalcPts[TM],MATCH(TableWRRanks[[#This Row],[RK]],TableWRCalcPts[RK],0)),"")</f>
        <v>HOU</v>
      </c>
      <c r="R168" s="58">
        <f>IFERROR(INDEX(TableWRCalcPts[BYE],MATCH(TableWRRanks[[#This Row],[RK]],TableWRCalcPts[RK],0)),"")</f>
        <v>8</v>
      </c>
      <c r="S168" s="95">
        <f>IFERROR(INDEX(TableWRCalcPts[Custom],MATCH(TableWRRanks[[#This Row],[RK]],TableWRCalcPts[RK],0)),"")</f>
        <v>6.2971187382564455</v>
      </c>
      <c r="T168" s="140">
        <f>IF(VLOOKUP(TableWRRanks[[#This Row],[Player]],'Ranks w Proj'!$AE:$AO,11,FALSE)&lt;0,0,VLOOKUP(TableWRRanks[[#This Row],[Player]],'Ranks w Proj'!$AE:$AO,11,FALSE))</f>
        <v>0</v>
      </c>
    </row>
    <row r="169" spans="8:20" x14ac:dyDescent="0.25">
      <c r="H169" s="58">
        <v>168</v>
      </c>
      <c r="I169" s="58" t="str">
        <f>IFERROR(INDEX(TableRBCalcPts[PLAYER],MATCH(TableRBRanks[[#This Row],[RK]],TableRBCalcPts[RK],0)),"")</f>
        <v/>
      </c>
      <c r="J169" s="58" t="str">
        <f>IFERROR(INDEX(TableRBCalcPts[TM],MATCH(TableRBRanks[[#This Row],[RK]],TableRBCalcPts[RK],0)),"")</f>
        <v/>
      </c>
      <c r="K169" s="58" t="str">
        <f>IFERROR(INDEX(TableRBCalcPts[BYE],MATCH(TableRBRanks[[#This Row],[RK]],TableRBCalcPts[RK],0)),"")</f>
        <v/>
      </c>
      <c r="L169" s="95" t="str">
        <f>IFERROR(INDEX(TableRBCalcPts[Custom],MATCH(TableRBRanks[[#This Row],[RK]],TableRBCalcPts[RK],0)),"")</f>
        <v/>
      </c>
      <c r="M169" s="140" t="str">
        <f>IF(VLOOKUP(TableRBRanks[[#This Row],[Player]],'Ranks w Proj'!$Q:$AB,12,FALSE)&lt;0,0,VLOOKUP(TableRBRanks[[#This Row],[Player]],'Ranks w Proj'!$Q:$AB,12,FALSE))</f>
        <v/>
      </c>
      <c r="O169" s="58">
        <v>168</v>
      </c>
      <c r="P169" s="58" t="str">
        <f>IFERROR(INDEX(TableWRCalcPts[PLAYER],MATCH(TableWRRanks[[#This Row],[RK]],TableWRCalcPts[RK],0)),"")</f>
        <v>Isaiah Williams</v>
      </c>
      <c r="Q169" s="58" t="str">
        <f>IFERROR(INDEX(TableWRCalcPts[TM],MATCH(TableWRRanks[[#This Row],[RK]],TableWRCalcPts[RK],0)),"")</f>
        <v>NYJ</v>
      </c>
      <c r="R169" s="58">
        <f>IFERROR(INDEX(TableWRCalcPts[BYE],MATCH(TableWRRanks[[#This Row],[RK]],TableWRCalcPts[RK],0)),"")</f>
        <v>13</v>
      </c>
      <c r="S169" s="95">
        <f>IFERROR(INDEX(TableWRCalcPts[Custom],MATCH(TableWRRanks[[#This Row],[RK]],TableWRCalcPts[RK],0)),"")</f>
        <v>6.2127515792074117</v>
      </c>
      <c r="T169" s="140">
        <f>IF(VLOOKUP(TableWRRanks[[#This Row],[Player]],'Ranks w Proj'!$AE:$AO,11,FALSE)&lt;0,0,VLOOKUP(TableWRRanks[[#This Row],[Player]],'Ranks w Proj'!$AE:$AO,11,FALSE))</f>
        <v>0</v>
      </c>
    </row>
    <row r="170" spans="8:20" x14ac:dyDescent="0.25">
      <c r="H170" s="58">
        <v>169</v>
      </c>
      <c r="I170" s="58" t="str">
        <f>IFERROR(INDEX(TableRBCalcPts[PLAYER],MATCH(TableRBRanks[[#This Row],[RK]],TableRBCalcPts[RK],0)),"")</f>
        <v/>
      </c>
      <c r="J170" s="58" t="str">
        <f>IFERROR(INDEX(TableRBCalcPts[TM],MATCH(TableRBRanks[[#This Row],[RK]],TableRBCalcPts[RK],0)),"")</f>
        <v/>
      </c>
      <c r="K170" s="58" t="str">
        <f>IFERROR(INDEX(TableRBCalcPts[BYE],MATCH(TableRBRanks[[#This Row],[RK]],TableRBCalcPts[RK],0)),"")</f>
        <v/>
      </c>
      <c r="L170" s="95" t="str">
        <f>IFERROR(INDEX(TableRBCalcPts[Custom],MATCH(TableRBRanks[[#This Row],[RK]],TableRBCalcPts[RK],0)),"")</f>
        <v/>
      </c>
      <c r="M170" s="140" t="str">
        <f>IF(VLOOKUP(TableRBRanks[[#This Row],[Player]],'Ranks w Proj'!$Q:$AB,12,FALSE)&lt;0,0,VLOOKUP(TableRBRanks[[#This Row],[Player]],'Ranks w Proj'!$Q:$AB,12,FALSE))</f>
        <v/>
      </c>
      <c r="O170" s="58">
        <v>169</v>
      </c>
      <c r="P170" s="58" t="str">
        <f>IFERROR(INDEX(TableWRCalcPts[PLAYER],MATCH(TableWRRanks[[#This Row],[RK]],TableWRCalcPts[RK],0)),"")</f>
        <v>Scotty Miller</v>
      </c>
      <c r="Q170" s="58" t="str">
        <f>IFERROR(INDEX(TableWRCalcPts[TM],MATCH(TableWRRanks[[#This Row],[RK]],TableWRCalcPts[RK],0)),"")</f>
        <v>CHI</v>
      </c>
      <c r="R170" s="58">
        <f>IFERROR(INDEX(TableWRCalcPts[BYE],MATCH(TableWRRanks[[#This Row],[RK]],TableWRCalcPts[RK],0)),"")</f>
        <v>10</v>
      </c>
      <c r="S170" s="95">
        <f>IFERROR(INDEX(TableWRCalcPts[Custom],MATCH(TableWRRanks[[#This Row],[RK]],TableWRCalcPts[RK],0)),"")</f>
        <v>6.1120980110959993</v>
      </c>
      <c r="T170" s="140">
        <f>IF(VLOOKUP(TableWRRanks[[#This Row],[Player]],'Ranks w Proj'!$AE:$AO,11,FALSE)&lt;0,0,VLOOKUP(TableWRRanks[[#This Row],[Player]],'Ranks w Proj'!$AE:$AO,11,FALSE))</f>
        <v>0</v>
      </c>
    </row>
    <row r="171" spans="8:20" x14ac:dyDescent="0.25">
      <c r="H171" s="58">
        <v>170</v>
      </c>
      <c r="I171" s="58" t="str">
        <f>IFERROR(INDEX(TableRBCalcPts[PLAYER],MATCH(TableRBRanks[[#This Row],[RK]],TableRBCalcPts[RK],0)),"")</f>
        <v/>
      </c>
      <c r="J171" s="58" t="str">
        <f>IFERROR(INDEX(TableRBCalcPts[TM],MATCH(TableRBRanks[[#This Row],[RK]],TableRBCalcPts[RK],0)),"")</f>
        <v/>
      </c>
      <c r="K171" s="58" t="str">
        <f>IFERROR(INDEX(TableRBCalcPts[BYE],MATCH(TableRBRanks[[#This Row],[RK]],TableRBCalcPts[RK],0)),"")</f>
        <v/>
      </c>
      <c r="L171" s="95" t="str">
        <f>IFERROR(INDEX(TableRBCalcPts[Custom],MATCH(TableRBRanks[[#This Row],[RK]],TableRBCalcPts[RK],0)),"")</f>
        <v/>
      </c>
      <c r="M171" s="140" t="str">
        <f>IF(VLOOKUP(TableRBRanks[[#This Row],[Player]],'Ranks w Proj'!$Q:$AB,12,FALSE)&lt;0,0,VLOOKUP(TableRBRanks[[#This Row],[Player]],'Ranks w Proj'!$Q:$AB,12,FALSE))</f>
        <v/>
      </c>
      <c r="O171" s="58">
        <v>170</v>
      </c>
      <c r="P171" s="58" t="str">
        <f>IFERROR(INDEX(TableWRCalcPts[PLAYER],MATCH(TableWRRanks[[#This Row],[RK]],TableWRCalcPts[RK],0)),"")</f>
        <v>CJ Williams</v>
      </c>
      <c r="Q171" s="58" t="str">
        <f>IFERROR(INDEX(TableWRCalcPts[TM],MATCH(TableWRRanks[[#This Row],[RK]],TableWRCalcPts[RK],0)),"")</f>
        <v>JAX</v>
      </c>
      <c r="R171" s="58">
        <f>IFERROR(INDEX(TableWRCalcPts[BYE],MATCH(TableWRRanks[[#This Row],[RK]],TableWRCalcPts[RK],0)),"")</f>
        <v>7</v>
      </c>
      <c r="S171" s="95">
        <f>IFERROR(INDEX(TableWRCalcPts[Custom],MATCH(TableWRRanks[[#This Row],[RK]],TableWRCalcPts[RK],0)),"")</f>
        <v>5.9840247851999999</v>
      </c>
      <c r="T171" s="140">
        <f>IF(VLOOKUP(TableWRRanks[[#This Row],[Player]],'Ranks w Proj'!$AE:$AO,11,FALSE)&lt;0,0,VLOOKUP(TableWRRanks[[#This Row],[Player]],'Ranks w Proj'!$AE:$AO,11,FALSE))</f>
        <v>0</v>
      </c>
    </row>
    <row r="172" spans="8:20" x14ac:dyDescent="0.25">
      <c r="O172" s="58">
        <v>171</v>
      </c>
      <c r="P172" s="58" t="str">
        <f>IFERROR(INDEX(TableWRCalcPts[PLAYER],MATCH(TableWRRanks[[#This Row],[RK]],TableWRCalcPts[RK],0)),"")</f>
        <v>Jeshaun Jones</v>
      </c>
      <c r="Q172" s="58" t="str">
        <f>IFERROR(INDEX(TableWRCalcPts[TM],MATCH(TableWRRanks[[#This Row],[RK]],TableWRCalcPts[RK],0)),"")</f>
        <v>MIN</v>
      </c>
      <c r="R172" s="58">
        <f>IFERROR(INDEX(TableWRCalcPts[BYE],MATCH(TableWRRanks[[#This Row],[RK]],TableWRCalcPts[RK],0)),"")</f>
        <v>6</v>
      </c>
      <c r="S172" s="95">
        <f>IFERROR(INDEX(TableWRCalcPts[Custom],MATCH(TableWRRanks[[#This Row],[RK]],TableWRCalcPts[RK],0)),"")</f>
        <v>5.9596989836810934</v>
      </c>
      <c r="T172" s="140">
        <f>IF(VLOOKUP(TableWRRanks[[#This Row],[Player]],'Ranks w Proj'!$AE:$AO,11,FALSE)&lt;0,0,VLOOKUP(TableWRRanks[[#This Row],[Player]],'Ranks w Proj'!$AE:$AO,11,FALSE))</f>
        <v>0</v>
      </c>
    </row>
    <row r="173" spans="8:20" x14ac:dyDescent="0.25">
      <c r="O173" s="58">
        <v>172</v>
      </c>
      <c r="P173" s="58" t="str">
        <f>IFERROR(INDEX(TableWRCalcPts[PLAYER],MATCH(TableWRRanks[[#This Row],[RK]],TableWRCalcPts[RK],0)),"")</f>
        <v>Dareke Young</v>
      </c>
      <c r="Q173" s="58" t="str">
        <f>IFERROR(INDEX(TableWRCalcPts[TM],MATCH(TableWRRanks[[#This Row],[RK]],TableWRCalcPts[RK],0)),"")</f>
        <v>LV</v>
      </c>
      <c r="R173" s="58">
        <f>IFERROR(INDEX(TableWRCalcPts[BYE],MATCH(TableWRRanks[[#This Row],[RK]],TableWRCalcPts[RK],0)),"")</f>
        <v>13</v>
      </c>
      <c r="S173" s="95">
        <f>IFERROR(INDEX(TableWRCalcPts[Custom],MATCH(TableWRRanks[[#This Row],[RK]],TableWRCalcPts[RK],0)),"")</f>
        <v>5.5403300973887992</v>
      </c>
      <c r="T173" s="140">
        <f>IF(VLOOKUP(TableWRRanks[[#This Row],[Player]],'Ranks w Proj'!$AE:$AO,11,FALSE)&lt;0,0,VLOOKUP(TableWRRanks[[#This Row],[Player]],'Ranks w Proj'!$AE:$AO,11,FALSE))</f>
        <v>0</v>
      </c>
    </row>
    <row r="174" spans="8:20" x14ac:dyDescent="0.25">
      <c r="O174" s="58">
        <v>173</v>
      </c>
      <c r="P174" s="58" t="str">
        <f>IFERROR(INDEX(TableWRCalcPts[PLAYER],MATCH(TableWRRanks[[#This Row],[RK]],TableWRCalcPts[RK],0)),"")</f>
        <v>Devin Duvernay</v>
      </c>
      <c r="Q174" s="58" t="str">
        <f>IFERROR(INDEX(TableWRCalcPts[TM],MATCH(TableWRRanks[[#This Row],[RK]],TableWRCalcPts[RK],0)),"")</f>
        <v>ARI</v>
      </c>
      <c r="R174" s="58">
        <f>IFERROR(INDEX(TableWRCalcPts[BYE],MATCH(TableWRRanks[[#This Row],[RK]],TableWRCalcPts[RK],0)),"")</f>
        <v>14</v>
      </c>
      <c r="S174" s="95">
        <f>IFERROR(INDEX(TableWRCalcPts[Custom],MATCH(TableWRRanks[[#This Row],[RK]],TableWRCalcPts[RK],0)),"")</f>
        <v>5.4590765981733336</v>
      </c>
      <c r="T174" s="140">
        <f>IF(VLOOKUP(TableWRRanks[[#This Row],[Player]],'Ranks w Proj'!$AE:$AO,11,FALSE)&lt;0,0,VLOOKUP(TableWRRanks[[#This Row],[Player]],'Ranks w Proj'!$AE:$AO,11,FALSE))</f>
        <v>0</v>
      </c>
    </row>
    <row r="175" spans="8:20" x14ac:dyDescent="0.25">
      <c r="O175" s="58">
        <v>174</v>
      </c>
      <c r="P175" s="58" t="str">
        <f>IFERROR(INDEX(TableWRCalcPts[PLAYER],MATCH(TableWRRanks[[#This Row],[RK]],TableWRCalcPts[RK],0)),"")</f>
        <v>Anthony Gould</v>
      </c>
      <c r="Q175" s="58" t="str">
        <f>IFERROR(INDEX(TableWRCalcPts[TM],MATCH(TableWRRanks[[#This Row],[RK]],TableWRCalcPts[RK],0)),"")</f>
        <v>IND</v>
      </c>
      <c r="R175" s="58">
        <f>IFERROR(INDEX(TableWRCalcPts[BYE],MATCH(TableWRRanks[[#This Row],[RK]],TableWRCalcPts[RK],0)),"")</f>
        <v>13</v>
      </c>
      <c r="S175" s="95">
        <f>IFERROR(INDEX(TableWRCalcPts[Custom],MATCH(TableWRRanks[[#This Row],[RK]],TableWRCalcPts[RK],0)),"")</f>
        <v>5.4349145164160007</v>
      </c>
      <c r="T175" s="140">
        <f>IF(VLOOKUP(TableWRRanks[[#This Row],[Player]],'Ranks w Proj'!$AE:$AO,11,FALSE)&lt;0,0,VLOOKUP(TableWRRanks[[#This Row],[Player]],'Ranks w Proj'!$AE:$AO,11,FALSE))</f>
        <v>0</v>
      </c>
    </row>
    <row r="176" spans="8:20" x14ac:dyDescent="0.25">
      <c r="O176" s="58">
        <v>175</v>
      </c>
      <c r="P176" s="58" t="str">
        <f>IFERROR(INDEX(TableWRCalcPts[PLAYER],MATCH(TableWRRanks[[#This Row],[RK]],TableWRCalcPts[RK],0)),"")</f>
        <v>Tylan Wallace</v>
      </c>
      <c r="Q176" s="58" t="str">
        <f>IFERROR(INDEX(TableWRCalcPts[TM],MATCH(TableWRRanks[[#This Row],[RK]],TableWRCalcPts[RK],0)),"")</f>
        <v>CLE</v>
      </c>
      <c r="R176" s="58">
        <f>IFERROR(INDEX(TableWRCalcPts[BYE],MATCH(TableWRRanks[[#This Row],[RK]],TableWRCalcPts[RK],0)),"")</f>
        <v>11</v>
      </c>
      <c r="S176" s="95">
        <f>IFERROR(INDEX(TableWRCalcPts[Custom],MATCH(TableWRRanks[[#This Row],[RK]],TableWRCalcPts[RK],0)),"")</f>
        <v>5.0916214364399996</v>
      </c>
      <c r="T176" s="140">
        <f>IF(VLOOKUP(TableWRRanks[[#This Row],[Player]],'Ranks w Proj'!$AE:$AO,11,FALSE)&lt;0,0,VLOOKUP(TableWRRanks[[#This Row],[Player]],'Ranks w Proj'!$AE:$AO,11,FALSE))</f>
        <v>0</v>
      </c>
    </row>
    <row r="177" spans="15:20" x14ac:dyDescent="0.25">
      <c r="O177" s="58">
        <v>176</v>
      </c>
      <c r="P177" s="58" t="str">
        <f>IFERROR(INDEX(TableWRCalcPts[PLAYER],MATCH(TableWRRanks[[#This Row],[RK]],TableWRCalcPts[RK],0)),"")</f>
        <v>Josh Cameron</v>
      </c>
      <c r="Q177" s="58" t="str">
        <f>IFERROR(INDEX(TableWRCalcPts[TM],MATCH(TableWRRanks[[#This Row],[RK]],TableWRCalcPts[RK],0)),"")</f>
        <v>JAX</v>
      </c>
      <c r="R177" s="58">
        <f>IFERROR(INDEX(TableWRCalcPts[BYE],MATCH(TableWRRanks[[#This Row],[RK]],TableWRCalcPts[RK],0)),"")</f>
        <v>7</v>
      </c>
      <c r="S177" s="95">
        <f>IFERROR(INDEX(TableWRCalcPts[Custom],MATCH(TableWRRanks[[#This Row],[RK]],TableWRCalcPts[RK],0)),"")</f>
        <v>3.4133063186250001</v>
      </c>
      <c r="T177" s="140">
        <f>IF(VLOOKUP(TableWRRanks[[#This Row],[Player]],'Ranks w Proj'!$AE:$AO,11,FALSE)&lt;0,0,VLOOKUP(TableWRRanks[[#This Row],[Player]],'Ranks w Proj'!$AE:$AO,11,FALSE))</f>
        <v>0</v>
      </c>
    </row>
    <row r="178" spans="15:20" x14ac:dyDescent="0.25">
      <c r="O178" s="58">
        <v>177</v>
      </c>
      <c r="P178" s="58" t="str">
        <f>IFERROR(INDEX(TableWRCalcPts[PLAYER],MATCH(TableWRRanks[[#This Row],[RK]],TableWRCalcPts[RK],0)),"")</f>
        <v>Jeff Caldwell</v>
      </c>
      <c r="Q178" s="58" t="str">
        <f>IFERROR(INDEX(TableWRCalcPts[TM],MATCH(TableWRRanks[[#This Row],[RK]],TableWRCalcPts[RK],0)),"")</f>
        <v>KC</v>
      </c>
      <c r="R178" s="58">
        <f>IFERROR(INDEX(TableWRCalcPts[BYE],MATCH(TableWRRanks[[#This Row],[RK]],TableWRCalcPts[RK],0)),"")</f>
        <v>5</v>
      </c>
      <c r="S178" s="95">
        <f>IFERROR(INDEX(TableWRCalcPts[Custom],MATCH(TableWRRanks[[#This Row],[RK]],TableWRCalcPts[RK],0)),"")</f>
        <v>3.3126962941800002</v>
      </c>
      <c r="T178" s="140">
        <f>IF(VLOOKUP(TableWRRanks[[#This Row],[Player]],'Ranks w Proj'!$AE:$AO,11,FALSE)&lt;0,0,VLOOKUP(TableWRRanks[[#This Row],[Player]],'Ranks w Proj'!$AE:$AO,11,FALSE))</f>
        <v>0</v>
      </c>
    </row>
    <row r="179" spans="15:20" x14ac:dyDescent="0.25">
      <c r="O179" s="58">
        <v>178</v>
      </c>
      <c r="P179" s="58" t="str">
        <f>IFERROR(INDEX(TableWRCalcPts[PLAYER],MATCH(TableWRRanks[[#This Row],[RK]],TableWRCalcPts[RK],0)),"")</f>
        <v>Derius Davis</v>
      </c>
      <c r="Q179" s="58" t="str">
        <f>IFERROR(INDEX(TableWRCalcPts[TM],MATCH(TableWRRanks[[#This Row],[RK]],TableWRCalcPts[RK],0)),"")</f>
        <v>LAC</v>
      </c>
      <c r="R179" s="58">
        <f>IFERROR(INDEX(TableWRCalcPts[BYE],MATCH(TableWRRanks[[#This Row],[RK]],TableWRCalcPts[RK],0)),"")</f>
        <v>7</v>
      </c>
      <c r="S179" s="95">
        <f>IFERROR(INDEX(TableWRCalcPts[Custom],MATCH(TableWRRanks[[#This Row],[RK]],TableWRCalcPts[RK],0)),"")</f>
        <v>3.2245767982961859</v>
      </c>
      <c r="T179" s="140">
        <f>IF(VLOOKUP(TableWRRanks[[#This Row],[Player]],'Ranks w Proj'!$AE:$AO,11,FALSE)&lt;0,0,VLOOKUP(TableWRRanks[[#This Row],[Player]],'Ranks w Proj'!$AE:$AO,11,FALSE))</f>
        <v>0</v>
      </c>
    </row>
    <row r="180" spans="15:20" x14ac:dyDescent="0.25">
      <c r="O180" s="58">
        <v>179</v>
      </c>
      <c r="P180" s="58" t="str">
        <f>IFERROR(INDEX(TableWRCalcPts[PLAYER],MATCH(TableWRRanks[[#This Row],[RK]],TableWRCalcPts[RK],0)),"")</f>
        <v>Malik Benson</v>
      </c>
      <c r="Q180" s="58" t="str">
        <f>IFERROR(INDEX(TableWRCalcPts[TM],MATCH(TableWRRanks[[#This Row],[RK]],TableWRCalcPts[RK],0)),"")</f>
        <v>LV</v>
      </c>
      <c r="R180" s="58">
        <f>IFERROR(INDEX(TableWRCalcPts[BYE],MATCH(TableWRRanks[[#This Row],[RK]],TableWRCalcPts[RK],0)),"")</f>
        <v>13</v>
      </c>
      <c r="S180" s="95">
        <f>IFERROR(INDEX(TableWRCalcPts[Custom],MATCH(TableWRRanks[[#This Row],[RK]],TableWRCalcPts[RK],0)),"")</f>
        <v>3.1943596859999999</v>
      </c>
      <c r="T180" s="140">
        <f>IF(VLOOKUP(TableWRRanks[[#This Row],[Player]],'Ranks w Proj'!$AE:$AO,11,FALSE)&lt;0,0,VLOOKUP(TableWRRanks[[#This Row],[Player]],'Ranks w Proj'!$AE:$AO,11,FALSE))</f>
        <v>0</v>
      </c>
    </row>
    <row r="181" spans="15:20" x14ac:dyDescent="0.25">
      <c r="O181" s="58">
        <v>180</v>
      </c>
      <c r="P181" s="58" t="str">
        <f>IFERROR(INDEX(TableWRCalcPts[PLAYER],MATCH(TableWRRanks[[#This Row],[RK]],TableWRCalcPts[RK],0)),"")</f>
        <v>Xavier Weaver</v>
      </c>
      <c r="Q181" s="58" t="str">
        <f>IFERROR(INDEX(TableWRCalcPts[TM],MATCH(TableWRRanks[[#This Row],[RK]],TableWRCalcPts[RK],0)),"")</f>
        <v>ARI</v>
      </c>
      <c r="R181" s="58">
        <f>IFERROR(INDEX(TableWRCalcPts[BYE],MATCH(TableWRRanks[[#This Row],[RK]],TableWRCalcPts[RK],0)),"")</f>
        <v>14</v>
      </c>
      <c r="S181" s="95">
        <f>IFERROR(INDEX(TableWRCalcPts[Custom],MATCH(TableWRRanks[[#This Row],[RK]],TableWRCalcPts[RK],0)),"")</f>
        <v>3.0454781350000002</v>
      </c>
      <c r="T181" s="140">
        <f>IF(VLOOKUP(TableWRRanks[[#This Row],[Player]],'Ranks w Proj'!$AE:$AO,11,FALSE)&lt;0,0,VLOOKUP(TableWRRanks[[#This Row],[Player]],'Ranks w Proj'!$AE:$AO,11,FALSE))</f>
        <v>0</v>
      </c>
    </row>
    <row r="182" spans="15:20" x14ac:dyDescent="0.25">
      <c r="O182" s="58">
        <v>181</v>
      </c>
      <c r="P182" s="58" t="str">
        <f>IFERROR(INDEX(TableWRCalcPts[PLAYER],MATCH(TableWRRanks[[#This Row],[RK]],TableWRCalcPts[RK],0)),"")</f>
        <v>Arian Smith</v>
      </c>
      <c r="Q182" s="58" t="str">
        <f>IFERROR(INDEX(TableWRCalcPts[TM],MATCH(TableWRRanks[[#This Row],[RK]],TableWRCalcPts[RK],0)),"")</f>
        <v>NYJ</v>
      </c>
      <c r="R182" s="58">
        <f>IFERROR(INDEX(TableWRCalcPts[BYE],MATCH(TableWRRanks[[#This Row],[RK]],TableWRCalcPts[RK],0)),"")</f>
        <v>13</v>
      </c>
      <c r="S182" s="95">
        <f>IFERROR(INDEX(TableWRCalcPts[Custom],MATCH(TableWRRanks[[#This Row],[RK]],TableWRCalcPts[RK],0)),"")</f>
        <v>2.818823583122898</v>
      </c>
      <c r="T182" s="140">
        <f>IF(VLOOKUP(TableWRRanks[[#This Row],[Player]],'Ranks w Proj'!$AE:$AO,11,FALSE)&lt;0,0,VLOOKUP(TableWRRanks[[#This Row],[Player]],'Ranks w Proj'!$AE:$AO,11,FALSE))</f>
        <v>0</v>
      </c>
    </row>
    <row r="183" spans="15:20" x14ac:dyDescent="0.25">
      <c r="O183" s="58">
        <v>182</v>
      </c>
      <c r="P183" s="58" t="str">
        <f>IFERROR(INDEX(TableWRCalcPts[PLAYER],MATCH(TableWRRanks[[#This Row],[RK]],TableWRCalcPts[RK],0)),"")</f>
        <v>Skyy Moore</v>
      </c>
      <c r="Q183" s="58" t="str">
        <f>IFERROR(INDEX(TableWRCalcPts[TM],MATCH(TableWRRanks[[#This Row],[RK]],TableWRCalcPts[RK],0)),"")</f>
        <v>GB</v>
      </c>
      <c r="R183" s="58">
        <f>IFERROR(INDEX(TableWRCalcPts[BYE],MATCH(TableWRRanks[[#This Row],[RK]],TableWRCalcPts[RK],0)),"")</f>
        <v>11</v>
      </c>
      <c r="S183" s="95">
        <f>IFERROR(INDEX(TableWRCalcPts[Custom],MATCH(TableWRRanks[[#This Row],[RK]],TableWRCalcPts[RK],0)),"")</f>
        <v>0</v>
      </c>
      <c r="T183" s="140">
        <f>IF(VLOOKUP(TableWRRanks[[#This Row],[Player]],'Ranks w Proj'!$AE:$AO,11,FALSE)&lt;0,0,VLOOKUP(TableWRRanks[[#This Row],[Player]],'Ranks w Proj'!$AE:$AO,11,FALSE))</f>
        <v>0</v>
      </c>
    </row>
    <row r="184" spans="15:20" x14ac:dyDescent="0.25">
      <c r="O184" s="58">
        <v>183</v>
      </c>
      <c r="P184" s="58" t="str">
        <f>IFERROR(INDEX(TableWRCalcPts[PLAYER],MATCH(TableWRRanks[[#This Row],[RK]],TableWRCalcPts[RK],0)),"")</f>
        <v/>
      </c>
      <c r="Q184" s="58" t="str">
        <f>IFERROR(INDEX(TableWRCalcPts[TM],MATCH(TableWRRanks[[#This Row],[RK]],TableWRCalcPts[RK],0)),"")</f>
        <v/>
      </c>
      <c r="R184" s="58" t="str">
        <f>IFERROR(INDEX(TableWRCalcPts[BYE],MATCH(TableWRRanks[[#This Row],[RK]],TableWRCalcPts[RK],0)),"")</f>
        <v/>
      </c>
      <c r="S184" s="95" t="str">
        <f>IFERROR(INDEX(TableWRCalcPts[Custom],MATCH(TableWRRanks[[#This Row],[RK]],TableWRCalcPts[RK],0)),"")</f>
        <v/>
      </c>
      <c r="T184" s="140" t="str">
        <f>IF(VLOOKUP(TableWRRanks[[#This Row],[Player]],'Ranks w Proj'!$AE:$AO,11,FALSE)&lt;0,0,VLOOKUP(TableWRRanks[[#This Row],[Player]],'Ranks w Proj'!$AE:$AO,11,FALSE))</f>
        <v/>
      </c>
    </row>
    <row r="185" spans="15:20" x14ac:dyDescent="0.25">
      <c r="O185" s="58">
        <v>184</v>
      </c>
      <c r="P185" s="58" t="str">
        <f>IFERROR(INDEX(TableWRCalcPts[PLAYER],MATCH(TableWRRanks[[#This Row],[RK]],TableWRCalcPts[RK],0)),"")</f>
        <v/>
      </c>
      <c r="Q185" s="58" t="str">
        <f>IFERROR(INDEX(TableWRCalcPts[TM],MATCH(TableWRRanks[[#This Row],[RK]],TableWRCalcPts[RK],0)),"")</f>
        <v/>
      </c>
      <c r="R185" s="58" t="str">
        <f>IFERROR(INDEX(TableWRCalcPts[BYE],MATCH(TableWRRanks[[#This Row],[RK]],TableWRCalcPts[RK],0)),"")</f>
        <v/>
      </c>
      <c r="S185" s="95" t="str">
        <f>IFERROR(INDEX(TableWRCalcPts[Custom],MATCH(TableWRRanks[[#This Row],[RK]],TableWRCalcPts[RK],0)),"")</f>
        <v/>
      </c>
      <c r="T185" s="140" t="str">
        <f>IF(VLOOKUP(TableWRRanks[[#This Row],[Player]],'Ranks w Proj'!$AE:$AO,11,FALSE)&lt;0,0,VLOOKUP(TableWRRanks[[#This Row],[Player]],'Ranks w Proj'!$AE:$AO,11,FALSE))</f>
        <v/>
      </c>
    </row>
    <row r="186" spans="15:20" x14ac:dyDescent="0.25">
      <c r="O186" s="58">
        <v>185</v>
      </c>
      <c r="P186" s="58" t="str">
        <f>IFERROR(INDEX(TableWRCalcPts[PLAYER],MATCH(TableWRRanks[[#This Row],[RK]],TableWRCalcPts[RK],0)),"")</f>
        <v/>
      </c>
      <c r="Q186" s="58" t="str">
        <f>IFERROR(INDEX(TableWRCalcPts[TM],MATCH(TableWRRanks[[#This Row],[RK]],TableWRCalcPts[RK],0)),"")</f>
        <v/>
      </c>
      <c r="R186" s="58" t="str">
        <f>IFERROR(INDEX(TableWRCalcPts[BYE],MATCH(TableWRRanks[[#This Row],[RK]],TableWRCalcPts[RK],0)),"")</f>
        <v/>
      </c>
      <c r="S186" s="95" t="str">
        <f>IFERROR(INDEX(TableWRCalcPts[Custom],MATCH(TableWRRanks[[#This Row],[RK]],TableWRCalcPts[RK],0)),"")</f>
        <v/>
      </c>
      <c r="T186" s="140" t="str">
        <f>IF(VLOOKUP(TableWRRanks[[#This Row],[Player]],'Ranks w Proj'!$AE:$AO,11,FALSE)&lt;0,0,VLOOKUP(TableWRRanks[[#This Row],[Player]],'Ranks w Proj'!$AE:$AO,11,FALSE))</f>
        <v/>
      </c>
    </row>
    <row r="187" spans="15:20" x14ac:dyDescent="0.25">
      <c r="O187" s="58">
        <v>186</v>
      </c>
      <c r="P187" s="58" t="str">
        <f>IFERROR(INDEX(TableWRCalcPts[PLAYER],MATCH(TableWRRanks[[#This Row],[RK]],TableWRCalcPts[RK],0)),"")</f>
        <v/>
      </c>
      <c r="Q187" s="58" t="str">
        <f>IFERROR(INDEX(TableWRCalcPts[TM],MATCH(TableWRRanks[[#This Row],[RK]],TableWRCalcPts[RK],0)),"")</f>
        <v/>
      </c>
      <c r="R187" s="58" t="str">
        <f>IFERROR(INDEX(TableWRCalcPts[BYE],MATCH(TableWRRanks[[#This Row],[RK]],TableWRCalcPts[RK],0)),"")</f>
        <v/>
      </c>
      <c r="S187" s="95" t="str">
        <f>IFERROR(INDEX(TableWRCalcPts[Custom],MATCH(TableWRRanks[[#This Row],[RK]],TableWRCalcPts[RK],0)),"")</f>
        <v/>
      </c>
      <c r="T187" s="140" t="str">
        <f>IF(VLOOKUP(TableWRRanks[[#This Row],[Player]],'Ranks w Proj'!$AE:$AO,11,FALSE)&lt;0,0,VLOOKUP(TableWRRanks[[#This Row],[Player]],'Ranks w Proj'!$AE:$AO,11,FALSE))</f>
        <v/>
      </c>
    </row>
    <row r="188" spans="15:20" x14ac:dyDescent="0.25">
      <c r="O188" s="58">
        <v>187</v>
      </c>
      <c r="P188" s="58" t="str">
        <f>IFERROR(INDEX(TableWRCalcPts[PLAYER],MATCH(TableWRRanks[[#This Row],[RK]],TableWRCalcPts[RK],0)),"")</f>
        <v/>
      </c>
      <c r="Q188" s="58" t="str">
        <f>IFERROR(INDEX(TableWRCalcPts[TM],MATCH(TableWRRanks[[#This Row],[RK]],TableWRCalcPts[RK],0)),"")</f>
        <v/>
      </c>
      <c r="R188" s="58" t="str">
        <f>IFERROR(INDEX(TableWRCalcPts[BYE],MATCH(TableWRRanks[[#This Row],[RK]],TableWRCalcPts[RK],0)),"")</f>
        <v/>
      </c>
      <c r="S188" s="95" t="str">
        <f>IFERROR(INDEX(TableWRCalcPts[Custom],MATCH(TableWRRanks[[#This Row],[RK]],TableWRCalcPts[RK],0)),"")</f>
        <v/>
      </c>
      <c r="T188" s="140" t="str">
        <f>IF(VLOOKUP(TableWRRanks[[#This Row],[Player]],'Ranks w Proj'!$AE:$AO,11,FALSE)&lt;0,0,VLOOKUP(TableWRRanks[[#This Row],[Player]],'Ranks w Proj'!$AE:$AO,11,FALSE))</f>
        <v/>
      </c>
    </row>
    <row r="189" spans="15:20" x14ac:dyDescent="0.25">
      <c r="O189" s="58">
        <v>188</v>
      </c>
      <c r="P189" s="58" t="str">
        <f>IFERROR(INDEX(TableWRCalcPts[PLAYER],MATCH(TableWRRanks[[#This Row],[RK]],TableWRCalcPts[RK],0)),"")</f>
        <v/>
      </c>
      <c r="Q189" s="58" t="str">
        <f>IFERROR(INDEX(TableWRCalcPts[TM],MATCH(TableWRRanks[[#This Row],[RK]],TableWRCalcPts[RK],0)),"")</f>
        <v/>
      </c>
      <c r="R189" s="58" t="str">
        <f>IFERROR(INDEX(TableWRCalcPts[BYE],MATCH(TableWRRanks[[#This Row],[RK]],TableWRCalcPts[RK],0)),"")</f>
        <v/>
      </c>
      <c r="S189" s="95" t="str">
        <f>IFERROR(INDEX(TableWRCalcPts[Custom],MATCH(TableWRRanks[[#This Row],[RK]],TableWRCalcPts[RK],0)),"")</f>
        <v/>
      </c>
      <c r="T189" s="140" t="str">
        <f>IF(VLOOKUP(TableWRRanks[[#This Row],[Player]],'Ranks w Proj'!$AE:$AO,11,FALSE)&lt;0,0,VLOOKUP(TableWRRanks[[#This Row],[Player]],'Ranks w Proj'!$AE:$AO,11,FALSE))</f>
        <v/>
      </c>
    </row>
    <row r="190" spans="15:20" x14ac:dyDescent="0.25">
      <c r="O190" s="58">
        <v>189</v>
      </c>
      <c r="P190" s="58" t="str">
        <f>IFERROR(INDEX(TableWRCalcPts[PLAYER],MATCH(TableWRRanks[[#This Row],[RK]],TableWRCalcPts[RK],0)),"")</f>
        <v/>
      </c>
      <c r="Q190" s="58" t="str">
        <f>IFERROR(INDEX(TableWRCalcPts[TM],MATCH(TableWRRanks[[#This Row],[RK]],TableWRCalcPts[RK],0)),"")</f>
        <v/>
      </c>
      <c r="R190" s="58" t="str">
        <f>IFERROR(INDEX(TableWRCalcPts[BYE],MATCH(TableWRRanks[[#This Row],[RK]],TableWRCalcPts[RK],0)),"")</f>
        <v/>
      </c>
      <c r="S190" s="95" t="str">
        <f>IFERROR(INDEX(TableWRCalcPts[Custom],MATCH(TableWRRanks[[#This Row],[RK]],TableWRCalcPts[RK],0)),"")</f>
        <v/>
      </c>
      <c r="T190" s="140" t="str">
        <f>IF(VLOOKUP(TableWRRanks[[#This Row],[Player]],'Ranks w Proj'!$AE:$AO,11,FALSE)&lt;0,0,VLOOKUP(TableWRRanks[[#This Row],[Player]],'Ranks w Proj'!$AE:$AO,11,FALSE))</f>
        <v/>
      </c>
    </row>
    <row r="191" spans="15:20" x14ac:dyDescent="0.25">
      <c r="O191" s="58">
        <v>190</v>
      </c>
      <c r="P191" s="58" t="str">
        <f>IFERROR(INDEX(TableWRCalcPts[PLAYER],MATCH(TableWRRanks[[#This Row],[RK]],TableWRCalcPts[RK],0)),"")</f>
        <v/>
      </c>
      <c r="Q191" s="58" t="str">
        <f>IFERROR(INDEX(TableWRCalcPts[TM],MATCH(TableWRRanks[[#This Row],[RK]],TableWRCalcPts[RK],0)),"")</f>
        <v/>
      </c>
      <c r="R191" s="58" t="str">
        <f>IFERROR(INDEX(TableWRCalcPts[BYE],MATCH(TableWRRanks[[#This Row],[RK]],TableWRCalcPts[RK],0)),"")</f>
        <v/>
      </c>
      <c r="S191" s="95" t="str">
        <f>IFERROR(INDEX(TableWRCalcPts[Custom],MATCH(TableWRRanks[[#This Row],[RK]],TableWRCalcPts[RK],0)),"")</f>
        <v/>
      </c>
      <c r="T191" s="140" t="str">
        <f>IF(VLOOKUP(TableWRRanks[[#This Row],[Player]],'Ranks w Proj'!$AE:$AO,11,FALSE)&lt;0,0,VLOOKUP(TableWRRanks[[#This Row],[Player]],'Ranks w Proj'!$AE:$AO,11,FALSE))</f>
        <v/>
      </c>
    </row>
    <row r="192" spans="15:20" x14ac:dyDescent="0.25">
      <c r="O192" s="58">
        <v>191</v>
      </c>
      <c r="P192" s="58" t="str">
        <f>IFERROR(INDEX(TableWRCalcPts[PLAYER],MATCH(TableWRRanks[[#This Row],[RK]],TableWRCalcPts[RK],0)),"")</f>
        <v/>
      </c>
      <c r="Q192" s="58" t="str">
        <f>IFERROR(INDEX(TableWRCalcPts[TM],MATCH(TableWRRanks[[#This Row],[RK]],TableWRCalcPts[RK],0)),"")</f>
        <v/>
      </c>
      <c r="R192" s="58" t="str">
        <f>IFERROR(INDEX(TableWRCalcPts[BYE],MATCH(TableWRRanks[[#This Row],[RK]],TableWRCalcPts[RK],0)),"")</f>
        <v/>
      </c>
      <c r="S192" s="95" t="str">
        <f>IFERROR(INDEX(TableWRCalcPts[Custom],MATCH(TableWRRanks[[#This Row],[RK]],TableWRCalcPts[RK],0)),"")</f>
        <v/>
      </c>
      <c r="T192" s="140" t="str">
        <f>IF(VLOOKUP(TableWRRanks[[#This Row],[Player]],'Ranks w Proj'!$AE:$AO,11,FALSE)&lt;0,0,VLOOKUP(TableWRRanks[[#This Row],[Player]],'Ranks w Proj'!$AE:$AO,11,FALSE))</f>
        <v/>
      </c>
    </row>
    <row r="193" spans="15:20" x14ac:dyDescent="0.25">
      <c r="O193" s="58">
        <v>192</v>
      </c>
      <c r="P193" s="58" t="str">
        <f>IFERROR(INDEX(TableWRCalcPts[PLAYER],MATCH(TableWRRanks[[#This Row],[RK]],TableWRCalcPts[RK],0)),"")</f>
        <v/>
      </c>
      <c r="Q193" s="58" t="str">
        <f>IFERROR(INDEX(TableWRCalcPts[TM],MATCH(TableWRRanks[[#This Row],[RK]],TableWRCalcPts[RK],0)),"")</f>
        <v/>
      </c>
      <c r="R193" s="58" t="str">
        <f>IFERROR(INDEX(TableWRCalcPts[BYE],MATCH(TableWRRanks[[#This Row],[RK]],TableWRCalcPts[RK],0)),"")</f>
        <v/>
      </c>
      <c r="S193" s="95" t="str">
        <f>IFERROR(INDEX(TableWRCalcPts[Custom],MATCH(TableWRRanks[[#This Row],[RK]],TableWRCalcPts[RK],0)),"")</f>
        <v/>
      </c>
      <c r="T193" s="140" t="str">
        <f>IF(VLOOKUP(TableWRRanks[[#This Row],[Player]],'Ranks w Proj'!$AE:$AO,11,FALSE)&lt;0,0,VLOOKUP(TableWRRanks[[#This Row],[Player]],'Ranks w Proj'!$AE:$AO,11,FALSE))</f>
        <v/>
      </c>
    </row>
    <row r="194" spans="15:20" x14ac:dyDescent="0.25">
      <c r="O194" s="58">
        <v>193</v>
      </c>
      <c r="P194" s="58" t="str">
        <f>IFERROR(INDEX(TableWRCalcPts[PLAYER],MATCH(TableWRRanks[[#This Row],[RK]],TableWRCalcPts[RK],0)),"")</f>
        <v/>
      </c>
      <c r="Q194" s="58" t="str">
        <f>IFERROR(INDEX(TableWRCalcPts[TM],MATCH(TableWRRanks[[#This Row],[RK]],TableWRCalcPts[RK],0)),"")</f>
        <v/>
      </c>
      <c r="R194" s="58" t="str">
        <f>IFERROR(INDEX(TableWRCalcPts[BYE],MATCH(TableWRRanks[[#This Row],[RK]],TableWRCalcPts[RK],0)),"")</f>
        <v/>
      </c>
      <c r="S194" s="95" t="str">
        <f>IFERROR(INDEX(TableWRCalcPts[Custom],MATCH(TableWRRanks[[#This Row],[RK]],TableWRCalcPts[RK],0)),"")</f>
        <v/>
      </c>
      <c r="T194" s="140" t="str">
        <f>IF(VLOOKUP(TableWRRanks[[#This Row],[Player]],'Ranks w Proj'!$AE:$AO,11,FALSE)&lt;0,0,VLOOKUP(TableWRRanks[[#This Row],[Player]],'Ranks w Proj'!$AE:$AO,11,FALSE))</f>
        <v/>
      </c>
    </row>
    <row r="195" spans="15:20" x14ac:dyDescent="0.25">
      <c r="O195" s="58">
        <v>194</v>
      </c>
      <c r="P195" s="58" t="str">
        <f>IFERROR(INDEX(TableWRCalcPts[PLAYER],MATCH(TableWRRanks[[#This Row],[RK]],TableWRCalcPts[RK],0)),"")</f>
        <v/>
      </c>
      <c r="Q195" s="58" t="str">
        <f>IFERROR(INDEX(TableWRCalcPts[TM],MATCH(TableWRRanks[[#This Row],[RK]],TableWRCalcPts[RK],0)),"")</f>
        <v/>
      </c>
      <c r="R195" s="58" t="str">
        <f>IFERROR(INDEX(TableWRCalcPts[BYE],MATCH(TableWRRanks[[#This Row],[RK]],TableWRCalcPts[RK],0)),"")</f>
        <v/>
      </c>
      <c r="S195" s="95" t="str">
        <f>IFERROR(INDEX(TableWRCalcPts[Custom],MATCH(TableWRRanks[[#This Row],[RK]],TableWRCalcPts[RK],0)),"")</f>
        <v/>
      </c>
      <c r="T195" s="140" t="str">
        <f>IF(VLOOKUP(TableWRRanks[[#This Row],[Player]],'Ranks w Proj'!$AE:$AO,11,FALSE)&lt;0,0,VLOOKUP(TableWRRanks[[#This Row],[Player]],'Ranks w Proj'!$AE:$AO,11,FALSE))</f>
        <v/>
      </c>
    </row>
    <row r="196" spans="15:20" x14ac:dyDescent="0.25">
      <c r="O196" s="58">
        <v>195</v>
      </c>
      <c r="P196" s="58" t="str">
        <f>IFERROR(INDEX(TableWRCalcPts[PLAYER],MATCH(TableWRRanks[[#This Row],[RK]],TableWRCalcPts[RK],0)),"")</f>
        <v/>
      </c>
      <c r="Q196" s="58" t="str">
        <f>IFERROR(INDEX(TableWRCalcPts[TM],MATCH(TableWRRanks[[#This Row],[RK]],TableWRCalcPts[RK],0)),"")</f>
        <v/>
      </c>
      <c r="R196" s="58" t="str">
        <f>IFERROR(INDEX(TableWRCalcPts[BYE],MATCH(TableWRRanks[[#This Row],[RK]],TableWRCalcPts[RK],0)),"")</f>
        <v/>
      </c>
      <c r="S196" s="95" t="str">
        <f>IFERROR(INDEX(TableWRCalcPts[Custom],MATCH(TableWRRanks[[#This Row],[RK]],TableWRCalcPts[RK],0)),"")</f>
        <v/>
      </c>
      <c r="T196" s="140" t="str">
        <f>IF(VLOOKUP(TableWRRanks[[#This Row],[Player]],'Ranks w Proj'!$AE:$AO,11,FALSE)&lt;0,0,VLOOKUP(TableWRRanks[[#This Row],[Player]],'Ranks w Proj'!$AE:$AO,11,FALSE))</f>
        <v/>
      </c>
    </row>
    <row r="197" spans="15:20" x14ac:dyDescent="0.25">
      <c r="O197" s="58">
        <v>196</v>
      </c>
      <c r="P197" s="58" t="str">
        <f>IFERROR(INDEX(TableWRCalcPts[PLAYER],MATCH(TableWRRanks[[#This Row],[RK]],TableWRCalcPts[RK],0)),"")</f>
        <v/>
      </c>
      <c r="Q197" s="58" t="str">
        <f>IFERROR(INDEX(TableWRCalcPts[TM],MATCH(TableWRRanks[[#This Row],[RK]],TableWRCalcPts[RK],0)),"")</f>
        <v/>
      </c>
      <c r="R197" s="58" t="str">
        <f>IFERROR(INDEX(TableWRCalcPts[BYE],MATCH(TableWRRanks[[#This Row],[RK]],TableWRCalcPts[RK],0)),"")</f>
        <v/>
      </c>
      <c r="S197" s="95" t="str">
        <f>IFERROR(INDEX(TableWRCalcPts[Custom],MATCH(TableWRRanks[[#This Row],[RK]],TableWRCalcPts[RK],0)),"")</f>
        <v/>
      </c>
      <c r="T197" s="140" t="str">
        <f>IF(VLOOKUP(TableWRRanks[[#This Row],[Player]],'Ranks w Proj'!$AE:$AO,11,FALSE)&lt;0,0,VLOOKUP(TableWRRanks[[#This Row],[Player]],'Ranks w Proj'!$AE:$AO,11,FALSE))</f>
        <v/>
      </c>
    </row>
    <row r="198" spans="15:20" x14ac:dyDescent="0.25">
      <c r="O198" s="58">
        <v>197</v>
      </c>
      <c r="P198" s="58" t="str">
        <f>IFERROR(INDEX(TableWRCalcPts[PLAYER],MATCH(TableWRRanks[[#This Row],[RK]],TableWRCalcPts[RK],0)),"")</f>
        <v/>
      </c>
      <c r="Q198" s="58" t="str">
        <f>IFERROR(INDEX(TableWRCalcPts[TM],MATCH(TableWRRanks[[#This Row],[RK]],TableWRCalcPts[RK],0)),"")</f>
        <v/>
      </c>
      <c r="R198" s="58" t="str">
        <f>IFERROR(INDEX(TableWRCalcPts[BYE],MATCH(TableWRRanks[[#This Row],[RK]],TableWRCalcPts[RK],0)),"")</f>
        <v/>
      </c>
      <c r="S198" s="95" t="str">
        <f>IFERROR(INDEX(TableWRCalcPts[Custom],MATCH(TableWRRanks[[#This Row],[RK]],TableWRCalcPts[RK],0)),"")</f>
        <v/>
      </c>
      <c r="T198" s="140" t="str">
        <f>IF(VLOOKUP(TableWRRanks[[#This Row],[Player]],'Ranks w Proj'!$AE:$AO,11,FALSE)&lt;0,0,VLOOKUP(TableWRRanks[[#This Row],[Player]],'Ranks w Proj'!$AE:$AO,11,FALSE))</f>
        <v/>
      </c>
    </row>
    <row r="199" spans="15:20" x14ac:dyDescent="0.25">
      <c r="O199" s="58">
        <v>198</v>
      </c>
      <c r="P199" s="58" t="str">
        <f>IFERROR(INDEX(TableWRCalcPts[PLAYER],MATCH(TableWRRanks[[#This Row],[RK]],TableWRCalcPts[RK],0)),"")</f>
        <v/>
      </c>
      <c r="Q199" s="58" t="str">
        <f>IFERROR(INDEX(TableWRCalcPts[TM],MATCH(TableWRRanks[[#This Row],[RK]],TableWRCalcPts[RK],0)),"")</f>
        <v/>
      </c>
      <c r="R199" s="58" t="str">
        <f>IFERROR(INDEX(TableWRCalcPts[BYE],MATCH(TableWRRanks[[#This Row],[RK]],TableWRCalcPts[RK],0)),"")</f>
        <v/>
      </c>
      <c r="S199" s="95" t="str">
        <f>IFERROR(INDEX(TableWRCalcPts[Custom],MATCH(TableWRRanks[[#This Row],[RK]],TableWRCalcPts[RK],0)),"")</f>
        <v/>
      </c>
      <c r="T199" s="140" t="str">
        <f>IF(VLOOKUP(TableWRRanks[[#This Row],[Player]],'Ranks w Proj'!$AE:$AO,11,FALSE)&lt;0,0,VLOOKUP(TableWRRanks[[#This Row],[Player]],'Ranks w Proj'!$AE:$AO,11,FALSE))</f>
        <v/>
      </c>
    </row>
    <row r="200" spans="15:20" x14ac:dyDescent="0.25">
      <c r="O200" s="58">
        <v>199</v>
      </c>
      <c r="P200" s="58" t="str">
        <f>IFERROR(INDEX(TableWRCalcPts[PLAYER],MATCH(TableWRRanks[[#This Row],[RK]],TableWRCalcPts[RK],0)),"")</f>
        <v/>
      </c>
      <c r="Q200" s="58" t="str">
        <f>IFERROR(INDEX(TableWRCalcPts[TM],MATCH(TableWRRanks[[#This Row],[RK]],TableWRCalcPts[RK],0)),"")</f>
        <v/>
      </c>
      <c r="R200" s="58" t="str">
        <f>IFERROR(INDEX(TableWRCalcPts[BYE],MATCH(TableWRRanks[[#This Row],[RK]],TableWRCalcPts[RK],0)),"")</f>
        <v/>
      </c>
      <c r="S200" s="95" t="str">
        <f>IFERROR(INDEX(TableWRCalcPts[Custom],MATCH(TableWRRanks[[#This Row],[RK]],TableWRCalcPts[RK],0)),"")</f>
        <v/>
      </c>
      <c r="T200" s="140" t="str">
        <f>IF(VLOOKUP(TableWRRanks[[#This Row],[Player]],'Ranks w Proj'!$AE:$AO,11,FALSE)&lt;0,0,VLOOKUP(TableWRRanks[[#This Row],[Player]],'Ranks w Proj'!$AE:$AO,11,FALSE))</f>
        <v/>
      </c>
    </row>
    <row r="201" spans="15:20" x14ac:dyDescent="0.25">
      <c r="O201" s="58">
        <v>200</v>
      </c>
      <c r="P201" s="58" t="str">
        <f>IFERROR(INDEX(TableWRCalcPts[PLAYER],MATCH(TableWRRanks[[#This Row],[RK]],TableWRCalcPts[RK],0)),"")</f>
        <v/>
      </c>
      <c r="Q201" s="58" t="str">
        <f>IFERROR(INDEX(TableWRCalcPts[TM],MATCH(TableWRRanks[[#This Row],[RK]],TableWRCalcPts[RK],0)),"")</f>
        <v/>
      </c>
      <c r="R201" s="58" t="str">
        <f>IFERROR(INDEX(TableWRCalcPts[BYE],MATCH(TableWRRanks[[#This Row],[RK]],TableWRCalcPts[RK],0)),"")</f>
        <v/>
      </c>
      <c r="S201" s="95" t="str">
        <f>IFERROR(INDEX(TableWRCalcPts[Custom],MATCH(TableWRRanks[[#This Row],[RK]],TableWRCalcPts[RK],0)),"")</f>
        <v/>
      </c>
      <c r="T201" s="140" t="str">
        <f>IF(VLOOKUP(TableWRRanks[[#This Row],[Player]],'Ranks w Proj'!$AE:$AO,11,FALSE)&lt;0,0,VLOOKUP(TableWRRanks[[#This Row],[Player]],'Ranks w Proj'!$AE:$AO,11,FALSE))</f>
        <v/>
      </c>
    </row>
    <row r="202" spans="15:20" x14ac:dyDescent="0.25">
      <c r="O202" s="58">
        <v>201</v>
      </c>
      <c r="P202" s="58" t="str">
        <f>IFERROR(INDEX(TableWRCalcPts[PLAYER],MATCH(TableWRRanks[[#This Row],[RK]],TableWRCalcPts[RK],0)),"")</f>
        <v/>
      </c>
      <c r="Q202" s="58" t="str">
        <f>IFERROR(INDEX(TableWRCalcPts[TM],MATCH(TableWRRanks[[#This Row],[RK]],TableWRCalcPts[RK],0)),"")</f>
        <v/>
      </c>
      <c r="R202" s="58" t="str">
        <f>IFERROR(INDEX(TableWRCalcPts[BYE],MATCH(TableWRRanks[[#This Row],[RK]],TableWRCalcPts[RK],0)),"")</f>
        <v/>
      </c>
      <c r="S202" s="95" t="str">
        <f>IFERROR(INDEX(TableWRCalcPts[Custom],MATCH(TableWRRanks[[#This Row],[RK]],TableWRCalcPts[RK],0)),"")</f>
        <v/>
      </c>
      <c r="T202" s="140" t="str">
        <f>IF(VLOOKUP(TableWRRanks[[#This Row],[Player]],'Ranks w Proj'!$AE:$AO,11,FALSE)&lt;0,0,VLOOKUP(TableWRRanks[[#This Row],[Player]],'Ranks w Proj'!$AE:$AO,11,FALSE))</f>
        <v/>
      </c>
    </row>
    <row r="203" spans="15:20" x14ac:dyDescent="0.25">
      <c r="O203" s="58">
        <v>202</v>
      </c>
      <c r="P203" s="58" t="str">
        <f>IFERROR(INDEX(TableWRCalcPts[PLAYER],MATCH(TableWRRanks[[#This Row],[RK]],TableWRCalcPts[RK],0)),"")</f>
        <v/>
      </c>
      <c r="Q203" s="58" t="str">
        <f>IFERROR(INDEX(TableWRCalcPts[TM],MATCH(TableWRRanks[[#This Row],[RK]],TableWRCalcPts[RK],0)),"")</f>
        <v/>
      </c>
      <c r="R203" s="58" t="str">
        <f>IFERROR(INDEX(TableWRCalcPts[BYE],MATCH(TableWRRanks[[#This Row],[RK]],TableWRCalcPts[RK],0)),"")</f>
        <v/>
      </c>
      <c r="S203" s="95" t="str">
        <f>IFERROR(INDEX(TableWRCalcPts[Custom],MATCH(TableWRRanks[[#This Row],[RK]],TableWRCalcPts[RK],0)),"")</f>
        <v/>
      </c>
      <c r="T203" s="140" t="str">
        <f>IF(VLOOKUP(TableWRRanks[[#This Row],[Player]],'Ranks w Proj'!$AE:$AO,11,FALSE)&lt;0,0,VLOOKUP(TableWRRanks[[#This Row],[Player]],'Ranks w Proj'!$AE:$AO,11,FALSE))</f>
        <v/>
      </c>
    </row>
    <row r="204" spans="15:20" x14ac:dyDescent="0.25">
      <c r="O204" s="58">
        <v>203</v>
      </c>
      <c r="P204" s="58" t="str">
        <f>IFERROR(INDEX(TableWRCalcPts[PLAYER],MATCH(TableWRRanks[[#This Row],[RK]],TableWRCalcPts[RK],0)),"")</f>
        <v/>
      </c>
      <c r="Q204" s="58" t="str">
        <f>IFERROR(INDEX(TableWRCalcPts[TM],MATCH(TableWRRanks[[#This Row],[RK]],TableWRCalcPts[RK],0)),"")</f>
        <v/>
      </c>
      <c r="R204" s="58" t="str">
        <f>IFERROR(INDEX(TableWRCalcPts[BYE],MATCH(TableWRRanks[[#This Row],[RK]],TableWRCalcPts[RK],0)),"")</f>
        <v/>
      </c>
      <c r="S204" s="95" t="str">
        <f>IFERROR(INDEX(TableWRCalcPts[Custom],MATCH(TableWRRanks[[#This Row],[RK]],TableWRCalcPts[RK],0)),"")</f>
        <v/>
      </c>
      <c r="T204" s="140" t="str">
        <f>IF(VLOOKUP(TableWRRanks[[#This Row],[Player]],'Ranks w Proj'!$AE:$AO,11,FALSE)&lt;0,0,VLOOKUP(TableWRRanks[[#This Row],[Player]],'Ranks w Proj'!$AE:$AO,11,FALSE))</f>
        <v/>
      </c>
    </row>
    <row r="205" spans="15:20" x14ac:dyDescent="0.25">
      <c r="O205" s="58">
        <v>204</v>
      </c>
      <c r="P205" s="58" t="str">
        <f>IFERROR(INDEX(TableWRCalcPts[PLAYER],MATCH(TableWRRanks[[#This Row],[RK]],TableWRCalcPts[RK],0)),"")</f>
        <v/>
      </c>
      <c r="Q205" s="58" t="str">
        <f>IFERROR(INDEX(TableWRCalcPts[TM],MATCH(TableWRRanks[[#This Row],[RK]],TableWRCalcPts[RK],0)),"")</f>
        <v/>
      </c>
      <c r="R205" s="58" t="str">
        <f>IFERROR(INDEX(TableWRCalcPts[BYE],MATCH(TableWRRanks[[#This Row],[RK]],TableWRCalcPts[RK],0)),"")</f>
        <v/>
      </c>
      <c r="S205" s="95" t="str">
        <f>IFERROR(INDEX(TableWRCalcPts[Custom],MATCH(TableWRRanks[[#This Row],[RK]],TableWRCalcPts[RK],0)),"")</f>
        <v/>
      </c>
      <c r="T205" s="140" t="str">
        <f>IF(VLOOKUP(TableWRRanks[[#This Row],[Player]],'Ranks w Proj'!$AE:$AO,11,FALSE)&lt;0,0,VLOOKUP(TableWRRanks[[#This Row],[Player]],'Ranks w Proj'!$AE:$AO,11,FALSE))</f>
        <v/>
      </c>
    </row>
    <row r="206" spans="15:20" x14ac:dyDescent="0.25">
      <c r="O206" s="58">
        <v>205</v>
      </c>
      <c r="P206" s="58" t="str">
        <f>IFERROR(INDEX(TableWRCalcPts[PLAYER],MATCH(TableWRRanks[[#This Row],[RK]],TableWRCalcPts[RK],0)),"")</f>
        <v/>
      </c>
      <c r="Q206" s="58" t="str">
        <f>IFERROR(INDEX(TableWRCalcPts[TM],MATCH(TableWRRanks[[#This Row],[RK]],TableWRCalcPts[RK],0)),"")</f>
        <v/>
      </c>
      <c r="R206" s="58" t="str">
        <f>IFERROR(INDEX(TableWRCalcPts[BYE],MATCH(TableWRRanks[[#This Row],[RK]],TableWRCalcPts[RK],0)),"")</f>
        <v/>
      </c>
      <c r="S206" s="95" t="str">
        <f>IFERROR(INDEX(TableWRCalcPts[Custom],MATCH(TableWRRanks[[#This Row],[RK]],TableWRCalcPts[RK],0)),"")</f>
        <v/>
      </c>
      <c r="T206" s="140" t="str">
        <f>IF(VLOOKUP(TableWRRanks[[#This Row],[Player]],'Ranks w Proj'!$AE:$AO,11,FALSE)&lt;0,0,VLOOKUP(TableWRRanks[[#This Row],[Player]],'Ranks w Proj'!$AE:$AO,11,FALSE))</f>
        <v/>
      </c>
    </row>
    <row r="207" spans="15:20" x14ac:dyDescent="0.25">
      <c r="O207" s="58">
        <v>206</v>
      </c>
      <c r="P207" s="58" t="str">
        <f>IFERROR(INDEX(TableWRCalcPts[PLAYER],MATCH(TableWRRanks[[#This Row],[RK]],TableWRCalcPts[RK],0)),"")</f>
        <v/>
      </c>
      <c r="Q207" s="58" t="str">
        <f>IFERROR(INDEX(TableWRCalcPts[TM],MATCH(TableWRRanks[[#This Row],[RK]],TableWRCalcPts[RK],0)),"")</f>
        <v/>
      </c>
      <c r="R207" s="58" t="str">
        <f>IFERROR(INDEX(TableWRCalcPts[BYE],MATCH(TableWRRanks[[#This Row],[RK]],TableWRCalcPts[RK],0)),"")</f>
        <v/>
      </c>
      <c r="S207" s="95" t="str">
        <f>IFERROR(INDEX(TableWRCalcPts[Custom],MATCH(TableWRRanks[[#This Row],[RK]],TableWRCalcPts[RK],0)),"")</f>
        <v/>
      </c>
      <c r="T207" s="140" t="str">
        <f>IF(VLOOKUP(TableWRRanks[[#This Row],[Player]],'Ranks w Proj'!$AE:$AO,11,FALSE)&lt;0,0,VLOOKUP(TableWRRanks[[#This Row],[Player]],'Ranks w Proj'!$AE:$AO,11,FALSE))</f>
        <v/>
      </c>
    </row>
    <row r="208" spans="15:20" x14ac:dyDescent="0.25">
      <c r="O208" s="58">
        <v>207</v>
      </c>
      <c r="P208" s="58" t="str">
        <f>IFERROR(INDEX(TableWRCalcPts[PLAYER],MATCH(TableWRRanks[[#This Row],[RK]],TableWRCalcPts[RK],0)),"")</f>
        <v/>
      </c>
      <c r="Q208" s="58" t="str">
        <f>IFERROR(INDEX(TableWRCalcPts[TM],MATCH(TableWRRanks[[#This Row],[RK]],TableWRCalcPts[RK],0)),"")</f>
        <v/>
      </c>
      <c r="R208" s="58" t="str">
        <f>IFERROR(INDEX(TableWRCalcPts[BYE],MATCH(TableWRRanks[[#This Row],[RK]],TableWRCalcPts[RK],0)),"")</f>
        <v/>
      </c>
      <c r="S208" s="95" t="str">
        <f>IFERROR(INDEX(TableWRCalcPts[Custom],MATCH(TableWRRanks[[#This Row],[RK]],TableWRCalcPts[RK],0)),"")</f>
        <v/>
      </c>
      <c r="T208" s="140" t="str">
        <f>IF(VLOOKUP(TableWRRanks[[#This Row],[Player]],'Ranks w Proj'!$AE:$AO,11,FALSE)&lt;0,0,VLOOKUP(TableWRRanks[[#This Row],[Player]],'Ranks w Proj'!$AE:$AO,11,FALSE))</f>
        <v/>
      </c>
    </row>
    <row r="209" spans="15:20" x14ac:dyDescent="0.25">
      <c r="O209" s="58">
        <v>208</v>
      </c>
      <c r="P209" s="58" t="str">
        <f>IFERROR(INDEX(TableWRCalcPts[PLAYER],MATCH(TableWRRanks[[#This Row],[RK]],TableWRCalcPts[RK],0)),"")</f>
        <v/>
      </c>
      <c r="Q209" s="58" t="str">
        <f>IFERROR(INDEX(TableWRCalcPts[TM],MATCH(TableWRRanks[[#This Row],[RK]],TableWRCalcPts[RK],0)),"")</f>
        <v/>
      </c>
      <c r="R209" s="58" t="str">
        <f>IFERROR(INDEX(TableWRCalcPts[BYE],MATCH(TableWRRanks[[#This Row],[RK]],TableWRCalcPts[RK],0)),"")</f>
        <v/>
      </c>
      <c r="S209" s="95" t="str">
        <f>IFERROR(INDEX(TableWRCalcPts[Custom],MATCH(TableWRRanks[[#This Row],[RK]],TableWRCalcPts[RK],0)),"")</f>
        <v/>
      </c>
      <c r="T209" s="140" t="str">
        <f>IF(VLOOKUP(TableWRRanks[[#This Row],[Player]],'Ranks w Proj'!$AE:$AO,11,FALSE)&lt;0,0,VLOOKUP(TableWRRanks[[#This Row],[Player]],'Ranks w Proj'!$AE:$AO,11,FALSE))</f>
        <v/>
      </c>
    </row>
    <row r="210" spans="15:20" x14ac:dyDescent="0.25">
      <c r="O210" s="58">
        <v>209</v>
      </c>
      <c r="P210" s="58" t="str">
        <f>IFERROR(INDEX(TableWRCalcPts[PLAYER],MATCH(TableWRRanks[[#This Row],[RK]],TableWRCalcPts[RK],0)),"")</f>
        <v/>
      </c>
      <c r="Q210" s="58" t="str">
        <f>IFERROR(INDEX(TableWRCalcPts[TM],MATCH(TableWRRanks[[#This Row],[RK]],TableWRCalcPts[RK],0)),"")</f>
        <v/>
      </c>
      <c r="R210" s="58" t="str">
        <f>IFERROR(INDEX(TableWRCalcPts[BYE],MATCH(TableWRRanks[[#This Row],[RK]],TableWRCalcPts[RK],0)),"")</f>
        <v/>
      </c>
      <c r="S210" s="95" t="str">
        <f>IFERROR(INDEX(TableWRCalcPts[Custom],MATCH(TableWRRanks[[#This Row],[RK]],TableWRCalcPts[RK],0)),"")</f>
        <v/>
      </c>
      <c r="T210" s="140" t="str">
        <f>IF(VLOOKUP(TableWRRanks[[#This Row],[Player]],'Ranks w Proj'!$AE:$AO,11,FALSE)&lt;0,0,VLOOKUP(TableWRRanks[[#This Row],[Player]],'Ranks w Proj'!$AE:$AO,11,FALSE))</f>
        <v/>
      </c>
    </row>
    <row r="211" spans="15:20" x14ac:dyDescent="0.25">
      <c r="O211" s="58">
        <v>210</v>
      </c>
      <c r="P211" s="58" t="str">
        <f>IFERROR(INDEX(TableWRCalcPts[PLAYER],MATCH(TableWRRanks[[#This Row],[RK]],TableWRCalcPts[RK],0)),"")</f>
        <v/>
      </c>
      <c r="Q211" s="58" t="str">
        <f>IFERROR(INDEX(TableWRCalcPts[TM],MATCH(TableWRRanks[[#This Row],[RK]],TableWRCalcPts[RK],0)),"")</f>
        <v/>
      </c>
      <c r="R211" s="58" t="str">
        <f>IFERROR(INDEX(TableWRCalcPts[BYE],MATCH(TableWRRanks[[#This Row],[RK]],TableWRCalcPts[RK],0)),"")</f>
        <v/>
      </c>
      <c r="S211" s="95" t="str">
        <f>IFERROR(INDEX(TableWRCalcPts[Custom],MATCH(TableWRRanks[[#This Row],[RK]],TableWRCalcPts[RK],0)),"")</f>
        <v/>
      </c>
      <c r="T211" s="140" t="str">
        <f>IF(VLOOKUP(TableWRRanks[[#This Row],[Player]],'Ranks w Proj'!$AE:$AO,11,FALSE)&lt;0,0,VLOOKUP(TableWRRanks[[#This Row],[Player]],'Ranks w Proj'!$AE:$AO,11,FALSE))</f>
        <v/>
      </c>
    </row>
    <row r="212" spans="15:20" x14ac:dyDescent="0.25">
      <c r="O212" s="58">
        <v>211</v>
      </c>
      <c r="P212" s="58" t="str">
        <f>IFERROR(INDEX(TableWRCalcPts[PLAYER],MATCH(TableWRRanks[[#This Row],[RK]],TableWRCalcPts[RK],0)),"")</f>
        <v/>
      </c>
      <c r="Q212" s="58" t="str">
        <f>IFERROR(INDEX(TableWRCalcPts[TM],MATCH(TableWRRanks[[#This Row],[RK]],TableWRCalcPts[RK],0)),"")</f>
        <v/>
      </c>
      <c r="R212" s="58" t="str">
        <f>IFERROR(INDEX(TableWRCalcPts[BYE],MATCH(TableWRRanks[[#This Row],[RK]],TableWRCalcPts[RK],0)),"")</f>
        <v/>
      </c>
      <c r="S212" s="95" t="str">
        <f>IFERROR(INDEX(TableWRCalcPts[Custom],MATCH(TableWRRanks[[#This Row],[RK]],TableWRCalcPts[RK],0)),"")</f>
        <v/>
      </c>
      <c r="T212" s="140" t="str">
        <f>IF(VLOOKUP(TableWRRanks[[#This Row],[Player]],'Ranks w Proj'!$AE:$AO,11,FALSE)&lt;0,0,VLOOKUP(TableWRRanks[[#This Row],[Player]],'Ranks w Proj'!$AE:$AO,11,FALSE))</f>
        <v/>
      </c>
    </row>
    <row r="213" spans="15:20" x14ac:dyDescent="0.25">
      <c r="O213" s="58">
        <v>212</v>
      </c>
      <c r="P213" s="58" t="str">
        <f>IFERROR(INDEX(TableWRCalcPts[PLAYER],MATCH(TableWRRanks[[#This Row],[RK]],TableWRCalcPts[RK],0)),"")</f>
        <v/>
      </c>
      <c r="Q213" s="58" t="str">
        <f>IFERROR(INDEX(TableWRCalcPts[TM],MATCH(TableWRRanks[[#This Row],[RK]],TableWRCalcPts[RK],0)),"")</f>
        <v/>
      </c>
      <c r="R213" s="58" t="str">
        <f>IFERROR(INDEX(TableWRCalcPts[BYE],MATCH(TableWRRanks[[#This Row],[RK]],TableWRCalcPts[RK],0)),"")</f>
        <v/>
      </c>
      <c r="S213" s="95" t="str">
        <f>IFERROR(INDEX(TableWRCalcPts[Custom],MATCH(TableWRRanks[[#This Row],[RK]],TableWRCalcPts[RK],0)),"")</f>
        <v/>
      </c>
      <c r="T213" s="140" t="str">
        <f>IF(VLOOKUP(TableWRRanks[[#This Row],[Player]],'Ranks w Proj'!$AE:$AO,11,FALSE)&lt;0,0,VLOOKUP(TableWRRanks[[#This Row],[Player]],'Ranks w Proj'!$AE:$AO,11,FALSE))</f>
        <v/>
      </c>
    </row>
    <row r="214" spans="15:20" x14ac:dyDescent="0.25">
      <c r="O214" s="58">
        <v>213</v>
      </c>
      <c r="P214" s="58" t="str">
        <f>IFERROR(INDEX(TableWRCalcPts[PLAYER],MATCH(TableWRRanks[[#This Row],[RK]],TableWRCalcPts[RK],0)),"")</f>
        <v/>
      </c>
      <c r="Q214" s="58" t="str">
        <f>IFERROR(INDEX(TableWRCalcPts[TM],MATCH(TableWRRanks[[#This Row],[RK]],TableWRCalcPts[RK],0)),"")</f>
        <v/>
      </c>
      <c r="R214" s="58" t="str">
        <f>IFERROR(INDEX(TableWRCalcPts[BYE],MATCH(TableWRRanks[[#This Row],[RK]],TableWRCalcPts[RK],0)),"")</f>
        <v/>
      </c>
      <c r="S214" s="95" t="str">
        <f>IFERROR(INDEX(TableWRCalcPts[Custom],MATCH(TableWRRanks[[#This Row],[RK]],TableWRCalcPts[RK],0)),"")</f>
        <v/>
      </c>
      <c r="T214" s="140" t="str">
        <f>IF(VLOOKUP(TableWRRanks[[#This Row],[Player]],'Ranks w Proj'!$AE:$AO,11,FALSE)&lt;0,0,VLOOKUP(TableWRRanks[[#This Row],[Player]],'Ranks w Proj'!$AE:$AO,11,FALSE))</f>
        <v/>
      </c>
    </row>
    <row r="215" spans="15:20" x14ac:dyDescent="0.25">
      <c r="O215" s="58">
        <v>214</v>
      </c>
      <c r="P215" s="58" t="str">
        <f>IFERROR(INDEX(TableWRCalcPts[PLAYER],MATCH(TableWRRanks[[#This Row],[RK]],TableWRCalcPts[RK],0)),"")</f>
        <v/>
      </c>
      <c r="Q215" s="58" t="str">
        <f>IFERROR(INDEX(TableWRCalcPts[TM],MATCH(TableWRRanks[[#This Row],[RK]],TableWRCalcPts[RK],0)),"")</f>
        <v/>
      </c>
      <c r="R215" s="58" t="str">
        <f>IFERROR(INDEX(TableWRCalcPts[BYE],MATCH(TableWRRanks[[#This Row],[RK]],TableWRCalcPts[RK],0)),"")</f>
        <v/>
      </c>
      <c r="S215" s="95" t="str">
        <f>IFERROR(INDEX(TableWRCalcPts[Custom],MATCH(TableWRRanks[[#This Row],[RK]],TableWRCalcPts[RK],0)),"")</f>
        <v/>
      </c>
      <c r="T215" s="140" t="str">
        <f>IF(VLOOKUP(TableWRRanks[[#This Row],[Player]],'Ranks w Proj'!$AE:$AO,11,FALSE)&lt;0,0,VLOOKUP(TableWRRanks[[#This Row],[Player]],'Ranks w Proj'!$AE:$AO,11,FALSE))</f>
        <v/>
      </c>
    </row>
    <row r="216" spans="15:20" x14ac:dyDescent="0.25">
      <c r="O216" s="58">
        <v>215</v>
      </c>
      <c r="P216" s="58" t="str">
        <f>IFERROR(INDEX(TableWRCalcPts[PLAYER],MATCH(TableWRRanks[[#This Row],[RK]],TableWRCalcPts[RK],0)),"")</f>
        <v/>
      </c>
      <c r="Q216" s="58" t="str">
        <f>IFERROR(INDEX(TableWRCalcPts[TM],MATCH(TableWRRanks[[#This Row],[RK]],TableWRCalcPts[RK],0)),"")</f>
        <v/>
      </c>
      <c r="R216" s="58" t="str">
        <f>IFERROR(INDEX(TableWRCalcPts[BYE],MATCH(TableWRRanks[[#This Row],[RK]],TableWRCalcPts[RK],0)),"")</f>
        <v/>
      </c>
      <c r="S216" s="95" t="str">
        <f>IFERROR(INDEX(TableWRCalcPts[Custom],MATCH(TableWRRanks[[#This Row],[RK]],TableWRCalcPts[RK],0)),"")</f>
        <v/>
      </c>
      <c r="T216" s="140" t="str">
        <f>IF(VLOOKUP(TableWRRanks[[#This Row],[Player]],'Ranks w Proj'!$AE:$AO,11,FALSE)&lt;0,0,VLOOKUP(TableWRRanks[[#This Row],[Player]],'Ranks w Proj'!$AE:$AO,11,FALSE))</f>
        <v/>
      </c>
    </row>
    <row r="217" spans="15:20" x14ac:dyDescent="0.25">
      <c r="O217" s="58">
        <v>216</v>
      </c>
      <c r="P217" s="58" t="str">
        <f>IFERROR(INDEX(TableWRCalcPts[PLAYER],MATCH(TableWRRanks[[#This Row],[RK]],TableWRCalcPts[RK],0)),"")</f>
        <v/>
      </c>
      <c r="Q217" s="58" t="str">
        <f>IFERROR(INDEX(TableWRCalcPts[TM],MATCH(TableWRRanks[[#This Row],[RK]],TableWRCalcPts[RK],0)),"")</f>
        <v/>
      </c>
      <c r="R217" s="58" t="str">
        <f>IFERROR(INDEX(TableWRCalcPts[BYE],MATCH(TableWRRanks[[#This Row],[RK]],TableWRCalcPts[RK],0)),"")</f>
        <v/>
      </c>
      <c r="S217" s="95" t="str">
        <f>IFERROR(INDEX(TableWRCalcPts[Custom],MATCH(TableWRRanks[[#This Row],[RK]],TableWRCalcPts[RK],0)),"")</f>
        <v/>
      </c>
      <c r="T217" s="140" t="str">
        <f>IF(VLOOKUP(TableWRRanks[[#This Row],[Player]],'Ranks w Proj'!$AE:$AO,11,FALSE)&lt;0,0,VLOOKUP(TableWRRanks[[#This Row],[Player]],'Ranks w Proj'!$AE:$AO,11,FALSE))</f>
        <v/>
      </c>
    </row>
    <row r="218" spans="15:20" x14ac:dyDescent="0.25">
      <c r="O218" s="58">
        <v>217</v>
      </c>
      <c r="P218" s="58" t="str">
        <f>IFERROR(INDEX(TableWRCalcPts[PLAYER],MATCH(TableWRRanks[[#This Row],[RK]],TableWRCalcPts[RK],0)),"")</f>
        <v/>
      </c>
      <c r="Q218" s="58" t="str">
        <f>IFERROR(INDEX(TableWRCalcPts[TM],MATCH(TableWRRanks[[#This Row],[RK]],TableWRCalcPts[RK],0)),"")</f>
        <v/>
      </c>
      <c r="R218" s="58" t="str">
        <f>IFERROR(INDEX(TableWRCalcPts[BYE],MATCH(TableWRRanks[[#This Row],[RK]],TableWRCalcPts[RK],0)),"")</f>
        <v/>
      </c>
      <c r="S218" s="95" t="str">
        <f>IFERROR(INDEX(TableWRCalcPts[Custom],MATCH(TableWRRanks[[#This Row],[RK]],TableWRCalcPts[RK],0)),"")</f>
        <v/>
      </c>
      <c r="T218" s="140" t="str">
        <f>IF(VLOOKUP(TableWRRanks[[#This Row],[Player]],'Ranks w Proj'!$AE:$AO,11,FALSE)&lt;0,0,VLOOKUP(TableWRRanks[[#This Row],[Player]],'Ranks w Proj'!$AE:$AO,11,FALSE))</f>
        <v/>
      </c>
    </row>
    <row r="219" spans="15:20" x14ac:dyDescent="0.25">
      <c r="O219" s="58">
        <v>218</v>
      </c>
      <c r="P219" s="58" t="str">
        <f>IFERROR(INDEX(TableWRCalcPts[PLAYER],MATCH(TableWRRanks[[#This Row],[RK]],TableWRCalcPts[RK],0)),"")</f>
        <v/>
      </c>
      <c r="Q219" s="58" t="str">
        <f>IFERROR(INDEX(TableWRCalcPts[TM],MATCH(TableWRRanks[[#This Row],[RK]],TableWRCalcPts[RK],0)),"")</f>
        <v/>
      </c>
      <c r="R219" s="58" t="str">
        <f>IFERROR(INDEX(TableWRCalcPts[BYE],MATCH(TableWRRanks[[#This Row],[RK]],TableWRCalcPts[RK],0)),"")</f>
        <v/>
      </c>
      <c r="S219" s="95" t="str">
        <f>IFERROR(INDEX(TableWRCalcPts[Custom],MATCH(TableWRRanks[[#This Row],[RK]],TableWRCalcPts[RK],0)),"")</f>
        <v/>
      </c>
      <c r="T219" s="140" t="str">
        <f>IF(VLOOKUP(TableWRRanks[[#This Row],[Player]],'Ranks w Proj'!$AE:$AO,11,FALSE)&lt;0,0,VLOOKUP(TableWRRanks[[#This Row],[Player]],'Ranks w Proj'!$AE:$AO,11,FALSE))</f>
        <v/>
      </c>
    </row>
    <row r="220" spans="15:20" x14ac:dyDescent="0.25">
      <c r="O220" s="58">
        <v>219</v>
      </c>
      <c r="P220" s="58" t="str">
        <f>IFERROR(INDEX(TableWRCalcPts[PLAYER],MATCH(TableWRRanks[[#This Row],[RK]],TableWRCalcPts[RK],0)),"")</f>
        <v/>
      </c>
      <c r="Q220" s="58" t="str">
        <f>IFERROR(INDEX(TableWRCalcPts[TM],MATCH(TableWRRanks[[#This Row],[RK]],TableWRCalcPts[RK],0)),"")</f>
        <v/>
      </c>
      <c r="R220" s="58" t="str">
        <f>IFERROR(INDEX(TableWRCalcPts[BYE],MATCH(TableWRRanks[[#This Row],[RK]],TableWRCalcPts[RK],0)),"")</f>
        <v/>
      </c>
      <c r="S220" s="95" t="str">
        <f>IFERROR(INDEX(TableWRCalcPts[Custom],MATCH(TableWRRanks[[#This Row],[RK]],TableWRCalcPts[RK],0)),"")</f>
        <v/>
      </c>
      <c r="T220" s="140" t="str">
        <f>IF(VLOOKUP(TableWRRanks[[#This Row],[Player]],'Ranks w Proj'!$AE:$AO,11,FALSE)&lt;0,0,VLOOKUP(TableWRRanks[[#This Row],[Player]],'Ranks w Proj'!$AE:$AO,11,FALSE))</f>
        <v/>
      </c>
    </row>
    <row r="221" spans="15:20" x14ac:dyDescent="0.25">
      <c r="O221" s="58">
        <v>220</v>
      </c>
      <c r="P221" s="58" t="str">
        <f>IFERROR(INDEX(TableWRCalcPts[PLAYER],MATCH(TableWRRanks[[#This Row],[RK]],TableWRCalcPts[RK],0)),"")</f>
        <v/>
      </c>
      <c r="Q221" s="58" t="str">
        <f>IFERROR(INDEX(TableWRCalcPts[TM],MATCH(TableWRRanks[[#This Row],[RK]],TableWRCalcPts[RK],0)),"")</f>
        <v/>
      </c>
      <c r="R221" s="58" t="str">
        <f>IFERROR(INDEX(TableWRCalcPts[BYE],MATCH(TableWRRanks[[#This Row],[RK]],TableWRCalcPts[RK],0)),"")</f>
        <v/>
      </c>
      <c r="S221" s="95" t="str">
        <f>IFERROR(INDEX(TableWRCalcPts[Custom],MATCH(TableWRRanks[[#This Row],[RK]],TableWRCalcPts[RK],0)),"")</f>
        <v/>
      </c>
      <c r="T221" s="140" t="str">
        <f>IF(VLOOKUP(TableWRRanks[[#This Row],[Player]],'Ranks w Proj'!$AE:$AO,11,FALSE)&lt;0,0,VLOOKUP(TableWRRanks[[#This Row],[Player]],'Ranks w Proj'!$AE:$AO,11,FALSE))</f>
        <v/>
      </c>
    </row>
  </sheetData>
  <sheetProtection sheet="1" autoFilter="0"/>
  <protectedRanges>
    <protectedRange sqref="A1:AG1 A3:AG239 A2:L2 N2:S2 U2:AG2" name="QBRanks"/>
    <protectedRange sqref="M2" name="QBRanks_1"/>
    <protectedRange sqref="T2" name="QBRanks_1_1"/>
  </protectedRanges>
  <phoneticPr fontId="7" type="noConversion"/>
  <pageMargins left="0.7" right="0.7" top="0.75" bottom="0.75" header="0.3" footer="0.3"/>
  <pageSetup orientation="portrait" horizontalDpi="90" verticalDpi="90" r:id="rId1"/>
  <ignoredErrors>
    <ignoredError sqref="A2:A68 H2:H150 V2:V97 AC2:AC33 H151:H171 V98:V101 O2:O221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>
    <tabColor rgb="FFF5DCFF"/>
  </sheetPr>
  <dimension ref="A1:BG306"/>
  <sheetViews>
    <sheetView showGridLines="0" topLeftCell="P1" zoomScale="85" zoomScaleNormal="85" workbookViewId="0">
      <pane ySplit="1" topLeftCell="A2" activePane="bottomLeft" state="frozen"/>
      <selection pane="bottomLeft" activeCell="AO1" sqref="AO1:AT301"/>
    </sheetView>
  </sheetViews>
  <sheetFormatPr defaultColWidth="4.85546875" defaultRowHeight="14.25" x14ac:dyDescent="0.25"/>
  <cols>
    <col min="1" max="1" width="4.14062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131" bestFit="1" customWidth="1"/>
    <col min="6" max="6" width="8.42578125" style="51" bestFit="1" customWidth="1"/>
    <col min="7" max="7" width="2.71093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131" bestFit="1" customWidth="1"/>
    <col min="13" max="13" width="8.42578125" style="131" bestFit="1" customWidth="1"/>
    <col min="14" max="14" width="2.71093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131" bestFit="1" customWidth="1"/>
    <col min="20" max="20" width="6.7109375" style="131" bestFit="1" customWidth="1"/>
    <col min="21" max="21" width="2.71093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131" bestFit="1" customWidth="1"/>
    <col min="27" max="27" width="7.42578125" style="131" bestFit="1" customWidth="1"/>
    <col min="28" max="28" width="2.7109375" style="58" customWidth="1"/>
    <col min="29" max="29" width="6" style="58" hidden="1" customWidth="1"/>
    <col min="30" max="30" width="5.28515625" style="58" hidden="1" customWidth="1"/>
    <col min="31" max="31" width="3.85546875" style="58" hidden="1" customWidth="1"/>
    <col min="32" max="32" width="5.140625" style="58" hidden="1" customWidth="1"/>
    <col min="33" max="33" width="4.140625" style="58" hidden="1" customWidth="1"/>
    <col min="34" max="34" width="8.7109375" style="58" bestFit="1" customWidth="1"/>
    <col min="35" max="35" width="21.28515625" style="58" bestFit="1" customWidth="1"/>
    <col min="36" max="36" width="8.42578125" style="95" bestFit="1" customWidth="1"/>
    <col min="37" max="37" width="4.7109375" style="95" bestFit="1" customWidth="1"/>
    <col min="38" max="38" width="8.7109375" style="99" bestFit="1" customWidth="1"/>
    <col min="39" max="39" width="7.42578125" style="99" bestFit="1" customWidth="1"/>
    <col min="40" max="40" width="2.7109375" style="58" customWidth="1"/>
    <col min="41" max="41" width="4.140625" style="58" bestFit="1" customWidth="1"/>
    <col min="42" max="42" width="21.28515625" style="58" bestFit="1" customWidth="1"/>
    <col min="43" max="43" width="8.42578125" style="95" bestFit="1" customWidth="1"/>
    <col min="44" max="44" width="4.7109375" style="95" bestFit="1" customWidth="1"/>
    <col min="45" max="45" width="5.7109375" style="58" bestFit="1" customWidth="1"/>
    <col min="46" max="46" width="7.42578125" style="99" bestFit="1" customWidth="1"/>
    <col min="47" max="47" width="2.7109375" style="58" customWidth="1"/>
    <col min="48" max="48" width="4.140625" style="58" bestFit="1" customWidth="1"/>
    <col min="49" max="49" width="24.140625" style="58" bestFit="1" customWidth="1"/>
    <col min="50" max="50" width="8.42578125" style="58" bestFit="1" customWidth="1"/>
    <col min="51" max="51" width="4.7109375" style="131" bestFit="1" customWidth="1"/>
    <col min="52" max="52" width="5.7109375" style="131" bestFit="1" customWidth="1"/>
    <col min="53" max="53" width="7.42578125" style="99" bestFit="1" customWidth="1"/>
    <col min="54" max="54" width="4.85546875" style="58" hidden="1" customWidth="1"/>
    <col min="55" max="55" width="5.140625" style="58" hidden="1" customWidth="1"/>
    <col min="56" max="56" width="0" style="58" hidden="1" customWidth="1"/>
    <col min="57" max="57" width="4.140625" style="58" hidden="1" customWidth="1"/>
    <col min="58" max="58" width="6.7109375" style="58" hidden="1" customWidth="1"/>
    <col min="59" max="61" width="0" style="58" hidden="1" customWidth="1"/>
    <col min="62" max="16384" width="4.85546875" style="58"/>
  </cols>
  <sheetData>
    <row r="1" spans="1:59" s="150" customFormat="1" x14ac:dyDescent="0.25">
      <c r="A1" s="150" t="s">
        <v>98</v>
      </c>
      <c r="B1" s="150" t="s">
        <v>301</v>
      </c>
      <c r="C1" s="150" t="s">
        <v>51</v>
      </c>
      <c r="D1" s="150" t="s">
        <v>87</v>
      </c>
      <c r="E1" s="151" t="s">
        <v>82</v>
      </c>
      <c r="F1" s="152" t="s">
        <v>295</v>
      </c>
      <c r="H1" s="150" t="s">
        <v>98</v>
      </c>
      <c r="I1" s="150" t="s">
        <v>300</v>
      </c>
      <c r="J1" s="150" t="s">
        <v>51</v>
      </c>
      <c r="K1" s="150" t="s">
        <v>87</v>
      </c>
      <c r="L1" s="151" t="s">
        <v>82</v>
      </c>
      <c r="M1" s="152" t="s">
        <v>295</v>
      </c>
      <c r="O1" s="150" t="s">
        <v>98</v>
      </c>
      <c r="P1" s="150" t="s">
        <v>299</v>
      </c>
      <c r="Q1" s="150" t="s">
        <v>51</v>
      </c>
      <c r="R1" s="150" t="s">
        <v>87</v>
      </c>
      <c r="S1" s="151" t="s">
        <v>82</v>
      </c>
      <c r="T1" s="152" t="s">
        <v>295</v>
      </c>
      <c r="V1" s="150" t="s">
        <v>98</v>
      </c>
      <c r="W1" s="150" t="s">
        <v>298</v>
      </c>
      <c r="X1" s="150" t="s">
        <v>51</v>
      </c>
      <c r="Y1" s="150" t="s">
        <v>87</v>
      </c>
      <c r="Z1" s="151" t="s">
        <v>82</v>
      </c>
      <c r="AA1" s="152" t="s">
        <v>295</v>
      </c>
      <c r="AC1" s="150" t="s">
        <v>302</v>
      </c>
      <c r="AD1" s="150" t="s">
        <v>303</v>
      </c>
      <c r="AF1" s="150" t="s">
        <v>6</v>
      </c>
      <c r="AG1" s="150" t="s">
        <v>98</v>
      </c>
      <c r="AH1" s="150" t="s">
        <v>304</v>
      </c>
      <c r="AI1" s="150" t="s">
        <v>297</v>
      </c>
      <c r="AJ1" s="150" t="s">
        <v>306</v>
      </c>
      <c r="AK1" s="150" t="s">
        <v>87</v>
      </c>
      <c r="AL1" s="151" t="s">
        <v>249</v>
      </c>
      <c r="AM1" s="153" t="s">
        <v>295</v>
      </c>
      <c r="AO1" s="150" t="s">
        <v>98</v>
      </c>
      <c r="AP1" s="150" t="s">
        <v>297</v>
      </c>
      <c r="AQ1" s="150" t="s">
        <v>306</v>
      </c>
      <c r="AR1" s="150" t="s">
        <v>87</v>
      </c>
      <c r="AS1" s="151" t="s">
        <v>82</v>
      </c>
      <c r="AT1" s="153" t="s">
        <v>295</v>
      </c>
      <c r="AV1" s="150" t="s">
        <v>98</v>
      </c>
      <c r="AW1" s="150" t="s">
        <v>296</v>
      </c>
      <c r="AX1" s="150" t="s">
        <v>306</v>
      </c>
      <c r="AY1" s="150" t="s">
        <v>87</v>
      </c>
      <c r="AZ1" s="151" t="s">
        <v>82</v>
      </c>
      <c r="BA1" s="153" t="s">
        <v>295</v>
      </c>
      <c r="BC1" s="150" t="s">
        <v>6</v>
      </c>
    </row>
    <row r="2" spans="1:59" x14ac:dyDescent="0.25">
      <c r="A2" s="58">
        <v>1</v>
      </c>
      <c r="B2" s="154" t="str">
        <f>IFERROR(INDEX(TableQBCalcPts[PLAYER],MATCH(TableQBVORP[[#This Row],[RK]],TableQBCalcPts[RK],0)),"")</f>
        <v>Josh Allen</v>
      </c>
      <c r="C2" s="154" t="str">
        <f>IFERROR(INDEX(TableQBCalcPts[TM],MATCH(TableQBVORP[[#This Row],[RK]],TableQBCalcPts[RK],0)),"")</f>
        <v>BUF</v>
      </c>
      <c r="D2" s="154">
        <f>IFERROR(INDEX(TableQBCalcPts[BYE],MATCH(TableQBVORP[[#This Row],[RK]],TableQBCalcPts[RK],0)),"")</f>
        <v>7</v>
      </c>
      <c r="E2" s="155">
        <f>IFERROR(INDEX(TableQBCalcPts[Custom],MATCH(TableQBVORP[[#This Row],[RK]],TableQBCalcPts[RK],0)),"")</f>
        <v>471.56584130967269</v>
      </c>
      <c r="F2" s="156">
        <f>(IFERROR((TableQBVORP[[#This Row],[FPS]]-INDEX(TableQBVORP[FPS],MATCH(QBVORPCalc,TableQBVORP[RK],0))),""))+(TableRBVORP[[#This Row],[VORP]]*0.45)</f>
        <v>213.3158858245869</v>
      </c>
      <c r="H2" s="58">
        <v>1</v>
      </c>
      <c r="I2" s="154" t="str">
        <f>IFERROR(INDEX(TableRBCalcPts[PLAYER],MATCH(TableRBVORP[[#This Row],[RK]],TableRBCalcPts[RK],0)),"")</f>
        <v>Jahmyr Gibbs</v>
      </c>
      <c r="J2" s="154" t="str">
        <f>IFERROR(INDEX(TableRBCalcPts[TM],MATCH(TableRBVORP[[#This Row],[RK]],TableRBCalcPts[RK],0)),"")</f>
        <v>DET</v>
      </c>
      <c r="K2" s="154">
        <f>IFERROR(INDEX(TableRBCalcPts[BYE],MATCH(TableRBVORP[[#This Row],[RK]],TableRBCalcPts[RK],0)),"")</f>
        <v>6</v>
      </c>
      <c r="L2" s="155">
        <f>IFERROR(INDEX(TableRBCalcPts[Custom],MATCH(TableRBVORP[[#This Row],[RK]],TableRBCalcPts[RK],0)),"")</f>
        <v>324.15018072686019</v>
      </c>
      <c r="M2" s="156">
        <f>(IFERROR((TableRBVORP[[#This Row],[FPS]]-INDEX(TableRBVORP[FPS],MATCH(RBVORPCalc,TableRBVORP[RK],0))),""))*0.8</f>
        <v>176.11387319666625</v>
      </c>
      <c r="O2" s="58">
        <v>1</v>
      </c>
      <c r="P2" s="154" t="str">
        <f>IFERROR(INDEX(TableWRCalcPts[PLAYER],MATCH(TableWRVORP[[#This Row],[RK]],TableWRCalcPts[RK],0)),"")</f>
        <v>Jaxon Smith-Njigba</v>
      </c>
      <c r="Q2" s="154" t="str">
        <f>IFERROR(INDEX(TableWRCalcPts[TM],MATCH(TableWRVORP[[#This Row],[RK]],TableWRCalcPts[RK],0)),"")</f>
        <v>SEA</v>
      </c>
      <c r="R2" s="154">
        <f>IFERROR(INDEX(TableWRCalcPts[BYE],MATCH(TableWRVORP[[#This Row],[RK]],TableWRCalcPts[RK],0)),"")</f>
        <v>11</v>
      </c>
      <c r="S2" s="155">
        <f>IFERROR(INDEX(TableWRCalcPts[Custom],MATCH(TableWRVORP[[#This Row],[RK]],TableWRCalcPts[RK],0)),"")</f>
        <v>300.17510590598198</v>
      </c>
      <c r="T2" s="156">
        <f>(IFERROR((TableWRVORP[[#This Row],[FPS]]-INDEX(TableWRVORP[FPS],MATCH(WRVORPCalc,TableWRVORP[RK],0))),""))</f>
        <v>209.8909205156159</v>
      </c>
      <c r="V2" s="58">
        <v>1</v>
      </c>
      <c r="W2" s="154" t="str">
        <f>IFERROR(INDEX(TableTECalcPts[PLAYER],MATCH(TableTEVORP[[#This Row],[RK]],TableTECalcPts[RK],0)),"")</f>
        <v>Colston Loveland</v>
      </c>
      <c r="X2" s="154" t="str">
        <f>IFERROR(INDEX(TableTECalcPts[TM],MATCH(TableTEVORP[[#This Row],[RK]],TableTECalcPts[RK],0)),"")</f>
        <v>CHI</v>
      </c>
      <c r="Y2" s="154">
        <f>IFERROR(INDEX(TableTECalcPts[BYE],MATCH(TableTEVORP[[#This Row],[RK]],TableTECalcPts[RK],0)),"")</f>
        <v>10</v>
      </c>
      <c r="Z2" s="155">
        <f>IFERROR(INDEX(TableTECalcPts[Custom],MATCH(TableTEVORP[[#This Row],[RK]],TableTECalcPts[RK],0)),"")</f>
        <v>193.51107011578497</v>
      </c>
      <c r="AA2" s="156">
        <f>IFERROR((TableTEVORP[[#This Row],[FPS]]-INDEX(TableTEVORP[FPS],MATCH(TEVORPCalc,TableTEVORP[RK],0))),"")</f>
        <v>115.62527613954329</v>
      </c>
      <c r="AC2" s="58" t="s">
        <v>7</v>
      </c>
      <c r="AD2" s="100">
        <f>IF(STARTING_QB=2,((STARTING_QB*TEAMS)+(AD10)),IF(STARTING_SUPERFLEX=1,((STARTING_QB*(TEAMS*2))+(AD10)),IF(STARTING_SUPERFLEX=2,((STARTING_QB*(TEAMS*2))+(AD10)),((STARTING_QB*TEAMS)+(AD10-(TEAMS))))))</f>
        <v>26</v>
      </c>
      <c r="AF2" s="58" t="s">
        <v>7</v>
      </c>
      <c r="AG2" s="58">
        <v>1</v>
      </c>
      <c r="AH2" s="100">
        <f>RANK(TableOverallMaster[[#This Row],[VORP]],TableOverallMaster[VORP])+COUNTIF($AM$2:AM2,AM2)-1</f>
        <v>1</v>
      </c>
      <c r="AI2" s="157" t="str">
        <f>IFERROR(INDEX(TableQBVORP[QUARTERBACK],MATCH(TableOverallMaster[[#This Row],[RK]],TableQBVORP[RK],0)),"")</f>
        <v>Josh Allen</v>
      </c>
      <c r="AJ2" s="157" t="str">
        <f t="shared" ref="AJ2:AJ65" si="0">CONCATENATE(AF2,AG2)</f>
        <v>QB1</v>
      </c>
      <c r="AK2" s="157">
        <f>IFERROR(INDEX(TableQBVORP[BYE],MATCH(TableOverallMaster[[#This Row],[RK]],TableQBVORP[RK],0)),"")</f>
        <v>7</v>
      </c>
      <c r="AL2" s="158">
        <f>IFERROR(INDEX(TableQBVORP[FPS],MATCH(TableOverallMaster[[#This Row],[RK]],TableQBVORP[RK],0)),"")</f>
        <v>471.56584130967269</v>
      </c>
      <c r="AM2" s="159">
        <f>IFERROR(INDEX(TableQBVORP[VORP],MATCH(TableOverallMaster[[#This Row],[RK]],TableQBVORP[RK],0)),"")</f>
        <v>213.3158858245869</v>
      </c>
      <c r="AO2" s="58">
        <v>1</v>
      </c>
      <c r="AP2" s="160" t="str">
        <f>IFERROR(INDEX(TableOverallMaster[OVERALL PLAYER],MATCH(TableOverallRank[[#This Row],[RK]],TableOverallMaster[OVR RK],0)),"")</f>
        <v>Josh Allen</v>
      </c>
      <c r="AQ2" s="161" t="str">
        <f>IFERROR(INDEX(TableOverallMaster[POS RK],MATCH(TableOverallRank[[#This Row],[OVERALL PLAYER]],TableOverallMaster[OVERALL PLAYER],0)),"")</f>
        <v>QB1</v>
      </c>
      <c r="AR2" s="162">
        <f>IFERROR(INDEX(TableOverallMaster[BYE],MATCH(TableOverallRank[[#This Row],[OVERALL PLAYER]],TableOverallMaster[OVERALL PLAYER],0)),"")</f>
        <v>7</v>
      </c>
      <c r="AS2" s="161">
        <f>IFERROR(INDEX(TableOverallMaster[Custom],MATCH(TableOverallRank[[#This Row],[OVERALL PLAYER]],TableOverallMaster[OVERALL PLAYER],0)),"")</f>
        <v>471.56584130967269</v>
      </c>
      <c r="AT2" s="163">
        <f>IFERROR(INDEX(TableOverallMaster[VORP],MATCH(TableOverallRank[[#This Row],[OVERALL PLAYER]],TableOverallMaster[OVERALL PLAYER],0)),"")</f>
        <v>213.3158858245869</v>
      </c>
      <c r="AV2" s="58">
        <v>1</v>
      </c>
      <c r="AW2" s="164" t="str">
        <f>IFERROR(INDEX(TableWRTECalcPts[PLAYER],MATCH(TableWRTERank[[#This Row],[RK]],TableWRTECalcPts[RK],0)),"")</f>
        <v>Jaxon Smith-Njigba</v>
      </c>
      <c r="AX2" s="164" t="str">
        <f>IFERROR(INDEX(TableWRTECalcPts[POS RK],MATCH(TableWRTERank[[#This Row],[WR and TE COMBINED]],TableWRTECalcPts[PLAYER],0)),"")</f>
        <v>WR1</v>
      </c>
      <c r="AY2" s="164">
        <f>IFERROR(INDEX(TableWRTECalcPts[BYE],MATCH(TableWRTERank[[#This Row],[RK]],TableWRTECalcPts[RK],0)),"")</f>
        <v>11</v>
      </c>
      <c r="AZ2" s="165">
        <f>IFERROR(INDEX(TableWRTECalcPts[Custom],MATCH(TableWRTERank[[#This Row],[RK]],TableWRTECalcPts[RK],0)),"")</f>
        <v>300.17510590598198</v>
      </c>
      <c r="BA2" s="166">
        <f>IFERROR((TableWRTERank[[#This Row],[FPS]]-INDEX(TableWRTERank[FPS],MATCH(WRTEVORPCalc,TableWRTERank[RK],0))),"")</f>
        <v>158.93873432369028</v>
      </c>
      <c r="BC2" s="58" t="s">
        <v>148</v>
      </c>
      <c r="BE2" s="58" t="s">
        <v>7</v>
      </c>
      <c r="BF2" s="95">
        <f>SUMIF(F:F,"&gt;0")</f>
        <v>2748.2312704874093</v>
      </c>
    </row>
    <row r="3" spans="1:59" x14ac:dyDescent="0.25">
      <c r="A3" s="58">
        <v>2</v>
      </c>
      <c r="B3" s="154" t="str">
        <f>IFERROR(INDEX(TableQBCalcPts[PLAYER],MATCH(TableQBVORP[[#This Row],[RK]],TableQBCalcPts[RK],0)),"")</f>
        <v>Joe Burrow</v>
      </c>
      <c r="C3" s="154" t="str">
        <f>IFERROR(INDEX(TableQBCalcPts[TM],MATCH(TableQBVORP[[#This Row],[RK]],TableQBCalcPts[RK],0)),"")</f>
        <v>CIN</v>
      </c>
      <c r="D3" s="154">
        <f>IFERROR(INDEX(TableQBCalcPts[BYE],MATCH(TableQBVORP[[#This Row],[RK]],TableQBCalcPts[RK],0)),"")</f>
        <v>6</v>
      </c>
      <c r="E3" s="155">
        <f>IFERROR(INDEX(TableQBCalcPts[Custom],MATCH(TableQBVORP[[#This Row],[RK]],TableQBCalcPts[RK],0)),"")</f>
        <v>448.82704920258811</v>
      </c>
      <c r="F3" s="156">
        <f>(IFERROR((TableQBVORP[[#This Row],[FPS]]-INDEX(TableQBVORP[FPS],MATCH(QBVORPCalc,TableQBVORP[RK],0))),""))+(TableRBVORP[[#This Row],[VORP]]*0.45)</f>
        <v>190.1284703444191</v>
      </c>
      <c r="H3" s="58">
        <v>2</v>
      </c>
      <c r="I3" s="154" t="str">
        <f>IFERROR(INDEX(TableRBCalcPts[PLAYER],MATCH(TableRBVORP[[#This Row],[RK]],TableRBCalcPts[RK],0)),"")</f>
        <v>Bijan Robinson</v>
      </c>
      <c r="J3" s="154" t="str">
        <f>IFERROR(INDEX(TableRBCalcPts[TM],MATCH(TableRBVORP[[#This Row],[RK]],TableRBCalcPts[RK],0)),"")</f>
        <v>ATL</v>
      </c>
      <c r="K3" s="154">
        <f>IFERROR(INDEX(TableRBCalcPts[BYE],MATCH(TableRBVORP[[#This Row],[RK]],TableRBCalcPts[RK],0)),"")</f>
        <v>11</v>
      </c>
      <c r="L3" s="155">
        <f>IFERROR(INDEX(TableRBCalcPts[Custom],MATCH(TableRBVORP[[#This Row],[RK]],TableRBCalcPts[RK],0)),"")</f>
        <v>322.90400469051792</v>
      </c>
      <c r="M3" s="156">
        <f>(IFERROR((TableRBVORP[[#This Row],[FPS]]-INDEX(TableRBVORP[FPS],MATCH(RBVORPCalc,TableRBVORP[RK],0))),""))*0.8</f>
        <v>175.11693236759243</v>
      </c>
      <c r="O3" s="58">
        <v>2</v>
      </c>
      <c r="P3" s="154" t="str">
        <f>IFERROR(INDEX(TableWRCalcPts[PLAYER],MATCH(TableWRVORP[[#This Row],[RK]],TableWRCalcPts[RK],0)),"")</f>
        <v>Ja'Marr Chase</v>
      </c>
      <c r="Q3" s="154" t="str">
        <f>IFERROR(INDEX(TableWRCalcPts[TM],MATCH(TableWRVORP[[#This Row],[RK]],TableWRCalcPts[RK],0)),"")</f>
        <v>CIN</v>
      </c>
      <c r="R3" s="154">
        <f>IFERROR(INDEX(TableWRCalcPts[BYE],MATCH(TableWRVORP[[#This Row],[RK]],TableWRCalcPts[RK],0)),"")</f>
        <v>6</v>
      </c>
      <c r="S3" s="155">
        <f>IFERROR(INDEX(TableWRCalcPts[Custom],MATCH(TableWRVORP[[#This Row],[RK]],TableWRCalcPts[RK],0)),"")</f>
        <v>298.87383220968559</v>
      </c>
      <c r="T3" s="156">
        <f>(IFERROR((TableWRVORP[[#This Row],[FPS]]-INDEX(TableWRVORP[FPS],MATCH(WRVORPCalc,TableWRVORP[RK],0))),""))</f>
        <v>208.58964681931951</v>
      </c>
      <c r="V3" s="58">
        <v>2</v>
      </c>
      <c r="W3" s="154" t="str">
        <f>IFERROR(INDEX(TableTECalcPts[PLAYER],MATCH(TableTEVORP[[#This Row],[RK]],TableTECalcPts[RK],0)),"")</f>
        <v>Brock Bowers</v>
      </c>
      <c r="X3" s="154" t="str">
        <f>IFERROR(INDEX(TableTECalcPts[TM],MATCH(TableTEVORP[[#This Row],[RK]],TableTECalcPts[RK],0)),"")</f>
        <v>LV</v>
      </c>
      <c r="Y3" s="154">
        <f>IFERROR(INDEX(TableTECalcPts[BYE],MATCH(TableTEVORP[[#This Row],[RK]],TableTECalcPts[RK],0)),"")</f>
        <v>13</v>
      </c>
      <c r="Z3" s="155">
        <f>IFERROR(INDEX(TableTECalcPts[Custom],MATCH(TableTEVORP[[#This Row],[RK]],TableTECalcPts[RK],0)),"")</f>
        <v>189.22979775372039</v>
      </c>
      <c r="AA3" s="156">
        <f>IFERROR((TableTEVORP[[#This Row],[FPS]]-INDEX(TableTEVORP[FPS],MATCH(TEVORPCalc,TableTEVORP[RK],0))),"")</f>
        <v>111.3440037774787</v>
      </c>
      <c r="AC3" s="58" t="s">
        <v>147</v>
      </c>
      <c r="AD3" s="100">
        <f>(TEAMS*STARTING_RB)+(STARTING_RB)+((FLEXVORPCalc))</f>
        <v>44</v>
      </c>
      <c r="AF3" s="58" t="s">
        <v>7</v>
      </c>
      <c r="AG3" s="58">
        <v>2</v>
      </c>
      <c r="AH3" s="100">
        <f>RANK(TableOverallMaster[[#This Row],[VORP]],TableOverallMaster[VORP])+COUNTIF($AM$2:AM3,AM3)-1</f>
        <v>5</v>
      </c>
      <c r="AI3" s="157" t="str">
        <f>IFERROR(INDEX(TableQBVORP[QUARTERBACK],MATCH(TableOverallMaster[[#This Row],[RK]],TableQBVORP[RK],0)),"")</f>
        <v>Joe Burrow</v>
      </c>
      <c r="AJ3" s="157" t="str">
        <f t="shared" si="0"/>
        <v>QB2</v>
      </c>
      <c r="AK3" s="157">
        <f>IFERROR(INDEX(TableQBVORP[BYE],MATCH(TableOverallMaster[[#This Row],[RK]],TableQBVORP[RK],0)),"")</f>
        <v>6</v>
      </c>
      <c r="AL3" s="158">
        <f>IFERROR(INDEX(TableQBVORP[FPS],MATCH(TableOverallMaster[[#This Row],[RK]],TableQBVORP[RK],0)),"")</f>
        <v>448.82704920258811</v>
      </c>
      <c r="AM3" s="159">
        <f>IFERROR(INDEX(TableQBVORP[VORP],MATCH(TableOverallMaster[[#This Row],[RK]],TableQBVORP[RK],0)),"")</f>
        <v>190.1284703444191</v>
      </c>
      <c r="AO3" s="58">
        <v>2</v>
      </c>
      <c r="AP3" s="160" t="str">
        <f>IFERROR(INDEX(TableOverallMaster[OVERALL PLAYER],MATCH(TableOverallRank[[#This Row],[RK]],TableOverallMaster[OVR RK],0)),"")</f>
        <v>Jaxon Smith-Njigba</v>
      </c>
      <c r="AQ3" s="161" t="str">
        <f>IFERROR(INDEX(TableOverallMaster[POS RK],MATCH(TableOverallRank[[#This Row],[OVERALL PLAYER]],TableOverallMaster[OVERALL PLAYER],0)),"")</f>
        <v>WR1</v>
      </c>
      <c r="AR3" s="162">
        <f>IFERROR(INDEX(TableOverallMaster[BYE],MATCH(TableOverallRank[[#This Row],[OVERALL PLAYER]],TableOverallMaster[OVERALL PLAYER],0)),"")</f>
        <v>11</v>
      </c>
      <c r="AS3" s="161">
        <f>IFERROR(INDEX(TableOverallMaster[Custom],MATCH(TableOverallRank[[#This Row],[OVERALL PLAYER]],TableOverallMaster[OVERALL PLAYER],0)),"")</f>
        <v>300.17510590598198</v>
      </c>
      <c r="AT3" s="163">
        <f>IFERROR(INDEX(TableOverallMaster[VORP],MATCH(TableOverallRank[[#This Row],[OVERALL PLAYER]],TableOverallMaster[OVERALL PLAYER],0)),"")</f>
        <v>209.8909205156159</v>
      </c>
      <c r="AV3" s="58">
        <v>2</v>
      </c>
      <c r="AW3" s="164" t="str">
        <f>IFERROR(INDEX(TableWRTECalcPts[PLAYER],MATCH(TableWRTERank[[#This Row],[RK]],TableWRTECalcPts[RK],0)),"")</f>
        <v>Ja'Marr Chase</v>
      </c>
      <c r="AX3" s="164" t="str">
        <f>IFERROR(INDEX(TableWRTECalcPts[POS RK],MATCH(TableWRTERank[[#This Row],[WR and TE COMBINED]],TableWRTECalcPts[PLAYER],0)),"")</f>
        <v>WR2</v>
      </c>
      <c r="AY3" s="164">
        <f>IFERROR(INDEX(TableWRTECalcPts[BYE],MATCH(TableWRTERank[[#This Row],[RK]],TableWRTECalcPts[RK],0)),"")</f>
        <v>6</v>
      </c>
      <c r="AZ3" s="165">
        <f>IFERROR(INDEX(TableWRTECalcPts[Custom],MATCH(TableWRTERank[[#This Row],[RK]],TableWRTECalcPts[RK],0)),"")</f>
        <v>298.87383220968559</v>
      </c>
      <c r="BA3" s="166">
        <f>IFERROR((TableWRTERank[[#This Row],[FPS]]-INDEX(TableWRTERank[FPS],MATCH(WRTEVORPCalc,TableWRTERank[RK],0))),"")</f>
        <v>157.63746062739389</v>
      </c>
      <c r="BC3" s="58" t="s">
        <v>148</v>
      </c>
      <c r="BE3" s="58" t="s">
        <v>147</v>
      </c>
      <c r="BF3" s="95">
        <f>SUMIF(M:M,"&gt;0")</f>
        <v>3211.5583642170559</v>
      </c>
    </row>
    <row r="4" spans="1:59" x14ac:dyDescent="0.25">
      <c r="A4" s="58">
        <v>3</v>
      </c>
      <c r="B4" s="154" t="str">
        <f>IFERROR(INDEX(TableQBCalcPts[PLAYER],MATCH(TableQBVORP[[#This Row],[RK]],TableQBCalcPts[RK],0)),"")</f>
        <v>Drake Maye</v>
      </c>
      <c r="C4" s="154" t="str">
        <f>IFERROR(INDEX(TableQBCalcPts[TM],MATCH(TableQBVORP[[#This Row],[RK]],TableQBCalcPts[RK],0)),"")</f>
        <v>NE</v>
      </c>
      <c r="D4" s="154">
        <f>IFERROR(INDEX(TableQBCalcPts[BYE],MATCH(TableQBVORP[[#This Row],[RK]],TableQBCalcPts[RK],0)),"")</f>
        <v>11</v>
      </c>
      <c r="E4" s="155">
        <f>IFERROR(INDEX(TableQBCalcPts[Custom],MATCH(TableQBVORP[[#This Row],[RK]],TableQBCalcPts[RK],0)),"")</f>
        <v>445.96284008366393</v>
      </c>
      <c r="F4" s="156">
        <f>(IFERROR((TableQBVORP[[#This Row],[FPS]]-INDEX(TableQBVORP[FPS],MATCH(QBVORPCalc,TableQBVORP[RK],0))),""))+(TableRBVORP[[#This Row],[VORP]]*0.45)</f>
        <v>181.8182498496457</v>
      </c>
      <c r="H4" s="58">
        <v>3</v>
      </c>
      <c r="I4" s="154" t="str">
        <f>IFERROR(INDEX(TableRBCalcPts[PLAYER],MATCH(TableRBVORP[[#This Row],[RK]],TableRBCalcPts[RK],0)),"")</f>
        <v>Christian McCaffrey</v>
      </c>
      <c r="J4" s="154" t="str">
        <f>IFERROR(INDEX(TableRBCalcPts[TM],MATCH(TableRBVORP[[#This Row],[RK]],TableRBCalcPts[RK],0)),"")</f>
        <v>SF</v>
      </c>
      <c r="K4" s="154">
        <f>IFERROR(INDEX(TableRBCalcPts[BYE],MATCH(TableRBVORP[[#This Row],[RK]],TableRBCalcPts[RK],0)),"")</f>
        <v>8</v>
      </c>
      <c r="L4" s="155">
        <f>IFERROR(INDEX(TableRBCalcPts[Custom],MATCH(TableRBVORP[[#This Row],[RK]],TableRBCalcPts[RK],0)),"")</f>
        <v>307.77619531315895</v>
      </c>
      <c r="M4" s="156">
        <f>(IFERROR((TableRBVORP[[#This Row],[FPS]]-INDEX(TableRBVORP[FPS],MATCH(RBVORPCalc,TableRBVORP[RK],0))),""))*0.8</f>
        <v>163.01468486570525</v>
      </c>
      <c r="O4" s="58">
        <v>3</v>
      </c>
      <c r="P4" s="154" t="str">
        <f>IFERROR(INDEX(TableWRCalcPts[PLAYER],MATCH(TableWRVORP[[#This Row],[RK]],TableWRCalcPts[RK],0)),"")</f>
        <v>Puka Nacua</v>
      </c>
      <c r="Q4" s="154" t="str">
        <f>IFERROR(INDEX(TableWRCalcPts[TM],MATCH(TableWRVORP[[#This Row],[RK]],TableWRCalcPts[RK],0)),"")</f>
        <v>LAR</v>
      </c>
      <c r="R4" s="154">
        <f>IFERROR(INDEX(TableWRCalcPts[BYE],MATCH(TableWRVORP[[#This Row],[RK]],TableWRCalcPts[RK],0)),"")</f>
        <v>11</v>
      </c>
      <c r="S4" s="155">
        <f>IFERROR(INDEX(TableWRCalcPts[Custom],MATCH(TableWRVORP[[#This Row],[RK]],TableWRCalcPts[RK],0)),"")</f>
        <v>288.94554919043696</v>
      </c>
      <c r="T4" s="156">
        <f>(IFERROR((TableWRVORP[[#This Row],[FPS]]-INDEX(TableWRVORP[FPS],MATCH(WRVORPCalc,TableWRVORP[RK],0))),""))</f>
        <v>198.66136380007089</v>
      </c>
      <c r="V4" s="58">
        <v>3</v>
      </c>
      <c r="W4" s="154" t="str">
        <f>IFERROR(INDEX(TableTECalcPts[PLAYER],MATCH(TableTEVORP[[#This Row],[RK]],TableTECalcPts[RK],0)),"")</f>
        <v>Trey McBride</v>
      </c>
      <c r="X4" s="154" t="str">
        <f>IFERROR(INDEX(TableTECalcPts[TM],MATCH(TableTEVORP[[#This Row],[RK]],TableTECalcPts[RK],0)),"")</f>
        <v>ARI</v>
      </c>
      <c r="Y4" s="154">
        <f>IFERROR(INDEX(TableTECalcPts[BYE],MATCH(TableTEVORP[[#This Row],[RK]],TableTECalcPts[RK],0)),"")</f>
        <v>14</v>
      </c>
      <c r="Z4" s="155">
        <f>IFERROR(INDEX(TableTECalcPts[Custom],MATCH(TableTEVORP[[#This Row],[RK]],TableTECalcPts[RK],0)),"")</f>
        <v>183.17818580821358</v>
      </c>
      <c r="AA4" s="156">
        <f>IFERROR((TableTEVORP[[#This Row],[FPS]]-INDEX(TableTEVORP[FPS],MATCH(TEVORPCalc,TableTEVORP[RK],0))),"")</f>
        <v>105.2923918319719</v>
      </c>
      <c r="AC4" s="58" t="s">
        <v>148</v>
      </c>
      <c r="AD4" s="100">
        <f>(TEAMS*STARTING_WR)+(STARTING_WR)+((FLEXVORPCalc)+(16))</f>
        <v>73</v>
      </c>
      <c r="AF4" s="58" t="s">
        <v>7</v>
      </c>
      <c r="AG4" s="58">
        <v>3</v>
      </c>
      <c r="AH4" s="100">
        <f>RANK(TableOverallMaster[[#This Row],[VORP]],TableOverallMaster[VORP])+COUNTIF($AM$2:AM4,AM4)-1</f>
        <v>6</v>
      </c>
      <c r="AI4" s="157" t="str">
        <f>IFERROR(INDEX(TableQBVORP[QUARTERBACK],MATCH(TableOverallMaster[[#This Row],[RK]],TableQBVORP[RK],0)),"")</f>
        <v>Drake Maye</v>
      </c>
      <c r="AJ4" s="157" t="str">
        <f t="shared" si="0"/>
        <v>QB3</v>
      </c>
      <c r="AK4" s="157">
        <f>IFERROR(INDEX(TableQBVORP[BYE],MATCH(TableOverallMaster[[#This Row],[RK]],TableQBVORP[RK],0)),"")</f>
        <v>11</v>
      </c>
      <c r="AL4" s="158">
        <f>IFERROR(INDEX(TableQBVORP[FPS],MATCH(TableOverallMaster[[#This Row],[RK]],TableQBVORP[RK],0)),"")</f>
        <v>445.96284008366393</v>
      </c>
      <c r="AM4" s="159">
        <f>IFERROR(INDEX(TableQBVORP[VORP],MATCH(TableOverallMaster[[#This Row],[RK]],TableQBVORP[RK],0)),"")</f>
        <v>181.8182498496457</v>
      </c>
      <c r="AO4" s="58">
        <v>3</v>
      </c>
      <c r="AP4" s="160" t="str">
        <f>IFERROR(INDEX(TableOverallMaster[OVERALL PLAYER],MATCH(TableOverallRank[[#This Row],[RK]],TableOverallMaster[OVR RK],0)),"")</f>
        <v>Ja'Marr Chase</v>
      </c>
      <c r="AQ4" s="161" t="str">
        <f>IFERROR(INDEX(TableOverallMaster[POS RK],MATCH(TableOverallRank[[#This Row],[OVERALL PLAYER]],TableOverallMaster[OVERALL PLAYER],0)),"")</f>
        <v>WR2</v>
      </c>
      <c r="AR4" s="162">
        <f>IFERROR(INDEX(TableOverallMaster[BYE],MATCH(TableOverallRank[[#This Row],[OVERALL PLAYER]],TableOverallMaster[OVERALL PLAYER],0)),"")</f>
        <v>6</v>
      </c>
      <c r="AS4" s="161">
        <f>IFERROR(INDEX(TableOverallMaster[Custom],MATCH(TableOverallRank[[#This Row],[OVERALL PLAYER]],TableOverallMaster[OVERALL PLAYER],0)),"")</f>
        <v>298.87383220968559</v>
      </c>
      <c r="AT4" s="163">
        <f>IFERROR(INDEX(TableOverallMaster[VORP],MATCH(TableOverallRank[[#This Row],[OVERALL PLAYER]],TableOverallMaster[OVERALL PLAYER],0)),"")</f>
        <v>208.58964681931951</v>
      </c>
      <c r="AV4" s="58">
        <v>3</v>
      </c>
      <c r="AW4" s="164" t="str">
        <f>IFERROR(INDEX(TableWRTECalcPts[PLAYER],MATCH(TableWRTERank[[#This Row],[RK]],TableWRTECalcPts[RK],0)),"")</f>
        <v>Puka Nacua</v>
      </c>
      <c r="AX4" s="164" t="str">
        <f>IFERROR(INDEX(TableWRTECalcPts[POS RK],MATCH(TableWRTERank[[#This Row],[WR and TE COMBINED]],TableWRTECalcPts[PLAYER],0)),"")</f>
        <v>WR3</v>
      </c>
      <c r="AY4" s="164">
        <f>IFERROR(INDEX(TableWRTECalcPts[BYE],MATCH(TableWRTERank[[#This Row],[RK]],TableWRTECalcPts[RK],0)),"")</f>
        <v>11</v>
      </c>
      <c r="AZ4" s="165">
        <f>IFERROR(INDEX(TableWRTECalcPts[Custom],MATCH(TableWRTERank[[#This Row],[RK]],TableWRTECalcPts[RK],0)),"")</f>
        <v>288.94554919043696</v>
      </c>
      <c r="BA4" s="166">
        <f>IFERROR((TableWRTERank[[#This Row],[FPS]]-INDEX(TableWRTERank[FPS],MATCH(WRTEVORPCalc,TableWRTERank[RK],0))),"")</f>
        <v>147.70917760814527</v>
      </c>
      <c r="BC4" s="58" t="s">
        <v>148</v>
      </c>
      <c r="BE4" s="58" t="s">
        <v>148</v>
      </c>
      <c r="BF4" s="95">
        <f>SUMIF(T:T,"&gt;0")</f>
        <v>5318.7457818120884</v>
      </c>
    </row>
    <row r="5" spans="1:59" x14ac:dyDescent="0.25">
      <c r="A5" s="58">
        <v>4</v>
      </c>
      <c r="B5" s="154" t="str">
        <f>IFERROR(INDEX(TableQBCalcPts[PLAYER],MATCH(TableQBVORP[[#This Row],[RK]],TableQBCalcPts[RK],0)),"")</f>
        <v>Lamar Jackson</v>
      </c>
      <c r="C5" s="154" t="str">
        <f>IFERROR(INDEX(TableQBCalcPts[TM],MATCH(TableQBVORP[[#This Row],[RK]],TableQBCalcPts[RK],0)),"")</f>
        <v>BAL</v>
      </c>
      <c r="D5" s="154">
        <f>IFERROR(INDEX(TableQBCalcPts[BYE],MATCH(TableQBVORP[[#This Row],[RK]],TableQBCalcPts[RK],0)),"")</f>
        <v>13</v>
      </c>
      <c r="E5" s="155">
        <f>IFERROR(INDEX(TableQBCalcPts[Custom],MATCH(TableQBVORP[[#This Row],[RK]],TableQBCalcPts[RK],0)),"")</f>
        <v>425.38038576336101</v>
      </c>
      <c r="F5" s="156">
        <f>(IFERROR((TableQBVORP[[#This Row],[FPS]]-INDEX(TableQBVORP[FPS],MATCH(QBVORPCalc,TableQBVORP[RK],0))),""))+(TableRBVORP[[#This Row],[VORP]]*0.45)</f>
        <v>154.05859712837059</v>
      </c>
      <c r="H5" s="58">
        <v>4</v>
      </c>
      <c r="I5" s="154" t="str">
        <f>IFERROR(INDEX(TableRBCalcPts[PLAYER],MATCH(TableRBVORP[[#This Row],[RK]],TableRBCalcPts[RK],0)),"")</f>
        <v>Jonathan Taylor</v>
      </c>
      <c r="J5" s="154" t="str">
        <f>IFERROR(INDEX(TableRBCalcPts[TM],MATCH(TableRBVORP[[#This Row],[RK]],TableRBCalcPts[RK],0)),"")</f>
        <v>IND</v>
      </c>
      <c r="K5" s="154">
        <f>IFERROR(INDEX(TableRBCalcPts[BYE],MATCH(TableRBVORP[[#This Row],[RK]],TableRBCalcPts[RK],0)),"")</f>
        <v>13</v>
      </c>
      <c r="L5" s="155">
        <f>IFERROR(INDEX(TableRBCalcPts[Custom],MATCH(TableRBVORP[[#This Row],[RK]],TableRBCalcPts[RK],0)),"")</f>
        <v>287.83953308823624</v>
      </c>
      <c r="M5" s="156">
        <f>(IFERROR((TableRBVORP[[#This Row],[FPS]]-INDEX(TableRBVORP[FPS],MATCH(RBVORPCalc,TableRBVORP[RK],0))),""))*0.8</f>
        <v>147.0653550857671</v>
      </c>
      <c r="O5" s="58">
        <v>4</v>
      </c>
      <c r="P5" s="154" t="str">
        <f>IFERROR(INDEX(TableWRCalcPts[PLAYER],MATCH(TableWRVORP[[#This Row],[RK]],TableWRCalcPts[RK],0)),"")</f>
        <v>Amon-Ra St. Brown</v>
      </c>
      <c r="Q5" s="154" t="str">
        <f>IFERROR(INDEX(TableWRCalcPts[TM],MATCH(TableWRVORP[[#This Row],[RK]],TableWRCalcPts[RK],0)),"")</f>
        <v>DET</v>
      </c>
      <c r="R5" s="154">
        <f>IFERROR(INDEX(TableWRCalcPts[BYE],MATCH(TableWRVORP[[#This Row],[RK]],TableWRCalcPts[RK],0)),"")</f>
        <v>6</v>
      </c>
      <c r="S5" s="155">
        <f>IFERROR(INDEX(TableWRCalcPts[Custom],MATCH(TableWRVORP[[#This Row],[RK]],TableWRCalcPts[RK],0)),"")</f>
        <v>263.19537961810715</v>
      </c>
      <c r="T5" s="156">
        <f>(IFERROR((TableWRVORP[[#This Row],[FPS]]-INDEX(TableWRVORP[FPS],MATCH(WRVORPCalc,TableWRVORP[RK],0))),""))</f>
        <v>172.91119422774108</v>
      </c>
      <c r="V5" s="58">
        <v>4</v>
      </c>
      <c r="W5" s="154" t="str">
        <f>IFERROR(INDEX(TableTECalcPts[PLAYER],MATCH(TableTEVORP[[#This Row],[RK]],TableTECalcPts[RK],0)),"")</f>
        <v>Tyler Warren</v>
      </c>
      <c r="X5" s="154" t="str">
        <f>IFERROR(INDEX(TableTECalcPts[TM],MATCH(TableTEVORP[[#This Row],[RK]],TableTECalcPts[RK],0)),"")</f>
        <v>IND</v>
      </c>
      <c r="Y5" s="154">
        <f>IFERROR(INDEX(TableTECalcPts[BYE],MATCH(TableTEVORP[[#This Row],[RK]],TableTECalcPts[RK],0)),"")</f>
        <v>13</v>
      </c>
      <c r="Z5" s="155">
        <f>IFERROR(INDEX(TableTECalcPts[Custom],MATCH(TableTEVORP[[#This Row],[RK]],TableTECalcPts[RK],0)),"")</f>
        <v>168.31977546975355</v>
      </c>
      <c r="AA5" s="156">
        <f>IFERROR((TableTEVORP[[#This Row],[FPS]]-INDEX(TableTEVORP[FPS],MATCH(TEVORPCalc,TableTEVORP[RK],0))),"")</f>
        <v>90.433981493511865</v>
      </c>
      <c r="AC5" s="58" t="s">
        <v>8</v>
      </c>
      <c r="AD5" s="100">
        <f>(TEAMS*STARTING_TE)+((FLEXVORPCalc)+(0))</f>
        <v>30</v>
      </c>
      <c r="AF5" s="58" t="s">
        <v>7</v>
      </c>
      <c r="AG5" s="58">
        <v>4</v>
      </c>
      <c r="AH5" s="100">
        <f>RANK(TableOverallMaster[[#This Row],[VORP]],TableOverallMaster[VORP])+COUNTIF($AM$2:AM5,AM5)-1</f>
        <v>11</v>
      </c>
      <c r="AI5" s="157" t="str">
        <f>IFERROR(INDEX(TableQBVORP[QUARTERBACK],MATCH(TableOverallMaster[[#This Row],[RK]],TableQBVORP[RK],0)),"")</f>
        <v>Lamar Jackson</v>
      </c>
      <c r="AJ5" s="157" t="str">
        <f t="shared" si="0"/>
        <v>QB4</v>
      </c>
      <c r="AK5" s="157">
        <f>IFERROR(INDEX(TableQBVORP[BYE],MATCH(TableOverallMaster[[#This Row],[RK]],TableQBVORP[RK],0)),"")</f>
        <v>13</v>
      </c>
      <c r="AL5" s="158">
        <f>IFERROR(INDEX(TableQBVORP[FPS],MATCH(TableOverallMaster[[#This Row],[RK]],TableQBVORP[RK],0)),"")</f>
        <v>425.38038576336101</v>
      </c>
      <c r="AM5" s="159">
        <f>IFERROR(INDEX(TableQBVORP[VORP],MATCH(TableOverallMaster[[#This Row],[RK]],TableQBVORP[RK],0)),"")</f>
        <v>154.05859712837059</v>
      </c>
      <c r="AO5" s="58">
        <v>4</v>
      </c>
      <c r="AP5" s="160" t="str">
        <f>IFERROR(INDEX(TableOverallMaster[OVERALL PLAYER],MATCH(TableOverallRank[[#This Row],[RK]],TableOverallMaster[OVR RK],0)),"")</f>
        <v>Puka Nacua</v>
      </c>
      <c r="AQ5" s="161" t="str">
        <f>IFERROR(INDEX(TableOverallMaster[POS RK],MATCH(TableOverallRank[[#This Row],[OVERALL PLAYER]],TableOverallMaster[OVERALL PLAYER],0)),"")</f>
        <v>WR3</v>
      </c>
      <c r="AR5" s="162">
        <f>IFERROR(INDEX(TableOverallMaster[BYE],MATCH(TableOverallRank[[#This Row],[OVERALL PLAYER]],TableOverallMaster[OVERALL PLAYER],0)),"")</f>
        <v>11</v>
      </c>
      <c r="AS5" s="161">
        <f>IFERROR(INDEX(TableOverallMaster[Custom],MATCH(TableOverallRank[[#This Row],[OVERALL PLAYER]],TableOverallMaster[OVERALL PLAYER],0)),"")</f>
        <v>288.94554919043696</v>
      </c>
      <c r="AT5" s="163">
        <f>IFERROR(INDEX(TableOverallMaster[VORP],MATCH(TableOverallRank[[#This Row],[OVERALL PLAYER]],TableOverallMaster[OVERALL PLAYER],0)),"")</f>
        <v>198.66136380007089</v>
      </c>
      <c r="AV5" s="58">
        <v>4</v>
      </c>
      <c r="AW5" s="164" t="str">
        <f>IFERROR(INDEX(TableWRTECalcPts[PLAYER],MATCH(TableWRTERank[[#This Row],[RK]],TableWRTECalcPts[RK],0)),"")</f>
        <v>Amon-Ra St. Brown</v>
      </c>
      <c r="AX5" s="164" t="str">
        <f>IFERROR(INDEX(TableWRTECalcPts[POS RK],MATCH(TableWRTERank[[#This Row],[WR and TE COMBINED]],TableWRTECalcPts[PLAYER],0)),"")</f>
        <v>WR4</v>
      </c>
      <c r="AY5" s="164">
        <f>IFERROR(INDEX(TableWRTECalcPts[BYE],MATCH(TableWRTERank[[#This Row],[RK]],TableWRTECalcPts[RK],0)),"")</f>
        <v>6</v>
      </c>
      <c r="AZ5" s="165">
        <f>IFERROR(INDEX(TableWRTECalcPts[Custom],MATCH(TableWRTERank[[#This Row],[RK]],TableWRTECalcPts[RK],0)),"")</f>
        <v>263.19537961810715</v>
      </c>
      <c r="BA5" s="166">
        <f>IFERROR((TableWRTERank[[#This Row],[FPS]]-INDEX(TableWRTERank[FPS],MATCH(WRTEVORPCalc,TableWRTERank[RK],0))),"")</f>
        <v>121.95900803581546</v>
      </c>
      <c r="BC5" s="58" t="s">
        <v>148</v>
      </c>
      <c r="BE5" s="58" t="s">
        <v>8</v>
      </c>
      <c r="BF5" s="95">
        <f>SUMIF(AA:AA,"&gt;0")</f>
        <v>1495.6989087933855</v>
      </c>
    </row>
    <row r="6" spans="1:59" x14ac:dyDescent="0.25">
      <c r="A6" s="58">
        <v>5</v>
      </c>
      <c r="B6" s="154" t="str">
        <f>IFERROR(INDEX(TableQBCalcPts[PLAYER],MATCH(TableQBVORP[[#This Row],[RK]],TableQBCalcPts[RK],0)),"")</f>
        <v>Dak Prescott</v>
      </c>
      <c r="C6" s="154" t="str">
        <f>IFERROR(INDEX(TableQBCalcPts[TM],MATCH(TableQBVORP[[#This Row],[RK]],TableQBCalcPts[RK],0)),"")</f>
        <v>DAL</v>
      </c>
      <c r="D6" s="154">
        <f>IFERROR(INDEX(TableQBCalcPts[BYE],MATCH(TableQBVORP[[#This Row],[RK]],TableQBCalcPts[RK],0)),"")</f>
        <v>14</v>
      </c>
      <c r="E6" s="155">
        <f>IFERROR(INDEX(TableQBCalcPts[Custom],MATCH(TableQBVORP[[#This Row],[RK]],TableQBCalcPts[RK],0)),"")</f>
        <v>424.26156978062608</v>
      </c>
      <c r="F6" s="156">
        <f>(IFERROR((TableQBVORP[[#This Row],[FPS]]-INDEX(TableQBVORP[FPS],MATCH(QBVORPCalc,TableQBVORP[RK],0))),""))+(TableRBVORP[[#This Row],[VORP]]*0.45)</f>
        <v>140.39728555051528</v>
      </c>
      <c r="H6" s="58">
        <v>5</v>
      </c>
      <c r="I6" s="154" t="str">
        <f>IFERROR(INDEX(TableRBCalcPts[PLAYER],MATCH(TableRBVORP[[#This Row],[RK]],TableRBCalcPts[RK],0)),"")</f>
        <v>James Cook</v>
      </c>
      <c r="J6" s="154" t="str">
        <f>IFERROR(INDEX(TableRBCalcPts[TM],MATCH(TableRBVORP[[#This Row],[RK]],TableRBCalcPts[RK],0)),"")</f>
        <v>BUF</v>
      </c>
      <c r="K6" s="154">
        <f>IFERROR(INDEX(TableRBCalcPts[BYE],MATCH(TableRBVORP[[#This Row],[RK]],TableRBCalcPts[RK],0)),"")</f>
        <v>7</v>
      </c>
      <c r="L6" s="155">
        <f>IFERROR(INDEX(TableRBCalcPts[Custom],MATCH(TableRBVORP[[#This Row],[RK]],TableRBCalcPts[RK],0)),"")</f>
        <v>252.99926754623516</v>
      </c>
      <c r="M6" s="156">
        <f>(IFERROR((TableRBVORP[[#This Row],[FPS]]-INDEX(TableRBVORP[FPS],MATCH(RBVORPCalc,TableRBVORP[RK],0))),""))*0.8</f>
        <v>119.19314265216622</v>
      </c>
      <c r="O6" s="58">
        <v>5</v>
      </c>
      <c r="P6" s="154" t="str">
        <f>IFERROR(INDEX(TableWRCalcPts[PLAYER],MATCH(TableWRVORP[[#This Row],[RK]],TableWRCalcPts[RK],0)),"")</f>
        <v>George Pickens</v>
      </c>
      <c r="Q6" s="154" t="str">
        <f>IFERROR(INDEX(TableWRCalcPts[TM],MATCH(TableWRVORP[[#This Row],[RK]],TableWRCalcPts[RK],0)),"")</f>
        <v>DAL</v>
      </c>
      <c r="R6" s="154">
        <f>IFERROR(INDEX(TableWRCalcPts[BYE],MATCH(TableWRVORP[[#This Row],[RK]],TableWRCalcPts[RK],0)),"")</f>
        <v>14</v>
      </c>
      <c r="S6" s="155">
        <f>IFERROR(INDEX(TableWRCalcPts[Custom],MATCH(TableWRVORP[[#This Row],[RK]],TableWRCalcPts[RK],0)),"")</f>
        <v>232.51214033920755</v>
      </c>
      <c r="T6" s="156">
        <f>(IFERROR((TableWRVORP[[#This Row],[FPS]]-INDEX(TableWRVORP[FPS],MATCH(WRVORPCalc,TableWRVORP[RK],0))),""))</f>
        <v>142.2279549488415</v>
      </c>
      <c r="V6" s="58">
        <v>5</v>
      </c>
      <c r="W6" s="154" t="str">
        <f>IFERROR(INDEX(TableTECalcPts[PLAYER],MATCH(TableTEVORP[[#This Row],[RK]],TableTECalcPts[RK],0)),"")</f>
        <v>Sam LaPorta</v>
      </c>
      <c r="X6" s="154" t="str">
        <f>IFERROR(INDEX(TableTECalcPts[TM],MATCH(TableTEVORP[[#This Row],[RK]],TableTECalcPts[RK],0)),"")</f>
        <v>DET</v>
      </c>
      <c r="Y6" s="154">
        <f>IFERROR(INDEX(TableTECalcPts[BYE],MATCH(TableTEVORP[[#This Row],[RK]],TableTECalcPts[RK],0)),"")</f>
        <v>6</v>
      </c>
      <c r="Z6" s="155">
        <f>IFERROR(INDEX(TableTECalcPts[Custom],MATCH(TableTEVORP[[#This Row],[RK]],TableTECalcPts[RK],0)),"")</f>
        <v>155.89636881295675</v>
      </c>
      <c r="AA6" s="156">
        <f>IFERROR((TableTEVORP[[#This Row],[FPS]]-INDEX(TableTEVORP[FPS],MATCH(TEVORPCalc,TableTEVORP[RK],0))),"")</f>
        <v>78.010574836715065</v>
      </c>
      <c r="AC6" s="58" t="s">
        <v>294</v>
      </c>
      <c r="AD6" s="100">
        <f>(TEAMS*STARTING_FLEX)*1.5</f>
        <v>18</v>
      </c>
      <c r="AF6" s="58" t="s">
        <v>7</v>
      </c>
      <c r="AG6" s="58">
        <v>5</v>
      </c>
      <c r="AH6" s="100">
        <f>RANK(TableOverallMaster[[#This Row],[VORP]],TableOverallMaster[VORP])+COUNTIF($AM$2:AM6,AM6)-1</f>
        <v>14</v>
      </c>
      <c r="AI6" s="157" t="str">
        <f>IFERROR(INDEX(TableQBVORP[QUARTERBACK],MATCH(TableOverallMaster[[#This Row],[RK]],TableQBVORP[RK],0)),"")</f>
        <v>Dak Prescott</v>
      </c>
      <c r="AJ6" s="157" t="str">
        <f t="shared" si="0"/>
        <v>QB5</v>
      </c>
      <c r="AK6" s="157">
        <f>IFERROR(INDEX(TableQBVORP[BYE],MATCH(TableOverallMaster[[#This Row],[RK]],TableQBVORP[RK],0)),"")</f>
        <v>14</v>
      </c>
      <c r="AL6" s="158">
        <f>IFERROR(INDEX(TableQBVORP[FPS],MATCH(TableOverallMaster[[#This Row],[RK]],TableQBVORP[RK],0)),"")</f>
        <v>424.26156978062608</v>
      </c>
      <c r="AM6" s="159">
        <f>IFERROR(INDEX(TableQBVORP[VORP],MATCH(TableOverallMaster[[#This Row],[RK]],TableQBVORP[RK],0)),"")</f>
        <v>140.39728555051528</v>
      </c>
      <c r="AO6" s="58">
        <v>5</v>
      </c>
      <c r="AP6" s="160" t="str">
        <f>IFERROR(INDEX(TableOverallMaster[OVERALL PLAYER],MATCH(TableOverallRank[[#This Row],[RK]],TableOverallMaster[OVR RK],0)),"")</f>
        <v>Joe Burrow</v>
      </c>
      <c r="AQ6" s="161" t="str">
        <f>IFERROR(INDEX(TableOverallMaster[POS RK],MATCH(TableOverallRank[[#This Row],[OVERALL PLAYER]],TableOverallMaster[OVERALL PLAYER],0)),"")</f>
        <v>QB2</v>
      </c>
      <c r="AR6" s="162">
        <f>IFERROR(INDEX(TableOverallMaster[BYE],MATCH(TableOverallRank[[#This Row],[OVERALL PLAYER]],TableOverallMaster[OVERALL PLAYER],0)),"")</f>
        <v>6</v>
      </c>
      <c r="AS6" s="161">
        <f>IFERROR(INDEX(TableOverallMaster[Custom],MATCH(TableOverallRank[[#This Row],[OVERALL PLAYER]],TableOverallMaster[OVERALL PLAYER],0)),"")</f>
        <v>448.82704920258811</v>
      </c>
      <c r="AT6" s="163">
        <f>IFERROR(INDEX(TableOverallMaster[VORP],MATCH(TableOverallRank[[#This Row],[OVERALL PLAYER]],TableOverallMaster[OVERALL PLAYER],0)),"")</f>
        <v>190.1284703444191</v>
      </c>
      <c r="AV6" s="58">
        <v>5</v>
      </c>
      <c r="AW6" s="164" t="str">
        <f>IFERROR(INDEX(TableWRTECalcPts[PLAYER],MATCH(TableWRTERank[[#This Row],[RK]],TableWRTECalcPts[RK],0)),"")</f>
        <v>George Pickens</v>
      </c>
      <c r="AX6" s="164" t="str">
        <f>IFERROR(INDEX(TableWRTECalcPts[POS RK],MATCH(TableWRTERank[[#This Row],[WR and TE COMBINED]],TableWRTECalcPts[PLAYER],0)),"")</f>
        <v>WR5</v>
      </c>
      <c r="AY6" s="164">
        <f>IFERROR(INDEX(TableWRTECalcPts[BYE],MATCH(TableWRTERank[[#This Row],[RK]],TableWRTECalcPts[RK],0)),"")</f>
        <v>14</v>
      </c>
      <c r="AZ6" s="165">
        <f>IFERROR(INDEX(TableWRTECalcPts[Custom],MATCH(TableWRTERank[[#This Row],[RK]],TableWRTECalcPts[RK],0)),"")</f>
        <v>232.51214033920755</v>
      </c>
      <c r="BA6" s="166">
        <f>IFERROR((TableWRTERank[[#This Row],[FPS]]-INDEX(TableWRTERank[FPS],MATCH(WRTEVORPCalc,TableWRTERank[RK],0))),"")</f>
        <v>91.275768756915852</v>
      </c>
      <c r="BC6" s="58" t="s">
        <v>148</v>
      </c>
      <c r="BF6" s="95">
        <f>SUM(BF2:BF5)</f>
        <v>12774.234325309939</v>
      </c>
      <c r="BG6" s="167"/>
    </row>
    <row r="7" spans="1:59" x14ac:dyDescent="0.25">
      <c r="A7" s="58">
        <v>6</v>
      </c>
      <c r="B7" s="154" t="str">
        <f>IFERROR(INDEX(TableQBCalcPts[PLAYER],MATCH(TableQBVORP[[#This Row],[RK]],TableQBCalcPts[RK],0)),"")</f>
        <v>Brock Purdy</v>
      </c>
      <c r="C7" s="154" t="str">
        <f>IFERROR(INDEX(TableQBCalcPts[TM],MATCH(TableQBVORP[[#This Row],[RK]],TableQBCalcPts[RK],0)),"")</f>
        <v>SF</v>
      </c>
      <c r="D7" s="154">
        <f>IFERROR(INDEX(TableQBCalcPts[BYE],MATCH(TableQBVORP[[#This Row],[RK]],TableQBCalcPts[RK],0)),"")</f>
        <v>8</v>
      </c>
      <c r="E7" s="155">
        <f>IFERROR(INDEX(TableQBCalcPts[Custom],MATCH(TableQBVORP[[#This Row],[RK]],TableQBCalcPts[RK],0)),"")</f>
        <v>421.55036691030688</v>
      </c>
      <c r="F7" s="156">
        <f>(IFERROR((TableQBVORP[[#This Row],[FPS]]-INDEX(TableQBVORP[FPS],MATCH(QBVORPCalc,TableQBVORP[RK],0))),""))+(TableRBVORP[[#This Row],[VORP]]*0.45)</f>
        <v>136.37986403365142</v>
      </c>
      <c r="H7" s="58">
        <v>6</v>
      </c>
      <c r="I7" s="154" t="str">
        <f>IFERROR(INDEX(TableRBCalcPts[PLAYER],MATCH(TableRBVORP[[#This Row],[RK]],TableRBCalcPts[RK],0)),"")</f>
        <v>De'Von Achane</v>
      </c>
      <c r="J7" s="154" t="str">
        <f>IFERROR(INDEX(TableRBCalcPts[TM],MATCH(TableRBVORP[[#This Row],[RK]],TableRBCalcPts[RK],0)),"")</f>
        <v>MIA</v>
      </c>
      <c r="K7" s="154">
        <f>IFERROR(INDEX(TableRBCalcPts[BYE],MATCH(TableRBVORP[[#This Row],[RK]],TableRBCalcPts[RK],0)),"")</f>
        <v>6</v>
      </c>
      <c r="L7" s="155">
        <f>IFERROR(INDEX(TableRBCalcPts[Custom],MATCH(TableRBVORP[[#This Row],[RK]],TableRBCalcPts[RK],0)),"")</f>
        <v>249.37088241694448</v>
      </c>
      <c r="M7" s="156">
        <f>(IFERROR((TableRBVORP[[#This Row],[FPS]]-INDEX(TableRBVORP[FPS],MATCH(RBVORPCalc,TableRBVORP[RK],0))),""))*0.8</f>
        <v>116.29043454873369</v>
      </c>
      <c r="O7" s="58">
        <v>6</v>
      </c>
      <c r="P7" s="154" t="str">
        <f>IFERROR(INDEX(TableWRCalcPts[PLAYER],MATCH(TableWRVORP[[#This Row],[RK]],TableWRCalcPts[RK],0)),"")</f>
        <v>Drake London</v>
      </c>
      <c r="Q7" s="154" t="str">
        <f>IFERROR(INDEX(TableWRCalcPts[TM],MATCH(TableWRVORP[[#This Row],[RK]],TableWRCalcPts[RK],0)),"")</f>
        <v>ATL</v>
      </c>
      <c r="R7" s="154">
        <f>IFERROR(INDEX(TableWRCalcPts[BYE],MATCH(TableWRVORP[[#This Row],[RK]],TableWRCalcPts[RK],0)),"")</f>
        <v>11</v>
      </c>
      <c r="S7" s="155">
        <f>IFERROR(INDEX(TableWRCalcPts[Custom],MATCH(TableWRVORP[[#This Row],[RK]],TableWRCalcPts[RK],0)),"")</f>
        <v>228.86490868413486</v>
      </c>
      <c r="T7" s="156">
        <f>(IFERROR((TableWRVORP[[#This Row],[FPS]]-INDEX(TableWRVORP[FPS],MATCH(WRVORPCalc,TableWRVORP[RK],0))),""))</f>
        <v>138.58072329376881</v>
      </c>
      <c r="V7" s="58">
        <v>6</v>
      </c>
      <c r="W7" s="154" t="str">
        <f>IFERROR(INDEX(TableTECalcPts[PLAYER],MATCH(TableTEVORP[[#This Row],[RK]],TableTECalcPts[RK],0)),"")</f>
        <v>George Kittle</v>
      </c>
      <c r="X7" s="154" t="str">
        <f>IFERROR(INDEX(TableTECalcPts[TM],MATCH(TableTEVORP[[#This Row],[RK]],TableTECalcPts[RK],0)),"")</f>
        <v>SF</v>
      </c>
      <c r="Y7" s="154">
        <f>IFERROR(INDEX(TableTECalcPts[BYE],MATCH(TableTEVORP[[#This Row],[RK]],TableTECalcPts[RK],0)),"")</f>
        <v>8</v>
      </c>
      <c r="Z7" s="155">
        <f>IFERROR(INDEX(TableTECalcPts[Custom],MATCH(TableTEVORP[[#This Row],[RK]],TableTECalcPts[RK],0)),"")</f>
        <v>155.06993486799362</v>
      </c>
      <c r="AA7" s="156">
        <f>IFERROR((TableTEVORP[[#This Row],[FPS]]-INDEX(TableTEVORP[FPS],MATCH(TEVORPCalc,TableTEVORP[RK],0))),"")</f>
        <v>77.184140891751937</v>
      </c>
      <c r="AC7" s="58" t="s">
        <v>293</v>
      </c>
      <c r="AD7" s="100">
        <f>TEAMS*STARTING_SUPERFLEX</f>
        <v>12</v>
      </c>
      <c r="AF7" s="58" t="s">
        <v>7</v>
      </c>
      <c r="AG7" s="58">
        <v>6</v>
      </c>
      <c r="AH7" s="100">
        <f>RANK(TableOverallMaster[[#This Row],[VORP]],TableOverallMaster[VORP])+COUNTIF($AM$2:AM7,AM7)-1</f>
        <v>16</v>
      </c>
      <c r="AI7" s="157" t="str">
        <f>IFERROR(INDEX(TableQBVORP[QUARTERBACK],MATCH(TableOverallMaster[[#This Row],[RK]],TableQBVORP[RK],0)),"")</f>
        <v>Brock Purdy</v>
      </c>
      <c r="AJ7" s="157" t="str">
        <f t="shared" si="0"/>
        <v>QB6</v>
      </c>
      <c r="AK7" s="157">
        <f>IFERROR(INDEX(TableQBVORP[BYE],MATCH(TableOverallMaster[[#This Row],[RK]],TableQBVORP[RK],0)),"")</f>
        <v>8</v>
      </c>
      <c r="AL7" s="158">
        <f>IFERROR(INDEX(TableQBVORP[FPS],MATCH(TableOverallMaster[[#This Row],[RK]],TableQBVORP[RK],0)),"")</f>
        <v>421.55036691030688</v>
      </c>
      <c r="AM7" s="159">
        <f>IFERROR(INDEX(TableQBVORP[VORP],MATCH(TableOverallMaster[[#This Row],[RK]],TableQBVORP[RK],0)),"")</f>
        <v>136.37986403365142</v>
      </c>
      <c r="AO7" s="58">
        <v>6</v>
      </c>
      <c r="AP7" s="160" t="str">
        <f>IFERROR(INDEX(TableOverallMaster[OVERALL PLAYER],MATCH(TableOverallRank[[#This Row],[RK]],TableOverallMaster[OVR RK],0)),"")</f>
        <v>Drake Maye</v>
      </c>
      <c r="AQ7" s="161" t="str">
        <f>IFERROR(INDEX(TableOverallMaster[POS RK],MATCH(TableOverallRank[[#This Row],[OVERALL PLAYER]],TableOverallMaster[OVERALL PLAYER],0)),"")</f>
        <v>QB3</v>
      </c>
      <c r="AR7" s="162">
        <f>IFERROR(INDEX(TableOverallMaster[BYE],MATCH(TableOverallRank[[#This Row],[OVERALL PLAYER]],TableOverallMaster[OVERALL PLAYER],0)),"")</f>
        <v>11</v>
      </c>
      <c r="AS7" s="161">
        <f>IFERROR(INDEX(TableOverallMaster[Custom],MATCH(TableOverallRank[[#This Row],[OVERALL PLAYER]],TableOverallMaster[OVERALL PLAYER],0)),"")</f>
        <v>445.96284008366393</v>
      </c>
      <c r="AT7" s="163">
        <f>IFERROR(INDEX(TableOverallMaster[VORP],MATCH(TableOverallRank[[#This Row],[OVERALL PLAYER]],TableOverallMaster[OVERALL PLAYER],0)),"")</f>
        <v>181.8182498496457</v>
      </c>
      <c r="AV7" s="58">
        <v>6</v>
      </c>
      <c r="AW7" s="164" t="str">
        <f>IFERROR(INDEX(TableWRTECalcPts[PLAYER],MATCH(TableWRTERank[[#This Row],[RK]],TableWRTECalcPts[RK],0)),"")</f>
        <v>Drake London</v>
      </c>
      <c r="AX7" s="164" t="str">
        <f>IFERROR(INDEX(TableWRTECalcPts[POS RK],MATCH(TableWRTERank[[#This Row],[WR and TE COMBINED]],TableWRTECalcPts[PLAYER],0)),"")</f>
        <v>WR6</v>
      </c>
      <c r="AY7" s="164">
        <f>IFERROR(INDEX(TableWRTECalcPts[BYE],MATCH(TableWRTERank[[#This Row],[RK]],TableWRTECalcPts[RK],0)),"")</f>
        <v>11</v>
      </c>
      <c r="AZ7" s="165">
        <f>IFERROR(INDEX(TableWRTECalcPts[Custom],MATCH(TableWRTERank[[#This Row],[RK]],TableWRTECalcPts[RK],0)),"")</f>
        <v>228.86490868413486</v>
      </c>
      <c r="BA7" s="166">
        <f>IFERROR((TableWRTERank[[#This Row],[FPS]]-INDEX(TableWRTERank[FPS],MATCH(WRTEVORPCalc,TableWRTERank[RK],0))),"")</f>
        <v>87.628537101843165</v>
      </c>
      <c r="BC7" s="58" t="s">
        <v>148</v>
      </c>
    </row>
    <row r="8" spans="1:59" x14ac:dyDescent="0.25">
      <c r="A8" s="58">
        <v>7</v>
      </c>
      <c r="B8" s="154" t="str">
        <f>IFERROR(INDEX(TableQBCalcPts[PLAYER],MATCH(TableQBVORP[[#This Row],[RK]],TableQBCalcPts[RK],0)),"")</f>
        <v>Patrick Mahomes</v>
      </c>
      <c r="C8" s="154" t="str">
        <f>IFERROR(INDEX(TableQBCalcPts[TM],MATCH(TableQBVORP[[#This Row],[RK]],TableQBCalcPts[RK],0)),"")</f>
        <v>KC</v>
      </c>
      <c r="D8" s="154">
        <f>IFERROR(INDEX(TableQBCalcPts[BYE],MATCH(TableQBVORP[[#This Row],[RK]],TableQBCalcPts[RK],0)),"")</f>
        <v>5</v>
      </c>
      <c r="E8" s="155">
        <f>IFERROR(INDEX(TableQBCalcPts[Custom],MATCH(TableQBVORP[[#This Row],[RK]],TableQBCalcPts[RK],0)),"")</f>
        <v>417.24225265291568</v>
      </c>
      <c r="F8" s="156">
        <f>(IFERROR((TableQBVORP[[#This Row],[FPS]]-INDEX(TableQBVORP[FPS],MATCH(QBVORPCalc,TableQBVORP[RK],0))),""))+(TableRBVORP[[#This Row],[VORP]]*0.45)</f>
        <v>131.82464292837147</v>
      </c>
      <c r="H8" s="58">
        <v>7</v>
      </c>
      <c r="I8" s="154" t="str">
        <f>IFERROR(INDEX(TableRBCalcPts[PLAYER],MATCH(TableRBVORP[[#This Row],[RK]],TableRBCalcPts[RK],0)),"")</f>
        <v>Chase Brown</v>
      </c>
      <c r="J8" s="154" t="str">
        <f>IFERROR(INDEX(TableRBCalcPts[TM],MATCH(TableRBVORP[[#This Row],[RK]],TableRBCalcPts[RK],0)),"")</f>
        <v>CIN</v>
      </c>
      <c r="K8" s="154">
        <f>IFERROR(INDEX(TableRBCalcPts[BYE],MATCH(TableRBVORP[[#This Row],[RK]],TableRBCalcPts[RK],0)),"")</f>
        <v>6</v>
      </c>
      <c r="L8" s="155">
        <f>IFERROR(INDEX(TableRBCalcPts[Custom],MATCH(TableRBVORP[[#This Row],[RK]],TableRBCalcPts[RK],0)),"")</f>
        <v>248.68447450614235</v>
      </c>
      <c r="M8" s="156">
        <f>(IFERROR((TableRBVORP[[#This Row],[FPS]]-INDEX(TableRBVORP[FPS],MATCH(RBVORPCalc,TableRBVORP[RK],0))),""))*0.8</f>
        <v>115.74130822009198</v>
      </c>
      <c r="O8" s="58">
        <v>7</v>
      </c>
      <c r="P8" s="154" t="str">
        <f>IFERROR(INDEX(TableWRCalcPts[PLAYER],MATCH(TableWRVORP[[#This Row],[RK]],TableWRCalcPts[RK],0)),"")</f>
        <v>Justin Jefferson</v>
      </c>
      <c r="Q8" s="154" t="str">
        <f>IFERROR(INDEX(TableWRCalcPts[TM],MATCH(TableWRVORP[[#This Row],[RK]],TableWRCalcPts[RK],0)),"")</f>
        <v>MIN</v>
      </c>
      <c r="R8" s="154">
        <f>IFERROR(INDEX(TableWRCalcPts[BYE],MATCH(TableWRVORP[[#This Row],[RK]],TableWRCalcPts[RK],0)),"")</f>
        <v>6</v>
      </c>
      <c r="S8" s="155">
        <f>IFERROR(INDEX(TableWRCalcPts[Custom],MATCH(TableWRVORP[[#This Row],[RK]],TableWRCalcPts[RK],0)),"")</f>
        <v>223.24740739596288</v>
      </c>
      <c r="T8" s="156">
        <f>(IFERROR((TableWRVORP[[#This Row],[FPS]]-INDEX(TableWRVORP[FPS],MATCH(WRVORPCalc,TableWRVORP[RK],0))),""))</f>
        <v>132.96322200559683</v>
      </c>
      <c r="V8" s="58">
        <v>7</v>
      </c>
      <c r="W8" s="154" t="str">
        <f>IFERROR(INDEX(TableTECalcPts[PLAYER],MATCH(TableTEVORP[[#This Row],[RK]],TableTECalcPts[RK],0)),"")</f>
        <v>Harold Fannin</v>
      </c>
      <c r="X8" s="154" t="str">
        <f>IFERROR(INDEX(TableTECalcPts[TM],MATCH(TableTEVORP[[#This Row],[RK]],TableTECalcPts[RK],0)),"")</f>
        <v>CLE</v>
      </c>
      <c r="Y8" s="154">
        <f>IFERROR(INDEX(TableTECalcPts[BYE],MATCH(TableTEVORP[[#This Row],[RK]],TableTECalcPts[RK],0)),"")</f>
        <v>11</v>
      </c>
      <c r="Z8" s="155">
        <f>IFERROR(INDEX(TableTECalcPts[Custom],MATCH(TableTEVORP[[#This Row],[RK]],TableTECalcPts[RK],0)),"")</f>
        <v>154.01102933720159</v>
      </c>
      <c r="AA8" s="156">
        <f>IFERROR((TableTEVORP[[#This Row],[FPS]]-INDEX(TableTEVORP[FPS],MATCH(TEVORPCalc,TableTEVORP[RK],0))),"")</f>
        <v>76.125235360959906</v>
      </c>
      <c r="AC8" s="58" t="s">
        <v>308</v>
      </c>
      <c r="AD8" s="100">
        <f>(TEAMS*STARTING_WR)+(TEAMS*STARTING_TE)+(TEAMS*STARTING_FLEX)</f>
        <v>60</v>
      </c>
      <c r="AF8" s="58" t="s">
        <v>7</v>
      </c>
      <c r="AG8" s="58">
        <v>7</v>
      </c>
      <c r="AH8" s="100">
        <f>RANK(TableOverallMaster[[#This Row],[VORP]],TableOverallMaster[VORP])+COUNTIF($AM$2:AM8,AM8)-1</f>
        <v>19</v>
      </c>
      <c r="AI8" s="157" t="str">
        <f>IFERROR(INDEX(TableQBVORP[QUARTERBACK],MATCH(TableOverallMaster[[#This Row],[RK]],TableQBVORP[RK],0)),"")</f>
        <v>Patrick Mahomes</v>
      </c>
      <c r="AJ8" s="157" t="str">
        <f t="shared" si="0"/>
        <v>QB7</v>
      </c>
      <c r="AK8" s="157">
        <f>IFERROR(INDEX(TableQBVORP[BYE],MATCH(TableOverallMaster[[#This Row],[RK]],TableQBVORP[RK],0)),"")</f>
        <v>5</v>
      </c>
      <c r="AL8" s="158">
        <f>IFERROR(INDEX(TableQBVORP[FPS],MATCH(TableOverallMaster[[#This Row],[RK]],TableQBVORP[RK],0)),"")</f>
        <v>417.24225265291568</v>
      </c>
      <c r="AM8" s="159">
        <f>IFERROR(INDEX(TableQBVORP[VORP],MATCH(TableOverallMaster[[#This Row],[RK]],TableQBVORP[RK],0)),"")</f>
        <v>131.82464292837147</v>
      </c>
      <c r="AO8" s="58">
        <v>7</v>
      </c>
      <c r="AP8" s="160" t="str">
        <f>IFERROR(INDEX(TableOverallMaster[OVERALL PLAYER],MATCH(TableOverallRank[[#This Row],[RK]],TableOverallMaster[OVR RK],0)),"")</f>
        <v>Jahmyr Gibbs</v>
      </c>
      <c r="AQ8" s="161" t="str">
        <f>IFERROR(INDEX(TableOverallMaster[POS RK],MATCH(TableOverallRank[[#This Row],[OVERALL PLAYER]],TableOverallMaster[OVERALL PLAYER],0)),"")</f>
        <v>RB1</v>
      </c>
      <c r="AR8" s="162">
        <f>IFERROR(INDEX(TableOverallMaster[BYE],MATCH(TableOverallRank[[#This Row],[OVERALL PLAYER]],TableOverallMaster[OVERALL PLAYER],0)),"")</f>
        <v>6</v>
      </c>
      <c r="AS8" s="161">
        <f>IFERROR(INDEX(TableOverallMaster[Custom],MATCH(TableOverallRank[[#This Row],[OVERALL PLAYER]],TableOverallMaster[OVERALL PLAYER],0)),"")</f>
        <v>324.15018072686019</v>
      </c>
      <c r="AT8" s="163">
        <f>IFERROR(INDEX(TableOverallMaster[VORP],MATCH(TableOverallRank[[#This Row],[OVERALL PLAYER]],TableOverallMaster[OVERALL PLAYER],0)),"")</f>
        <v>176.11387319666625</v>
      </c>
      <c r="AV8" s="58">
        <v>7</v>
      </c>
      <c r="AW8" s="164" t="str">
        <f>IFERROR(INDEX(TableWRTECalcPts[PLAYER],MATCH(TableWRTERank[[#This Row],[RK]],TableWRTECalcPts[RK],0)),"")</f>
        <v>Justin Jefferson</v>
      </c>
      <c r="AX8" s="164" t="str">
        <f>IFERROR(INDEX(TableWRTECalcPts[POS RK],MATCH(TableWRTERank[[#This Row],[WR and TE COMBINED]],TableWRTECalcPts[PLAYER],0)),"")</f>
        <v>WR7</v>
      </c>
      <c r="AY8" s="164">
        <f>IFERROR(INDEX(TableWRTECalcPts[BYE],MATCH(TableWRTERank[[#This Row],[RK]],TableWRTECalcPts[RK],0)),"")</f>
        <v>6</v>
      </c>
      <c r="AZ8" s="165">
        <f>IFERROR(INDEX(TableWRTECalcPts[Custom],MATCH(TableWRTERank[[#This Row],[RK]],TableWRTECalcPts[RK],0)),"")</f>
        <v>223.24740739596288</v>
      </c>
      <c r="BA8" s="166">
        <f>IFERROR((TableWRTERank[[#This Row],[FPS]]-INDEX(TableWRTERank[FPS],MATCH(WRTEVORPCalc,TableWRTERank[RK],0))),"")</f>
        <v>82.011035813671185</v>
      </c>
      <c r="BC8" s="58" t="s">
        <v>148</v>
      </c>
    </row>
    <row r="9" spans="1:59" x14ac:dyDescent="0.25">
      <c r="A9" s="58">
        <v>8</v>
      </c>
      <c r="B9" s="154" t="str">
        <f>IFERROR(INDEX(TableQBCalcPts[PLAYER],MATCH(TableQBVORP[[#This Row],[RK]],TableQBCalcPts[RK],0)),"")</f>
        <v>Jared Goff</v>
      </c>
      <c r="C9" s="154" t="str">
        <f>IFERROR(INDEX(TableQBCalcPts[TM],MATCH(TableQBVORP[[#This Row],[RK]],TableQBCalcPts[RK],0)),"")</f>
        <v>DET</v>
      </c>
      <c r="D9" s="154">
        <f>IFERROR(INDEX(TableQBCalcPts[BYE],MATCH(TableQBVORP[[#This Row],[RK]],TableQBCalcPts[RK],0)),"")</f>
        <v>6</v>
      </c>
      <c r="E9" s="155">
        <f>IFERROR(INDEX(TableQBCalcPts[Custom],MATCH(TableQBVORP[[#This Row],[RK]],TableQBCalcPts[RK],0)),"")</f>
        <v>415.16833542295586</v>
      </c>
      <c r="F9" s="156">
        <f>(IFERROR((TableQBVORP[[#This Row],[FPS]]-INDEX(TableQBVORP[FPS],MATCH(QBVORPCalc,TableQBVORP[RK],0))),""))+(TableRBVORP[[#This Row],[VORP]]*0.45)</f>
        <v>126.91803961249551</v>
      </c>
      <c r="H9" s="58">
        <v>8</v>
      </c>
      <c r="I9" s="154" t="str">
        <f>IFERROR(INDEX(TableRBCalcPts[PLAYER],MATCH(TableRBVORP[[#This Row],[RK]],TableRBCalcPts[RK],0)),"")</f>
        <v>Derrick Henry</v>
      </c>
      <c r="J9" s="154" t="str">
        <f>IFERROR(INDEX(TableRBCalcPts[TM],MATCH(TableRBVORP[[#This Row],[RK]],TableRBCalcPts[RK],0)),"")</f>
        <v>BAL</v>
      </c>
      <c r="K9" s="154">
        <f>IFERROR(INDEX(TableRBCalcPts[BYE],MATCH(TableRBVORP[[#This Row],[RK]],TableRBCalcPts[RK],0)),"")</f>
        <v>13</v>
      </c>
      <c r="L9" s="155">
        <f>IFERROR(INDEX(TableRBCalcPts[Custom],MATCH(TableRBVORP[[#This Row],[RK]],TableRBCalcPts[RK],0)),"")</f>
        <v>240.81590204526415</v>
      </c>
      <c r="M9" s="156">
        <f>(IFERROR((TableRBVORP[[#This Row],[FPS]]-INDEX(TableRBVORP[FPS],MATCH(RBVORPCalc,TableRBVORP[RK],0))),""))*0.8</f>
        <v>109.44645025138944</v>
      </c>
      <c r="O9" s="58">
        <v>8</v>
      </c>
      <c r="P9" s="154" t="str">
        <f>IFERROR(INDEX(TableWRCalcPts[PLAYER],MATCH(TableWRVORP[[#This Row],[RK]],TableWRCalcPts[RK],0)),"")</f>
        <v>CeeDee Lamb</v>
      </c>
      <c r="Q9" s="154" t="str">
        <f>IFERROR(INDEX(TableWRCalcPts[TM],MATCH(TableWRVORP[[#This Row],[RK]],TableWRCalcPts[RK],0)),"")</f>
        <v>DAL</v>
      </c>
      <c r="R9" s="154">
        <f>IFERROR(INDEX(TableWRCalcPts[BYE],MATCH(TableWRVORP[[#This Row],[RK]],TableWRCalcPts[RK],0)),"")</f>
        <v>14</v>
      </c>
      <c r="S9" s="155">
        <f>IFERROR(INDEX(TableWRCalcPts[Custom],MATCH(TableWRVORP[[#This Row],[RK]],TableWRCalcPts[RK],0)),"")</f>
        <v>223.24357321838613</v>
      </c>
      <c r="T9" s="156">
        <f>(IFERROR((TableWRVORP[[#This Row],[FPS]]-INDEX(TableWRVORP[FPS],MATCH(WRVORPCalc,TableWRVORP[RK],0))),""))</f>
        <v>132.95938782802006</v>
      </c>
      <c r="V9" s="58">
        <v>8</v>
      </c>
      <c r="W9" s="154" t="str">
        <f>IFERROR(INDEX(TableTECalcPts[PLAYER],MATCH(TableTEVORP[[#This Row],[RK]],TableTECalcPts[RK],0)),"")</f>
        <v>Tucker Kraft</v>
      </c>
      <c r="X9" s="154" t="str">
        <f>IFERROR(INDEX(TableTECalcPts[TM],MATCH(TableTEVORP[[#This Row],[RK]],TableTECalcPts[RK],0)),"")</f>
        <v>GB</v>
      </c>
      <c r="Y9" s="154">
        <f>IFERROR(INDEX(TableTECalcPts[BYE],MATCH(TableTEVORP[[#This Row],[RK]],TableTECalcPts[RK],0)),"")</f>
        <v>11</v>
      </c>
      <c r="Z9" s="155">
        <f>IFERROR(INDEX(TableTECalcPts[Custom],MATCH(TableTEVORP[[#This Row],[RK]],TableTECalcPts[RK],0)),"")</f>
        <v>153.12367420756547</v>
      </c>
      <c r="AA9" s="156">
        <f>IFERROR((TableTEVORP[[#This Row],[FPS]]-INDEX(TableTEVORP[FPS],MATCH(TEVORPCalc,TableTEVORP[RK],0))),"")</f>
        <v>75.237880231323786</v>
      </c>
      <c r="AF9" s="58" t="s">
        <v>7</v>
      </c>
      <c r="AG9" s="58">
        <v>8</v>
      </c>
      <c r="AH9" s="100">
        <f>RANK(TableOverallMaster[[#This Row],[VORP]],TableOverallMaster[VORP])+COUNTIF($AM$2:AM9,AM9)-1</f>
        <v>21</v>
      </c>
      <c r="AI9" s="157" t="str">
        <f>IFERROR(INDEX(TableQBVORP[QUARTERBACK],MATCH(TableOverallMaster[[#This Row],[RK]],TableQBVORP[RK],0)),"")</f>
        <v>Jared Goff</v>
      </c>
      <c r="AJ9" s="157" t="str">
        <f t="shared" si="0"/>
        <v>QB8</v>
      </c>
      <c r="AK9" s="157">
        <f>IFERROR(INDEX(TableQBVORP[BYE],MATCH(TableOverallMaster[[#This Row],[RK]],TableQBVORP[RK],0)),"")</f>
        <v>6</v>
      </c>
      <c r="AL9" s="158">
        <f>IFERROR(INDEX(TableQBVORP[FPS],MATCH(TableOverallMaster[[#This Row],[RK]],TableQBVORP[RK],0)),"")</f>
        <v>415.16833542295586</v>
      </c>
      <c r="AM9" s="159">
        <f>IFERROR(INDEX(TableQBVORP[VORP],MATCH(TableOverallMaster[[#This Row],[RK]],TableQBVORP[RK],0)),"")</f>
        <v>126.91803961249551</v>
      </c>
      <c r="AO9" s="58">
        <v>8</v>
      </c>
      <c r="AP9" s="160" t="str">
        <f>IFERROR(INDEX(TableOverallMaster[OVERALL PLAYER],MATCH(TableOverallRank[[#This Row],[RK]],TableOverallMaster[OVR RK],0)),"")</f>
        <v>Bijan Robinson</v>
      </c>
      <c r="AQ9" s="161" t="str">
        <f>IFERROR(INDEX(TableOverallMaster[POS RK],MATCH(TableOverallRank[[#This Row],[OVERALL PLAYER]],TableOverallMaster[OVERALL PLAYER],0)),"")</f>
        <v>RB2</v>
      </c>
      <c r="AR9" s="162">
        <f>IFERROR(INDEX(TableOverallMaster[BYE],MATCH(TableOverallRank[[#This Row],[OVERALL PLAYER]],TableOverallMaster[OVERALL PLAYER],0)),"")</f>
        <v>11</v>
      </c>
      <c r="AS9" s="161">
        <f>IFERROR(INDEX(TableOverallMaster[Custom],MATCH(TableOverallRank[[#This Row],[OVERALL PLAYER]],TableOverallMaster[OVERALL PLAYER],0)),"")</f>
        <v>322.90400469051792</v>
      </c>
      <c r="AT9" s="163">
        <f>IFERROR(INDEX(TableOverallMaster[VORP],MATCH(TableOverallRank[[#This Row],[OVERALL PLAYER]],TableOverallMaster[OVERALL PLAYER],0)),"")</f>
        <v>175.11693236759243</v>
      </c>
      <c r="AV9" s="58">
        <v>8</v>
      </c>
      <c r="AW9" s="164" t="str">
        <f>IFERROR(INDEX(TableWRTECalcPts[PLAYER],MATCH(TableWRTERank[[#This Row],[RK]],TableWRTECalcPts[RK],0)),"")</f>
        <v>CeeDee Lamb</v>
      </c>
      <c r="AX9" s="164" t="str">
        <f>IFERROR(INDEX(TableWRTECalcPts[POS RK],MATCH(TableWRTERank[[#This Row],[WR and TE COMBINED]],TableWRTECalcPts[PLAYER],0)),"")</f>
        <v>WR8</v>
      </c>
      <c r="AY9" s="164">
        <f>IFERROR(INDEX(TableWRTECalcPts[BYE],MATCH(TableWRTERank[[#This Row],[RK]],TableWRTECalcPts[RK],0)),"")</f>
        <v>14</v>
      </c>
      <c r="AZ9" s="165">
        <f>IFERROR(INDEX(TableWRTECalcPts[Custom],MATCH(TableWRTERank[[#This Row],[RK]],TableWRTECalcPts[RK],0)),"")</f>
        <v>223.24357321838613</v>
      </c>
      <c r="BA9" s="166">
        <f>IFERROR((TableWRTERank[[#This Row],[FPS]]-INDEX(TableWRTERank[FPS],MATCH(WRTEVORPCalc,TableWRTERank[RK],0))),"")</f>
        <v>82.007201636094436</v>
      </c>
      <c r="BC9" s="58" t="s">
        <v>148</v>
      </c>
    </row>
    <row r="10" spans="1:59" x14ac:dyDescent="0.25">
      <c r="A10" s="58">
        <v>9</v>
      </c>
      <c r="B10" s="154" t="str">
        <f>IFERROR(INDEX(TableQBCalcPts[PLAYER],MATCH(TableQBVORP[[#This Row],[RK]],TableQBCalcPts[RK],0)),"")</f>
        <v>Matthew Stafford</v>
      </c>
      <c r="C10" s="154" t="str">
        <f>IFERROR(INDEX(TableQBCalcPts[TM],MATCH(TableQBVORP[[#This Row],[RK]],TableQBCalcPts[RK],0)),"")</f>
        <v>LAR</v>
      </c>
      <c r="D10" s="154">
        <f>IFERROR(INDEX(TableQBCalcPts[BYE],MATCH(TableQBVORP[[#This Row],[RK]],TableQBCalcPts[RK],0)),"")</f>
        <v>11</v>
      </c>
      <c r="E10" s="155">
        <f>IFERROR(INDEX(TableQBCalcPts[Custom],MATCH(TableQBVORP[[#This Row],[RK]],TableQBCalcPts[RK],0)),"")</f>
        <v>414.58252774379804</v>
      </c>
      <c r="F10" s="156">
        <f>(IFERROR((TableQBVORP[[#This Row],[FPS]]-INDEX(TableQBVORP[FPS],MATCH(QBVORPCalc,TableQBVORP[RK],0))),""))+(TableRBVORP[[#This Row],[VORP]]*0.45)</f>
        <v>123.89502538657754</v>
      </c>
      <c r="H10" s="58">
        <v>9</v>
      </c>
      <c r="I10" s="154" t="str">
        <f>IFERROR(INDEX(TableRBCalcPts[PLAYER],MATCH(TableRBVORP[[#This Row],[RK]],TableRBCalcPts[RK],0)),"")</f>
        <v>Saquon Barkley</v>
      </c>
      <c r="J10" s="154" t="str">
        <f>IFERROR(INDEX(TableRBCalcPts[TM],MATCH(TableRBVORP[[#This Row],[RK]],TableRBCalcPts[RK],0)),"")</f>
        <v>PHI</v>
      </c>
      <c r="K10" s="154">
        <f>IFERROR(INDEX(TableRBCalcPts[BYE],MATCH(TableRBVORP[[#This Row],[RK]],TableRBCalcPts[RK],0)),"")</f>
        <v>10</v>
      </c>
      <c r="L10" s="155">
        <f>IFERROR(INDEX(TableRBCalcPts[Custom],MATCH(TableRBVORP[[#This Row],[RK]],TableRBCalcPts[RK],0)),"")</f>
        <v>234.04588385981933</v>
      </c>
      <c r="M10" s="156">
        <f>(IFERROR((TableRBVORP[[#This Row],[FPS]]-INDEX(TableRBVORP[FPS],MATCH(RBVORPCalc,TableRBVORP[RK],0))),""))*0.8</f>
        <v>104.03043570303358</v>
      </c>
      <c r="O10" s="58">
        <v>9</v>
      </c>
      <c r="P10" s="154" t="str">
        <f>IFERROR(INDEX(TableWRCalcPts[PLAYER],MATCH(TableWRVORP[[#This Row],[RK]],TableWRCalcPts[RK],0)),"")</f>
        <v>A.J. Brown</v>
      </c>
      <c r="Q10" s="154" t="str">
        <f>IFERROR(INDEX(TableWRCalcPts[TM],MATCH(TableWRVORP[[#This Row],[RK]],TableWRCalcPts[RK],0)),"")</f>
        <v>NE</v>
      </c>
      <c r="R10" s="154">
        <f>IFERROR(INDEX(TableWRCalcPts[BYE],MATCH(TableWRVORP[[#This Row],[RK]],TableWRCalcPts[RK],0)),"")</f>
        <v>11</v>
      </c>
      <c r="S10" s="155">
        <f>IFERROR(INDEX(TableWRCalcPts[Custom],MATCH(TableWRVORP[[#This Row],[RK]],TableWRCalcPts[RK],0)),"")</f>
        <v>221.00500461508548</v>
      </c>
      <c r="T10" s="156">
        <f>(IFERROR((TableWRVORP[[#This Row],[FPS]]-INDEX(TableWRVORP[FPS],MATCH(WRVORPCalc,TableWRVORP[RK],0))),""))</f>
        <v>130.72081922471943</v>
      </c>
      <c r="V10" s="58">
        <v>9</v>
      </c>
      <c r="W10" s="154" t="str">
        <f>IFERROR(INDEX(TableTECalcPts[PLAYER],MATCH(TableTEVORP[[#This Row],[RK]],TableTECalcPts[RK],0)),"")</f>
        <v>Isaiah Likely</v>
      </c>
      <c r="X10" s="154" t="str">
        <f>IFERROR(INDEX(TableTECalcPts[TM],MATCH(TableTEVORP[[#This Row],[RK]],TableTECalcPts[RK],0)),"")</f>
        <v>NYG</v>
      </c>
      <c r="Y10" s="154">
        <f>IFERROR(INDEX(TableTECalcPts[BYE],MATCH(TableTEVORP[[#This Row],[RK]],TableTECalcPts[RK],0)),"")</f>
        <v>8</v>
      </c>
      <c r="Z10" s="155">
        <f>IFERROR(INDEX(TableTECalcPts[Custom],MATCH(TableTEVORP[[#This Row],[RK]],TableTECalcPts[RK],0)),"")</f>
        <v>148.89250113248056</v>
      </c>
      <c r="AA10" s="156">
        <f>IFERROR((TableTEVORP[[#This Row],[FPS]]-INDEX(TableTEVORP[FPS],MATCH(TEVORPCalc,TableTEVORP[RK],0))),"")</f>
        <v>71.006707156238875</v>
      </c>
      <c r="AD10" s="58">
        <f>IF(AND(TEAMS&gt;0,TEAMS&lt;8),8,IF(AND(TEAMS&gt;7,TEAMS&lt;12),6,IF(AND(TEAMS&gt;11,TEAMS&lt;14),2,2)))</f>
        <v>2</v>
      </c>
      <c r="AF10" s="58" t="s">
        <v>7</v>
      </c>
      <c r="AG10" s="58">
        <v>9</v>
      </c>
      <c r="AH10" s="100">
        <f>RANK(TableOverallMaster[[#This Row],[VORP]],TableOverallMaster[VORP])+COUNTIF($AM$2:AM10,AM10)-1</f>
        <v>22</v>
      </c>
      <c r="AI10" s="157" t="str">
        <f>IFERROR(INDEX(TableQBVORP[QUARTERBACK],MATCH(TableOverallMaster[[#This Row],[RK]],TableQBVORP[RK],0)),"")</f>
        <v>Matthew Stafford</v>
      </c>
      <c r="AJ10" s="157" t="str">
        <f t="shared" si="0"/>
        <v>QB9</v>
      </c>
      <c r="AK10" s="157">
        <f>IFERROR(INDEX(TableQBVORP[BYE],MATCH(TableOverallMaster[[#This Row],[RK]],TableQBVORP[RK],0)),"")</f>
        <v>11</v>
      </c>
      <c r="AL10" s="158">
        <f>IFERROR(INDEX(TableQBVORP[FPS],MATCH(TableOverallMaster[[#This Row],[RK]],TableQBVORP[RK],0)),"")</f>
        <v>414.58252774379804</v>
      </c>
      <c r="AM10" s="159">
        <f>IFERROR(INDEX(TableQBVORP[VORP],MATCH(TableOverallMaster[[#This Row],[RK]],TableQBVORP[RK],0)),"")</f>
        <v>123.89502538657754</v>
      </c>
      <c r="AO10" s="58">
        <v>9</v>
      </c>
      <c r="AP10" s="160" t="str">
        <f>IFERROR(INDEX(TableOverallMaster[OVERALL PLAYER],MATCH(TableOverallRank[[#This Row],[RK]],TableOverallMaster[OVR RK],0)),"")</f>
        <v>Amon-Ra St. Brown</v>
      </c>
      <c r="AQ10" s="161" t="str">
        <f>IFERROR(INDEX(TableOverallMaster[POS RK],MATCH(TableOverallRank[[#This Row],[OVERALL PLAYER]],TableOverallMaster[OVERALL PLAYER],0)),"")</f>
        <v>WR4</v>
      </c>
      <c r="AR10" s="162">
        <f>IFERROR(INDEX(TableOverallMaster[BYE],MATCH(TableOverallRank[[#This Row],[OVERALL PLAYER]],TableOverallMaster[OVERALL PLAYER],0)),"")</f>
        <v>6</v>
      </c>
      <c r="AS10" s="161">
        <f>IFERROR(INDEX(TableOverallMaster[Custom],MATCH(TableOverallRank[[#This Row],[OVERALL PLAYER]],TableOverallMaster[OVERALL PLAYER],0)),"")</f>
        <v>263.19537961810715</v>
      </c>
      <c r="AT10" s="163">
        <f>IFERROR(INDEX(TableOverallMaster[VORP],MATCH(TableOverallRank[[#This Row],[OVERALL PLAYER]],TableOverallMaster[OVERALL PLAYER],0)),"")</f>
        <v>172.91119422774108</v>
      </c>
      <c r="AV10" s="58">
        <v>9</v>
      </c>
      <c r="AW10" s="164" t="str">
        <f>IFERROR(INDEX(TableWRTECalcPts[PLAYER],MATCH(TableWRTERank[[#This Row],[RK]],TableWRTECalcPts[RK],0)),"")</f>
        <v>A.J. Brown</v>
      </c>
      <c r="AX10" s="164" t="str">
        <f>IFERROR(INDEX(TableWRTECalcPts[POS RK],MATCH(TableWRTERank[[#This Row],[WR and TE COMBINED]],TableWRTECalcPts[PLAYER],0)),"")</f>
        <v>WR9</v>
      </c>
      <c r="AY10" s="164">
        <f>IFERROR(INDEX(TableWRTECalcPts[BYE],MATCH(TableWRTERank[[#This Row],[RK]],TableWRTECalcPts[RK],0)),"")</f>
        <v>11</v>
      </c>
      <c r="AZ10" s="165">
        <f>IFERROR(INDEX(TableWRTECalcPts[Custom],MATCH(TableWRTERank[[#This Row],[RK]],TableWRTECalcPts[RK],0)),"")</f>
        <v>221.00500461508548</v>
      </c>
      <c r="BA10" s="166">
        <f>IFERROR((TableWRTERank[[#This Row],[FPS]]-INDEX(TableWRTERank[FPS],MATCH(WRTEVORPCalc,TableWRTERank[RK],0))),"")</f>
        <v>79.768633032793787</v>
      </c>
      <c r="BC10" s="58" t="s">
        <v>148</v>
      </c>
    </row>
    <row r="11" spans="1:59" x14ac:dyDescent="0.25">
      <c r="A11" s="58">
        <v>10</v>
      </c>
      <c r="B11" s="154" t="str">
        <f>IFERROR(INDEX(TableQBCalcPts[PLAYER],MATCH(TableQBVORP[[#This Row],[RK]],TableQBCalcPts[RK],0)),"")</f>
        <v>Jalen Hurts</v>
      </c>
      <c r="C11" s="154" t="str">
        <f>IFERROR(INDEX(TableQBCalcPts[TM],MATCH(TableQBVORP[[#This Row],[RK]],TableQBCalcPts[RK],0)),"")</f>
        <v>PHI</v>
      </c>
      <c r="D11" s="154">
        <f>IFERROR(INDEX(TableQBCalcPts[BYE],MATCH(TableQBVORP[[#This Row],[RK]],TableQBCalcPts[RK],0)),"")</f>
        <v>10</v>
      </c>
      <c r="E11" s="155">
        <f>IFERROR(INDEX(TableQBCalcPts[Custom],MATCH(TableQBVORP[[#This Row],[RK]],TableQBCalcPts[RK],0)),"")</f>
        <v>411.78412724406013</v>
      </c>
      <c r="F11" s="156">
        <f>(IFERROR((TableQBVORP[[#This Row],[FPS]]-INDEX(TableQBVORP[FPS],MATCH(QBVORPCalc,TableQBVORP[RK],0))),""))+(TableRBVORP[[#This Row],[VORP]]*0.45)</f>
        <v>120.79223189396963</v>
      </c>
      <c r="H11" s="58">
        <v>10</v>
      </c>
      <c r="I11" s="154" t="str">
        <f>IFERROR(INDEX(TableRBCalcPts[PLAYER],MATCH(TableRBVORP[[#This Row],[RK]],TableRBCalcPts[RK],0)),"")</f>
        <v>Kenneth Walker</v>
      </c>
      <c r="J11" s="154" t="str">
        <f>IFERROR(INDEX(TableRBCalcPts[TM],MATCH(TableRBVORP[[#This Row],[RK]],TableRBCalcPts[RK],0)),"")</f>
        <v>KC</v>
      </c>
      <c r="K11" s="154">
        <f>IFERROR(INDEX(TableRBCalcPts[BYE],MATCH(TableRBVORP[[#This Row],[RK]],TableRBCalcPts[RK],0)),"")</f>
        <v>5</v>
      </c>
      <c r="L11" s="155">
        <f>IFERROR(INDEX(TableRBCalcPts[Custom],MATCH(TableRBVORP[[#This Row],[RK]],TableRBCalcPts[RK],0)),"")</f>
        <v>233.20034776851375</v>
      </c>
      <c r="M11" s="156">
        <f>(IFERROR((TableRBVORP[[#This Row],[FPS]]-INDEX(TableRBVORP[FPS],MATCH(RBVORPCalc,TableRBVORP[RK],0))),""))*0.8</f>
        <v>103.35400682998912</v>
      </c>
      <c r="O11" s="58">
        <v>10</v>
      </c>
      <c r="P11" s="154" t="str">
        <f>IFERROR(INDEX(TableWRCalcPts[PLAYER],MATCH(TableWRVORP[[#This Row],[RK]],TableWRCalcPts[RK],0)),"")</f>
        <v>Nico Collins</v>
      </c>
      <c r="Q11" s="154" t="str">
        <f>IFERROR(INDEX(TableWRCalcPts[TM],MATCH(TableWRVORP[[#This Row],[RK]],TableWRCalcPts[RK],0)),"")</f>
        <v>HOU</v>
      </c>
      <c r="R11" s="154">
        <f>IFERROR(INDEX(TableWRCalcPts[BYE],MATCH(TableWRVORP[[#This Row],[RK]],TableWRCalcPts[RK],0)),"")</f>
        <v>8</v>
      </c>
      <c r="S11" s="155">
        <f>IFERROR(INDEX(TableWRCalcPts[Custom],MATCH(TableWRVORP[[#This Row],[RK]],TableWRCalcPts[RK],0)),"")</f>
        <v>212.48861218175085</v>
      </c>
      <c r="T11" s="156">
        <f>(IFERROR((TableWRVORP[[#This Row],[FPS]]-INDEX(TableWRVORP[FPS],MATCH(WRVORPCalc,TableWRVORP[RK],0))),""))</f>
        <v>122.20442679138479</v>
      </c>
      <c r="V11" s="58">
        <v>10</v>
      </c>
      <c r="W11" s="154" t="str">
        <f>IFERROR(INDEX(TableTECalcPts[PLAYER],MATCH(TableTEVORP[[#This Row],[RK]],TableTECalcPts[RK],0)),"")</f>
        <v>Travis Kelce</v>
      </c>
      <c r="X11" s="154" t="str">
        <f>IFERROR(INDEX(TableTECalcPts[TM],MATCH(TableTEVORP[[#This Row],[RK]],TableTECalcPts[RK],0)),"")</f>
        <v>KC</v>
      </c>
      <c r="Y11" s="154">
        <f>IFERROR(INDEX(TableTECalcPts[BYE],MATCH(TableTEVORP[[#This Row],[RK]],TableTECalcPts[RK],0)),"")</f>
        <v>5</v>
      </c>
      <c r="Z11" s="155">
        <f>IFERROR(INDEX(TableTECalcPts[Custom],MATCH(TableTEVORP[[#This Row],[RK]],TableTECalcPts[RK],0)),"")</f>
        <v>147.70317535955797</v>
      </c>
      <c r="AA11" s="156">
        <f>IFERROR((TableTEVORP[[#This Row],[FPS]]-INDEX(TableTEVORP[FPS],MATCH(TEVORPCalc,TableTEVORP[RK],0))),"")</f>
        <v>69.817381383316288</v>
      </c>
      <c r="AF11" s="58" t="s">
        <v>7</v>
      </c>
      <c r="AG11" s="58">
        <v>10</v>
      </c>
      <c r="AH11" s="100">
        <f>RANK(TableOverallMaster[[#This Row],[VORP]],TableOverallMaster[VORP])+COUNTIF($AM$2:AM11,AM11)-1</f>
        <v>24</v>
      </c>
      <c r="AI11" s="157" t="str">
        <f>IFERROR(INDEX(TableQBVORP[QUARTERBACK],MATCH(TableOverallMaster[[#This Row],[RK]],TableQBVORP[RK],0)),"")</f>
        <v>Jalen Hurts</v>
      </c>
      <c r="AJ11" s="157" t="str">
        <f t="shared" si="0"/>
        <v>QB10</v>
      </c>
      <c r="AK11" s="157">
        <f>IFERROR(INDEX(TableQBVORP[BYE],MATCH(TableOverallMaster[[#This Row],[RK]],TableQBVORP[RK],0)),"")</f>
        <v>10</v>
      </c>
      <c r="AL11" s="158">
        <f>IFERROR(INDEX(TableQBVORP[FPS],MATCH(TableOverallMaster[[#This Row],[RK]],TableQBVORP[RK],0)),"")</f>
        <v>411.78412724406013</v>
      </c>
      <c r="AM11" s="159">
        <f>IFERROR(INDEX(TableQBVORP[VORP],MATCH(TableOverallMaster[[#This Row],[RK]],TableQBVORP[RK],0)),"")</f>
        <v>120.79223189396963</v>
      </c>
      <c r="AO11" s="58">
        <v>10</v>
      </c>
      <c r="AP11" s="160" t="str">
        <f>IFERROR(INDEX(TableOverallMaster[OVERALL PLAYER],MATCH(TableOverallRank[[#This Row],[RK]],TableOverallMaster[OVR RK],0)),"")</f>
        <v>Christian McCaffrey</v>
      </c>
      <c r="AQ11" s="161" t="str">
        <f>IFERROR(INDEX(TableOverallMaster[POS RK],MATCH(TableOverallRank[[#This Row],[OVERALL PLAYER]],TableOverallMaster[OVERALL PLAYER],0)),"")</f>
        <v>RB3</v>
      </c>
      <c r="AR11" s="162">
        <f>IFERROR(INDEX(TableOverallMaster[BYE],MATCH(TableOverallRank[[#This Row],[OVERALL PLAYER]],TableOverallMaster[OVERALL PLAYER],0)),"")</f>
        <v>8</v>
      </c>
      <c r="AS11" s="161">
        <f>IFERROR(INDEX(TableOverallMaster[Custom],MATCH(TableOverallRank[[#This Row],[OVERALL PLAYER]],TableOverallMaster[OVERALL PLAYER],0)),"")</f>
        <v>307.77619531315895</v>
      </c>
      <c r="AT11" s="163">
        <f>IFERROR(INDEX(TableOverallMaster[VORP],MATCH(TableOverallRank[[#This Row],[OVERALL PLAYER]],TableOverallMaster[OVERALL PLAYER],0)),"")</f>
        <v>163.01468486570525</v>
      </c>
      <c r="AV11" s="58">
        <v>10</v>
      </c>
      <c r="AW11" s="164" t="str">
        <f>IFERROR(INDEX(TableWRTECalcPts[PLAYER],MATCH(TableWRTERank[[#This Row],[RK]],TableWRTECalcPts[RK],0)),"")</f>
        <v>Nico Collins</v>
      </c>
      <c r="AX11" s="164" t="str">
        <f>IFERROR(INDEX(TableWRTECalcPts[POS RK],MATCH(TableWRTERank[[#This Row],[WR and TE COMBINED]],TableWRTECalcPts[PLAYER],0)),"")</f>
        <v>WR10</v>
      </c>
      <c r="AY11" s="164">
        <f>IFERROR(INDEX(TableWRTECalcPts[BYE],MATCH(TableWRTERank[[#This Row],[RK]],TableWRTECalcPts[RK],0)),"")</f>
        <v>8</v>
      </c>
      <c r="AZ11" s="165">
        <f>IFERROR(INDEX(TableWRTECalcPts[Custom],MATCH(TableWRTERank[[#This Row],[RK]],TableWRTECalcPts[RK],0)),"")</f>
        <v>212.48861218175085</v>
      </c>
      <c r="BA11" s="166">
        <f>IFERROR((TableWRTERank[[#This Row],[FPS]]-INDEX(TableWRTERank[FPS],MATCH(WRTEVORPCalc,TableWRTERank[RK],0))),"")</f>
        <v>71.252240599459157</v>
      </c>
      <c r="BC11" s="58" t="s">
        <v>148</v>
      </c>
    </row>
    <row r="12" spans="1:59" x14ac:dyDescent="0.25">
      <c r="A12" s="58">
        <v>11</v>
      </c>
      <c r="B12" s="154" t="str">
        <f>IFERROR(INDEX(TableQBCalcPts[PLAYER],MATCH(TableQBVORP[[#This Row],[RK]],TableQBCalcPts[RK],0)),"")</f>
        <v>Trevor Lawrence</v>
      </c>
      <c r="C12" s="154" t="str">
        <f>IFERROR(INDEX(TableQBCalcPts[TM],MATCH(TableQBVORP[[#This Row],[RK]],TableQBCalcPts[RK],0)),"")</f>
        <v>JAX</v>
      </c>
      <c r="D12" s="154">
        <f>IFERROR(INDEX(TableQBCalcPts[BYE],MATCH(TableQBVORP[[#This Row],[RK]],TableQBCalcPts[RK],0)),"")</f>
        <v>7</v>
      </c>
      <c r="E12" s="155">
        <f>IFERROR(INDEX(TableQBCalcPts[Custom],MATCH(TableQBVORP[[#This Row],[RK]],TableQBCalcPts[RK],0)),"")</f>
        <v>409.37929135514651</v>
      </c>
      <c r="F12" s="156">
        <f>(IFERROR((TableQBVORP[[#This Row],[FPS]]-INDEX(TableQBVORP[FPS],MATCH(QBVORPCalc,TableQBVORP[RK],0))),""))+(TableRBVORP[[#This Row],[VORP]]*0.45)</f>
        <v>118.34293261441823</v>
      </c>
      <c r="H12" s="58">
        <v>11</v>
      </c>
      <c r="I12" s="154" t="str">
        <f>IFERROR(INDEX(TableRBCalcPts[PLAYER],MATCH(TableRBVORP[[#This Row],[RK]],TableRBCalcPts[RK],0)),"")</f>
        <v>Omarion Hampton</v>
      </c>
      <c r="J12" s="154" t="str">
        <f>IFERROR(INDEX(TableRBCalcPts[TM],MATCH(TableRBVORP[[#This Row],[RK]],TableRBCalcPts[RK],0)),"")</f>
        <v>LAC</v>
      </c>
      <c r="K12" s="154">
        <f>IFERROR(INDEX(TableRBCalcPts[BYE],MATCH(TableRBVORP[[#This Row],[RK]],TableRBCalcPts[RK],0)),"")</f>
        <v>7</v>
      </c>
      <c r="L12" s="155">
        <f>IFERROR(INDEX(TableRBCalcPts[Custom],MATCH(TableRBVORP[[#This Row],[RK]],TableRBCalcPts[RK],0)),"")</f>
        <v>233.07683835007555</v>
      </c>
      <c r="M12" s="156">
        <f>(IFERROR((TableRBVORP[[#This Row],[FPS]]-INDEX(TableRBVORP[FPS],MATCH(RBVORPCalc,TableRBVORP[RK],0))),""))*0.8</f>
        <v>103.25519929523853</v>
      </c>
      <c r="O12" s="58">
        <v>11</v>
      </c>
      <c r="P12" s="154" t="str">
        <f>IFERROR(INDEX(TableWRCalcPts[PLAYER],MATCH(TableWRVORP[[#This Row],[RK]],TableWRCalcPts[RK],0)),"")</f>
        <v>Tee Higgins</v>
      </c>
      <c r="Q12" s="154" t="str">
        <f>IFERROR(INDEX(TableWRCalcPts[TM],MATCH(TableWRVORP[[#This Row],[RK]],TableWRCalcPts[RK],0)),"")</f>
        <v>CIN</v>
      </c>
      <c r="R12" s="154">
        <f>IFERROR(INDEX(TableWRCalcPts[BYE],MATCH(TableWRVORP[[#This Row],[RK]],TableWRCalcPts[RK],0)),"")</f>
        <v>6</v>
      </c>
      <c r="S12" s="155">
        <f>IFERROR(INDEX(TableWRCalcPts[Custom],MATCH(TableWRVORP[[#This Row],[RK]],TableWRCalcPts[RK],0)),"")</f>
        <v>210.32382984378648</v>
      </c>
      <c r="T12" s="156">
        <f>(IFERROR((TableWRVORP[[#This Row],[FPS]]-INDEX(TableWRVORP[FPS],MATCH(WRVORPCalc,TableWRVORP[RK],0))),""))</f>
        <v>120.03964445342042</v>
      </c>
      <c r="V12" s="58">
        <v>11</v>
      </c>
      <c r="W12" s="154" t="str">
        <f>IFERROR(INDEX(TableTECalcPts[PLAYER],MATCH(TableTEVORP[[#This Row],[RK]],TableTECalcPts[RK],0)),"")</f>
        <v>Kyle Pitts</v>
      </c>
      <c r="X12" s="154" t="str">
        <f>IFERROR(INDEX(TableTECalcPts[TM],MATCH(TableTEVORP[[#This Row],[RK]],TableTECalcPts[RK],0)),"")</f>
        <v>ATL</v>
      </c>
      <c r="Y12" s="154">
        <f>IFERROR(INDEX(TableTECalcPts[BYE],MATCH(TableTEVORP[[#This Row],[RK]],TableTECalcPts[RK],0)),"")</f>
        <v>11</v>
      </c>
      <c r="Z12" s="155">
        <f>IFERROR(INDEX(TableTECalcPts[Custom],MATCH(TableTEVORP[[#This Row],[RK]],TableTECalcPts[RK],0)),"")</f>
        <v>141.2363715822917</v>
      </c>
      <c r="AA12" s="156">
        <f>IFERROR((TableTEVORP[[#This Row],[FPS]]-INDEX(TableTEVORP[FPS],MATCH(TEVORPCalc,TableTEVORP[RK],0))),"")</f>
        <v>63.35057760605001</v>
      </c>
      <c r="AF12" s="58" t="s">
        <v>7</v>
      </c>
      <c r="AG12" s="58">
        <v>11</v>
      </c>
      <c r="AH12" s="100">
        <f>RANK(TableOverallMaster[[#This Row],[VORP]],TableOverallMaster[VORP])+COUNTIF($AM$2:AM12,AM12)-1</f>
        <v>27</v>
      </c>
      <c r="AI12" s="157" t="str">
        <f>IFERROR(INDEX(TableQBVORP[QUARTERBACK],MATCH(TableOverallMaster[[#This Row],[RK]],TableQBVORP[RK],0)),"")</f>
        <v>Trevor Lawrence</v>
      </c>
      <c r="AJ12" s="157" t="str">
        <f t="shared" si="0"/>
        <v>QB11</v>
      </c>
      <c r="AK12" s="157">
        <f>IFERROR(INDEX(TableQBVORP[BYE],MATCH(TableOverallMaster[[#This Row],[RK]],TableQBVORP[RK],0)),"")</f>
        <v>7</v>
      </c>
      <c r="AL12" s="158">
        <f>IFERROR(INDEX(TableQBVORP[FPS],MATCH(TableOverallMaster[[#This Row],[RK]],TableQBVORP[RK],0)),"")</f>
        <v>409.37929135514651</v>
      </c>
      <c r="AM12" s="159">
        <f>IFERROR(INDEX(TableQBVORP[VORP],MATCH(TableOverallMaster[[#This Row],[RK]],TableQBVORP[RK],0)),"")</f>
        <v>118.34293261441823</v>
      </c>
      <c r="AO12" s="58">
        <v>11</v>
      </c>
      <c r="AP12" s="160" t="str">
        <f>IFERROR(INDEX(TableOverallMaster[OVERALL PLAYER],MATCH(TableOverallRank[[#This Row],[RK]],TableOverallMaster[OVR RK],0)),"")</f>
        <v>Lamar Jackson</v>
      </c>
      <c r="AQ12" s="161" t="str">
        <f>IFERROR(INDEX(TableOverallMaster[POS RK],MATCH(TableOverallRank[[#This Row],[OVERALL PLAYER]],TableOverallMaster[OVERALL PLAYER],0)),"")</f>
        <v>QB4</v>
      </c>
      <c r="AR12" s="162">
        <f>IFERROR(INDEX(TableOverallMaster[BYE],MATCH(TableOverallRank[[#This Row],[OVERALL PLAYER]],TableOverallMaster[OVERALL PLAYER],0)),"")</f>
        <v>13</v>
      </c>
      <c r="AS12" s="161">
        <f>IFERROR(INDEX(TableOverallMaster[Custom],MATCH(TableOverallRank[[#This Row],[OVERALL PLAYER]],TableOverallMaster[OVERALL PLAYER],0)),"")</f>
        <v>425.38038576336101</v>
      </c>
      <c r="AT12" s="163">
        <f>IFERROR(INDEX(TableOverallMaster[VORP],MATCH(TableOverallRank[[#This Row],[OVERALL PLAYER]],TableOverallMaster[OVERALL PLAYER],0)),"")</f>
        <v>154.05859712837059</v>
      </c>
      <c r="AV12" s="58">
        <v>11</v>
      </c>
      <c r="AW12" s="164" t="str">
        <f>IFERROR(INDEX(TableWRTECalcPts[PLAYER],MATCH(TableWRTERank[[#This Row],[RK]],TableWRTECalcPts[RK],0)),"")</f>
        <v>Tee Higgins</v>
      </c>
      <c r="AX12" s="164" t="str">
        <f>IFERROR(INDEX(TableWRTECalcPts[POS RK],MATCH(TableWRTERank[[#This Row],[WR and TE COMBINED]],TableWRTECalcPts[PLAYER],0)),"")</f>
        <v>WR11</v>
      </c>
      <c r="AY12" s="164">
        <f>IFERROR(INDEX(TableWRTECalcPts[BYE],MATCH(TableWRTERank[[#This Row],[RK]],TableWRTECalcPts[RK],0)),"")</f>
        <v>6</v>
      </c>
      <c r="AZ12" s="165">
        <f>IFERROR(INDEX(TableWRTECalcPts[Custom],MATCH(TableWRTERank[[#This Row],[RK]],TableWRTECalcPts[RK],0)),"")</f>
        <v>210.32382984378648</v>
      </c>
      <c r="BA12" s="166">
        <f>IFERROR((TableWRTERank[[#This Row],[FPS]]-INDEX(TableWRTERank[FPS],MATCH(WRTEVORPCalc,TableWRTERank[RK],0))),"")</f>
        <v>69.087458261494788</v>
      </c>
      <c r="BC12" s="58" t="s">
        <v>148</v>
      </c>
    </row>
    <row r="13" spans="1:59" x14ac:dyDescent="0.25">
      <c r="A13" s="58">
        <v>12</v>
      </c>
      <c r="B13" s="154" t="str">
        <f>IFERROR(INDEX(TableQBCalcPts[PLAYER],MATCH(TableQBVORP[[#This Row],[RK]],TableQBCalcPts[RK],0)),"")</f>
        <v>Caleb Williams</v>
      </c>
      <c r="C13" s="154" t="str">
        <f>IFERROR(INDEX(TableQBCalcPts[TM],MATCH(TableQBVORP[[#This Row],[RK]],TableQBCalcPts[RK],0)),"")</f>
        <v>CHI</v>
      </c>
      <c r="D13" s="154">
        <f>IFERROR(INDEX(TableQBCalcPts[BYE],MATCH(TableQBVORP[[#This Row],[RK]],TableQBCalcPts[RK],0)),"")</f>
        <v>10</v>
      </c>
      <c r="E13" s="155">
        <f>IFERROR(INDEX(TableQBCalcPts[Custom],MATCH(TableQBVORP[[#This Row],[RK]],TableQBCalcPts[RK],0)),"")</f>
        <v>406.47584816310064</v>
      </c>
      <c r="F13" s="156">
        <f>(IFERROR((TableQBVORP[[#This Row],[FPS]]-INDEX(TableQBVORP[FPS],MATCH(QBVORPCalc,TableQBVORP[RK],0))),""))+(TableRBVORP[[#This Row],[VORP]]*0.45)</f>
        <v>115.43486479419923</v>
      </c>
      <c r="H13" s="58">
        <v>12</v>
      </c>
      <c r="I13" s="154" t="str">
        <f>IFERROR(INDEX(TableRBCalcPts[PLAYER],MATCH(TableRBVORP[[#This Row],[RK]],TableRBCalcPts[RK],0)),"")</f>
        <v>Ashton Jeanty</v>
      </c>
      <c r="J13" s="154" t="str">
        <f>IFERROR(INDEX(TableRBCalcPts[TM],MATCH(TableRBVORP[[#This Row],[RK]],TableRBCalcPts[RK],0)),"")</f>
        <v>LV</v>
      </c>
      <c r="K13" s="154">
        <f>IFERROR(INDEX(TableRBCalcPts[BYE],MATCH(TableRBVORP[[#This Row],[RK]],TableRBCalcPts[RK],0)),"")</f>
        <v>13</v>
      </c>
      <c r="L13" s="155">
        <f>IFERROR(INDEX(TableRBCalcPts[Custom],MATCH(TableRBVORP[[#This Row],[RK]],TableRBCalcPts[RK],0)),"")</f>
        <v>233.06399216070568</v>
      </c>
      <c r="M13" s="156">
        <f>(IFERROR((TableRBVORP[[#This Row],[FPS]]-INDEX(TableRBVORP[FPS],MATCH(RBVORPCalc,TableRBVORP[RK],0))),""))*0.8</f>
        <v>103.24492234374266</v>
      </c>
      <c r="O13" s="58">
        <v>12</v>
      </c>
      <c r="P13" s="154" t="str">
        <f>IFERROR(INDEX(TableWRCalcPts[PLAYER],MATCH(TableWRVORP[[#This Row],[RK]],TableWRCalcPts[RK],0)),"")</f>
        <v>Tetairoa McMillan</v>
      </c>
      <c r="Q13" s="154" t="str">
        <f>IFERROR(INDEX(TableWRCalcPts[TM],MATCH(TableWRVORP[[#This Row],[RK]],TableWRCalcPts[RK],0)),"")</f>
        <v>CAR</v>
      </c>
      <c r="R13" s="154">
        <f>IFERROR(INDEX(TableWRCalcPts[BYE],MATCH(TableWRVORP[[#This Row],[RK]],TableWRCalcPts[RK],0)),"")</f>
        <v>5</v>
      </c>
      <c r="S13" s="155">
        <f>IFERROR(INDEX(TableWRCalcPts[Custom],MATCH(TableWRVORP[[#This Row],[RK]],TableWRCalcPts[RK],0)),"")</f>
        <v>207.85591546371469</v>
      </c>
      <c r="T13" s="156">
        <f>(IFERROR((TableWRVORP[[#This Row],[FPS]]-INDEX(TableWRVORP[FPS],MATCH(WRVORPCalc,TableWRVORP[RK],0))),""))</f>
        <v>117.57173007334863</v>
      </c>
      <c r="V13" s="58">
        <v>12</v>
      </c>
      <c r="W13" s="154" t="str">
        <f>IFERROR(INDEX(TableTECalcPts[PLAYER],MATCH(TableTEVORP[[#This Row],[RK]],TableTECalcPts[RK],0)),"")</f>
        <v>Dalton Kincaid</v>
      </c>
      <c r="X13" s="154" t="str">
        <f>IFERROR(INDEX(TableTECalcPts[TM],MATCH(TableTEVORP[[#This Row],[RK]],TableTECalcPts[RK],0)),"")</f>
        <v>BUF</v>
      </c>
      <c r="Y13" s="154">
        <f>IFERROR(INDEX(TableTECalcPts[BYE],MATCH(TableTEVORP[[#This Row],[RK]],TableTECalcPts[RK],0)),"")</f>
        <v>7</v>
      </c>
      <c r="Z13" s="155">
        <f>IFERROR(INDEX(TableTECalcPts[Custom],MATCH(TableTEVORP[[#This Row],[RK]],TableTECalcPts[RK],0)),"")</f>
        <v>137.45097051248635</v>
      </c>
      <c r="AA13" s="156">
        <f>IFERROR((TableTEVORP[[#This Row],[FPS]]-INDEX(TableTEVORP[FPS],MATCH(TEVORPCalc,TableTEVORP[RK],0))),"")</f>
        <v>59.565176536244664</v>
      </c>
      <c r="AF13" s="58" t="s">
        <v>7</v>
      </c>
      <c r="AG13" s="58">
        <v>12</v>
      </c>
      <c r="AH13" s="100">
        <f>RANK(TableOverallMaster[[#This Row],[VORP]],TableOverallMaster[VORP])+COUNTIF($AM$2:AM13,AM13)-1</f>
        <v>32</v>
      </c>
      <c r="AI13" s="157" t="str">
        <f>IFERROR(INDEX(TableQBVORP[QUARTERBACK],MATCH(TableOverallMaster[[#This Row],[RK]],TableQBVORP[RK],0)),"")</f>
        <v>Caleb Williams</v>
      </c>
      <c r="AJ13" s="157" t="str">
        <f t="shared" si="0"/>
        <v>QB12</v>
      </c>
      <c r="AK13" s="157">
        <f>IFERROR(INDEX(TableQBVORP[BYE],MATCH(TableOverallMaster[[#This Row],[RK]],TableQBVORP[RK],0)),"")</f>
        <v>10</v>
      </c>
      <c r="AL13" s="158">
        <f>IFERROR(INDEX(TableQBVORP[FPS],MATCH(TableOverallMaster[[#This Row],[RK]],TableQBVORP[RK],0)),"")</f>
        <v>406.47584816310064</v>
      </c>
      <c r="AM13" s="159">
        <f>IFERROR(INDEX(TableQBVORP[VORP],MATCH(TableOverallMaster[[#This Row],[RK]],TableQBVORP[RK],0)),"")</f>
        <v>115.43486479419923</v>
      </c>
      <c r="AO13" s="58">
        <v>12</v>
      </c>
      <c r="AP13" s="160" t="str">
        <f>IFERROR(INDEX(TableOverallMaster[OVERALL PLAYER],MATCH(TableOverallRank[[#This Row],[RK]],TableOverallMaster[OVR RK],0)),"")</f>
        <v>Jonathan Taylor</v>
      </c>
      <c r="AQ13" s="161" t="str">
        <f>IFERROR(INDEX(TableOverallMaster[POS RK],MATCH(TableOverallRank[[#This Row],[OVERALL PLAYER]],TableOverallMaster[OVERALL PLAYER],0)),"")</f>
        <v>RB4</v>
      </c>
      <c r="AR13" s="162">
        <f>IFERROR(INDEX(TableOverallMaster[BYE],MATCH(TableOverallRank[[#This Row],[OVERALL PLAYER]],TableOverallMaster[OVERALL PLAYER],0)),"")</f>
        <v>13</v>
      </c>
      <c r="AS13" s="161">
        <f>IFERROR(INDEX(TableOverallMaster[Custom],MATCH(TableOverallRank[[#This Row],[OVERALL PLAYER]],TableOverallMaster[OVERALL PLAYER],0)),"")</f>
        <v>287.83953308823624</v>
      </c>
      <c r="AT13" s="163">
        <f>IFERROR(INDEX(TableOverallMaster[VORP],MATCH(TableOverallRank[[#This Row],[OVERALL PLAYER]],TableOverallMaster[OVERALL PLAYER],0)),"")</f>
        <v>147.0653550857671</v>
      </c>
      <c r="AV13" s="58">
        <v>12</v>
      </c>
      <c r="AW13" s="164" t="str">
        <f>IFERROR(INDEX(TableWRTECalcPts[PLAYER],MATCH(TableWRTERank[[#This Row],[RK]],TableWRTECalcPts[RK],0)),"")</f>
        <v>Tetairoa McMillan</v>
      </c>
      <c r="AX13" s="164" t="str">
        <f>IFERROR(INDEX(TableWRTECalcPts[POS RK],MATCH(TableWRTERank[[#This Row],[WR and TE COMBINED]],TableWRTECalcPts[PLAYER],0)),"")</f>
        <v>WR12</v>
      </c>
      <c r="AY13" s="164">
        <f>IFERROR(INDEX(TableWRTECalcPts[BYE],MATCH(TableWRTERank[[#This Row],[RK]],TableWRTECalcPts[RK],0)),"")</f>
        <v>5</v>
      </c>
      <c r="AZ13" s="165">
        <f>IFERROR(INDEX(TableWRTECalcPts[Custom],MATCH(TableWRTERank[[#This Row],[RK]],TableWRTECalcPts[RK],0)),"")</f>
        <v>207.85591546371469</v>
      </c>
      <c r="BA13" s="166">
        <f>IFERROR((TableWRTERank[[#This Row],[FPS]]-INDEX(TableWRTERank[FPS],MATCH(WRTEVORPCalc,TableWRTERank[RK],0))),"")</f>
        <v>66.619543881422999</v>
      </c>
      <c r="BC13" s="58" t="s">
        <v>148</v>
      </c>
    </row>
    <row r="14" spans="1:59" x14ac:dyDescent="0.25">
      <c r="A14" s="58">
        <v>13</v>
      </c>
      <c r="B14" s="154" t="str">
        <f>IFERROR(INDEX(TableQBCalcPts[PLAYER],MATCH(TableQBVORP[[#This Row],[RK]],TableQBCalcPts[RK],0)),"")</f>
        <v>Bo Nix</v>
      </c>
      <c r="C14" s="154" t="str">
        <f>IFERROR(INDEX(TableQBCalcPts[TM],MATCH(TableQBVORP[[#This Row],[RK]],TableQBCalcPts[RK],0)),"")</f>
        <v>DEN</v>
      </c>
      <c r="D14" s="154">
        <f>IFERROR(INDEX(TableQBCalcPts[BYE],MATCH(TableQBVORP[[#This Row],[RK]],TableQBCalcPts[RK],0)),"")</f>
        <v>10</v>
      </c>
      <c r="E14" s="155">
        <f>IFERROR(INDEX(TableQBCalcPts[Custom],MATCH(TableQBVORP[[#This Row],[RK]],TableQBCalcPts[RK],0)),"")</f>
        <v>400.64266716606681</v>
      </c>
      <c r="F14" s="156">
        <f>(IFERROR((TableQBVORP[[#This Row],[FPS]]-INDEX(TableQBVORP[FPS],MATCH(QBVORPCalc,TableQBVORP[RK],0))),""))+(TableRBVORP[[#This Row],[VORP]]*0.45)</f>
        <v>107.47793704236389</v>
      </c>
      <c r="H14" s="58">
        <v>13</v>
      </c>
      <c r="I14" s="154" t="str">
        <f>IFERROR(INDEX(TableRBCalcPts[PLAYER],MATCH(TableRBVORP[[#This Row],[RK]],TableRBCalcPts[RK],0)),"")</f>
        <v>Javonte Williams</v>
      </c>
      <c r="J14" s="154" t="str">
        <f>IFERROR(INDEX(TableRBCalcPts[TM],MATCH(TableRBVORP[[#This Row],[RK]],TableRBCalcPts[RK],0)),"")</f>
        <v>DAL</v>
      </c>
      <c r="K14" s="154">
        <f>IFERROR(INDEX(TableRBCalcPts[BYE],MATCH(TableRBVORP[[#This Row],[RK]],TableRBCalcPts[RK],0)),"")</f>
        <v>14</v>
      </c>
      <c r="L14" s="155">
        <f>IFERROR(INDEX(TableRBCalcPts[Custom],MATCH(TableRBVORP[[#This Row],[RK]],TableRBCalcPts[RK],0)),"")</f>
        <v>227.16469561959036</v>
      </c>
      <c r="M14" s="156">
        <f>(IFERROR((TableRBVORP[[#This Row],[FPS]]-INDEX(TableRBVORP[FPS],MATCH(RBVORPCalc,TableRBVORP[RK],0))),""))*0.8</f>
        <v>98.525485110850397</v>
      </c>
      <c r="O14" s="58">
        <v>13</v>
      </c>
      <c r="P14" s="154" t="str">
        <f>IFERROR(INDEX(TableWRCalcPts[PLAYER],MATCH(TableWRVORP[[#This Row],[RK]],TableWRCalcPts[RK],0)),"")</f>
        <v>Zay Flowers</v>
      </c>
      <c r="Q14" s="154" t="str">
        <f>IFERROR(INDEX(TableWRCalcPts[TM],MATCH(TableWRVORP[[#This Row],[RK]],TableWRCalcPts[RK],0)),"")</f>
        <v>BAL</v>
      </c>
      <c r="R14" s="154">
        <f>IFERROR(INDEX(TableWRCalcPts[BYE],MATCH(TableWRVORP[[#This Row],[RK]],TableWRCalcPts[RK],0)),"")</f>
        <v>13</v>
      </c>
      <c r="S14" s="155">
        <f>IFERROR(INDEX(TableWRCalcPts[Custom],MATCH(TableWRVORP[[#This Row],[RK]],TableWRCalcPts[RK],0)),"")</f>
        <v>204.82728652227939</v>
      </c>
      <c r="T14" s="156">
        <f>(IFERROR((TableWRVORP[[#This Row],[FPS]]-INDEX(TableWRVORP[FPS],MATCH(WRVORPCalc,TableWRVORP[RK],0))),""))</f>
        <v>114.54310113191333</v>
      </c>
      <c r="V14" s="58">
        <v>13</v>
      </c>
      <c r="W14" s="154" t="str">
        <f>IFERROR(INDEX(TableTECalcPts[PLAYER],MATCH(TableTEVORP[[#This Row],[RK]],TableTECalcPts[RK],0)),"")</f>
        <v>Jake Ferguson</v>
      </c>
      <c r="X14" s="154" t="str">
        <f>IFERROR(INDEX(TableTECalcPts[TM],MATCH(TableTEVORP[[#This Row],[RK]],TableTECalcPts[RK],0)),"")</f>
        <v>DAL</v>
      </c>
      <c r="Y14" s="154">
        <f>IFERROR(INDEX(TableTECalcPts[BYE],MATCH(TableTEVORP[[#This Row],[RK]],TableTECalcPts[RK],0)),"")</f>
        <v>14</v>
      </c>
      <c r="Z14" s="155">
        <f>IFERROR(INDEX(TableTECalcPts[Custom],MATCH(TableTEVORP[[#This Row],[RK]],TableTECalcPts[RK],0)),"")</f>
        <v>135.53776951944241</v>
      </c>
      <c r="AA14" s="156">
        <f>IFERROR((TableTEVORP[[#This Row],[FPS]]-INDEX(TableTEVORP[FPS],MATCH(TEVORPCalc,TableTEVORP[RK],0))),"")</f>
        <v>57.65197554320072</v>
      </c>
      <c r="AF14" s="58" t="s">
        <v>7</v>
      </c>
      <c r="AG14" s="58">
        <v>13</v>
      </c>
      <c r="AH14" s="100">
        <f>RANK(TableOverallMaster[[#This Row],[VORP]],TableOverallMaster[VORP])+COUNTIF($AM$2:AM14,AM14)-1</f>
        <v>39</v>
      </c>
      <c r="AI14" s="157" t="str">
        <f>IFERROR(INDEX(TableQBVORP[QUARTERBACK],MATCH(TableOverallMaster[[#This Row],[RK]],TableQBVORP[RK],0)),"")</f>
        <v>Bo Nix</v>
      </c>
      <c r="AJ14" s="157" t="str">
        <f t="shared" si="0"/>
        <v>QB13</v>
      </c>
      <c r="AK14" s="157">
        <f>IFERROR(INDEX(TableQBVORP[BYE],MATCH(TableOverallMaster[[#This Row],[RK]],TableQBVORP[RK],0)),"")</f>
        <v>10</v>
      </c>
      <c r="AL14" s="158">
        <f>IFERROR(INDEX(TableQBVORP[FPS],MATCH(TableOverallMaster[[#This Row],[RK]],TableQBVORP[RK],0)),"")</f>
        <v>400.64266716606681</v>
      </c>
      <c r="AM14" s="159">
        <f>IFERROR(INDEX(TableQBVORP[VORP],MATCH(TableOverallMaster[[#This Row],[RK]],TableQBVORP[RK],0)),"")</f>
        <v>107.47793704236389</v>
      </c>
      <c r="AO14" s="58">
        <v>13</v>
      </c>
      <c r="AP14" s="160" t="str">
        <f>IFERROR(INDEX(TableOverallMaster[OVERALL PLAYER],MATCH(TableOverallRank[[#This Row],[RK]],TableOverallMaster[OVR RK],0)),"")</f>
        <v>George Pickens</v>
      </c>
      <c r="AQ14" s="161" t="str">
        <f>IFERROR(INDEX(TableOverallMaster[POS RK],MATCH(TableOverallRank[[#This Row],[OVERALL PLAYER]],TableOverallMaster[OVERALL PLAYER],0)),"")</f>
        <v>WR5</v>
      </c>
      <c r="AR14" s="162">
        <f>IFERROR(INDEX(TableOverallMaster[BYE],MATCH(TableOverallRank[[#This Row],[OVERALL PLAYER]],TableOverallMaster[OVERALL PLAYER],0)),"")</f>
        <v>14</v>
      </c>
      <c r="AS14" s="161">
        <f>IFERROR(INDEX(TableOverallMaster[Custom],MATCH(TableOverallRank[[#This Row],[OVERALL PLAYER]],TableOverallMaster[OVERALL PLAYER],0)),"")</f>
        <v>232.51214033920755</v>
      </c>
      <c r="AT14" s="163">
        <f>IFERROR(INDEX(TableOverallMaster[VORP],MATCH(TableOverallRank[[#This Row],[OVERALL PLAYER]],TableOverallMaster[OVERALL PLAYER],0)),"")</f>
        <v>142.2279549488415</v>
      </c>
      <c r="AV14" s="58">
        <v>13</v>
      </c>
      <c r="AW14" s="164" t="str">
        <f>IFERROR(INDEX(TableWRTECalcPts[PLAYER],MATCH(TableWRTERank[[#This Row],[RK]],TableWRTECalcPts[RK],0)),"")</f>
        <v>Zay Flowers</v>
      </c>
      <c r="AX14" s="164" t="str">
        <f>IFERROR(INDEX(TableWRTECalcPts[POS RK],MATCH(TableWRTERank[[#This Row],[WR and TE COMBINED]],TableWRTECalcPts[PLAYER],0)),"")</f>
        <v>WR13</v>
      </c>
      <c r="AY14" s="164">
        <f>IFERROR(INDEX(TableWRTECalcPts[BYE],MATCH(TableWRTERank[[#This Row],[RK]],TableWRTECalcPts[RK],0)),"")</f>
        <v>13</v>
      </c>
      <c r="AZ14" s="165">
        <f>IFERROR(INDEX(TableWRTECalcPts[Custom],MATCH(TableWRTERank[[#This Row],[RK]],TableWRTECalcPts[RK],0)),"")</f>
        <v>204.82728652227939</v>
      </c>
      <c r="BA14" s="166">
        <f>IFERROR((TableWRTERank[[#This Row],[FPS]]-INDEX(TableWRTERank[FPS],MATCH(WRTEVORPCalc,TableWRTERank[RK],0))),"")</f>
        <v>63.590914939987698</v>
      </c>
      <c r="BC14" s="58" t="s">
        <v>148</v>
      </c>
    </row>
    <row r="15" spans="1:59" x14ac:dyDescent="0.25">
      <c r="A15" s="58">
        <v>14</v>
      </c>
      <c r="B15" s="154" t="str">
        <f>IFERROR(INDEX(TableQBCalcPts[PLAYER],MATCH(TableQBVORP[[#This Row],[RK]],TableQBCalcPts[RK],0)),"")</f>
        <v>Jayden Daniels</v>
      </c>
      <c r="C15" s="154" t="str">
        <f>IFERROR(INDEX(TableQBCalcPts[TM],MATCH(TableQBVORP[[#This Row],[RK]],TableQBCalcPts[RK],0)),"")</f>
        <v>WSH</v>
      </c>
      <c r="D15" s="154">
        <f>IFERROR(INDEX(TableQBCalcPts[BYE],MATCH(TableQBVORP[[#This Row],[RK]],TableQBCalcPts[RK],0)),"")</f>
        <v>7</v>
      </c>
      <c r="E15" s="155">
        <f>IFERROR(INDEX(TableQBCalcPts[Custom],MATCH(TableQBVORP[[#This Row],[RK]],TableQBCalcPts[RK],0)),"")</f>
        <v>399.83546948934764</v>
      </c>
      <c r="F15" s="156">
        <f>(IFERROR((TableQBVORP[[#This Row],[FPS]]-INDEX(TableQBVORP[FPS],MATCH(QBVORPCalc,TableQBVORP[RK],0))),""))+(TableRBVORP[[#This Row],[VORP]]*0.45)</f>
        <v>105.45243077830958</v>
      </c>
      <c r="H15" s="58">
        <v>14</v>
      </c>
      <c r="I15" s="154" t="str">
        <f>IFERROR(INDEX(TableRBCalcPts[PLAYER],MATCH(TableRBVORP[[#This Row],[RK]],TableRBCalcPts[RK],0)),"")</f>
        <v>Cam Skattebo</v>
      </c>
      <c r="J15" s="154" t="str">
        <f>IFERROR(INDEX(TableRBCalcPts[TM],MATCH(TableRBVORP[[#This Row],[RK]],TableRBCalcPts[RK],0)),"")</f>
        <v>NYG</v>
      </c>
      <c r="K15" s="154">
        <f>IFERROR(INDEX(TableRBCalcPts[BYE],MATCH(TableRBVORP[[#This Row],[RK]],TableRBCalcPts[RK],0)),"")</f>
        <v>8</v>
      </c>
      <c r="L15" s="155">
        <f>IFERROR(INDEX(TableRBCalcPts[Custom],MATCH(TableRBVORP[[#This Row],[RK]],TableRBCalcPts[RK],0)),"")</f>
        <v>223.78050509921496</v>
      </c>
      <c r="M15" s="156">
        <f>(IFERROR((TableRBVORP[[#This Row],[FPS]]-INDEX(TableRBVORP[FPS],MATCH(RBVORPCalc,TableRBVORP[RK],0))),""))*0.8</f>
        <v>95.818132694550073</v>
      </c>
      <c r="O15" s="58">
        <v>14</v>
      </c>
      <c r="P15" s="154" t="str">
        <f>IFERROR(INDEX(TableWRCalcPts[PLAYER],MATCH(TableWRVORP[[#This Row],[RK]],TableWRCalcPts[RK],0)),"")</f>
        <v>Jaylen Waddle</v>
      </c>
      <c r="Q15" s="154" t="str">
        <f>IFERROR(INDEX(TableWRCalcPts[TM],MATCH(TableWRVORP[[#This Row],[RK]],TableWRCalcPts[RK],0)),"")</f>
        <v>DEN</v>
      </c>
      <c r="R15" s="154">
        <f>IFERROR(INDEX(TableWRCalcPts[BYE],MATCH(TableWRVORP[[#This Row],[RK]],TableWRCalcPts[RK],0)),"")</f>
        <v>10</v>
      </c>
      <c r="S15" s="155">
        <f>IFERROR(INDEX(TableWRCalcPts[Custom],MATCH(TableWRVORP[[#This Row],[RK]],TableWRCalcPts[RK],0)),"")</f>
        <v>200.8042267743339</v>
      </c>
      <c r="T15" s="156">
        <f>(IFERROR((TableWRVORP[[#This Row],[FPS]]-INDEX(TableWRVORP[FPS],MATCH(WRVORPCalc,TableWRVORP[RK],0))),""))</f>
        <v>110.52004138396784</v>
      </c>
      <c r="V15" s="58">
        <v>14</v>
      </c>
      <c r="W15" s="154" t="str">
        <f>IFERROR(INDEX(TableTECalcPts[PLAYER],MATCH(TableTEVORP[[#This Row],[RK]],TableTECalcPts[RK],0)),"")</f>
        <v>Mark Andrews</v>
      </c>
      <c r="X15" s="154" t="str">
        <f>IFERROR(INDEX(TableTECalcPts[TM],MATCH(TableTEVORP[[#This Row],[RK]],TableTECalcPts[RK],0)),"")</f>
        <v>BAL</v>
      </c>
      <c r="Y15" s="154">
        <f>IFERROR(INDEX(TableTECalcPts[BYE],MATCH(TableTEVORP[[#This Row],[RK]],TableTECalcPts[RK],0)),"")</f>
        <v>13</v>
      </c>
      <c r="Z15" s="155">
        <f>IFERROR(INDEX(TableTECalcPts[Custom],MATCH(TableTEVORP[[#This Row],[RK]],TableTECalcPts[RK],0)),"")</f>
        <v>128.78263794049053</v>
      </c>
      <c r="AA15" s="156">
        <f>IFERROR((TableTEVORP[[#This Row],[FPS]]-INDEX(TableTEVORP[FPS],MATCH(TEVORPCalc,TableTEVORP[RK],0))),"")</f>
        <v>50.896843964248845</v>
      </c>
      <c r="AF15" s="58" t="s">
        <v>7</v>
      </c>
      <c r="AG15" s="58">
        <v>14</v>
      </c>
      <c r="AH15" s="100">
        <f>RANK(TableOverallMaster[[#This Row],[VORP]],TableOverallMaster[VORP])+COUNTIF($AM$2:AM15,AM15)-1</f>
        <v>42</v>
      </c>
      <c r="AI15" s="157" t="str">
        <f>IFERROR(INDEX(TableQBVORP[QUARTERBACK],MATCH(TableOverallMaster[[#This Row],[RK]],TableQBVORP[RK],0)),"")</f>
        <v>Jayden Daniels</v>
      </c>
      <c r="AJ15" s="157" t="str">
        <f t="shared" si="0"/>
        <v>QB14</v>
      </c>
      <c r="AK15" s="157">
        <f>IFERROR(INDEX(TableQBVORP[BYE],MATCH(TableOverallMaster[[#This Row],[RK]],TableQBVORP[RK],0)),"")</f>
        <v>7</v>
      </c>
      <c r="AL15" s="158">
        <f>IFERROR(INDEX(TableQBVORP[FPS],MATCH(TableOverallMaster[[#This Row],[RK]],TableQBVORP[RK],0)),"")</f>
        <v>399.83546948934764</v>
      </c>
      <c r="AM15" s="159">
        <f>IFERROR(INDEX(TableQBVORP[VORP],MATCH(TableOverallMaster[[#This Row],[RK]],TableQBVORP[RK],0)),"")</f>
        <v>105.45243077830958</v>
      </c>
      <c r="AO15" s="58">
        <v>14</v>
      </c>
      <c r="AP15" s="160" t="str">
        <f>IFERROR(INDEX(TableOverallMaster[OVERALL PLAYER],MATCH(TableOverallRank[[#This Row],[RK]],TableOverallMaster[OVR RK],0)),"")</f>
        <v>Dak Prescott</v>
      </c>
      <c r="AQ15" s="161" t="str">
        <f>IFERROR(INDEX(TableOverallMaster[POS RK],MATCH(TableOverallRank[[#This Row],[OVERALL PLAYER]],TableOverallMaster[OVERALL PLAYER],0)),"")</f>
        <v>QB5</v>
      </c>
      <c r="AR15" s="162">
        <f>IFERROR(INDEX(TableOverallMaster[BYE],MATCH(TableOverallRank[[#This Row],[OVERALL PLAYER]],TableOverallMaster[OVERALL PLAYER],0)),"")</f>
        <v>14</v>
      </c>
      <c r="AS15" s="161">
        <f>IFERROR(INDEX(TableOverallMaster[Custom],MATCH(TableOverallRank[[#This Row],[OVERALL PLAYER]],TableOverallMaster[OVERALL PLAYER],0)),"")</f>
        <v>424.26156978062608</v>
      </c>
      <c r="AT15" s="163">
        <f>IFERROR(INDEX(TableOverallMaster[VORP],MATCH(TableOverallRank[[#This Row],[OVERALL PLAYER]],TableOverallMaster[OVERALL PLAYER],0)),"")</f>
        <v>140.39728555051528</v>
      </c>
      <c r="AV15" s="58">
        <v>14</v>
      </c>
      <c r="AW15" s="164" t="str">
        <f>IFERROR(INDEX(TableWRTECalcPts[PLAYER],MATCH(TableWRTERank[[#This Row],[RK]],TableWRTECalcPts[RK],0)),"")</f>
        <v>Jaylen Waddle</v>
      </c>
      <c r="AX15" s="164" t="str">
        <f>IFERROR(INDEX(TableWRTECalcPts[POS RK],MATCH(TableWRTERank[[#This Row],[WR and TE COMBINED]],TableWRTECalcPts[PLAYER],0)),"")</f>
        <v>WR14</v>
      </c>
      <c r="AY15" s="164">
        <f>IFERROR(INDEX(TableWRTECalcPts[BYE],MATCH(TableWRTERank[[#This Row],[RK]],TableWRTECalcPts[RK],0)),"")</f>
        <v>10</v>
      </c>
      <c r="AZ15" s="165">
        <f>IFERROR(INDEX(TableWRTECalcPts[Custom],MATCH(TableWRTERank[[#This Row],[RK]],TableWRTECalcPts[RK],0)),"")</f>
        <v>200.8042267743339</v>
      </c>
      <c r="BA15" s="166">
        <f>IFERROR((TableWRTERank[[#This Row],[FPS]]-INDEX(TableWRTERank[FPS],MATCH(WRTEVORPCalc,TableWRTERank[RK],0))),"")</f>
        <v>59.567855192042202</v>
      </c>
      <c r="BC15" s="58" t="s">
        <v>148</v>
      </c>
    </row>
    <row r="16" spans="1:59" x14ac:dyDescent="0.25">
      <c r="A16" s="58">
        <v>15</v>
      </c>
      <c r="B16" s="154" t="str">
        <f>IFERROR(INDEX(TableQBCalcPts[PLAYER],MATCH(TableQBVORP[[#This Row],[RK]],TableQBCalcPts[RK],0)),"")</f>
        <v>Justin Herbert</v>
      </c>
      <c r="C16" s="154" t="str">
        <f>IFERROR(INDEX(TableQBCalcPts[TM],MATCH(TableQBVORP[[#This Row],[RK]],TableQBCalcPts[RK],0)),"")</f>
        <v>LAC</v>
      </c>
      <c r="D16" s="154">
        <f>IFERROR(INDEX(TableQBCalcPts[BYE],MATCH(TableQBVORP[[#This Row],[RK]],TableQBCalcPts[RK],0)),"")</f>
        <v>7</v>
      </c>
      <c r="E16" s="155">
        <f>IFERROR(INDEX(TableQBCalcPts[Custom],MATCH(TableQBVORP[[#This Row],[RK]],TableQBCalcPts[RK],0)),"")</f>
        <v>395.41933124934303</v>
      </c>
      <c r="F16" s="156">
        <f>(IFERROR((TableQBVORP[[#This Row],[FPS]]-INDEX(TableQBVORP[FPS],MATCH(QBVORPCalc,TableQBVORP[RK],0))),""))+(TableRBVORP[[#This Row],[VORP]]*0.45)</f>
        <v>100.49574751115534</v>
      </c>
      <c r="H16" s="58">
        <v>15</v>
      </c>
      <c r="I16" s="154" t="str">
        <f>IFERROR(INDEX(TableRBCalcPts[PLAYER],MATCH(TableRBVORP[[#This Row],[RK]],TableRBCalcPts[RK],0)),"")</f>
        <v>Kyren Williams</v>
      </c>
      <c r="J16" s="154" t="str">
        <f>IFERROR(INDEX(TableRBCalcPts[TM],MATCH(TableRBVORP[[#This Row],[RK]],TableRBCalcPts[RK],0)),"")</f>
        <v>LAR</v>
      </c>
      <c r="K16" s="154">
        <f>IFERROR(INDEX(TableRBCalcPts[BYE],MATCH(TableRBVORP[[#This Row],[RK]],TableRBCalcPts[RK],0)),"")</f>
        <v>11</v>
      </c>
      <c r="L16" s="155">
        <f>IFERROR(INDEX(TableRBCalcPts[Custom],MATCH(TableRBVORP[[#This Row],[RK]],TableRBCalcPts[RK],0)),"")</f>
        <v>222.27899113491048</v>
      </c>
      <c r="M16" s="156">
        <f>(IFERROR((TableRBVORP[[#This Row],[FPS]]-INDEX(TableRBVORP[FPS],MATCH(RBVORPCalc,TableRBVORP[RK],0))),""))*0.8</f>
        <v>94.616921523106498</v>
      </c>
      <c r="O16" s="58">
        <v>15</v>
      </c>
      <c r="P16" s="154" t="str">
        <f>IFERROR(INDEX(TableWRCalcPts[PLAYER],MATCH(TableWRVORP[[#This Row],[RK]],TableWRCalcPts[RK],0)),"")</f>
        <v>Terry McLaurin</v>
      </c>
      <c r="Q16" s="154" t="str">
        <f>IFERROR(INDEX(TableWRCalcPts[TM],MATCH(TableWRVORP[[#This Row],[RK]],TableWRCalcPts[RK],0)),"")</f>
        <v>WSH</v>
      </c>
      <c r="R16" s="154">
        <f>IFERROR(INDEX(TableWRCalcPts[BYE],MATCH(TableWRVORP[[#This Row],[RK]],TableWRCalcPts[RK],0)),"")</f>
        <v>7</v>
      </c>
      <c r="S16" s="155">
        <f>IFERROR(INDEX(TableWRCalcPts[Custom],MATCH(TableWRVORP[[#This Row],[RK]],TableWRCalcPts[RK],0)),"")</f>
        <v>200.39780956148348</v>
      </c>
      <c r="T16" s="156">
        <f>(IFERROR((TableWRVORP[[#This Row],[FPS]]-INDEX(TableWRVORP[FPS],MATCH(WRVORPCalc,TableWRVORP[RK],0))),""))</f>
        <v>110.11362417111742</v>
      </c>
      <c r="V16" s="58">
        <v>15</v>
      </c>
      <c r="W16" s="154" t="str">
        <f>IFERROR(INDEX(TableTECalcPts[PLAYER],MATCH(TableTEVORP[[#This Row],[RK]],TableTECalcPts[RK],0)),"")</f>
        <v>T.J. Hockenson</v>
      </c>
      <c r="X16" s="154" t="str">
        <f>IFERROR(INDEX(TableTECalcPts[TM],MATCH(TableTEVORP[[#This Row],[RK]],TableTECalcPts[RK],0)),"")</f>
        <v>MIN</v>
      </c>
      <c r="Y16" s="154">
        <f>IFERROR(INDEX(TableTECalcPts[BYE],MATCH(TableTEVORP[[#This Row],[RK]],TableTECalcPts[RK],0)),"")</f>
        <v>6</v>
      </c>
      <c r="Z16" s="155">
        <f>IFERROR(INDEX(TableTECalcPts[Custom],MATCH(TableTEVORP[[#This Row],[RK]],TableTECalcPts[RK],0)),"")</f>
        <v>122.26222914582712</v>
      </c>
      <c r="AA16" s="156">
        <f>IFERROR((TableTEVORP[[#This Row],[FPS]]-INDEX(TableTEVORP[FPS],MATCH(TEVORPCalc,TableTEVORP[RK],0))),"")</f>
        <v>44.376435169585434</v>
      </c>
      <c r="AF16" s="58" t="s">
        <v>7</v>
      </c>
      <c r="AG16" s="58">
        <v>15</v>
      </c>
      <c r="AH16" s="100">
        <f>RANK(TableOverallMaster[[#This Row],[VORP]],TableOverallMaster[VORP])+COUNTIF($AM$2:AM16,AM16)-1</f>
        <v>51</v>
      </c>
      <c r="AI16" s="157" t="str">
        <f>IFERROR(INDEX(TableQBVORP[QUARTERBACK],MATCH(TableOverallMaster[[#This Row],[RK]],TableQBVORP[RK],0)),"")</f>
        <v>Justin Herbert</v>
      </c>
      <c r="AJ16" s="157" t="str">
        <f t="shared" si="0"/>
        <v>QB15</v>
      </c>
      <c r="AK16" s="157">
        <f>IFERROR(INDEX(TableQBVORP[BYE],MATCH(TableOverallMaster[[#This Row],[RK]],TableQBVORP[RK],0)),"")</f>
        <v>7</v>
      </c>
      <c r="AL16" s="158">
        <f>IFERROR(INDEX(TableQBVORP[FPS],MATCH(TableOverallMaster[[#This Row],[RK]],TableQBVORP[RK],0)),"")</f>
        <v>395.41933124934303</v>
      </c>
      <c r="AM16" s="159">
        <f>IFERROR(INDEX(TableQBVORP[VORP],MATCH(TableOverallMaster[[#This Row],[RK]],TableQBVORP[RK],0)),"")</f>
        <v>100.49574751115534</v>
      </c>
      <c r="AO16" s="58">
        <v>15</v>
      </c>
      <c r="AP16" s="160" t="str">
        <f>IFERROR(INDEX(TableOverallMaster[OVERALL PLAYER],MATCH(TableOverallRank[[#This Row],[RK]],TableOverallMaster[OVR RK],0)),"")</f>
        <v>Drake London</v>
      </c>
      <c r="AQ16" s="161" t="str">
        <f>IFERROR(INDEX(TableOverallMaster[POS RK],MATCH(TableOverallRank[[#This Row],[OVERALL PLAYER]],TableOverallMaster[OVERALL PLAYER],0)),"")</f>
        <v>WR6</v>
      </c>
      <c r="AR16" s="162">
        <f>IFERROR(INDEX(TableOverallMaster[BYE],MATCH(TableOverallRank[[#This Row],[OVERALL PLAYER]],TableOverallMaster[OVERALL PLAYER],0)),"")</f>
        <v>11</v>
      </c>
      <c r="AS16" s="161">
        <f>IFERROR(INDEX(TableOverallMaster[Custom],MATCH(TableOverallRank[[#This Row],[OVERALL PLAYER]],TableOverallMaster[OVERALL PLAYER],0)),"")</f>
        <v>228.86490868413486</v>
      </c>
      <c r="AT16" s="163">
        <f>IFERROR(INDEX(TableOverallMaster[VORP],MATCH(TableOverallRank[[#This Row],[OVERALL PLAYER]],TableOverallMaster[OVERALL PLAYER],0)),"")</f>
        <v>138.58072329376881</v>
      </c>
      <c r="AV16" s="58">
        <v>15</v>
      </c>
      <c r="AW16" s="164" t="str">
        <f>IFERROR(INDEX(TableWRTECalcPts[PLAYER],MATCH(TableWRTERank[[#This Row],[RK]],TableWRTECalcPts[RK],0)),"")</f>
        <v>Terry McLaurin</v>
      </c>
      <c r="AX16" s="164" t="str">
        <f>IFERROR(INDEX(TableWRTECalcPts[POS RK],MATCH(TableWRTERank[[#This Row],[WR and TE COMBINED]],TableWRTECalcPts[PLAYER],0)),"")</f>
        <v>WR15</v>
      </c>
      <c r="AY16" s="164">
        <f>IFERROR(INDEX(TableWRTECalcPts[BYE],MATCH(TableWRTERank[[#This Row],[RK]],TableWRTECalcPts[RK],0)),"")</f>
        <v>7</v>
      </c>
      <c r="AZ16" s="165">
        <f>IFERROR(INDEX(TableWRTECalcPts[Custom],MATCH(TableWRTERank[[#This Row],[RK]],TableWRTECalcPts[RK],0)),"")</f>
        <v>200.39780956148348</v>
      </c>
      <c r="BA16" s="166">
        <f>IFERROR((TableWRTERank[[#This Row],[FPS]]-INDEX(TableWRTERank[FPS],MATCH(WRTEVORPCalc,TableWRTERank[RK],0))),"")</f>
        <v>59.161437979191788</v>
      </c>
      <c r="BC16" s="58" t="s">
        <v>148</v>
      </c>
    </row>
    <row r="17" spans="1:55" x14ac:dyDescent="0.25">
      <c r="A17" s="58">
        <v>16</v>
      </c>
      <c r="B17" s="154" t="str">
        <f>IFERROR(INDEX(TableQBCalcPts[PLAYER],MATCH(TableQBVORP[[#This Row],[RK]],TableQBCalcPts[RK],0)),"")</f>
        <v>Jaxson Dart</v>
      </c>
      <c r="C17" s="154" t="str">
        <f>IFERROR(INDEX(TableQBCalcPts[TM],MATCH(TableQBVORP[[#This Row],[RK]],TableQBCalcPts[RK],0)),"")</f>
        <v>NYG</v>
      </c>
      <c r="D17" s="154">
        <f>IFERROR(INDEX(TableQBCalcPts[BYE],MATCH(TableQBVORP[[#This Row],[RK]],TableQBCalcPts[RK],0)),"")</f>
        <v>8</v>
      </c>
      <c r="E17" s="155">
        <f>IFERROR(INDEX(TableQBCalcPts[Custom],MATCH(TableQBVORP[[#This Row],[RK]],TableQBCalcPts[RK],0)),"")</f>
        <v>391.99200877029875</v>
      </c>
      <c r="F17" s="156">
        <f>(IFERROR((TableQBVORP[[#This Row],[FPS]]-INDEX(TableQBVORP[FPS],MATCH(QBVORPCalc,TableQBVORP[RK],0))),""))+(TableRBVORP[[#This Row],[VORP]]*0.45)</f>
        <v>96.137558099143661</v>
      </c>
      <c r="H17" s="58">
        <v>16</v>
      </c>
      <c r="I17" s="154" t="str">
        <f>IFERROR(INDEX(TableRBCalcPts[PLAYER],MATCH(TableRBVORP[[#This Row],[RK]],TableRBCalcPts[RK],0)),"")</f>
        <v>Breece Hall</v>
      </c>
      <c r="J17" s="154" t="str">
        <f>IFERROR(INDEX(TableRBCalcPts[TM],MATCH(TableRBVORP[[#This Row],[RK]],TableRBCalcPts[RK],0)),"")</f>
        <v>NYJ</v>
      </c>
      <c r="K17" s="154">
        <f>IFERROR(INDEX(TableRBCalcPts[BYE],MATCH(TableRBVORP[[#This Row],[RK]],TableRBCalcPts[RK],0)),"")</f>
        <v>13</v>
      </c>
      <c r="L17" s="155">
        <f>IFERROR(INDEX(TableRBCalcPts[Custom],MATCH(TableRBVORP[[#This Row],[RK]],TableRBCalcPts[RK],0)),"")</f>
        <v>219.69324965444545</v>
      </c>
      <c r="M17" s="156">
        <f>(IFERROR((TableRBVORP[[#This Row],[FPS]]-INDEX(TableRBVORP[FPS],MATCH(RBVORPCalc,TableRBVORP[RK],0))),""))*0.8</f>
        <v>92.548328338734464</v>
      </c>
      <c r="O17" s="58">
        <v>16</v>
      </c>
      <c r="P17" s="154" t="str">
        <f>IFERROR(INDEX(TableWRCalcPts[PLAYER],MATCH(TableWRVORP[[#This Row],[RK]],TableWRCalcPts[RK],0)),"")</f>
        <v>DeVonta Smith</v>
      </c>
      <c r="Q17" s="154" t="str">
        <f>IFERROR(INDEX(TableWRCalcPts[TM],MATCH(TableWRVORP[[#This Row],[RK]],TableWRCalcPts[RK],0)),"")</f>
        <v>PHI</v>
      </c>
      <c r="R17" s="154">
        <f>IFERROR(INDEX(TableWRCalcPts[BYE],MATCH(TableWRVORP[[#This Row],[RK]],TableWRCalcPts[RK],0)),"")</f>
        <v>10</v>
      </c>
      <c r="S17" s="155">
        <f>IFERROR(INDEX(TableWRCalcPts[Custom],MATCH(TableWRVORP[[#This Row],[RK]],TableWRCalcPts[RK],0)),"")</f>
        <v>198.11700522987917</v>
      </c>
      <c r="T17" s="156">
        <f>(IFERROR((TableWRVORP[[#This Row],[FPS]]-INDEX(TableWRVORP[FPS],MATCH(WRVORPCalc,TableWRVORP[RK],0))),""))</f>
        <v>107.83281983951311</v>
      </c>
      <c r="V17" s="58">
        <v>16</v>
      </c>
      <c r="W17" s="154" t="str">
        <f>IFERROR(INDEX(TableTECalcPts[PLAYER],MATCH(TableTEVORP[[#This Row],[RK]],TableTECalcPts[RK],0)),"")</f>
        <v>Chig Okonkwo</v>
      </c>
      <c r="X17" s="154" t="str">
        <f>IFERROR(INDEX(TableTECalcPts[TM],MATCH(TableTEVORP[[#This Row],[RK]],TableTECalcPts[RK],0)),"")</f>
        <v>WSH</v>
      </c>
      <c r="Y17" s="154">
        <f>IFERROR(INDEX(TableTECalcPts[BYE],MATCH(TableTEVORP[[#This Row],[RK]],TableTECalcPts[RK],0)),"")</f>
        <v>7</v>
      </c>
      <c r="Z17" s="155">
        <f>IFERROR(INDEX(TableTECalcPts[Custom],MATCH(TableTEVORP[[#This Row],[RK]],TableTECalcPts[RK],0)),"")</f>
        <v>121.96386463260998</v>
      </c>
      <c r="AA17" s="156">
        <f>IFERROR((TableTEVORP[[#This Row],[FPS]]-INDEX(TableTEVORP[FPS],MATCH(TEVORPCalc,TableTEVORP[RK],0))),"")</f>
        <v>44.078070656368297</v>
      </c>
      <c r="AF17" s="58" t="s">
        <v>7</v>
      </c>
      <c r="AG17" s="58">
        <v>16</v>
      </c>
      <c r="AH17" s="100">
        <f>RANK(TableOverallMaster[[#This Row],[VORP]],TableOverallMaster[VORP])+COUNTIF($AM$2:AM17,AM17)-1</f>
        <v>58</v>
      </c>
      <c r="AI17" s="157" t="str">
        <f>IFERROR(INDEX(TableQBVORP[QUARTERBACK],MATCH(TableOverallMaster[[#This Row],[RK]],TableQBVORP[RK],0)),"")</f>
        <v>Jaxson Dart</v>
      </c>
      <c r="AJ17" s="157" t="str">
        <f t="shared" si="0"/>
        <v>QB16</v>
      </c>
      <c r="AK17" s="157">
        <f>IFERROR(INDEX(TableQBVORP[BYE],MATCH(TableOverallMaster[[#This Row],[RK]],TableQBVORP[RK],0)),"")</f>
        <v>8</v>
      </c>
      <c r="AL17" s="158">
        <f>IFERROR(INDEX(TableQBVORP[FPS],MATCH(TableOverallMaster[[#This Row],[RK]],TableQBVORP[RK],0)),"")</f>
        <v>391.99200877029875</v>
      </c>
      <c r="AM17" s="159">
        <f>IFERROR(INDEX(TableQBVORP[VORP],MATCH(TableOverallMaster[[#This Row],[RK]],TableQBVORP[RK],0)),"")</f>
        <v>96.137558099143661</v>
      </c>
      <c r="AO17" s="58">
        <v>16</v>
      </c>
      <c r="AP17" s="160" t="str">
        <f>IFERROR(INDEX(TableOverallMaster[OVERALL PLAYER],MATCH(TableOverallRank[[#This Row],[RK]],TableOverallMaster[OVR RK],0)),"")</f>
        <v>Brock Purdy</v>
      </c>
      <c r="AQ17" s="161" t="str">
        <f>IFERROR(INDEX(TableOverallMaster[POS RK],MATCH(TableOverallRank[[#This Row],[OVERALL PLAYER]],TableOverallMaster[OVERALL PLAYER],0)),"")</f>
        <v>QB6</v>
      </c>
      <c r="AR17" s="162">
        <f>IFERROR(INDEX(TableOverallMaster[BYE],MATCH(TableOverallRank[[#This Row],[OVERALL PLAYER]],TableOverallMaster[OVERALL PLAYER],0)),"")</f>
        <v>8</v>
      </c>
      <c r="AS17" s="161">
        <f>IFERROR(INDEX(TableOverallMaster[Custom],MATCH(TableOverallRank[[#This Row],[OVERALL PLAYER]],TableOverallMaster[OVERALL PLAYER],0)),"")</f>
        <v>421.55036691030688</v>
      </c>
      <c r="AT17" s="163">
        <f>IFERROR(INDEX(TableOverallMaster[VORP],MATCH(TableOverallRank[[#This Row],[OVERALL PLAYER]],TableOverallMaster[OVERALL PLAYER],0)),"")</f>
        <v>136.37986403365142</v>
      </c>
      <c r="AV17" s="58">
        <v>16</v>
      </c>
      <c r="AW17" s="164" t="str">
        <f>IFERROR(INDEX(TableWRTECalcPts[PLAYER],MATCH(TableWRTERank[[#This Row],[RK]],TableWRTECalcPts[RK],0)),"")</f>
        <v>DeVonta Smith</v>
      </c>
      <c r="AX17" s="164" t="str">
        <f>IFERROR(INDEX(TableWRTECalcPts[POS RK],MATCH(TableWRTERank[[#This Row],[WR and TE COMBINED]],TableWRTECalcPts[PLAYER],0)),"")</f>
        <v>WR16</v>
      </c>
      <c r="AY17" s="164">
        <f>IFERROR(INDEX(TableWRTECalcPts[BYE],MATCH(TableWRTERank[[#This Row],[RK]],TableWRTECalcPts[RK],0)),"")</f>
        <v>10</v>
      </c>
      <c r="AZ17" s="165">
        <f>IFERROR(INDEX(TableWRTECalcPts[Custom],MATCH(TableWRTERank[[#This Row],[RK]],TableWRTECalcPts[RK],0)),"")</f>
        <v>198.11700522987917</v>
      </c>
      <c r="BA17" s="166">
        <f>IFERROR((TableWRTERank[[#This Row],[FPS]]-INDEX(TableWRTERank[FPS],MATCH(WRTEVORPCalc,TableWRTERank[RK],0))),"")</f>
        <v>56.880633647587473</v>
      </c>
      <c r="BC17" s="58" t="s">
        <v>148</v>
      </c>
    </row>
    <row r="18" spans="1:55" x14ac:dyDescent="0.25">
      <c r="A18" s="58">
        <v>17</v>
      </c>
      <c r="B18" s="154" t="str">
        <f>IFERROR(INDEX(TableQBCalcPts[PLAYER],MATCH(TableQBVORP[[#This Row],[RK]],TableQBCalcPts[RK],0)),"")</f>
        <v>Baker Mayfield</v>
      </c>
      <c r="C18" s="154" t="str">
        <f>IFERROR(INDEX(TableQBCalcPts[TM],MATCH(TableQBVORP[[#This Row],[RK]],TableQBCalcPts[RK],0)),"")</f>
        <v>TB</v>
      </c>
      <c r="D18" s="154">
        <f>IFERROR(INDEX(TableQBCalcPts[BYE],MATCH(TableQBVORP[[#This Row],[RK]],TableQBCalcPts[RK],0)),"")</f>
        <v>10</v>
      </c>
      <c r="E18" s="155">
        <f>IFERROR(INDEX(TableQBCalcPts[Custom],MATCH(TableQBVORP[[#This Row],[RK]],TableQBCalcPts[RK],0)),"")</f>
        <v>384.49518701509407</v>
      </c>
      <c r="F18" s="156">
        <f>(IFERROR((TableQBVORP[[#This Row],[FPS]]-INDEX(TableQBVORP[FPS],MATCH(QBVORPCalc,TableQBVORP[RK],0))),""))+(TableRBVORP[[#This Row],[VORP]]*0.45)</f>
        <v>87.87850235981702</v>
      </c>
      <c r="H18" s="58">
        <v>17</v>
      </c>
      <c r="I18" s="154" t="str">
        <f>IFERROR(INDEX(TableRBCalcPts[PLAYER],MATCH(TableRBVORP[[#This Row],[RK]],TableRBCalcPts[RK],0)),"")</f>
        <v>Josh Jacobs</v>
      </c>
      <c r="J18" s="154" t="str">
        <f>IFERROR(INDEX(TableRBCalcPts[TM],MATCH(TableRBVORP[[#This Row],[RK]],TableRBCalcPts[RK],0)),"")</f>
        <v>GB</v>
      </c>
      <c r="K18" s="154">
        <f>IFERROR(INDEX(TableRBCalcPts[BYE],MATCH(TableRBVORP[[#This Row],[RK]],TableRBCalcPts[RK],0)),"")</f>
        <v>11</v>
      </c>
      <c r="L18" s="155">
        <f>IFERROR(INDEX(TableRBCalcPts[Custom],MATCH(TableRBVORP[[#This Row],[RK]],TableRBCalcPts[RK],0)),"")</f>
        <v>217.57593303188446</v>
      </c>
      <c r="M18" s="156">
        <f>(IFERROR((TableRBVORP[[#This Row],[FPS]]-INDEX(TableRBVORP[FPS],MATCH(RBVORPCalc,TableRBVORP[RK],0))),""))*0.8</f>
        <v>90.854475040685671</v>
      </c>
      <c r="O18" s="58">
        <v>17</v>
      </c>
      <c r="P18" s="154" t="str">
        <f>IFERROR(INDEX(TableWRCalcPts[PLAYER],MATCH(TableWRVORP[[#This Row],[RK]],TableWRCalcPts[RK],0)),"")</f>
        <v>Rashee Rice</v>
      </c>
      <c r="Q18" s="154" t="str">
        <f>IFERROR(INDEX(TableWRCalcPts[TM],MATCH(TableWRVORP[[#This Row],[RK]],TableWRCalcPts[RK],0)),"")</f>
        <v>KC</v>
      </c>
      <c r="R18" s="154">
        <f>IFERROR(INDEX(TableWRCalcPts[BYE],MATCH(TableWRVORP[[#This Row],[RK]],TableWRCalcPts[RK],0)),"")</f>
        <v>5</v>
      </c>
      <c r="S18" s="155">
        <f>IFERROR(INDEX(TableWRCalcPts[Custom],MATCH(TableWRVORP[[#This Row],[RK]],TableWRCalcPts[RK],0)),"")</f>
        <v>197.06183681925825</v>
      </c>
      <c r="T18" s="156">
        <f>(IFERROR((TableWRVORP[[#This Row],[FPS]]-INDEX(TableWRVORP[FPS],MATCH(WRVORPCalc,TableWRVORP[RK],0))),""))</f>
        <v>106.77765142889218</v>
      </c>
      <c r="V18" s="58">
        <v>17</v>
      </c>
      <c r="W18" s="154" t="str">
        <f>IFERROR(INDEX(TableTECalcPts[PLAYER],MATCH(TableTEVORP[[#This Row],[RK]],TableTECalcPts[RK],0)),"")</f>
        <v>Dalton Schultz</v>
      </c>
      <c r="X18" s="154" t="str">
        <f>IFERROR(INDEX(TableTECalcPts[TM],MATCH(TableTEVORP[[#This Row],[RK]],TableTECalcPts[RK],0)),"")</f>
        <v>HOU</v>
      </c>
      <c r="Y18" s="154">
        <f>IFERROR(INDEX(TableTECalcPts[BYE],MATCH(TableTEVORP[[#This Row],[RK]],TableTECalcPts[RK],0)),"")</f>
        <v>8</v>
      </c>
      <c r="Z18" s="155">
        <f>IFERROR(INDEX(TableTECalcPts[Custom],MATCH(TableTEVORP[[#This Row],[RK]],TableTECalcPts[RK],0)),"")</f>
        <v>120.45266133204058</v>
      </c>
      <c r="AA18" s="156">
        <f>IFERROR((TableTEVORP[[#This Row],[FPS]]-INDEX(TableTEVORP[FPS],MATCH(TEVORPCalc,TableTEVORP[RK],0))),"")</f>
        <v>42.566867355798891</v>
      </c>
      <c r="AF18" s="58" t="s">
        <v>7</v>
      </c>
      <c r="AG18" s="58">
        <v>17</v>
      </c>
      <c r="AH18" s="100">
        <f>RANK(TableOverallMaster[[#This Row],[VORP]],TableOverallMaster[VORP])+COUNTIF($AM$2:AM18,AM18)-1</f>
        <v>68</v>
      </c>
      <c r="AI18" s="157" t="str">
        <f>IFERROR(INDEX(TableQBVORP[QUARTERBACK],MATCH(TableOverallMaster[[#This Row],[RK]],TableQBVORP[RK],0)),"")</f>
        <v>Baker Mayfield</v>
      </c>
      <c r="AJ18" s="157" t="str">
        <f t="shared" si="0"/>
        <v>QB17</v>
      </c>
      <c r="AK18" s="157">
        <f>IFERROR(INDEX(TableQBVORP[BYE],MATCH(TableOverallMaster[[#This Row],[RK]],TableQBVORP[RK],0)),"")</f>
        <v>10</v>
      </c>
      <c r="AL18" s="158">
        <f>IFERROR(INDEX(TableQBVORP[FPS],MATCH(TableOverallMaster[[#This Row],[RK]],TableQBVORP[RK],0)),"")</f>
        <v>384.49518701509407</v>
      </c>
      <c r="AM18" s="159">
        <f>IFERROR(INDEX(TableQBVORP[VORP],MATCH(TableOverallMaster[[#This Row],[RK]],TableQBVORP[RK],0)),"")</f>
        <v>87.87850235981702</v>
      </c>
      <c r="AO18" s="58">
        <v>17</v>
      </c>
      <c r="AP18" s="160" t="str">
        <f>IFERROR(INDEX(TableOverallMaster[OVERALL PLAYER],MATCH(TableOverallRank[[#This Row],[RK]],TableOverallMaster[OVR RK],0)),"")</f>
        <v>Justin Jefferson</v>
      </c>
      <c r="AQ18" s="161" t="str">
        <f>IFERROR(INDEX(TableOverallMaster[POS RK],MATCH(TableOverallRank[[#This Row],[OVERALL PLAYER]],TableOverallMaster[OVERALL PLAYER],0)),"")</f>
        <v>WR7</v>
      </c>
      <c r="AR18" s="162">
        <f>IFERROR(INDEX(TableOverallMaster[BYE],MATCH(TableOverallRank[[#This Row],[OVERALL PLAYER]],TableOverallMaster[OVERALL PLAYER],0)),"")</f>
        <v>6</v>
      </c>
      <c r="AS18" s="161">
        <f>IFERROR(INDEX(TableOverallMaster[Custom],MATCH(TableOverallRank[[#This Row],[OVERALL PLAYER]],TableOverallMaster[OVERALL PLAYER],0)),"")</f>
        <v>223.24740739596288</v>
      </c>
      <c r="AT18" s="163">
        <f>IFERROR(INDEX(TableOverallMaster[VORP],MATCH(TableOverallRank[[#This Row],[OVERALL PLAYER]],TableOverallMaster[OVERALL PLAYER],0)),"")</f>
        <v>132.96322200559683</v>
      </c>
      <c r="AV18" s="58">
        <v>17</v>
      </c>
      <c r="AW18" s="164" t="str">
        <f>IFERROR(INDEX(TableWRTECalcPts[PLAYER],MATCH(TableWRTERank[[#This Row],[RK]],TableWRTECalcPts[RK],0)),"")</f>
        <v>Rashee Rice</v>
      </c>
      <c r="AX18" s="164" t="str">
        <f>IFERROR(INDEX(TableWRTECalcPts[POS RK],MATCH(TableWRTERank[[#This Row],[WR and TE COMBINED]],TableWRTECalcPts[PLAYER],0)),"")</f>
        <v>WR17</v>
      </c>
      <c r="AY18" s="164">
        <f>IFERROR(INDEX(TableWRTECalcPts[BYE],MATCH(TableWRTERank[[#This Row],[RK]],TableWRTECalcPts[RK],0)),"")</f>
        <v>5</v>
      </c>
      <c r="AZ18" s="165">
        <f>IFERROR(INDEX(TableWRTECalcPts[Custom],MATCH(TableWRTERank[[#This Row],[RK]],TableWRTECalcPts[RK],0)),"")</f>
        <v>197.06183681925825</v>
      </c>
      <c r="BA18" s="166">
        <f>IFERROR((TableWRTERank[[#This Row],[FPS]]-INDEX(TableWRTERank[FPS],MATCH(WRTEVORPCalc,TableWRTERank[RK],0))),"")</f>
        <v>55.825465236966551</v>
      </c>
      <c r="BC18" s="58" t="s">
        <v>148</v>
      </c>
    </row>
    <row r="19" spans="1:55" x14ac:dyDescent="0.25">
      <c r="A19" s="58">
        <v>18</v>
      </c>
      <c r="B19" s="154" t="str">
        <f>IFERROR(INDEX(TableQBCalcPts[PLAYER],MATCH(TableQBVORP[[#This Row],[RK]],TableQBCalcPts[RK],0)),"")</f>
        <v>Kyler Murray</v>
      </c>
      <c r="C19" s="154" t="str">
        <f>IFERROR(INDEX(TableQBCalcPts[TM],MATCH(TableQBVORP[[#This Row],[RK]],TableQBCalcPts[RK],0)),"")</f>
        <v>MIN</v>
      </c>
      <c r="D19" s="154">
        <f>IFERROR(INDEX(TableQBCalcPts[BYE],MATCH(TableQBVORP[[#This Row],[RK]],TableQBCalcPts[RK],0)),"")</f>
        <v>6</v>
      </c>
      <c r="E19" s="155">
        <f>IFERROR(INDEX(TableQBCalcPts[Custom],MATCH(TableQBVORP[[#This Row],[RK]],TableQBCalcPts[RK],0)),"")</f>
        <v>377.21023069187635</v>
      </c>
      <c r="F19" s="156">
        <f>(IFERROR((TableQBVORP[[#This Row],[FPS]]-INDEX(TableQBVORP[FPS],MATCH(QBVORPCalc,TableQBVORP[RK],0))),""))+(TableRBVORP[[#This Row],[VORP]]*0.45)</f>
        <v>79.566105266088897</v>
      </c>
      <c r="H19" s="58">
        <v>18</v>
      </c>
      <c r="I19" s="154" t="str">
        <f>IFERROR(INDEX(TableRBCalcPts[PLAYER],MATCH(TableRBVORP[[#This Row],[RK]],TableRBCalcPts[RK],0)),"")</f>
        <v>Jeremiyah Love</v>
      </c>
      <c r="J19" s="154" t="str">
        <f>IFERROR(INDEX(TableRBCalcPts[TM],MATCH(TableRBVORP[[#This Row],[RK]],TableRBCalcPts[RK],0)),"")</f>
        <v>ARI</v>
      </c>
      <c r="K19" s="154">
        <f>IFERROR(INDEX(TableRBCalcPts[BYE],MATCH(TableRBVORP[[#This Row],[RK]],TableRBCalcPts[RK],0)),"")</f>
        <v>14</v>
      </c>
      <c r="L19" s="155">
        <f>IFERROR(INDEX(TableRBCalcPts[Custom],MATCH(TableRBVORP[[#This Row],[RK]],TableRBCalcPts[RK],0)),"")</f>
        <v>214.72193089157778</v>
      </c>
      <c r="M19" s="156">
        <f>(IFERROR((TableRBVORP[[#This Row],[FPS]]-INDEX(TableRBVORP[FPS],MATCH(RBVORPCalc,TableRBVORP[RK],0))),""))*0.8</f>
        <v>88.571273328440327</v>
      </c>
      <c r="O19" s="58">
        <v>18</v>
      </c>
      <c r="P19" s="154" t="str">
        <f>IFERROR(INDEX(TableWRCalcPts[PLAYER],MATCH(TableWRVORP[[#This Row],[RK]],TableWRCalcPts[RK],0)),"")</f>
        <v>Ladd McConkey</v>
      </c>
      <c r="Q19" s="154" t="str">
        <f>IFERROR(INDEX(TableWRCalcPts[TM],MATCH(TableWRVORP[[#This Row],[RK]],TableWRCalcPts[RK],0)),"")</f>
        <v>LAC</v>
      </c>
      <c r="R19" s="154">
        <f>IFERROR(INDEX(TableWRCalcPts[BYE],MATCH(TableWRVORP[[#This Row],[RK]],TableWRCalcPts[RK],0)),"")</f>
        <v>7</v>
      </c>
      <c r="S19" s="155">
        <f>IFERROR(INDEX(TableWRCalcPts[Custom],MATCH(TableWRVORP[[#This Row],[RK]],TableWRCalcPts[RK],0)),"")</f>
        <v>196.40430309354878</v>
      </c>
      <c r="T19" s="156">
        <f>(IFERROR((TableWRVORP[[#This Row],[FPS]]-INDEX(TableWRVORP[FPS],MATCH(WRVORPCalc,TableWRVORP[RK],0))),""))</f>
        <v>106.12011770318271</v>
      </c>
      <c r="V19" s="58">
        <v>18</v>
      </c>
      <c r="W19" s="154" t="str">
        <f>IFERROR(INDEX(TableTECalcPts[PLAYER],MATCH(TableTEVORP[[#This Row],[RK]],TableTECalcPts[RK],0)),"")</f>
        <v>Hunter Henry</v>
      </c>
      <c r="X19" s="154" t="str">
        <f>IFERROR(INDEX(TableTECalcPts[TM],MATCH(TableTEVORP[[#This Row],[RK]],TableTECalcPts[RK],0)),"")</f>
        <v>NE</v>
      </c>
      <c r="Y19" s="154">
        <f>IFERROR(INDEX(TableTECalcPts[BYE],MATCH(TableTEVORP[[#This Row],[RK]],TableTECalcPts[RK],0)),"")</f>
        <v>11</v>
      </c>
      <c r="Z19" s="155">
        <f>IFERROR(INDEX(TableTECalcPts[Custom],MATCH(TableTEVORP[[#This Row],[RK]],TableTECalcPts[RK],0)),"")</f>
        <v>119.83960027840953</v>
      </c>
      <c r="AA19" s="156">
        <f>IFERROR((TableTEVORP[[#This Row],[FPS]]-INDEX(TableTEVORP[FPS],MATCH(TEVORPCalc,TableTEVORP[RK],0))),"")</f>
        <v>41.953806302167848</v>
      </c>
      <c r="AF19" s="58" t="s">
        <v>7</v>
      </c>
      <c r="AG19" s="58">
        <v>18</v>
      </c>
      <c r="AH19" s="100">
        <f>RANK(TableOverallMaster[[#This Row],[VORP]],TableOverallMaster[VORP])+COUNTIF($AM$2:AM19,AM19)-1</f>
        <v>73</v>
      </c>
      <c r="AI19" s="157" t="str">
        <f>IFERROR(INDEX(TableQBVORP[QUARTERBACK],MATCH(TableOverallMaster[[#This Row],[RK]],TableQBVORP[RK],0)),"")</f>
        <v>Kyler Murray</v>
      </c>
      <c r="AJ19" s="157" t="str">
        <f t="shared" si="0"/>
        <v>QB18</v>
      </c>
      <c r="AK19" s="157">
        <f>IFERROR(INDEX(TableQBVORP[BYE],MATCH(TableOverallMaster[[#This Row],[RK]],TableQBVORP[RK],0)),"")</f>
        <v>6</v>
      </c>
      <c r="AL19" s="158">
        <f>IFERROR(INDEX(TableQBVORP[FPS],MATCH(TableOverallMaster[[#This Row],[RK]],TableQBVORP[RK],0)),"")</f>
        <v>377.21023069187635</v>
      </c>
      <c r="AM19" s="159">
        <f>IFERROR(INDEX(TableQBVORP[VORP],MATCH(TableOverallMaster[[#This Row],[RK]],TableQBVORP[RK],0)),"")</f>
        <v>79.566105266088897</v>
      </c>
      <c r="AO19" s="58">
        <v>18</v>
      </c>
      <c r="AP19" s="160" t="str">
        <f>IFERROR(INDEX(TableOverallMaster[OVERALL PLAYER],MATCH(TableOverallRank[[#This Row],[RK]],TableOverallMaster[OVR RK],0)),"")</f>
        <v>CeeDee Lamb</v>
      </c>
      <c r="AQ19" s="161" t="str">
        <f>IFERROR(INDEX(TableOverallMaster[POS RK],MATCH(TableOverallRank[[#This Row],[OVERALL PLAYER]],TableOverallMaster[OVERALL PLAYER],0)),"")</f>
        <v>WR8</v>
      </c>
      <c r="AR19" s="162">
        <f>IFERROR(INDEX(TableOverallMaster[BYE],MATCH(TableOverallRank[[#This Row],[OVERALL PLAYER]],TableOverallMaster[OVERALL PLAYER],0)),"")</f>
        <v>14</v>
      </c>
      <c r="AS19" s="161">
        <f>IFERROR(INDEX(TableOverallMaster[Custom],MATCH(TableOverallRank[[#This Row],[OVERALL PLAYER]],TableOverallMaster[OVERALL PLAYER],0)),"")</f>
        <v>223.24357321838613</v>
      </c>
      <c r="AT19" s="163">
        <f>IFERROR(INDEX(TableOverallMaster[VORP],MATCH(TableOverallRank[[#This Row],[OVERALL PLAYER]],TableOverallMaster[OVERALL PLAYER],0)),"")</f>
        <v>132.95938782802006</v>
      </c>
      <c r="AV19" s="58">
        <v>18</v>
      </c>
      <c r="AW19" s="164" t="str">
        <f>IFERROR(INDEX(TableWRTECalcPts[PLAYER],MATCH(TableWRTERank[[#This Row],[RK]],TableWRTECalcPts[RK],0)),"")</f>
        <v>Ladd McConkey</v>
      </c>
      <c r="AX19" s="164" t="str">
        <f>IFERROR(INDEX(TableWRTECalcPts[POS RK],MATCH(TableWRTERank[[#This Row],[WR and TE COMBINED]],TableWRTECalcPts[PLAYER],0)),"")</f>
        <v>WR18</v>
      </c>
      <c r="AY19" s="164">
        <f>IFERROR(INDEX(TableWRTECalcPts[BYE],MATCH(TableWRTERank[[#This Row],[RK]],TableWRTECalcPts[RK],0)),"")</f>
        <v>7</v>
      </c>
      <c r="AZ19" s="165">
        <f>IFERROR(INDEX(TableWRTECalcPts[Custom],MATCH(TableWRTERank[[#This Row],[RK]],TableWRTECalcPts[RK],0)),"")</f>
        <v>196.40430309354878</v>
      </c>
      <c r="BA19" s="166">
        <f>IFERROR((TableWRTERank[[#This Row],[FPS]]-INDEX(TableWRTERank[FPS],MATCH(WRTEVORPCalc,TableWRTERank[RK],0))),"")</f>
        <v>55.167931511257081</v>
      </c>
      <c r="BC19" s="58" t="s">
        <v>148</v>
      </c>
    </row>
    <row r="20" spans="1:55" x14ac:dyDescent="0.25">
      <c r="A20" s="58">
        <v>19</v>
      </c>
      <c r="B20" s="154" t="str">
        <f>IFERROR(INDEX(TableQBCalcPts[PLAYER],MATCH(TableQBVORP[[#This Row],[RK]],TableQBCalcPts[RK],0)),"")</f>
        <v>Jordan Love</v>
      </c>
      <c r="C20" s="154" t="str">
        <f>IFERROR(INDEX(TableQBCalcPts[TM],MATCH(TableQBVORP[[#This Row],[RK]],TableQBCalcPts[RK],0)),"")</f>
        <v>GB</v>
      </c>
      <c r="D20" s="154">
        <f>IFERROR(INDEX(TableQBCalcPts[BYE],MATCH(TableQBVORP[[#This Row],[RK]],TableQBCalcPts[RK],0)),"")</f>
        <v>11</v>
      </c>
      <c r="E20" s="155">
        <f>IFERROR(INDEX(TableQBCalcPts[Custom],MATCH(TableQBVORP[[#This Row],[RK]],TableQBCalcPts[RK],0)),"")</f>
        <v>374.83660990818674</v>
      </c>
      <c r="F20" s="156">
        <f>(IFERROR((TableQBVORP[[#This Row],[FPS]]-INDEX(TableQBVORP[FPS],MATCH(QBVORPCalc,TableQBVORP[RK],0))),""))+(TableRBVORP[[#This Row],[VORP]]*0.45)</f>
        <v>74.307246240765963</v>
      </c>
      <c r="H20" s="58">
        <v>19</v>
      </c>
      <c r="I20" s="154" t="str">
        <f>IFERROR(INDEX(TableRBCalcPts[PLAYER],MATCH(TableRBVORP[[#This Row],[RK]],TableRBCalcPts[RK],0)),"")</f>
        <v>Travis Etienne</v>
      </c>
      <c r="J20" s="154" t="str">
        <f>IFERROR(INDEX(TableRBCalcPts[TM],MATCH(TableRBVORP[[#This Row],[RK]],TableRBCalcPts[RK],0)),"")</f>
        <v>NO</v>
      </c>
      <c r="K20" s="154">
        <f>IFERROR(INDEX(TableRBCalcPts[BYE],MATCH(TableRBVORP[[#This Row],[RK]],TableRBCalcPts[RK],0)),"")</f>
        <v>8</v>
      </c>
      <c r="L20" s="155">
        <f>IFERROR(INDEX(TableRBCalcPts[Custom],MATCH(TableRBVORP[[#This Row],[RK]],TableRBCalcPts[RK],0)),"")</f>
        <v>206.70738022037409</v>
      </c>
      <c r="M20" s="156">
        <f>(IFERROR((TableRBVORP[[#This Row],[FPS]]-INDEX(TableRBVORP[FPS],MATCH(RBVORPCalc,TableRBVORP[RK],0))),""))*0.8</f>
        <v>82.159632791477378</v>
      </c>
      <c r="O20" s="58">
        <v>19</v>
      </c>
      <c r="P20" s="154" t="str">
        <f>IFERROR(INDEX(TableWRCalcPts[PLAYER],MATCH(TableWRVORP[[#This Row],[RK]],TableWRCalcPts[RK],0)),"")</f>
        <v>Chris Olave</v>
      </c>
      <c r="Q20" s="154" t="str">
        <f>IFERROR(INDEX(TableWRCalcPts[TM],MATCH(TableWRVORP[[#This Row],[RK]],TableWRCalcPts[RK],0)),"")</f>
        <v>NO</v>
      </c>
      <c r="R20" s="154">
        <f>IFERROR(INDEX(TableWRCalcPts[BYE],MATCH(TableWRVORP[[#This Row],[RK]],TableWRCalcPts[RK],0)),"")</f>
        <v>8</v>
      </c>
      <c r="S20" s="155">
        <f>IFERROR(INDEX(TableWRCalcPts[Custom],MATCH(TableWRVORP[[#This Row],[RK]],TableWRCalcPts[RK],0)),"")</f>
        <v>193.42620577280005</v>
      </c>
      <c r="T20" s="156">
        <f>(IFERROR((TableWRVORP[[#This Row],[FPS]]-INDEX(TableWRVORP[FPS],MATCH(WRVORPCalc,TableWRVORP[RK],0))),""))</f>
        <v>103.14202038243398</v>
      </c>
      <c r="V20" s="58">
        <v>19</v>
      </c>
      <c r="W20" s="154" t="str">
        <f>IFERROR(INDEX(TableTECalcPts[PLAYER],MATCH(TableTEVORP[[#This Row],[RK]],TableTECalcPts[RK],0)),"")</f>
        <v>Dallas Goedert</v>
      </c>
      <c r="X20" s="154" t="str">
        <f>IFERROR(INDEX(TableTECalcPts[TM],MATCH(TableTEVORP[[#This Row],[RK]],TableTECalcPts[RK],0)),"")</f>
        <v>PHI</v>
      </c>
      <c r="Y20" s="154">
        <f>IFERROR(INDEX(TableTECalcPts[BYE],MATCH(TableTEVORP[[#This Row],[RK]],TableTECalcPts[RK],0)),"")</f>
        <v>10</v>
      </c>
      <c r="Z20" s="155">
        <f>IFERROR(INDEX(TableTECalcPts[Custom],MATCH(TableTEVORP[[#This Row],[RK]],TableTECalcPts[RK],0)),"")</f>
        <v>114.12704445993541</v>
      </c>
      <c r="AA20" s="156">
        <f>IFERROR((TableTEVORP[[#This Row],[FPS]]-INDEX(TableTEVORP[FPS],MATCH(TEVORPCalc,TableTEVORP[RK],0))),"")</f>
        <v>36.241250483693719</v>
      </c>
      <c r="AF20" s="58" t="s">
        <v>7</v>
      </c>
      <c r="AG20" s="58">
        <v>19</v>
      </c>
      <c r="AH20" s="100">
        <f>RANK(TableOverallMaster[[#This Row],[VORP]],TableOverallMaster[VORP])+COUNTIF($AM$2:AM20,AM20)-1</f>
        <v>81</v>
      </c>
      <c r="AI20" s="157" t="str">
        <f>IFERROR(INDEX(TableQBVORP[QUARTERBACK],MATCH(TableOverallMaster[[#This Row],[RK]],TableQBVORP[RK],0)),"")</f>
        <v>Jordan Love</v>
      </c>
      <c r="AJ20" s="157" t="str">
        <f t="shared" si="0"/>
        <v>QB19</v>
      </c>
      <c r="AK20" s="157">
        <f>IFERROR(INDEX(TableQBVORP[BYE],MATCH(TableOverallMaster[[#This Row],[RK]],TableQBVORP[RK],0)),"")</f>
        <v>11</v>
      </c>
      <c r="AL20" s="158">
        <f>IFERROR(INDEX(TableQBVORP[FPS],MATCH(TableOverallMaster[[#This Row],[RK]],TableQBVORP[RK],0)),"")</f>
        <v>374.83660990818674</v>
      </c>
      <c r="AM20" s="159">
        <f>IFERROR(INDEX(TableQBVORP[VORP],MATCH(TableOverallMaster[[#This Row],[RK]],TableQBVORP[RK],0)),"")</f>
        <v>74.307246240765963</v>
      </c>
      <c r="AO20" s="58">
        <v>19</v>
      </c>
      <c r="AP20" s="160" t="str">
        <f>IFERROR(INDEX(TableOverallMaster[OVERALL PLAYER],MATCH(TableOverallRank[[#This Row],[RK]],TableOverallMaster[OVR RK],0)),"")</f>
        <v>Patrick Mahomes</v>
      </c>
      <c r="AQ20" s="161" t="str">
        <f>IFERROR(INDEX(TableOverallMaster[POS RK],MATCH(TableOverallRank[[#This Row],[OVERALL PLAYER]],TableOverallMaster[OVERALL PLAYER],0)),"")</f>
        <v>QB7</v>
      </c>
      <c r="AR20" s="162">
        <f>IFERROR(INDEX(TableOverallMaster[BYE],MATCH(TableOverallRank[[#This Row],[OVERALL PLAYER]],TableOverallMaster[OVERALL PLAYER],0)),"")</f>
        <v>5</v>
      </c>
      <c r="AS20" s="161">
        <f>IFERROR(INDEX(TableOverallMaster[Custom],MATCH(TableOverallRank[[#This Row],[OVERALL PLAYER]],TableOverallMaster[OVERALL PLAYER],0)),"")</f>
        <v>417.24225265291568</v>
      </c>
      <c r="AT20" s="163">
        <f>IFERROR(INDEX(TableOverallMaster[VORP],MATCH(TableOverallRank[[#This Row],[OVERALL PLAYER]],TableOverallMaster[OVERALL PLAYER],0)),"")</f>
        <v>131.82464292837147</v>
      </c>
      <c r="AV20" s="58">
        <v>19</v>
      </c>
      <c r="AW20" s="164" t="str">
        <f>IFERROR(INDEX(TableWRTECalcPts[PLAYER],MATCH(TableWRTERank[[#This Row],[RK]],TableWRTECalcPts[RK],0)),"")</f>
        <v>Colston Loveland</v>
      </c>
      <c r="AX20" s="164" t="str">
        <f>IFERROR(INDEX(TableWRTECalcPts[POS RK],MATCH(TableWRTERank[[#This Row],[WR and TE COMBINED]],TableWRTECalcPts[PLAYER],0)),"")</f>
        <v>TE1</v>
      </c>
      <c r="AY20" s="164">
        <f>IFERROR(INDEX(TableWRTECalcPts[BYE],MATCH(TableWRTERank[[#This Row],[RK]],TableWRTECalcPts[RK],0)),"")</f>
        <v>10</v>
      </c>
      <c r="AZ20" s="165">
        <f>IFERROR(INDEX(TableWRTECalcPts[Custom],MATCH(TableWRTERank[[#This Row],[RK]],TableWRTECalcPts[RK],0)),"")</f>
        <v>193.51107011578497</v>
      </c>
      <c r="BA20" s="166">
        <f>IFERROR((TableWRTERank[[#This Row],[FPS]]-INDEX(TableWRTERank[FPS],MATCH(WRTEVORPCalc,TableWRTERank[RK],0))),"")</f>
        <v>52.274698533493279</v>
      </c>
      <c r="BC20" s="58" t="s">
        <v>148</v>
      </c>
    </row>
    <row r="21" spans="1:55" x14ac:dyDescent="0.25">
      <c r="A21" s="58">
        <v>20</v>
      </c>
      <c r="B21" s="154" t="str">
        <f>IFERROR(INDEX(TableQBCalcPts[PLAYER],MATCH(TableQBVORP[[#This Row],[RK]],TableQBCalcPts[RK],0)),"")</f>
        <v>C.J. Stroud</v>
      </c>
      <c r="C21" s="154" t="str">
        <f>IFERROR(INDEX(TableQBCalcPts[TM],MATCH(TableQBVORP[[#This Row],[RK]],TableQBCalcPts[RK],0)),"")</f>
        <v>HOU</v>
      </c>
      <c r="D21" s="154">
        <f>IFERROR(INDEX(TableQBCalcPts[BYE],MATCH(TableQBVORP[[#This Row],[RK]],TableQBCalcPts[RK],0)),"")</f>
        <v>8</v>
      </c>
      <c r="E21" s="155">
        <f>IFERROR(INDEX(TableQBCalcPts[Custom],MATCH(TableQBVORP[[#This Row],[RK]],TableQBCalcPts[RK],0)),"")</f>
        <v>366.66195305256093</v>
      </c>
      <c r="F21" s="156">
        <f>(IFERROR((TableQBVORP[[#This Row],[FPS]]-INDEX(TableQBVORP[FPS],MATCH(QBVORPCalc,TableQBVORP[RK],0))),""))+(TableRBVORP[[#This Row],[VORP]]*0.45)</f>
        <v>63.404677026481217</v>
      </c>
      <c r="H21" s="58">
        <v>20</v>
      </c>
      <c r="I21" s="154" t="str">
        <f>IFERROR(INDEX(TableRBCalcPts[PLAYER],MATCH(TableRBVORP[[#This Row],[RK]],TableRBCalcPts[RK],0)),"")</f>
        <v>Bhayshul Tuten</v>
      </c>
      <c r="J21" s="154" t="str">
        <f>IFERROR(INDEX(TableRBCalcPts[TM],MATCH(TableRBVORP[[#This Row],[RK]],TableRBCalcPts[RK],0)),"")</f>
        <v>JAX</v>
      </c>
      <c r="K21" s="154">
        <f>IFERROR(INDEX(TableRBCalcPts[BYE],MATCH(TableRBVORP[[#This Row],[RK]],TableRBCalcPts[RK],0)),"")</f>
        <v>7</v>
      </c>
      <c r="L21" s="155">
        <f>IFERROR(INDEX(TableRBCalcPts[Custom],MATCH(TableRBVORP[[#This Row],[RK]],TableRBCalcPts[RK],0)),"")</f>
        <v>199.12984589076595</v>
      </c>
      <c r="M21" s="156">
        <f>(IFERROR((TableRBVORP[[#This Row],[FPS]]-INDEX(TableRBVORP[FPS],MATCH(RBVORPCalc,TableRBVORP[RK],0))),""))*0.8</f>
        <v>76.097605327790859</v>
      </c>
      <c r="O21" s="58">
        <v>20</v>
      </c>
      <c r="P21" s="154" t="str">
        <f>IFERROR(INDEX(TableWRCalcPts[PLAYER],MATCH(TableWRVORP[[#This Row],[RK]],TableWRCalcPts[RK],0)),"")</f>
        <v>Mike Evans</v>
      </c>
      <c r="Q21" s="154" t="str">
        <f>IFERROR(INDEX(TableWRCalcPts[TM],MATCH(TableWRVORP[[#This Row],[RK]],TableWRCalcPts[RK],0)),"")</f>
        <v>SF</v>
      </c>
      <c r="R21" s="154">
        <f>IFERROR(INDEX(TableWRCalcPts[BYE],MATCH(TableWRVORP[[#This Row],[RK]],TableWRCalcPts[RK],0)),"")</f>
        <v>8</v>
      </c>
      <c r="S21" s="155">
        <f>IFERROR(INDEX(TableWRCalcPts[Custom],MATCH(TableWRVORP[[#This Row],[RK]],TableWRCalcPts[RK],0)),"")</f>
        <v>192.40786039577091</v>
      </c>
      <c r="T21" s="156">
        <f>(IFERROR((TableWRVORP[[#This Row],[FPS]]-INDEX(TableWRVORP[FPS],MATCH(WRVORPCalc,TableWRVORP[RK],0))),""))</f>
        <v>102.12367500540485</v>
      </c>
      <c r="V21" s="58">
        <v>20</v>
      </c>
      <c r="W21" s="154" t="str">
        <f>IFERROR(INDEX(TableTECalcPts[PLAYER],MATCH(TableTEVORP[[#This Row],[RK]],TableTECalcPts[RK],0)),"")</f>
        <v>Greg Dulcich</v>
      </c>
      <c r="X21" s="154" t="str">
        <f>IFERROR(INDEX(TableTECalcPts[TM],MATCH(TableTEVORP[[#This Row],[RK]],TableTECalcPts[RK],0)),"")</f>
        <v>MIA</v>
      </c>
      <c r="Y21" s="154">
        <f>IFERROR(INDEX(TableTECalcPts[BYE],MATCH(TableTEVORP[[#This Row],[RK]],TableTECalcPts[RK],0)),"")</f>
        <v>6</v>
      </c>
      <c r="Z21" s="155">
        <f>IFERROR(INDEX(TableTECalcPts[Custom],MATCH(TableTEVORP[[#This Row],[RK]],TableTECalcPts[RK],0)),"")</f>
        <v>110.66370102094356</v>
      </c>
      <c r="AA21" s="156">
        <f>IFERROR((TableTEVORP[[#This Row],[FPS]]-INDEX(TableTEVORP[FPS],MATCH(TEVORPCalc,TableTEVORP[RK],0))),"")</f>
        <v>32.777907044701877</v>
      </c>
      <c r="AF21" s="58" t="s">
        <v>7</v>
      </c>
      <c r="AG21" s="58">
        <v>20</v>
      </c>
      <c r="AH21" s="100">
        <f>RANK(TableOverallMaster[[#This Row],[VORP]],TableOverallMaster[VORP])+COUNTIF($AM$2:AM21,AM21)-1</f>
        <v>93</v>
      </c>
      <c r="AI21" s="157" t="str">
        <f>IFERROR(INDEX(TableQBVORP[QUARTERBACK],MATCH(TableOverallMaster[[#This Row],[RK]],TableQBVORP[RK],0)),"")</f>
        <v>C.J. Stroud</v>
      </c>
      <c r="AJ21" s="157" t="str">
        <f t="shared" si="0"/>
        <v>QB20</v>
      </c>
      <c r="AK21" s="157">
        <f>IFERROR(INDEX(TableQBVORP[BYE],MATCH(TableOverallMaster[[#This Row],[RK]],TableQBVORP[RK],0)),"")</f>
        <v>8</v>
      </c>
      <c r="AL21" s="158">
        <f>IFERROR(INDEX(TableQBVORP[FPS],MATCH(TableOverallMaster[[#This Row],[RK]],TableQBVORP[RK],0)),"")</f>
        <v>366.66195305256093</v>
      </c>
      <c r="AM21" s="159">
        <f>IFERROR(INDEX(TableQBVORP[VORP],MATCH(TableOverallMaster[[#This Row],[RK]],TableQBVORP[RK],0)),"")</f>
        <v>63.404677026481217</v>
      </c>
      <c r="AO21" s="58">
        <v>20</v>
      </c>
      <c r="AP21" s="160" t="str">
        <f>IFERROR(INDEX(TableOverallMaster[OVERALL PLAYER],MATCH(TableOverallRank[[#This Row],[RK]],TableOverallMaster[OVR RK],0)),"")</f>
        <v>A.J. Brown</v>
      </c>
      <c r="AQ21" s="161" t="str">
        <f>IFERROR(INDEX(TableOverallMaster[POS RK],MATCH(TableOverallRank[[#This Row],[OVERALL PLAYER]],TableOverallMaster[OVERALL PLAYER],0)),"")</f>
        <v>WR9</v>
      </c>
      <c r="AR21" s="162">
        <f>IFERROR(INDEX(TableOverallMaster[BYE],MATCH(TableOverallRank[[#This Row],[OVERALL PLAYER]],TableOverallMaster[OVERALL PLAYER],0)),"")</f>
        <v>11</v>
      </c>
      <c r="AS21" s="161">
        <f>IFERROR(INDEX(TableOverallMaster[Custom],MATCH(TableOverallRank[[#This Row],[OVERALL PLAYER]],TableOverallMaster[OVERALL PLAYER],0)),"")</f>
        <v>221.00500461508548</v>
      </c>
      <c r="AT21" s="163">
        <f>IFERROR(INDEX(TableOverallMaster[VORP],MATCH(TableOverallRank[[#This Row],[OVERALL PLAYER]],TableOverallMaster[OVERALL PLAYER],0)),"")</f>
        <v>130.72081922471943</v>
      </c>
      <c r="AV21" s="58">
        <v>20</v>
      </c>
      <c r="AW21" s="164" t="str">
        <f>IFERROR(INDEX(TableWRTECalcPts[PLAYER],MATCH(TableWRTERank[[#This Row],[RK]],TableWRTECalcPts[RK],0)),"")</f>
        <v>Chris Olave</v>
      </c>
      <c r="AX21" s="164" t="str">
        <f>IFERROR(INDEX(TableWRTECalcPts[POS RK],MATCH(TableWRTERank[[#This Row],[WR and TE COMBINED]],TableWRTECalcPts[PLAYER],0)),"")</f>
        <v>WR19</v>
      </c>
      <c r="AY21" s="164">
        <f>IFERROR(INDEX(TableWRTECalcPts[BYE],MATCH(TableWRTERank[[#This Row],[RK]],TableWRTECalcPts[RK],0)),"")</f>
        <v>8</v>
      </c>
      <c r="AZ21" s="165">
        <f>IFERROR(INDEX(TableWRTECalcPts[Custom],MATCH(TableWRTERank[[#This Row],[RK]],TableWRTECalcPts[RK],0)),"")</f>
        <v>193.42620577280005</v>
      </c>
      <c r="BA21" s="166">
        <f>IFERROR((TableWRTERank[[#This Row],[FPS]]-INDEX(TableWRTERank[FPS],MATCH(WRTEVORPCalc,TableWRTERank[RK],0))),"")</f>
        <v>52.18983419050835</v>
      </c>
      <c r="BC21" s="58" t="s">
        <v>148</v>
      </c>
    </row>
    <row r="22" spans="1:55" x14ac:dyDescent="0.25">
      <c r="A22" s="58">
        <v>21</v>
      </c>
      <c r="B22" s="154" t="str">
        <f>IFERROR(INDEX(TableQBCalcPts[PLAYER],MATCH(TableQBVORP[[#This Row],[RK]],TableQBCalcPts[RK],0)),"")</f>
        <v>Sam Darnold</v>
      </c>
      <c r="C22" s="154" t="str">
        <f>IFERROR(INDEX(TableQBCalcPts[TM],MATCH(TableQBVORP[[#This Row],[RK]],TableQBCalcPts[RK],0)),"")</f>
        <v>SEA</v>
      </c>
      <c r="D22" s="154">
        <f>IFERROR(INDEX(TableQBCalcPts[BYE],MATCH(TableQBVORP[[#This Row],[RK]],TableQBCalcPts[RK],0)),"")</f>
        <v>11</v>
      </c>
      <c r="E22" s="155">
        <f>IFERROR(INDEX(TableQBCalcPts[Custom],MATCH(TableQBVORP[[#This Row],[RK]],TableQBCalcPts[RK],0)),"")</f>
        <v>361.25469849816261</v>
      </c>
      <c r="F22" s="156">
        <f>(IFERROR((TableQBVORP[[#This Row],[FPS]]-INDEX(TableQBVORP[FPS],MATCH(QBVORPCalc,TableQBVORP[RK],0))),""))+(TableRBVORP[[#This Row],[VORP]]*0.45)</f>
        <v>56.639051567621941</v>
      </c>
      <c r="H22" s="58">
        <v>21</v>
      </c>
      <c r="I22" s="154" t="str">
        <f>IFERROR(INDEX(TableRBCalcPts[PLAYER],MATCH(TableRBVORP[[#This Row],[RK]],TableRBCalcPts[RK],0)),"")</f>
        <v>David Montgomery</v>
      </c>
      <c r="J22" s="154" t="str">
        <f>IFERROR(INDEX(TableRBCalcPts[TM],MATCH(TableRBVORP[[#This Row],[RK]],TableRBCalcPts[RK],0)),"")</f>
        <v>HOU</v>
      </c>
      <c r="K22" s="154">
        <f>IFERROR(INDEX(TableRBCalcPts[BYE],MATCH(TableRBVORP[[#This Row],[RK]],TableRBCalcPts[RK],0)),"")</f>
        <v>8</v>
      </c>
      <c r="L22" s="155">
        <f>IFERROR(INDEX(TableRBCalcPts[Custom],MATCH(TableRBVORP[[#This Row],[RK]],TableRBCalcPts[RK],0)),"")</f>
        <v>195.35659337837441</v>
      </c>
      <c r="M22" s="156">
        <f>(IFERROR((TableRBVORP[[#This Row],[FPS]]-INDEX(TableRBVORP[FPS],MATCH(RBVORPCalc,TableRBVORP[RK],0))),""))*0.8</f>
        <v>73.079003317877635</v>
      </c>
      <c r="O22" s="58">
        <v>21</v>
      </c>
      <c r="P22" s="154" t="str">
        <f>IFERROR(INDEX(TableWRCalcPts[PLAYER],MATCH(TableWRVORP[[#This Row],[RK]],TableWRCalcPts[RK],0)),"")</f>
        <v>Luther Burden</v>
      </c>
      <c r="Q22" s="154" t="str">
        <f>IFERROR(INDEX(TableWRCalcPts[TM],MATCH(TableWRVORP[[#This Row],[RK]],TableWRCalcPts[RK],0)),"")</f>
        <v>CHI</v>
      </c>
      <c r="R22" s="154">
        <f>IFERROR(INDEX(TableWRCalcPts[BYE],MATCH(TableWRVORP[[#This Row],[RK]],TableWRCalcPts[RK],0)),"")</f>
        <v>10</v>
      </c>
      <c r="S22" s="155">
        <f>IFERROR(INDEX(TableWRCalcPts[Custom],MATCH(TableWRVORP[[#This Row],[RK]],TableWRCalcPts[RK],0)),"")</f>
        <v>192.08515296732605</v>
      </c>
      <c r="T22" s="156">
        <f>(IFERROR((TableWRVORP[[#This Row],[FPS]]-INDEX(TableWRVORP[FPS],MATCH(WRVORPCalc,TableWRVORP[RK],0))),""))</f>
        <v>101.80096757695999</v>
      </c>
      <c r="V22" s="58">
        <v>21</v>
      </c>
      <c r="W22" s="154" t="str">
        <f>IFERROR(INDEX(TableTECalcPts[PLAYER],MATCH(TableTEVORP[[#This Row],[RK]],TableTECalcPts[RK],0)),"")</f>
        <v>Pat Freiermuth</v>
      </c>
      <c r="X22" s="154" t="str">
        <f>IFERROR(INDEX(TableTECalcPts[TM],MATCH(TableTEVORP[[#This Row],[RK]],TableTECalcPts[RK],0)),"")</f>
        <v>PIT</v>
      </c>
      <c r="Y22" s="154">
        <f>IFERROR(INDEX(TableTECalcPts[BYE],MATCH(TableTEVORP[[#This Row],[RK]],TableTECalcPts[RK],0)),"")</f>
        <v>9</v>
      </c>
      <c r="Z22" s="155">
        <f>IFERROR(INDEX(TableTECalcPts[Custom],MATCH(TableTEVORP[[#This Row],[RK]],TableTECalcPts[RK],0)),"")</f>
        <v>109.06915797030996</v>
      </c>
      <c r="AA22" s="156">
        <f>IFERROR((TableTEVORP[[#This Row],[FPS]]-INDEX(TableTEVORP[FPS],MATCH(TEVORPCalc,TableTEVORP[RK],0))),"")</f>
        <v>31.183363994068273</v>
      </c>
      <c r="AF22" s="58" t="s">
        <v>7</v>
      </c>
      <c r="AG22" s="58">
        <v>21</v>
      </c>
      <c r="AH22" s="100">
        <f>RANK(TableOverallMaster[[#This Row],[VORP]],TableOverallMaster[VORP])+COUNTIF($AM$2:AM22,AM22)-1</f>
        <v>107</v>
      </c>
      <c r="AI22" s="157" t="str">
        <f>IFERROR(INDEX(TableQBVORP[QUARTERBACK],MATCH(TableOverallMaster[[#This Row],[RK]],TableQBVORP[RK],0)),"")</f>
        <v>Sam Darnold</v>
      </c>
      <c r="AJ22" s="157" t="str">
        <f t="shared" si="0"/>
        <v>QB21</v>
      </c>
      <c r="AK22" s="157">
        <f>IFERROR(INDEX(TableQBVORP[BYE],MATCH(TableOverallMaster[[#This Row],[RK]],TableQBVORP[RK],0)),"")</f>
        <v>11</v>
      </c>
      <c r="AL22" s="158">
        <f>IFERROR(INDEX(TableQBVORP[FPS],MATCH(TableOverallMaster[[#This Row],[RK]],TableQBVORP[RK],0)),"")</f>
        <v>361.25469849816261</v>
      </c>
      <c r="AM22" s="159">
        <f>IFERROR(INDEX(TableQBVORP[VORP],MATCH(TableOverallMaster[[#This Row],[RK]],TableQBVORP[RK],0)),"")</f>
        <v>56.639051567621941</v>
      </c>
      <c r="AO22" s="58">
        <v>21</v>
      </c>
      <c r="AP22" s="160" t="str">
        <f>IFERROR(INDEX(TableOverallMaster[OVERALL PLAYER],MATCH(TableOverallRank[[#This Row],[RK]],TableOverallMaster[OVR RK],0)),"")</f>
        <v>Jared Goff</v>
      </c>
      <c r="AQ22" s="161" t="str">
        <f>IFERROR(INDEX(TableOverallMaster[POS RK],MATCH(TableOverallRank[[#This Row],[OVERALL PLAYER]],TableOverallMaster[OVERALL PLAYER],0)),"")</f>
        <v>QB8</v>
      </c>
      <c r="AR22" s="162">
        <f>IFERROR(INDEX(TableOverallMaster[BYE],MATCH(TableOverallRank[[#This Row],[OVERALL PLAYER]],TableOverallMaster[OVERALL PLAYER],0)),"")</f>
        <v>6</v>
      </c>
      <c r="AS22" s="161">
        <f>IFERROR(INDEX(TableOverallMaster[Custom],MATCH(TableOverallRank[[#This Row],[OVERALL PLAYER]],TableOverallMaster[OVERALL PLAYER],0)),"")</f>
        <v>415.16833542295586</v>
      </c>
      <c r="AT22" s="163">
        <f>IFERROR(INDEX(TableOverallMaster[VORP],MATCH(TableOverallRank[[#This Row],[OVERALL PLAYER]],TableOverallMaster[OVERALL PLAYER],0)),"")</f>
        <v>126.91803961249551</v>
      </c>
      <c r="AV22" s="58">
        <v>21</v>
      </c>
      <c r="AW22" s="164" t="str">
        <f>IFERROR(INDEX(TableWRTECalcPts[PLAYER],MATCH(TableWRTERank[[#This Row],[RK]],TableWRTECalcPts[RK],0)),"")</f>
        <v>Mike Evans</v>
      </c>
      <c r="AX22" s="164" t="str">
        <f>IFERROR(INDEX(TableWRTECalcPts[POS RK],MATCH(TableWRTERank[[#This Row],[WR and TE COMBINED]],TableWRTECalcPts[PLAYER],0)),"")</f>
        <v>WR20</v>
      </c>
      <c r="AY22" s="164">
        <f>IFERROR(INDEX(TableWRTECalcPts[BYE],MATCH(TableWRTERank[[#This Row],[RK]],TableWRTECalcPts[RK],0)),"")</f>
        <v>8</v>
      </c>
      <c r="AZ22" s="165">
        <f>IFERROR(INDEX(TableWRTECalcPts[Custom],MATCH(TableWRTERank[[#This Row],[RK]],TableWRTECalcPts[RK],0)),"")</f>
        <v>192.40786039577091</v>
      </c>
      <c r="BA22" s="166">
        <f>IFERROR((TableWRTERank[[#This Row],[FPS]]-INDEX(TableWRTERank[FPS],MATCH(WRTEVORPCalc,TableWRTERank[RK],0))),"")</f>
        <v>51.171488813479215</v>
      </c>
      <c r="BC22" s="58" t="s">
        <v>148</v>
      </c>
    </row>
    <row r="23" spans="1:55" x14ac:dyDescent="0.25">
      <c r="A23" s="58">
        <v>22</v>
      </c>
      <c r="B23" s="154" t="str">
        <f>IFERROR(INDEX(TableQBCalcPts[PLAYER],MATCH(TableQBVORP[[#This Row],[RK]],TableQBCalcPts[RK],0)),"")</f>
        <v>Malik Willis</v>
      </c>
      <c r="C23" s="154" t="str">
        <f>IFERROR(INDEX(TableQBCalcPts[TM],MATCH(TableQBVORP[[#This Row],[RK]],TableQBCalcPts[RK],0)),"")</f>
        <v>MIA</v>
      </c>
      <c r="D23" s="154">
        <f>IFERROR(INDEX(TableQBCalcPts[BYE],MATCH(TableQBVORP[[#This Row],[RK]],TableQBCalcPts[RK],0)),"")</f>
        <v>6</v>
      </c>
      <c r="E23" s="155">
        <f>IFERROR(INDEX(TableQBCalcPts[Custom],MATCH(TableQBVORP[[#This Row],[RK]],TableQBCalcPts[RK],0)),"")</f>
        <v>356.96347448918812</v>
      </c>
      <c r="F23" s="156">
        <f>(IFERROR((TableQBVORP[[#This Row],[FPS]]-INDEX(TableQBVORP[FPS],MATCH(QBVORPCalc,TableQBVORP[RK],0))),""))+(TableRBVORP[[#This Row],[VORP]]*0.45)</f>
        <v>50.660327398545164</v>
      </c>
      <c r="H23" s="58">
        <v>22</v>
      </c>
      <c r="I23" s="154" t="str">
        <f>IFERROR(INDEX(TableRBCalcPts[PLAYER],MATCH(TableRBVORP[[#This Row],[RK]],TableRBCalcPts[RK],0)),"")</f>
        <v>TreVeyon Henderson</v>
      </c>
      <c r="J23" s="154" t="str">
        <f>IFERROR(INDEX(TableRBCalcPts[TM],MATCH(TableRBVORP[[#This Row],[RK]],TableRBCalcPts[RK],0)),"")</f>
        <v>NE</v>
      </c>
      <c r="K23" s="154">
        <f>IFERROR(INDEX(TableRBCalcPts[BYE],MATCH(TableRBVORP[[#This Row],[RK]],TableRBCalcPts[RK],0)),"")</f>
        <v>11</v>
      </c>
      <c r="L23" s="155">
        <f>IFERROR(INDEX(TableRBCalcPts[Custom],MATCH(TableRBVORP[[#This Row],[RK]],TableRBCalcPts[RK],0)),"")</f>
        <v>190.66909293364586</v>
      </c>
      <c r="M23" s="156">
        <f>(IFERROR((TableRBVORP[[#This Row],[FPS]]-INDEX(TableRBVORP[FPS],MATCH(RBVORPCalc,TableRBVORP[RK],0))),""))*0.8</f>
        <v>69.329002962094791</v>
      </c>
      <c r="O23" s="58">
        <v>22</v>
      </c>
      <c r="P23" s="154" t="str">
        <f>IFERROR(INDEX(TableWRCalcPts[PLAYER],MATCH(TableWRVORP[[#This Row],[RK]],TableWRCalcPts[RK],0)),"")</f>
        <v>Davante Adams</v>
      </c>
      <c r="Q23" s="154" t="str">
        <f>IFERROR(INDEX(TableWRCalcPts[TM],MATCH(TableWRVORP[[#This Row],[RK]],TableWRCalcPts[RK],0)),"")</f>
        <v>LAR</v>
      </c>
      <c r="R23" s="154">
        <f>IFERROR(INDEX(TableWRCalcPts[BYE],MATCH(TableWRVORP[[#This Row],[RK]],TableWRCalcPts[RK],0)),"")</f>
        <v>11</v>
      </c>
      <c r="S23" s="155">
        <f>IFERROR(INDEX(TableWRCalcPts[Custom],MATCH(TableWRVORP[[#This Row],[RK]],TableWRCalcPts[RK],0)),"")</f>
        <v>189.81633003807275</v>
      </c>
      <c r="T23" s="156">
        <f>(IFERROR((TableWRVORP[[#This Row],[FPS]]-INDEX(TableWRVORP[FPS],MATCH(WRVORPCalc,TableWRVORP[RK],0))),""))</f>
        <v>99.532144647706687</v>
      </c>
      <c r="V23" s="58">
        <v>22</v>
      </c>
      <c r="W23" s="154" t="str">
        <f>IFERROR(INDEX(TableTECalcPts[PLAYER],MATCH(TableTEVORP[[#This Row],[RK]],TableTECalcPts[RK],0)),"")</f>
        <v>Juwan Johnson</v>
      </c>
      <c r="X23" s="154" t="str">
        <f>IFERROR(INDEX(TableTECalcPts[TM],MATCH(TableTEVORP[[#This Row],[RK]],TableTECalcPts[RK],0)),"")</f>
        <v>NO</v>
      </c>
      <c r="Y23" s="154">
        <f>IFERROR(INDEX(TableTECalcPts[BYE],MATCH(TableTEVORP[[#This Row],[RK]],TableTECalcPts[RK],0)),"")</f>
        <v>8</v>
      </c>
      <c r="Z23" s="155">
        <f>IFERROR(INDEX(TableTECalcPts[Custom],MATCH(TableTEVORP[[#This Row],[RK]],TableTECalcPts[RK],0)),"")</f>
        <v>100.82874804237828</v>
      </c>
      <c r="AA23" s="156">
        <f>IFERROR((TableTEVORP[[#This Row],[FPS]]-INDEX(TableTEVORP[FPS],MATCH(TEVORPCalc,TableTEVORP[RK],0))),"")</f>
        <v>22.942954066136593</v>
      </c>
      <c r="AF23" s="58" t="s">
        <v>7</v>
      </c>
      <c r="AG23" s="58">
        <v>22</v>
      </c>
      <c r="AH23" s="100">
        <f>RANK(TableOverallMaster[[#This Row],[VORP]],TableOverallMaster[VORP])+COUNTIF($AM$2:AM23,AM23)-1</f>
        <v>116</v>
      </c>
      <c r="AI23" s="157" t="str">
        <f>IFERROR(INDEX(TableQBVORP[QUARTERBACK],MATCH(TableOverallMaster[[#This Row],[RK]],TableQBVORP[RK],0)),"")</f>
        <v>Malik Willis</v>
      </c>
      <c r="AJ23" s="157" t="str">
        <f t="shared" si="0"/>
        <v>QB22</v>
      </c>
      <c r="AK23" s="157">
        <f>IFERROR(INDEX(TableQBVORP[BYE],MATCH(TableOverallMaster[[#This Row],[RK]],TableQBVORP[RK],0)),"")</f>
        <v>6</v>
      </c>
      <c r="AL23" s="158">
        <f>IFERROR(INDEX(TableQBVORP[FPS],MATCH(TableOverallMaster[[#This Row],[RK]],TableQBVORP[RK],0)),"")</f>
        <v>356.96347448918812</v>
      </c>
      <c r="AM23" s="159">
        <f>IFERROR(INDEX(TableQBVORP[VORP],MATCH(TableOverallMaster[[#This Row],[RK]],TableQBVORP[RK],0)),"")</f>
        <v>50.660327398545164</v>
      </c>
      <c r="AO23" s="58">
        <v>22</v>
      </c>
      <c r="AP23" s="160" t="str">
        <f>IFERROR(INDEX(TableOverallMaster[OVERALL PLAYER],MATCH(TableOverallRank[[#This Row],[RK]],TableOverallMaster[OVR RK],0)),"")</f>
        <v>Matthew Stafford</v>
      </c>
      <c r="AQ23" s="161" t="str">
        <f>IFERROR(INDEX(TableOverallMaster[POS RK],MATCH(TableOverallRank[[#This Row],[OVERALL PLAYER]],TableOverallMaster[OVERALL PLAYER],0)),"")</f>
        <v>QB9</v>
      </c>
      <c r="AR23" s="162">
        <f>IFERROR(INDEX(TableOverallMaster[BYE],MATCH(TableOverallRank[[#This Row],[OVERALL PLAYER]],TableOverallMaster[OVERALL PLAYER],0)),"")</f>
        <v>11</v>
      </c>
      <c r="AS23" s="161">
        <f>IFERROR(INDEX(TableOverallMaster[Custom],MATCH(TableOverallRank[[#This Row],[OVERALL PLAYER]],TableOverallMaster[OVERALL PLAYER],0)),"")</f>
        <v>414.58252774379804</v>
      </c>
      <c r="AT23" s="163">
        <f>IFERROR(INDEX(TableOverallMaster[VORP],MATCH(TableOverallRank[[#This Row],[OVERALL PLAYER]],TableOverallMaster[OVERALL PLAYER],0)),"")</f>
        <v>123.89502538657754</v>
      </c>
      <c r="AV23" s="58">
        <v>22</v>
      </c>
      <c r="AW23" s="164" t="str">
        <f>IFERROR(INDEX(TableWRTECalcPts[PLAYER],MATCH(TableWRTERank[[#This Row],[RK]],TableWRTECalcPts[RK],0)),"")</f>
        <v>Luther Burden</v>
      </c>
      <c r="AX23" s="164" t="str">
        <f>IFERROR(INDEX(TableWRTECalcPts[POS RK],MATCH(TableWRTERank[[#This Row],[WR and TE COMBINED]],TableWRTECalcPts[PLAYER],0)),"")</f>
        <v>WR21</v>
      </c>
      <c r="AY23" s="164">
        <f>IFERROR(INDEX(TableWRTECalcPts[BYE],MATCH(TableWRTERank[[#This Row],[RK]],TableWRTECalcPts[RK],0)),"")</f>
        <v>10</v>
      </c>
      <c r="AZ23" s="165">
        <f>IFERROR(INDEX(TableWRTECalcPts[Custom],MATCH(TableWRTERank[[#This Row],[RK]],TableWRTECalcPts[RK],0)),"")</f>
        <v>192.08515296732605</v>
      </c>
      <c r="BA23" s="166">
        <f>IFERROR((TableWRTERank[[#This Row],[FPS]]-INDEX(TableWRTERank[FPS],MATCH(WRTEVORPCalc,TableWRTERank[RK],0))),"")</f>
        <v>50.848781385034357</v>
      </c>
      <c r="BC23" s="58" t="s">
        <v>148</v>
      </c>
    </row>
    <row r="24" spans="1:55" x14ac:dyDescent="0.25">
      <c r="A24" s="58">
        <v>23</v>
      </c>
      <c r="B24" s="154" t="str">
        <f>IFERROR(INDEX(TableQBCalcPts[PLAYER],MATCH(TableQBVORP[[#This Row],[RK]],TableQBCalcPts[RK],0)),"")</f>
        <v>Tyler Shough</v>
      </c>
      <c r="C24" s="154" t="str">
        <f>IFERROR(INDEX(TableQBCalcPts[TM],MATCH(TableQBVORP[[#This Row],[RK]],TableQBCalcPts[RK],0)),"")</f>
        <v>NO</v>
      </c>
      <c r="D24" s="154">
        <f>IFERROR(INDEX(TableQBCalcPts[BYE],MATCH(TableQBVORP[[#This Row],[RK]],TableQBCalcPts[RK],0)),"")</f>
        <v>8</v>
      </c>
      <c r="E24" s="155">
        <f>IFERROR(INDEX(TableQBCalcPts[Custom],MATCH(TableQBVORP[[#This Row],[RK]],TableQBCalcPts[RK],0)),"")</f>
        <v>355.86080203740499</v>
      </c>
      <c r="F24" s="156">
        <f>(IFERROR((TableQBVORP[[#This Row],[FPS]]-INDEX(TableQBVORP[FPS],MATCH(QBVORPCalc,TableQBVORP[RK],0))),""))+(TableRBVORP[[#This Row],[VORP]]*0.45)</f>
        <v>48.976171739894752</v>
      </c>
      <c r="H24" s="58">
        <v>23</v>
      </c>
      <c r="I24" s="154" t="str">
        <f>IFERROR(INDEX(TableRBCalcPts[PLAYER],MATCH(TableRBVORP[[#This Row],[RK]],TableRBCalcPts[RK],0)),"")</f>
        <v>Rhamondre Stevenson</v>
      </c>
      <c r="J24" s="154" t="str">
        <f>IFERROR(INDEX(TableRBCalcPts[TM],MATCH(TableRBVORP[[#This Row],[RK]],TableRBCalcPts[RK],0)),"")</f>
        <v>NE</v>
      </c>
      <c r="K24" s="154">
        <f>IFERROR(INDEX(TableRBCalcPts[BYE],MATCH(TableRBVORP[[#This Row],[RK]],TableRBCalcPts[RK],0)),"")</f>
        <v>11</v>
      </c>
      <c r="L24" s="155">
        <f>IFERROR(INDEX(TableRBCalcPts[Custom],MATCH(TableRBVORP[[#This Row],[RK]],TableRBCalcPts[RK],0)),"")</f>
        <v>189.05386180345894</v>
      </c>
      <c r="M24" s="156">
        <f>(IFERROR((TableRBVORP[[#This Row],[FPS]]-INDEX(TableRBVORP[FPS],MATCH(RBVORPCalc,TableRBVORP[RK],0))),""))*0.8</f>
        <v>68.036818057945254</v>
      </c>
      <c r="O24" s="58">
        <v>23</v>
      </c>
      <c r="P24" s="154" t="str">
        <f>IFERROR(INDEX(TableWRCalcPts[PLAYER],MATCH(TableWRVORP[[#This Row],[RK]],TableWRCalcPts[RK],0)),"")</f>
        <v>Garrett Wilson</v>
      </c>
      <c r="Q24" s="154" t="str">
        <f>IFERROR(INDEX(TableWRCalcPts[TM],MATCH(TableWRVORP[[#This Row],[RK]],TableWRCalcPts[RK],0)),"")</f>
        <v>NYJ</v>
      </c>
      <c r="R24" s="154">
        <f>IFERROR(INDEX(TableWRCalcPts[BYE],MATCH(TableWRVORP[[#This Row],[RK]],TableWRCalcPts[RK],0)),"")</f>
        <v>13</v>
      </c>
      <c r="S24" s="155">
        <f>IFERROR(INDEX(TableWRCalcPts[Custom],MATCH(TableWRVORP[[#This Row],[RK]],TableWRCalcPts[RK],0)),"")</f>
        <v>189.14773728625423</v>
      </c>
      <c r="T24" s="156">
        <f>(IFERROR((TableWRVORP[[#This Row],[FPS]]-INDEX(TableWRVORP[FPS],MATCH(WRVORPCalc,TableWRVORP[RK],0))),""))</f>
        <v>98.863551895888165</v>
      </c>
      <c r="V24" s="58">
        <v>23</v>
      </c>
      <c r="W24" s="154" t="str">
        <f>IFERROR(INDEX(TableTECalcPts[PLAYER],MATCH(TableTEVORP[[#This Row],[RK]],TableTECalcPts[RK],0)),"")</f>
        <v>Terrance Ferguson</v>
      </c>
      <c r="X24" s="154" t="str">
        <f>IFERROR(INDEX(TableTECalcPts[TM],MATCH(TableTEVORP[[#This Row],[RK]],TableTECalcPts[RK],0)),"")</f>
        <v>LAR</v>
      </c>
      <c r="Y24" s="154">
        <f>IFERROR(INDEX(TableTECalcPts[BYE],MATCH(TableTEVORP[[#This Row],[RK]],TableTECalcPts[RK],0)),"")</f>
        <v>11</v>
      </c>
      <c r="Z24" s="155">
        <f>IFERROR(INDEX(TableTECalcPts[Custom],MATCH(TableTEVORP[[#This Row],[RK]],TableTECalcPts[RK],0)),"")</f>
        <v>99.499741342592898</v>
      </c>
      <c r="AA24" s="156">
        <f>IFERROR((TableTEVORP[[#This Row],[FPS]]-INDEX(TableTEVORP[FPS],MATCH(TEVORPCalc,TableTEVORP[RK],0))),"")</f>
        <v>21.613947366351212</v>
      </c>
      <c r="AF24" s="58" t="s">
        <v>7</v>
      </c>
      <c r="AG24" s="58">
        <v>23</v>
      </c>
      <c r="AH24" s="100">
        <f>RANK(TableOverallMaster[[#This Row],[VORP]],TableOverallMaster[VORP])+COUNTIF($AM$2:AM24,AM24)-1</f>
        <v>119</v>
      </c>
      <c r="AI24" s="157" t="str">
        <f>IFERROR(INDEX(TableQBVORP[QUARTERBACK],MATCH(TableOverallMaster[[#This Row],[RK]],TableQBVORP[RK],0)),"")</f>
        <v>Tyler Shough</v>
      </c>
      <c r="AJ24" s="157" t="str">
        <f t="shared" si="0"/>
        <v>QB23</v>
      </c>
      <c r="AK24" s="157">
        <f>IFERROR(INDEX(TableQBVORP[BYE],MATCH(TableOverallMaster[[#This Row],[RK]],TableQBVORP[RK],0)),"")</f>
        <v>8</v>
      </c>
      <c r="AL24" s="158">
        <f>IFERROR(INDEX(TableQBVORP[FPS],MATCH(TableOverallMaster[[#This Row],[RK]],TableQBVORP[RK],0)),"")</f>
        <v>355.86080203740499</v>
      </c>
      <c r="AM24" s="159">
        <f>IFERROR(INDEX(TableQBVORP[VORP],MATCH(TableOverallMaster[[#This Row],[RK]],TableQBVORP[RK],0)),"")</f>
        <v>48.976171739894752</v>
      </c>
      <c r="AO24" s="58">
        <v>23</v>
      </c>
      <c r="AP24" s="160" t="str">
        <f>IFERROR(INDEX(TableOverallMaster[OVERALL PLAYER],MATCH(TableOverallRank[[#This Row],[RK]],TableOverallMaster[OVR RK],0)),"")</f>
        <v>Nico Collins</v>
      </c>
      <c r="AQ24" s="161" t="str">
        <f>IFERROR(INDEX(TableOverallMaster[POS RK],MATCH(TableOverallRank[[#This Row],[OVERALL PLAYER]],TableOverallMaster[OVERALL PLAYER],0)),"")</f>
        <v>WR10</v>
      </c>
      <c r="AR24" s="162">
        <f>IFERROR(INDEX(TableOverallMaster[BYE],MATCH(TableOverallRank[[#This Row],[OVERALL PLAYER]],TableOverallMaster[OVERALL PLAYER],0)),"")</f>
        <v>8</v>
      </c>
      <c r="AS24" s="161">
        <f>IFERROR(INDEX(TableOverallMaster[Custom],MATCH(TableOverallRank[[#This Row],[OVERALL PLAYER]],TableOverallMaster[OVERALL PLAYER],0)),"")</f>
        <v>212.48861218175085</v>
      </c>
      <c r="AT24" s="163">
        <f>IFERROR(INDEX(TableOverallMaster[VORP],MATCH(TableOverallRank[[#This Row],[OVERALL PLAYER]],TableOverallMaster[OVERALL PLAYER],0)),"")</f>
        <v>122.20442679138479</v>
      </c>
      <c r="AV24" s="58">
        <v>23</v>
      </c>
      <c r="AW24" s="164" t="str">
        <f>IFERROR(INDEX(TableWRTECalcPts[PLAYER],MATCH(TableWRTERank[[#This Row],[RK]],TableWRTECalcPts[RK],0)),"")</f>
        <v>Davante Adams</v>
      </c>
      <c r="AX24" s="164" t="str">
        <f>IFERROR(INDEX(TableWRTECalcPts[POS RK],MATCH(TableWRTERank[[#This Row],[WR and TE COMBINED]],TableWRTECalcPts[PLAYER],0)),"")</f>
        <v>WR22</v>
      </c>
      <c r="AY24" s="164">
        <f>IFERROR(INDEX(TableWRTECalcPts[BYE],MATCH(TableWRTERank[[#This Row],[RK]],TableWRTECalcPts[RK],0)),"")</f>
        <v>11</v>
      </c>
      <c r="AZ24" s="165">
        <f>IFERROR(INDEX(TableWRTECalcPts[Custom],MATCH(TableWRTERank[[#This Row],[RK]],TableWRTECalcPts[RK],0)),"")</f>
        <v>189.81633003807275</v>
      </c>
      <c r="BA24" s="166">
        <f>IFERROR((TableWRTERank[[#This Row],[FPS]]-INDEX(TableWRTERank[FPS],MATCH(WRTEVORPCalc,TableWRTERank[RK],0))),"")</f>
        <v>48.579958455781053</v>
      </c>
      <c r="BC24" s="58" t="s">
        <v>148</v>
      </c>
    </row>
    <row r="25" spans="1:55" x14ac:dyDescent="0.25">
      <c r="A25" s="58">
        <v>24</v>
      </c>
      <c r="B25" s="154" t="str">
        <f>IFERROR(INDEX(TableQBCalcPts[PLAYER],MATCH(TableQBVORP[[#This Row],[RK]],TableQBCalcPts[RK],0)),"")</f>
        <v>Cam Ward</v>
      </c>
      <c r="C25" s="154" t="str">
        <f>IFERROR(INDEX(TableQBCalcPts[TM],MATCH(TableQBVORP[[#This Row],[RK]],TableQBCalcPts[RK],0)),"")</f>
        <v>TEN</v>
      </c>
      <c r="D25" s="154">
        <f>IFERROR(INDEX(TableQBCalcPts[BYE],MATCH(TableQBVORP[[#This Row],[RK]],TableQBCalcPts[RK],0)),"")</f>
        <v>9</v>
      </c>
      <c r="E25" s="155">
        <f>IFERROR(INDEX(TableQBCalcPts[Custom],MATCH(TableQBVORP[[#This Row],[RK]],TableQBCalcPts[RK],0)),"")</f>
        <v>351.54746339601598</v>
      </c>
      <c r="F25" s="156">
        <f>(IFERROR((TableQBVORP[[#This Row],[FPS]]-INDEX(TableQBVORP[FPS],MATCH(QBVORPCalc,TableQBVORP[RK],0))),""))+(TableRBVORP[[#This Row],[VORP]]*0.45)</f>
        <v>44.641356240022262</v>
      </c>
      <c r="H25" s="58">
        <v>24</v>
      </c>
      <c r="I25" s="154" t="str">
        <f>IFERROR(INDEX(TableRBCalcPts[PLAYER],MATCH(TableRBVORP[[#This Row],[RK]],TableRBCalcPts[RK],0)),"")</f>
        <v>Quinshon Judkins</v>
      </c>
      <c r="J25" s="154" t="str">
        <f>IFERROR(INDEX(TableRBCalcPts[TM],MATCH(TableRBVORP[[#This Row],[RK]],TableRBCalcPts[RK],0)),"")</f>
        <v>CLE</v>
      </c>
      <c r="K25" s="154">
        <f>IFERROR(INDEX(TableRBCalcPts[BYE],MATCH(TableRBVORP[[#This Row],[RK]],TableRBCalcPts[RK],0)),"")</f>
        <v>11</v>
      </c>
      <c r="L25" s="155">
        <f>IFERROR(INDEX(TableRBCalcPts[Custom],MATCH(TableRBVORP[[#This Row],[RK]],TableRBCalcPts[RK],0)),"")</f>
        <v>188.99420386322706</v>
      </c>
      <c r="M25" s="156">
        <f>(IFERROR((TableRBVORP[[#This Row],[FPS]]-INDEX(TableRBVORP[FPS],MATCH(RBVORPCalc,TableRBVORP[RK],0))),""))*0.8</f>
        <v>67.989091705759748</v>
      </c>
      <c r="O25" s="58">
        <v>24</v>
      </c>
      <c r="P25" s="154" t="str">
        <f>IFERROR(INDEX(TableWRCalcPts[PLAYER],MATCH(TableWRVORP[[#This Row],[RK]],TableWRCalcPts[RK],0)),"")</f>
        <v>Parker Washington</v>
      </c>
      <c r="Q25" s="154" t="str">
        <f>IFERROR(INDEX(TableWRCalcPts[TM],MATCH(TableWRVORP[[#This Row],[RK]],TableWRCalcPts[RK],0)),"")</f>
        <v>JAX</v>
      </c>
      <c r="R25" s="154">
        <f>IFERROR(INDEX(TableWRCalcPts[BYE],MATCH(TableWRVORP[[#This Row],[RK]],TableWRCalcPts[RK],0)),"")</f>
        <v>7</v>
      </c>
      <c r="S25" s="155">
        <f>IFERROR(INDEX(TableWRCalcPts[Custom],MATCH(TableWRVORP[[#This Row],[RK]],TableWRCalcPts[RK],0)),"")</f>
        <v>188.01132302400001</v>
      </c>
      <c r="T25" s="156">
        <f>(IFERROR((TableWRVORP[[#This Row],[FPS]]-INDEX(TableWRVORP[FPS],MATCH(WRVORPCalc,TableWRVORP[RK],0))),""))</f>
        <v>97.727137633633944</v>
      </c>
      <c r="V25" s="58">
        <v>24</v>
      </c>
      <c r="W25" s="154" t="str">
        <f>IFERROR(INDEX(TableTECalcPts[PLAYER],MATCH(TableTEVORP[[#This Row],[RK]],TableTECalcPts[RK],0)),"")</f>
        <v>Brenton Strange</v>
      </c>
      <c r="X25" s="154" t="str">
        <f>IFERROR(INDEX(TableTECalcPts[TM],MATCH(TableTEVORP[[#This Row],[RK]],TableTECalcPts[RK],0)),"")</f>
        <v>JAX</v>
      </c>
      <c r="Y25" s="154">
        <f>IFERROR(INDEX(TableTECalcPts[BYE],MATCH(TableTEVORP[[#This Row],[RK]],TableTECalcPts[RK],0)),"")</f>
        <v>7</v>
      </c>
      <c r="Z25" s="155">
        <f>IFERROR(INDEX(TableTECalcPts[Custom],MATCH(TableTEVORP[[#This Row],[RK]],TableTECalcPts[RK],0)),"")</f>
        <v>99.194542803959408</v>
      </c>
      <c r="AA25" s="156">
        <f>IFERROR((TableTEVORP[[#This Row],[FPS]]-INDEX(TableTEVORP[FPS],MATCH(TEVORPCalc,TableTEVORP[RK],0))),"")</f>
        <v>21.308748827717721</v>
      </c>
      <c r="AF25" s="58" t="s">
        <v>7</v>
      </c>
      <c r="AG25" s="58">
        <v>24</v>
      </c>
      <c r="AH25" s="100">
        <f>RANK(TableOverallMaster[[#This Row],[VORP]],TableOverallMaster[VORP])+COUNTIF($AM$2:AM25,AM25)-1</f>
        <v>122</v>
      </c>
      <c r="AI25" s="157" t="str">
        <f>IFERROR(INDEX(TableQBVORP[QUARTERBACK],MATCH(TableOverallMaster[[#This Row],[RK]],TableQBVORP[RK],0)),"")</f>
        <v>Cam Ward</v>
      </c>
      <c r="AJ25" s="157" t="str">
        <f t="shared" si="0"/>
        <v>QB24</v>
      </c>
      <c r="AK25" s="157">
        <f>IFERROR(INDEX(TableQBVORP[BYE],MATCH(TableOverallMaster[[#This Row],[RK]],TableQBVORP[RK],0)),"")</f>
        <v>9</v>
      </c>
      <c r="AL25" s="158">
        <f>IFERROR(INDEX(TableQBVORP[FPS],MATCH(TableOverallMaster[[#This Row],[RK]],TableQBVORP[RK],0)),"")</f>
        <v>351.54746339601598</v>
      </c>
      <c r="AM25" s="159">
        <f>IFERROR(INDEX(TableQBVORP[VORP],MATCH(TableOverallMaster[[#This Row],[RK]],TableQBVORP[RK],0)),"")</f>
        <v>44.641356240022262</v>
      </c>
      <c r="AO25" s="58">
        <v>24</v>
      </c>
      <c r="AP25" s="160" t="str">
        <f>IFERROR(INDEX(TableOverallMaster[OVERALL PLAYER],MATCH(TableOverallRank[[#This Row],[RK]],TableOverallMaster[OVR RK],0)),"")</f>
        <v>Jalen Hurts</v>
      </c>
      <c r="AQ25" s="161" t="str">
        <f>IFERROR(INDEX(TableOverallMaster[POS RK],MATCH(TableOverallRank[[#This Row],[OVERALL PLAYER]],TableOverallMaster[OVERALL PLAYER],0)),"")</f>
        <v>QB10</v>
      </c>
      <c r="AR25" s="162">
        <f>IFERROR(INDEX(TableOverallMaster[BYE],MATCH(TableOverallRank[[#This Row],[OVERALL PLAYER]],TableOverallMaster[OVERALL PLAYER],0)),"")</f>
        <v>10</v>
      </c>
      <c r="AS25" s="161">
        <f>IFERROR(INDEX(TableOverallMaster[Custom],MATCH(TableOverallRank[[#This Row],[OVERALL PLAYER]],TableOverallMaster[OVERALL PLAYER],0)),"")</f>
        <v>411.78412724406013</v>
      </c>
      <c r="AT25" s="163">
        <f>IFERROR(INDEX(TableOverallMaster[VORP],MATCH(TableOverallRank[[#This Row],[OVERALL PLAYER]],TableOverallMaster[OVERALL PLAYER],0)),"")</f>
        <v>120.79223189396963</v>
      </c>
      <c r="AV25" s="58">
        <v>24</v>
      </c>
      <c r="AW25" s="164" t="str">
        <f>IFERROR(INDEX(TableWRTECalcPts[PLAYER],MATCH(TableWRTERank[[#This Row],[RK]],TableWRTECalcPts[RK],0)),"")</f>
        <v>Brock Bowers</v>
      </c>
      <c r="AX25" s="164" t="str">
        <f>IFERROR(INDEX(TableWRTECalcPts[POS RK],MATCH(TableWRTERank[[#This Row],[WR and TE COMBINED]],TableWRTECalcPts[PLAYER],0)),"")</f>
        <v>TE2</v>
      </c>
      <c r="AY25" s="164">
        <f>IFERROR(INDEX(TableWRTECalcPts[BYE],MATCH(TableWRTERank[[#This Row],[RK]],TableWRTECalcPts[RK],0)),"")</f>
        <v>13</v>
      </c>
      <c r="AZ25" s="165">
        <f>IFERROR(INDEX(TableWRTECalcPts[Custom],MATCH(TableWRTERank[[#This Row],[RK]],TableWRTECalcPts[RK],0)),"")</f>
        <v>189.22979775372039</v>
      </c>
      <c r="BA25" s="166">
        <f>IFERROR((TableWRTERank[[#This Row],[FPS]]-INDEX(TableWRTERank[FPS],MATCH(WRTEVORPCalc,TableWRTERank[RK],0))),"")</f>
        <v>47.993426171428695</v>
      </c>
      <c r="BC25" s="58" t="s">
        <v>148</v>
      </c>
    </row>
    <row r="26" spans="1:55" x14ac:dyDescent="0.25">
      <c r="A26" s="58">
        <v>25</v>
      </c>
      <c r="B26" s="154" t="str">
        <f>IFERROR(INDEX(TableQBCalcPts[PLAYER],MATCH(TableQBVORP[[#This Row],[RK]],TableQBCalcPts[RK],0)),"")</f>
        <v>Daniel Jones</v>
      </c>
      <c r="C26" s="154" t="str">
        <f>IFERROR(INDEX(TableQBCalcPts[TM],MATCH(TableQBVORP[[#This Row],[RK]],TableQBCalcPts[RK],0)),"")</f>
        <v>IND</v>
      </c>
      <c r="D26" s="154">
        <f>IFERROR(INDEX(TableQBCalcPts[BYE],MATCH(TableQBVORP[[#This Row],[RK]],TableQBCalcPts[RK],0)),"")</f>
        <v>13</v>
      </c>
      <c r="E26" s="155">
        <f>IFERROR(INDEX(TableQBCalcPts[Custom],MATCH(TableQBVORP[[#This Row],[RK]],TableQBCalcPts[RK],0)),"")</f>
        <v>347.48702268943157</v>
      </c>
      <c r="F26" s="156">
        <f>(IFERROR((TableQBVORP[[#This Row],[FPS]]-INDEX(TableQBVORP[FPS],MATCH(QBVORPCalc,TableQBVORP[RK],0))),""))+(TableRBVORP[[#This Row],[VORP]]*0.45)</f>
        <v>38.180034420373488</v>
      </c>
      <c r="H26" s="58">
        <v>25</v>
      </c>
      <c r="I26" s="154" t="str">
        <f>IFERROR(INDEX(TableRBCalcPts[PLAYER],MATCH(TableRBVORP[[#This Row],[RK]],TableRBCalcPts[RK],0)),"")</f>
        <v>Jadarian Price</v>
      </c>
      <c r="J26" s="154" t="str">
        <f>IFERROR(INDEX(TableRBCalcPts[TM],MATCH(TableRBVORP[[#This Row],[RK]],TableRBCalcPts[RK],0)),"")</f>
        <v>SEA</v>
      </c>
      <c r="K26" s="154">
        <f>IFERROR(INDEX(TableRBCalcPts[BYE],MATCH(TableRBVORP[[#This Row],[RK]],TableRBCalcPts[RK],0)),"")</f>
        <v>11</v>
      </c>
      <c r="L26" s="155">
        <f>IFERROR(INDEX(TableRBCalcPts[Custom],MATCH(TableRBVORP[[#This Row],[RK]],TableRBCalcPts[RK],0)),"")</f>
        <v>182.32508966027049</v>
      </c>
      <c r="M26" s="156">
        <f>(IFERROR((TableRBVORP[[#This Row],[FPS]]-INDEX(TableRBVORP[FPS],MATCH(RBVORPCalc,TableRBVORP[RK],0))),""))*0.8</f>
        <v>62.653800343394494</v>
      </c>
      <c r="O26" s="58">
        <v>25</v>
      </c>
      <c r="P26" s="154" t="str">
        <f>IFERROR(INDEX(TableWRCalcPts[PLAYER],MATCH(TableWRVORP[[#This Row],[RK]],TableWRCalcPts[RK],0)),"")</f>
        <v>Emeka Egbuka</v>
      </c>
      <c r="Q26" s="154" t="str">
        <f>IFERROR(INDEX(TableWRCalcPts[TM],MATCH(TableWRVORP[[#This Row],[RK]],TableWRCalcPts[RK],0)),"")</f>
        <v>TB</v>
      </c>
      <c r="R26" s="154">
        <f>IFERROR(INDEX(TableWRCalcPts[BYE],MATCH(TableWRVORP[[#This Row],[RK]],TableWRCalcPts[RK],0)),"")</f>
        <v>10</v>
      </c>
      <c r="S26" s="155">
        <f>IFERROR(INDEX(TableWRCalcPts[Custom],MATCH(TableWRVORP[[#This Row],[RK]],TableWRCalcPts[RK],0)),"")</f>
        <v>187.69417440185407</v>
      </c>
      <c r="T26" s="156">
        <f>(IFERROR((TableWRVORP[[#This Row],[FPS]]-INDEX(TableWRVORP[FPS],MATCH(WRVORPCalc,TableWRVORP[RK],0))),""))</f>
        <v>97.409989011488008</v>
      </c>
      <c r="V26" s="58">
        <v>25</v>
      </c>
      <c r="W26" s="154" t="str">
        <f>IFERROR(INDEX(TableTECalcPts[PLAYER],MATCH(TableTEVORP[[#This Row],[RK]],TableTECalcPts[RK],0)),"")</f>
        <v>Oronde Gadsden</v>
      </c>
      <c r="X26" s="154" t="str">
        <f>IFERROR(INDEX(TableTECalcPts[TM],MATCH(TableTEVORP[[#This Row],[RK]],TableTECalcPts[RK],0)),"")</f>
        <v>LAC</v>
      </c>
      <c r="Y26" s="154">
        <f>IFERROR(INDEX(TableTECalcPts[BYE],MATCH(TableTEVORP[[#This Row],[RK]],TableTECalcPts[RK],0)),"")</f>
        <v>7</v>
      </c>
      <c r="Z26" s="155">
        <f>IFERROR(INDEX(TableTECalcPts[Custom],MATCH(TableTEVORP[[#This Row],[RK]],TableTECalcPts[RK],0)),"")</f>
        <v>97.774303753526368</v>
      </c>
      <c r="AA26" s="156">
        <f>IFERROR((TableTEVORP[[#This Row],[FPS]]-INDEX(TableTEVORP[FPS],MATCH(TEVORPCalc,TableTEVORP[RK],0))),"")</f>
        <v>19.888509777284682</v>
      </c>
      <c r="AF26" s="58" t="s">
        <v>7</v>
      </c>
      <c r="AG26" s="58">
        <v>25</v>
      </c>
      <c r="AH26" s="100">
        <f>RANK(TableOverallMaster[[#This Row],[VORP]],TableOverallMaster[VORP])+COUNTIF($AM$2:AM26,AM26)-1</f>
        <v>129</v>
      </c>
      <c r="AI26" s="157" t="str">
        <f>IFERROR(INDEX(TableQBVORP[QUARTERBACK],MATCH(TableOverallMaster[[#This Row],[RK]],TableQBVORP[RK],0)),"")</f>
        <v>Daniel Jones</v>
      </c>
      <c r="AJ26" s="157" t="str">
        <f t="shared" si="0"/>
        <v>QB25</v>
      </c>
      <c r="AK26" s="157">
        <f>IFERROR(INDEX(TableQBVORP[BYE],MATCH(TableOverallMaster[[#This Row],[RK]],TableQBVORP[RK],0)),"")</f>
        <v>13</v>
      </c>
      <c r="AL26" s="158">
        <f>IFERROR(INDEX(TableQBVORP[FPS],MATCH(TableOverallMaster[[#This Row],[RK]],TableQBVORP[RK],0)),"")</f>
        <v>347.48702268943157</v>
      </c>
      <c r="AM26" s="159">
        <f>IFERROR(INDEX(TableQBVORP[VORP],MATCH(TableOverallMaster[[#This Row],[RK]],TableQBVORP[RK],0)),"")</f>
        <v>38.180034420373488</v>
      </c>
      <c r="AO26" s="58">
        <v>25</v>
      </c>
      <c r="AP26" s="160" t="str">
        <f>IFERROR(INDEX(TableOverallMaster[OVERALL PLAYER],MATCH(TableOverallRank[[#This Row],[RK]],TableOverallMaster[OVR RK],0)),"")</f>
        <v>Tee Higgins</v>
      </c>
      <c r="AQ26" s="161" t="str">
        <f>IFERROR(INDEX(TableOverallMaster[POS RK],MATCH(TableOverallRank[[#This Row],[OVERALL PLAYER]],TableOverallMaster[OVERALL PLAYER],0)),"")</f>
        <v>WR11</v>
      </c>
      <c r="AR26" s="162">
        <f>IFERROR(INDEX(TableOverallMaster[BYE],MATCH(TableOverallRank[[#This Row],[OVERALL PLAYER]],TableOverallMaster[OVERALL PLAYER],0)),"")</f>
        <v>6</v>
      </c>
      <c r="AS26" s="161">
        <f>IFERROR(INDEX(TableOverallMaster[Custom],MATCH(TableOverallRank[[#This Row],[OVERALL PLAYER]],TableOverallMaster[OVERALL PLAYER],0)),"")</f>
        <v>210.32382984378648</v>
      </c>
      <c r="AT26" s="163">
        <f>IFERROR(INDEX(TableOverallMaster[VORP],MATCH(TableOverallRank[[#This Row],[OVERALL PLAYER]],TableOverallMaster[OVERALL PLAYER],0)),"")</f>
        <v>120.03964445342042</v>
      </c>
      <c r="AV26" s="58">
        <v>25</v>
      </c>
      <c r="AW26" s="164" t="str">
        <f>IFERROR(INDEX(TableWRTECalcPts[PLAYER],MATCH(TableWRTERank[[#This Row],[RK]],TableWRTECalcPts[RK],0)),"")</f>
        <v>Garrett Wilson</v>
      </c>
      <c r="AX26" s="164" t="str">
        <f>IFERROR(INDEX(TableWRTECalcPts[POS RK],MATCH(TableWRTERank[[#This Row],[WR and TE COMBINED]],TableWRTECalcPts[PLAYER],0)),"")</f>
        <v>WR23</v>
      </c>
      <c r="AY26" s="164">
        <f>IFERROR(INDEX(TableWRTECalcPts[BYE],MATCH(TableWRTERank[[#This Row],[RK]],TableWRTECalcPts[RK],0)),"")</f>
        <v>13</v>
      </c>
      <c r="AZ26" s="165">
        <f>IFERROR(INDEX(TableWRTECalcPts[Custom],MATCH(TableWRTERank[[#This Row],[RK]],TableWRTECalcPts[RK],0)),"")</f>
        <v>189.14773728625423</v>
      </c>
      <c r="BA26" s="166">
        <f>IFERROR((TableWRTERank[[#This Row],[FPS]]-INDEX(TableWRTERank[FPS],MATCH(WRTEVORPCalc,TableWRTERank[RK],0))),"")</f>
        <v>47.911365703962531</v>
      </c>
      <c r="BC26" s="58" t="s">
        <v>148</v>
      </c>
    </row>
    <row r="27" spans="1:55" x14ac:dyDescent="0.25">
      <c r="A27" s="58">
        <v>26</v>
      </c>
      <c r="B27" s="154" t="str">
        <f>IFERROR(INDEX(TableQBCalcPts[PLAYER],MATCH(TableQBVORP[[#This Row],[RK]],TableQBCalcPts[RK],0)),"")</f>
        <v>Bryce Young</v>
      </c>
      <c r="C27" s="154" t="str">
        <f>IFERROR(INDEX(TableQBCalcPts[TM],MATCH(TableQBVORP[[#This Row],[RK]],TableQBCalcPts[RK],0)),"")</f>
        <v>CAR</v>
      </c>
      <c r="D27" s="154">
        <f>IFERROR(INDEX(TableQBCalcPts[BYE],MATCH(TableQBVORP[[#This Row],[RK]],TableQBCalcPts[RK],0)),"")</f>
        <v>5</v>
      </c>
      <c r="E27" s="155">
        <f>IFERROR(INDEX(TableQBCalcPts[Custom],MATCH(TableQBVORP[[#This Row],[RK]],TableQBCalcPts[RK],0)),"")</f>
        <v>337.50119842358561</v>
      </c>
      <c r="F27" s="156">
        <f>(IFERROR((TableQBVORP[[#This Row],[FPS]]-INDEX(TableQBVORP[FPS],MATCH(QBVORPCalc,TableQBVORP[RK],0))),""))+(TableRBVORP[[#This Row],[VORP]]*0.45)</f>
        <v>28.01520826581045</v>
      </c>
      <c r="H27" s="58">
        <v>26</v>
      </c>
      <c r="I27" s="154" t="str">
        <f>IFERROR(INDEX(TableRBCalcPts[PLAYER],MATCH(TableRBVORP[[#This Row],[RK]],TableRBCalcPts[RK],0)),"")</f>
        <v>Kenneth Gainwell</v>
      </c>
      <c r="J27" s="154" t="str">
        <f>IFERROR(INDEX(TableRBCalcPts[TM],MATCH(TableRBVORP[[#This Row],[RK]],TableRBCalcPts[RK],0)),"")</f>
        <v>TB</v>
      </c>
      <c r="K27" s="154">
        <f>IFERROR(INDEX(TableRBCalcPts[BYE],MATCH(TableRBVORP[[#This Row],[RK]],TableRBCalcPts[RK],0)),"")</f>
        <v>10</v>
      </c>
      <c r="L27" s="155">
        <f>IFERROR(INDEX(TableRBCalcPts[Custom],MATCH(TableRBVORP[[#This Row],[RK]],TableRBCalcPts[RK],0)),"")</f>
        <v>181.82786219161196</v>
      </c>
      <c r="M27" s="156">
        <f>(IFERROR((TableRBVORP[[#This Row],[FPS]]-INDEX(TableRBVORP[FPS],MATCH(RBVORPCalc,TableRBVORP[RK],0))),""))*0.8</f>
        <v>62.256018368467664</v>
      </c>
      <c r="O27" s="58">
        <v>26</v>
      </c>
      <c r="P27" s="154" t="str">
        <f>IFERROR(INDEX(TableWRCalcPts[PLAYER],MATCH(TableWRVORP[[#This Row],[RK]],TableWRCalcPts[RK],0)),"")</f>
        <v>Carnell Tate</v>
      </c>
      <c r="Q27" s="154" t="str">
        <f>IFERROR(INDEX(TableWRCalcPts[TM],MATCH(TableWRVORP[[#This Row],[RK]],TableWRCalcPts[RK],0)),"")</f>
        <v>TEN</v>
      </c>
      <c r="R27" s="154">
        <f>IFERROR(INDEX(TableWRCalcPts[BYE],MATCH(TableWRVORP[[#This Row],[RK]],TableWRCalcPts[RK],0)),"")</f>
        <v>9</v>
      </c>
      <c r="S27" s="155">
        <f>IFERROR(INDEX(TableWRCalcPts[Custom],MATCH(TableWRVORP[[#This Row],[RK]],TableWRCalcPts[RK],0)),"")</f>
        <v>186.69245943108095</v>
      </c>
      <c r="T27" s="156">
        <f>(IFERROR((TableWRVORP[[#This Row],[FPS]]-INDEX(TableWRVORP[FPS],MATCH(WRVORPCalc,TableWRVORP[RK],0))),""))</f>
        <v>96.408274040714886</v>
      </c>
      <c r="V27" s="58">
        <v>26</v>
      </c>
      <c r="W27" s="154" t="str">
        <f>IFERROR(INDEX(TableTECalcPts[PLAYER],MATCH(TableTEVORP[[#This Row],[RK]],TableTECalcPts[RK],0)),"")</f>
        <v>Cade Otton</v>
      </c>
      <c r="X27" s="154" t="str">
        <f>IFERROR(INDEX(TableTECalcPts[TM],MATCH(TableTEVORP[[#This Row],[RK]],TableTECalcPts[RK],0)),"")</f>
        <v>TB</v>
      </c>
      <c r="Y27" s="154">
        <f>IFERROR(INDEX(TableTECalcPts[BYE],MATCH(TableTEVORP[[#This Row],[RK]],TableTECalcPts[RK],0)),"")</f>
        <v>10</v>
      </c>
      <c r="Z27" s="155">
        <f>IFERROR(INDEX(TableTECalcPts[Custom],MATCH(TableTEVORP[[#This Row],[RK]],TableTECalcPts[RK],0)),"")</f>
        <v>87.892710735944519</v>
      </c>
      <c r="AA27" s="156">
        <f>IFERROR((TableTEVORP[[#This Row],[FPS]]-INDEX(TableTEVORP[FPS],MATCH(TEVORPCalc,TableTEVORP[RK],0))),"")</f>
        <v>10.006916759702833</v>
      </c>
      <c r="AF27" s="58" t="s">
        <v>7</v>
      </c>
      <c r="AG27" s="58">
        <v>26</v>
      </c>
      <c r="AH27" s="100">
        <f>RANK(TableOverallMaster[[#This Row],[VORP]],TableOverallMaster[VORP])+COUNTIF($AM$2:AM27,AM27)-1</f>
        <v>137</v>
      </c>
      <c r="AI27" s="157" t="str">
        <f>IFERROR(INDEX(TableQBVORP[QUARTERBACK],MATCH(TableOverallMaster[[#This Row],[RK]],TableQBVORP[RK],0)),"")</f>
        <v>Bryce Young</v>
      </c>
      <c r="AJ27" s="157" t="str">
        <f t="shared" si="0"/>
        <v>QB26</v>
      </c>
      <c r="AK27" s="157">
        <f>IFERROR(INDEX(TableQBVORP[BYE],MATCH(TableOverallMaster[[#This Row],[RK]],TableQBVORP[RK],0)),"")</f>
        <v>5</v>
      </c>
      <c r="AL27" s="158">
        <f>IFERROR(INDEX(TableQBVORP[FPS],MATCH(TableOverallMaster[[#This Row],[RK]],TableQBVORP[RK],0)),"")</f>
        <v>337.50119842358561</v>
      </c>
      <c r="AM27" s="159">
        <f>IFERROR(INDEX(TableQBVORP[VORP],MATCH(TableOverallMaster[[#This Row],[RK]],TableQBVORP[RK],0)),"")</f>
        <v>28.01520826581045</v>
      </c>
      <c r="AO27" s="58">
        <v>26</v>
      </c>
      <c r="AP27" s="160" t="str">
        <f>IFERROR(INDEX(TableOverallMaster[OVERALL PLAYER],MATCH(TableOverallRank[[#This Row],[RK]],TableOverallMaster[OVR RK],0)),"")</f>
        <v>James Cook</v>
      </c>
      <c r="AQ27" s="161" t="str">
        <f>IFERROR(INDEX(TableOverallMaster[POS RK],MATCH(TableOverallRank[[#This Row],[OVERALL PLAYER]],TableOverallMaster[OVERALL PLAYER],0)),"")</f>
        <v>RB5</v>
      </c>
      <c r="AR27" s="162">
        <f>IFERROR(INDEX(TableOverallMaster[BYE],MATCH(TableOverallRank[[#This Row],[OVERALL PLAYER]],TableOverallMaster[OVERALL PLAYER],0)),"")</f>
        <v>7</v>
      </c>
      <c r="AS27" s="161">
        <f>IFERROR(INDEX(TableOverallMaster[Custom],MATCH(TableOverallRank[[#This Row],[OVERALL PLAYER]],TableOverallMaster[OVERALL PLAYER],0)),"")</f>
        <v>252.99926754623516</v>
      </c>
      <c r="AT27" s="163">
        <f>IFERROR(INDEX(TableOverallMaster[VORP],MATCH(TableOverallRank[[#This Row],[OVERALL PLAYER]],TableOverallMaster[OVERALL PLAYER],0)),"")</f>
        <v>119.19314265216622</v>
      </c>
      <c r="AV27" s="58">
        <v>26</v>
      </c>
      <c r="AW27" s="164" t="str">
        <f>IFERROR(INDEX(TableWRTECalcPts[PLAYER],MATCH(TableWRTERank[[#This Row],[RK]],TableWRTECalcPts[RK],0)),"")</f>
        <v>Parker Washington</v>
      </c>
      <c r="AX27" s="164" t="str">
        <f>IFERROR(INDEX(TableWRTECalcPts[POS RK],MATCH(TableWRTERank[[#This Row],[WR and TE COMBINED]],TableWRTECalcPts[PLAYER],0)),"")</f>
        <v>WR24</v>
      </c>
      <c r="AY27" s="164">
        <f>IFERROR(INDEX(TableWRTECalcPts[BYE],MATCH(TableWRTERank[[#This Row],[RK]],TableWRTECalcPts[RK],0)),"")</f>
        <v>7</v>
      </c>
      <c r="AZ27" s="165">
        <f>IFERROR(INDEX(TableWRTECalcPts[Custom],MATCH(TableWRTERank[[#This Row],[RK]],TableWRTECalcPts[RK],0)),"")</f>
        <v>188.01132302400001</v>
      </c>
      <c r="BA27" s="166">
        <f>IFERROR((TableWRTERank[[#This Row],[FPS]]-INDEX(TableWRTERank[FPS],MATCH(WRTEVORPCalc,TableWRTERank[RK],0))),"")</f>
        <v>46.774951441708311</v>
      </c>
      <c r="BC27" s="58" t="s">
        <v>148</v>
      </c>
    </row>
    <row r="28" spans="1:55" x14ac:dyDescent="0.25">
      <c r="A28" s="58">
        <v>27</v>
      </c>
      <c r="B28" s="154" t="str">
        <f>IFERROR(INDEX(TableQBCalcPts[PLAYER],MATCH(TableQBVORP[[#This Row],[RK]],TableQBCalcPts[RK],0)),"")</f>
        <v>Aaron Rodgers</v>
      </c>
      <c r="C28" s="154" t="str">
        <f>IFERROR(INDEX(TableQBCalcPts[TM],MATCH(TableQBVORP[[#This Row],[RK]],TableQBCalcPts[RK],0)),"")</f>
        <v>PIT</v>
      </c>
      <c r="D28" s="154">
        <f>IFERROR(INDEX(TableQBCalcPts[BYE],MATCH(TableQBVORP[[#This Row],[RK]],TableQBCalcPts[RK],0)),"")</f>
        <v>9</v>
      </c>
      <c r="E28" s="155">
        <f>IFERROR(INDEX(TableQBCalcPts[Custom],MATCH(TableQBVORP[[#This Row],[RK]],TableQBCalcPts[RK],0)),"")</f>
        <v>321.29714883383383</v>
      </c>
      <c r="F28" s="156">
        <f>(IFERROR((TableQBVORP[[#This Row],[FPS]]-INDEX(TableQBVORP[FPS],MATCH(QBVORPCalc,TableQBVORP[RK],0))),""))+(TableRBVORP[[#This Row],[VORP]]*0.45)</f>
        <v>11.559906320580179</v>
      </c>
      <c r="H28" s="58">
        <v>27</v>
      </c>
      <c r="I28" s="154" t="str">
        <f>IFERROR(INDEX(TableRBCalcPts[PLAYER],MATCH(TableRBVORP[[#This Row],[RK]],TableRBCalcPts[RK],0)),"")</f>
        <v>Tony Pollard</v>
      </c>
      <c r="J28" s="154" t="str">
        <f>IFERROR(INDEX(TableRBCalcPts[TM],MATCH(TableRBVORP[[#This Row],[RK]],TableRBCalcPts[RK],0)),"")</f>
        <v>TEN</v>
      </c>
      <c r="K28" s="154">
        <f>IFERROR(INDEX(TableRBCalcPts[BYE],MATCH(TableRBVORP[[#This Row],[RK]],TableRBCalcPts[RK],0)),"")</f>
        <v>9</v>
      </c>
      <c r="L28" s="155">
        <f>IFERROR(INDEX(TableRBCalcPts[Custom],MATCH(TableRBVORP[[#This Row],[RK]],TableRBCalcPts[RK],0)),"")</f>
        <v>181.12993898194946</v>
      </c>
      <c r="M28" s="156">
        <f>(IFERROR((TableRBVORP[[#This Row],[FPS]]-INDEX(TableRBVORP[FPS],MATCH(RBVORPCalc,TableRBVORP[RK],0))),""))*0.8</f>
        <v>61.697679800737674</v>
      </c>
      <c r="O28" s="58">
        <v>27</v>
      </c>
      <c r="P28" s="154" t="str">
        <f>IFERROR(INDEX(TableWRCalcPts[PLAYER],MATCH(TableWRVORP[[#This Row],[RK]],TableWRCalcPts[RK],0)),"")</f>
        <v>DJ Moore</v>
      </c>
      <c r="Q28" s="154" t="str">
        <f>IFERROR(INDEX(TableWRCalcPts[TM],MATCH(TableWRVORP[[#This Row],[RK]],TableWRCalcPts[RK],0)),"")</f>
        <v>BUF</v>
      </c>
      <c r="R28" s="154">
        <f>IFERROR(INDEX(TableWRCalcPts[BYE],MATCH(TableWRVORP[[#This Row],[RK]],TableWRCalcPts[RK],0)),"")</f>
        <v>7</v>
      </c>
      <c r="S28" s="155">
        <f>IFERROR(INDEX(TableWRCalcPts[Custom],MATCH(TableWRVORP[[#This Row],[RK]],TableWRCalcPts[RK],0)),"")</f>
        <v>185.89535424952149</v>
      </c>
      <c r="T28" s="156">
        <f>(IFERROR((TableWRVORP[[#This Row],[FPS]]-INDEX(TableWRVORP[FPS],MATCH(WRVORPCalc,TableWRVORP[RK],0))),""))</f>
        <v>95.611168859155427</v>
      </c>
      <c r="V28" s="58">
        <v>27</v>
      </c>
      <c r="W28" s="154" t="str">
        <f>IFERROR(INDEX(TableTECalcPts[PLAYER],MATCH(TableTEVORP[[#This Row],[RK]],TableTECalcPts[RK],0)),"")</f>
        <v>Mike Gesicki</v>
      </c>
      <c r="X28" s="154" t="str">
        <f>IFERROR(INDEX(TableTECalcPts[TM],MATCH(TableTEVORP[[#This Row],[RK]],TableTECalcPts[RK],0)),"")</f>
        <v>CIN</v>
      </c>
      <c r="Y28" s="154">
        <f>IFERROR(INDEX(TableTECalcPts[BYE],MATCH(TableTEVORP[[#This Row],[RK]],TableTECalcPts[RK],0)),"")</f>
        <v>6</v>
      </c>
      <c r="Z28" s="155">
        <f>IFERROR(INDEX(TableTECalcPts[Custom],MATCH(TableTEVORP[[#This Row],[RK]],TableTECalcPts[RK],0)),"")</f>
        <v>87.626855526529326</v>
      </c>
      <c r="AA28" s="156">
        <f>IFERROR((TableTEVORP[[#This Row],[FPS]]-INDEX(TableTEVORP[FPS],MATCH(TEVORPCalc,TableTEVORP[RK],0))),"")</f>
        <v>9.7410615502876396</v>
      </c>
      <c r="AF28" s="58" t="s">
        <v>7</v>
      </c>
      <c r="AG28" s="58">
        <v>27</v>
      </c>
      <c r="AH28" s="100">
        <f>RANK(TableOverallMaster[[#This Row],[VORP]],TableOverallMaster[VORP])+COUNTIF($AM$2:AM28,AM28)-1</f>
        <v>155</v>
      </c>
      <c r="AI28" s="157" t="str">
        <f>IFERROR(INDEX(TableQBVORP[QUARTERBACK],MATCH(TableOverallMaster[[#This Row],[RK]],TableQBVORP[RK],0)),"")</f>
        <v>Aaron Rodgers</v>
      </c>
      <c r="AJ28" s="157" t="str">
        <f t="shared" si="0"/>
        <v>QB27</v>
      </c>
      <c r="AK28" s="157">
        <f>IFERROR(INDEX(TableQBVORP[BYE],MATCH(TableOverallMaster[[#This Row],[RK]],TableQBVORP[RK],0)),"")</f>
        <v>9</v>
      </c>
      <c r="AL28" s="158">
        <f>IFERROR(INDEX(TableQBVORP[FPS],MATCH(TableOverallMaster[[#This Row],[RK]],TableQBVORP[RK],0)),"")</f>
        <v>321.29714883383383</v>
      </c>
      <c r="AM28" s="159">
        <f>IFERROR(INDEX(TableQBVORP[VORP],MATCH(TableOverallMaster[[#This Row],[RK]],TableQBVORP[RK],0)),"")</f>
        <v>11.559906320580179</v>
      </c>
      <c r="AO28" s="58">
        <v>27</v>
      </c>
      <c r="AP28" s="160" t="str">
        <f>IFERROR(INDEX(TableOverallMaster[OVERALL PLAYER],MATCH(TableOverallRank[[#This Row],[RK]],TableOverallMaster[OVR RK],0)),"")</f>
        <v>Trevor Lawrence</v>
      </c>
      <c r="AQ28" s="161" t="str">
        <f>IFERROR(INDEX(TableOverallMaster[POS RK],MATCH(TableOverallRank[[#This Row],[OVERALL PLAYER]],TableOverallMaster[OVERALL PLAYER],0)),"")</f>
        <v>QB11</v>
      </c>
      <c r="AR28" s="162">
        <f>IFERROR(INDEX(TableOverallMaster[BYE],MATCH(TableOverallRank[[#This Row],[OVERALL PLAYER]],TableOverallMaster[OVERALL PLAYER],0)),"")</f>
        <v>7</v>
      </c>
      <c r="AS28" s="161">
        <f>IFERROR(INDEX(TableOverallMaster[Custom],MATCH(TableOverallRank[[#This Row],[OVERALL PLAYER]],TableOverallMaster[OVERALL PLAYER],0)),"")</f>
        <v>409.37929135514651</v>
      </c>
      <c r="AT28" s="163">
        <f>IFERROR(INDEX(TableOverallMaster[VORP],MATCH(TableOverallRank[[#This Row],[OVERALL PLAYER]],TableOverallMaster[OVERALL PLAYER],0)),"")</f>
        <v>118.34293261441823</v>
      </c>
      <c r="AV28" s="58">
        <v>27</v>
      </c>
      <c r="AW28" s="164" t="str">
        <f>IFERROR(INDEX(TableWRTECalcPts[PLAYER],MATCH(TableWRTERank[[#This Row],[RK]],TableWRTECalcPts[RK],0)),"")</f>
        <v>Emeka Egbuka</v>
      </c>
      <c r="AX28" s="164" t="str">
        <f>IFERROR(INDEX(TableWRTECalcPts[POS RK],MATCH(TableWRTERank[[#This Row],[WR and TE COMBINED]],TableWRTECalcPts[PLAYER],0)),"")</f>
        <v>WR25</v>
      </c>
      <c r="AY28" s="164">
        <f>IFERROR(INDEX(TableWRTECalcPts[BYE],MATCH(TableWRTERank[[#This Row],[RK]],TableWRTECalcPts[RK],0)),"")</f>
        <v>10</v>
      </c>
      <c r="AZ28" s="165">
        <f>IFERROR(INDEX(TableWRTECalcPts[Custom],MATCH(TableWRTERank[[#This Row],[RK]],TableWRTECalcPts[RK],0)),"")</f>
        <v>187.69417440185407</v>
      </c>
      <c r="BA28" s="166">
        <f>IFERROR((TableWRTERank[[#This Row],[FPS]]-INDEX(TableWRTERank[FPS],MATCH(WRTEVORPCalc,TableWRTERank[RK],0))),"")</f>
        <v>46.457802819562374</v>
      </c>
      <c r="BC28" s="58" t="s">
        <v>148</v>
      </c>
    </row>
    <row r="29" spans="1:55" x14ac:dyDescent="0.25">
      <c r="A29" s="58">
        <v>28</v>
      </c>
      <c r="B29" s="154" t="str">
        <f>IFERROR(INDEX(TableQBCalcPts[PLAYER],MATCH(TableQBVORP[[#This Row],[RK]],TableQBCalcPts[RK],0)),"")</f>
        <v>Jacoby Brissett</v>
      </c>
      <c r="C29" s="154" t="str">
        <f>IFERROR(INDEX(TableQBCalcPts[TM],MATCH(TableQBVORP[[#This Row],[RK]],TableQBCalcPts[RK],0)),"")</f>
        <v>ARI</v>
      </c>
      <c r="D29" s="154">
        <f>IFERROR(INDEX(TableQBCalcPts[BYE],MATCH(TableQBVORP[[#This Row],[RK]],TableQBCalcPts[RK],0)),"")</f>
        <v>14</v>
      </c>
      <c r="E29" s="155">
        <f>IFERROR(INDEX(TableQBCalcPts[Custom],MATCH(TableQBVORP[[#This Row],[RK]],TableQBCalcPts[RK],0)),"")</f>
        <v>311.67500095651786</v>
      </c>
      <c r="F29" s="156">
        <f>(IFERROR((TableQBVORP[[#This Row],[FPS]]-INDEX(TableQBVORP[FPS],MATCH(QBVORPCalc,TableQBVORP[RK],0))),""))+(TableRBVORP[[#This Row],[VORP]]*0.45)</f>
        <v>1.5329202492154366</v>
      </c>
      <c r="H29" s="58">
        <v>28</v>
      </c>
      <c r="I29" s="154" t="str">
        <f>IFERROR(INDEX(TableRBCalcPts[PLAYER],MATCH(TableRBVORP[[#This Row],[RK]],TableRBCalcPts[RK],0)),"")</f>
        <v>D'Andre Swift</v>
      </c>
      <c r="J29" s="154" t="str">
        <f>IFERROR(INDEX(TableRBCalcPts[TM],MATCH(TableRBVORP[[#This Row],[RK]],TableRBCalcPts[RK],0)),"")</f>
        <v>CHI</v>
      </c>
      <c r="K29" s="154">
        <f>IFERROR(INDEX(TableRBCalcPts[BYE],MATCH(TableRBVORP[[#This Row],[RK]],TableRBCalcPts[RK],0)),"")</f>
        <v>10</v>
      </c>
      <c r="L29" s="155">
        <f>IFERROR(INDEX(TableRBCalcPts[Custom],MATCH(TableRBVORP[[#This Row],[RK]],TableRBCalcPts[RK],0)),"")</f>
        <v>180.0053884429251</v>
      </c>
      <c r="M29" s="156">
        <f>(IFERROR((TableRBVORP[[#This Row],[FPS]]-INDEX(TableRBVORP[FPS],MATCH(RBVORPCalc,TableRBVORP[RK],0))),""))*0.8</f>
        <v>60.798039369518179</v>
      </c>
      <c r="O29" s="58">
        <v>28</v>
      </c>
      <c r="P29" s="154" t="str">
        <f>IFERROR(INDEX(TableWRCalcPts[PLAYER],MATCH(TableWRVORP[[#This Row],[RK]],TableWRCalcPts[RK],0)),"")</f>
        <v>Jameson Williams</v>
      </c>
      <c r="Q29" s="154" t="str">
        <f>IFERROR(INDEX(TableWRCalcPts[TM],MATCH(TableWRVORP[[#This Row],[RK]],TableWRCalcPts[RK],0)),"")</f>
        <v>DET</v>
      </c>
      <c r="R29" s="154">
        <f>IFERROR(INDEX(TableWRCalcPts[BYE],MATCH(TableWRVORP[[#This Row],[RK]],TableWRCalcPts[RK],0)),"")</f>
        <v>6</v>
      </c>
      <c r="S29" s="155">
        <f>IFERROR(INDEX(TableWRCalcPts[Custom],MATCH(TableWRVORP[[#This Row],[RK]],TableWRCalcPts[RK],0)),"")</f>
        <v>184.03111003656136</v>
      </c>
      <c r="T29" s="156">
        <f>(IFERROR((TableWRVORP[[#This Row],[FPS]]-INDEX(TableWRVORP[FPS],MATCH(WRVORPCalc,TableWRVORP[RK],0))),""))</f>
        <v>93.746924646195296</v>
      </c>
      <c r="V29" s="58">
        <v>28</v>
      </c>
      <c r="W29" s="154" t="str">
        <f>IFERROR(INDEX(TableTECalcPts[PLAYER],MATCH(TableTEVORP[[#This Row],[RK]],TableTECalcPts[RK],0)),"")</f>
        <v>Kenyon Sadiq</v>
      </c>
      <c r="X29" s="154" t="str">
        <f>IFERROR(INDEX(TableTECalcPts[TM],MATCH(TableTEVORP[[#This Row],[RK]],TableTECalcPts[RK],0)),"")</f>
        <v>NYJ</v>
      </c>
      <c r="Y29" s="154">
        <f>IFERROR(INDEX(TableTECalcPts[BYE],MATCH(TableTEVORP[[#This Row],[RK]],TableTECalcPts[RK],0)),"")</f>
        <v>13</v>
      </c>
      <c r="Z29" s="155">
        <f>IFERROR(INDEX(TableTECalcPts[Custom],MATCH(TableTEVORP[[#This Row],[RK]],TableTECalcPts[RK],0)),"")</f>
        <v>86.789669330026697</v>
      </c>
      <c r="AA29" s="156">
        <f>IFERROR((TableTEVORP[[#This Row],[FPS]]-INDEX(TableTEVORP[FPS],MATCH(TEVORPCalc,TableTEVORP[RK],0))),"")</f>
        <v>8.9038753537850113</v>
      </c>
      <c r="AF29" s="58" t="s">
        <v>7</v>
      </c>
      <c r="AG29" s="58">
        <v>28</v>
      </c>
      <c r="AH29" s="100">
        <f>RANK(TableOverallMaster[[#This Row],[VORP]],TableOverallMaster[VORP])+COUNTIF($AM$2:AM29,AM29)-1</f>
        <v>171</v>
      </c>
      <c r="AI29" s="157" t="str">
        <f>IFERROR(INDEX(TableQBVORP[QUARTERBACK],MATCH(TableOverallMaster[[#This Row],[RK]],TableQBVORP[RK],0)),"")</f>
        <v>Jacoby Brissett</v>
      </c>
      <c r="AJ29" s="157" t="str">
        <f t="shared" si="0"/>
        <v>QB28</v>
      </c>
      <c r="AK29" s="157">
        <f>IFERROR(INDEX(TableQBVORP[BYE],MATCH(TableOverallMaster[[#This Row],[RK]],TableQBVORP[RK],0)),"")</f>
        <v>14</v>
      </c>
      <c r="AL29" s="158">
        <f>IFERROR(INDEX(TableQBVORP[FPS],MATCH(TableOverallMaster[[#This Row],[RK]],TableQBVORP[RK],0)),"")</f>
        <v>311.67500095651786</v>
      </c>
      <c r="AM29" s="159">
        <f>IFERROR(INDEX(TableQBVORP[VORP],MATCH(TableOverallMaster[[#This Row],[RK]],TableQBVORP[RK],0)),"")</f>
        <v>1.5329202492154366</v>
      </c>
      <c r="AO29" s="58">
        <v>28</v>
      </c>
      <c r="AP29" s="160" t="str">
        <f>IFERROR(INDEX(TableOverallMaster[OVERALL PLAYER],MATCH(TableOverallRank[[#This Row],[RK]],TableOverallMaster[OVR RK],0)),"")</f>
        <v>Tetairoa McMillan</v>
      </c>
      <c r="AQ29" s="161" t="str">
        <f>IFERROR(INDEX(TableOverallMaster[POS RK],MATCH(TableOverallRank[[#This Row],[OVERALL PLAYER]],TableOverallMaster[OVERALL PLAYER],0)),"")</f>
        <v>WR12</v>
      </c>
      <c r="AR29" s="162">
        <f>IFERROR(INDEX(TableOverallMaster[BYE],MATCH(TableOverallRank[[#This Row],[OVERALL PLAYER]],TableOverallMaster[OVERALL PLAYER],0)),"")</f>
        <v>5</v>
      </c>
      <c r="AS29" s="161">
        <f>IFERROR(INDEX(TableOverallMaster[Custom],MATCH(TableOverallRank[[#This Row],[OVERALL PLAYER]],TableOverallMaster[OVERALL PLAYER],0)),"")</f>
        <v>207.85591546371469</v>
      </c>
      <c r="AT29" s="163">
        <f>IFERROR(INDEX(TableOverallMaster[VORP],MATCH(TableOverallRank[[#This Row],[OVERALL PLAYER]],TableOverallMaster[OVERALL PLAYER],0)),"")</f>
        <v>117.57173007334863</v>
      </c>
      <c r="AV29" s="58">
        <v>28</v>
      </c>
      <c r="AW29" s="164" t="str">
        <f>IFERROR(INDEX(TableWRTECalcPts[PLAYER],MATCH(TableWRTERank[[#This Row],[RK]],TableWRTECalcPts[RK],0)),"")</f>
        <v>Carnell Tate</v>
      </c>
      <c r="AX29" s="164" t="str">
        <f>IFERROR(INDEX(TableWRTECalcPts[POS RK],MATCH(TableWRTERank[[#This Row],[WR and TE COMBINED]],TableWRTECalcPts[PLAYER],0)),"")</f>
        <v>WR26</v>
      </c>
      <c r="AY29" s="164">
        <f>IFERROR(INDEX(TableWRTECalcPts[BYE],MATCH(TableWRTERank[[#This Row],[RK]],TableWRTECalcPts[RK],0)),"")</f>
        <v>9</v>
      </c>
      <c r="AZ29" s="165">
        <f>IFERROR(INDEX(TableWRTECalcPts[Custom],MATCH(TableWRTERank[[#This Row],[RK]],TableWRTECalcPts[RK],0)),"")</f>
        <v>186.69245943108095</v>
      </c>
      <c r="BA29" s="166">
        <f>IFERROR((TableWRTERank[[#This Row],[FPS]]-INDEX(TableWRTERank[FPS],MATCH(WRTEVORPCalc,TableWRTERank[RK],0))),"")</f>
        <v>45.456087848789252</v>
      </c>
      <c r="BC29" s="58" t="s">
        <v>148</v>
      </c>
    </row>
    <row r="30" spans="1:55" x14ac:dyDescent="0.25">
      <c r="A30" s="58">
        <v>29</v>
      </c>
      <c r="B30" s="154" t="str">
        <f>IFERROR(INDEX(TableQBCalcPts[PLAYER],MATCH(TableQBVORP[[#This Row],[RK]],TableQBCalcPts[RK],0)),"")</f>
        <v>Geno Smith</v>
      </c>
      <c r="C30" s="154" t="str">
        <f>IFERROR(INDEX(TableQBCalcPts[TM],MATCH(TableQBVORP[[#This Row],[RK]],TableQBCalcPts[RK],0)),"")</f>
        <v>NYJ</v>
      </c>
      <c r="D30" s="154">
        <f>IFERROR(INDEX(TableQBCalcPts[BYE],MATCH(TableQBVORP[[#This Row],[RK]],TableQBCalcPts[RK],0)),"")</f>
        <v>13</v>
      </c>
      <c r="E30" s="155">
        <f>IFERROR(INDEX(TableQBCalcPts[Custom],MATCH(TableQBVORP[[#This Row],[RK]],TableQBCalcPts[RK],0)),"")</f>
        <v>304.89003746282606</v>
      </c>
      <c r="F30" s="156">
        <f>(IFERROR((TableQBVORP[[#This Row],[FPS]]-INDEX(TableQBVORP[FPS],MATCH(QBVORPCalc,TableQBVORP[RK],0))),""))+(TableRBVORP[[#This Row],[VORP]]*0.45)</f>
        <v>-8.4212214396033112</v>
      </c>
      <c r="H30" s="58">
        <v>29</v>
      </c>
      <c r="I30" s="154" t="str">
        <f>IFERROR(INDEX(TableRBCalcPts[PLAYER],MATCH(TableRBVORP[[#This Row],[RK]],TableRBCalcPts[RK],0)),"")</f>
        <v>Bucky Irving</v>
      </c>
      <c r="J30" s="154" t="str">
        <f>IFERROR(INDEX(TableRBCalcPts[TM],MATCH(TableRBVORP[[#This Row],[RK]],TableRBCalcPts[RK],0)),"")</f>
        <v>TB</v>
      </c>
      <c r="K30" s="154">
        <f>IFERROR(INDEX(TableRBCalcPts[BYE],MATCH(TableRBVORP[[#This Row],[RK]],TableRBCalcPts[RK],0)),"")</f>
        <v>10</v>
      </c>
      <c r="L30" s="155">
        <f>IFERROR(INDEX(TableRBCalcPts[Custom],MATCH(TableRBVORP[[#This Row],[RK]],TableRBCalcPts[RK],0)),"")</f>
        <v>171.20211567868358</v>
      </c>
      <c r="M30" s="156">
        <f>(IFERROR((TableRBVORP[[#This Row],[FPS]]-INDEX(TableRBVORP[FPS],MATCH(RBVORPCalc,TableRBVORP[RK],0))),""))*0.8</f>
        <v>53.755421158124967</v>
      </c>
      <c r="O30" s="58">
        <v>29</v>
      </c>
      <c r="P30" s="154" t="str">
        <f>IFERROR(INDEX(TableWRCalcPts[PLAYER],MATCH(TableWRVORP[[#This Row],[RK]],TableWRCalcPts[RK],0)),"")</f>
        <v>Christian Watson</v>
      </c>
      <c r="Q30" s="154" t="str">
        <f>IFERROR(INDEX(TableWRCalcPts[TM],MATCH(TableWRVORP[[#This Row],[RK]],TableWRCalcPts[RK],0)),"")</f>
        <v>GB</v>
      </c>
      <c r="R30" s="154">
        <f>IFERROR(INDEX(TableWRCalcPts[BYE],MATCH(TableWRVORP[[#This Row],[RK]],TableWRCalcPts[RK],0)),"")</f>
        <v>11</v>
      </c>
      <c r="S30" s="155">
        <f>IFERROR(INDEX(TableWRCalcPts[Custom],MATCH(TableWRVORP[[#This Row],[RK]],TableWRCalcPts[RK],0)),"")</f>
        <v>180.53046356058982</v>
      </c>
      <c r="T30" s="156">
        <f>(IFERROR((TableWRVORP[[#This Row],[FPS]]-INDEX(TableWRVORP[FPS],MATCH(WRVORPCalc,TableWRVORP[RK],0))),""))</f>
        <v>90.246278170223761</v>
      </c>
      <c r="V30" s="58">
        <v>29</v>
      </c>
      <c r="W30" s="154" t="str">
        <f>IFERROR(INDEX(TableTECalcPts[PLAYER],MATCH(TableTEVORP[[#This Row],[RK]],TableTECalcPts[RK],0)),"")</f>
        <v>AJ Barner</v>
      </c>
      <c r="X30" s="154" t="str">
        <f>IFERROR(INDEX(TableTECalcPts[TM],MATCH(TableTEVORP[[#This Row],[RK]],TableTECalcPts[RK],0)),"")</f>
        <v>SEA</v>
      </c>
      <c r="Y30" s="154">
        <f>IFERROR(INDEX(TableTECalcPts[BYE],MATCH(TableTEVORP[[#This Row],[RK]],TableTECalcPts[RK],0)),"")</f>
        <v>11</v>
      </c>
      <c r="Z30" s="155">
        <f>IFERROR(INDEX(TableTECalcPts[Custom],MATCH(TableTEVORP[[#This Row],[RK]],TableTECalcPts[RK],0)),"")</f>
        <v>84.45884130942207</v>
      </c>
      <c r="AA30" s="156">
        <f>IFERROR((TableTEVORP[[#This Row],[FPS]]-INDEX(TableTEVORP[FPS],MATCH(TEVORPCalc,TableTEVORP[RK],0))),"")</f>
        <v>6.5730473331803836</v>
      </c>
      <c r="AF30" s="58" t="s">
        <v>7</v>
      </c>
      <c r="AG30" s="58">
        <v>29</v>
      </c>
      <c r="AH30" s="100">
        <f>RANK(TableOverallMaster[[#This Row],[VORP]],TableOverallMaster[VORP])+COUNTIF($AM$2:AM30,AM30)-1</f>
        <v>184</v>
      </c>
      <c r="AI30" s="157" t="str">
        <f>IFERROR(INDEX(TableQBVORP[QUARTERBACK],MATCH(TableOverallMaster[[#This Row],[RK]],TableQBVORP[RK],0)),"")</f>
        <v>Geno Smith</v>
      </c>
      <c r="AJ30" s="157" t="str">
        <f t="shared" si="0"/>
        <v>QB29</v>
      </c>
      <c r="AK30" s="157">
        <f>IFERROR(INDEX(TableQBVORP[BYE],MATCH(TableOverallMaster[[#This Row],[RK]],TableQBVORP[RK],0)),"")</f>
        <v>13</v>
      </c>
      <c r="AL30" s="158">
        <f>IFERROR(INDEX(TableQBVORP[FPS],MATCH(TableOverallMaster[[#This Row],[RK]],TableQBVORP[RK],0)),"")</f>
        <v>304.89003746282606</v>
      </c>
      <c r="AM30" s="159">
        <f>IFERROR(INDEX(TableQBVORP[VORP],MATCH(TableOverallMaster[[#This Row],[RK]],TableQBVORP[RK],0)),"")</f>
        <v>-8.4212214396033112</v>
      </c>
      <c r="AO30" s="58">
        <v>29</v>
      </c>
      <c r="AP30" s="160" t="str">
        <f>IFERROR(INDEX(TableOverallMaster[OVERALL PLAYER],MATCH(TableOverallRank[[#This Row],[RK]],TableOverallMaster[OVR RK],0)),"")</f>
        <v>De'Von Achane</v>
      </c>
      <c r="AQ30" s="161" t="str">
        <f>IFERROR(INDEX(TableOverallMaster[POS RK],MATCH(TableOverallRank[[#This Row],[OVERALL PLAYER]],TableOverallMaster[OVERALL PLAYER],0)),"")</f>
        <v>RB6</v>
      </c>
      <c r="AR30" s="162">
        <f>IFERROR(INDEX(TableOverallMaster[BYE],MATCH(TableOverallRank[[#This Row],[OVERALL PLAYER]],TableOverallMaster[OVERALL PLAYER],0)),"")</f>
        <v>6</v>
      </c>
      <c r="AS30" s="161">
        <f>IFERROR(INDEX(TableOverallMaster[Custom],MATCH(TableOverallRank[[#This Row],[OVERALL PLAYER]],TableOverallMaster[OVERALL PLAYER],0)),"")</f>
        <v>249.37088241694448</v>
      </c>
      <c r="AT30" s="163">
        <f>IFERROR(INDEX(TableOverallMaster[VORP],MATCH(TableOverallRank[[#This Row],[OVERALL PLAYER]],TableOverallMaster[OVERALL PLAYER],0)),"")</f>
        <v>116.29043454873369</v>
      </c>
      <c r="AV30" s="58">
        <v>29</v>
      </c>
      <c r="AW30" s="164" t="str">
        <f>IFERROR(INDEX(TableWRTECalcPts[PLAYER],MATCH(TableWRTERank[[#This Row],[RK]],TableWRTECalcPts[RK],0)),"")</f>
        <v>DJ Moore</v>
      </c>
      <c r="AX30" s="164" t="str">
        <f>IFERROR(INDEX(TableWRTECalcPts[POS RK],MATCH(TableWRTERank[[#This Row],[WR and TE COMBINED]],TableWRTECalcPts[PLAYER],0)),"")</f>
        <v>WR27</v>
      </c>
      <c r="AY30" s="164">
        <f>IFERROR(INDEX(TableWRTECalcPts[BYE],MATCH(TableWRTERank[[#This Row],[RK]],TableWRTECalcPts[RK],0)),"")</f>
        <v>7</v>
      </c>
      <c r="AZ30" s="165">
        <f>IFERROR(INDEX(TableWRTECalcPts[Custom],MATCH(TableWRTERank[[#This Row],[RK]],TableWRTECalcPts[RK],0)),"")</f>
        <v>185.89535424952149</v>
      </c>
      <c r="BA30" s="166">
        <f>IFERROR((TableWRTERank[[#This Row],[FPS]]-INDEX(TableWRTERank[FPS],MATCH(WRTEVORPCalc,TableWRTERank[RK],0))),"")</f>
        <v>44.658982667229793</v>
      </c>
      <c r="BC30" s="58" t="s">
        <v>148</v>
      </c>
    </row>
    <row r="31" spans="1:55" x14ac:dyDescent="0.25">
      <c r="A31" s="58">
        <v>30</v>
      </c>
      <c r="B31" s="154" t="str">
        <f>IFERROR(INDEX(TableQBCalcPts[PLAYER],MATCH(TableQBVORP[[#This Row],[RK]],TableQBCalcPts[RK],0)),"")</f>
        <v>Tua Tagovailoa</v>
      </c>
      <c r="C31" s="154" t="str">
        <f>IFERROR(INDEX(TableQBCalcPts[TM],MATCH(TableQBVORP[[#This Row],[RK]],TableQBCalcPts[RK],0)),"")</f>
        <v>ATL</v>
      </c>
      <c r="D31" s="154">
        <f>IFERROR(INDEX(TableQBCalcPts[BYE],MATCH(TableQBVORP[[#This Row],[RK]],TableQBCalcPts[RK],0)),"")</f>
        <v>11</v>
      </c>
      <c r="E31" s="155">
        <f>IFERROR(INDEX(TableQBCalcPts[Custom],MATCH(TableQBVORP[[#This Row],[RK]],TableQBCalcPts[RK],0)),"")</f>
        <v>304.17290688650468</v>
      </c>
      <c r="F31" s="156">
        <f>(IFERROR((TableQBVORP[[#This Row],[FPS]]-INDEX(TableQBVORP[FPS],MATCH(QBVORPCalc,TableQBVORP[RK],0))),""))+(TableRBVORP[[#This Row],[VORP]]*0.45)</f>
        <v>-9.6998207322909629</v>
      </c>
      <c r="H31" s="58">
        <v>30</v>
      </c>
      <c r="I31" s="154" t="str">
        <f>IFERROR(INDEX(TableRBCalcPts[PLAYER],MATCH(TableRBVORP[[#This Row],[RK]],TableRBCalcPts[RK],0)),"")</f>
        <v>Chuba Hubbard</v>
      </c>
      <c r="J31" s="154" t="str">
        <f>IFERROR(INDEX(TableRBCalcPts[TM],MATCH(TableRBVORP[[#This Row],[RK]],TableRBCalcPts[RK],0)),"")</f>
        <v>CAR</v>
      </c>
      <c r="K31" s="154">
        <f>IFERROR(INDEX(TableRBCalcPts[BYE],MATCH(TableRBVORP[[#This Row],[RK]],TableRBCalcPts[RK],0)),"")</f>
        <v>5</v>
      </c>
      <c r="L31" s="155">
        <f>IFERROR(INDEX(TableRBCalcPts[Custom],MATCH(TableRBVORP[[#This Row],[RK]],TableRBCalcPts[RK],0)),"")</f>
        <v>169.64248035544395</v>
      </c>
      <c r="M31" s="156">
        <f>(IFERROR((TableRBVORP[[#This Row],[FPS]]-INDEX(TableRBVORP[FPS],MATCH(RBVORPCalc,TableRBVORP[RK],0))),""))*0.8</f>
        <v>52.50771289953326</v>
      </c>
      <c r="O31" s="58">
        <v>30</v>
      </c>
      <c r="P31" s="154" t="str">
        <f>IFERROR(INDEX(TableWRCalcPts[PLAYER],MATCH(TableWRVORP[[#This Row],[RK]],TableWRCalcPts[RK],0)),"")</f>
        <v>Rome Odunze</v>
      </c>
      <c r="Q31" s="154" t="str">
        <f>IFERROR(INDEX(TableWRCalcPts[TM],MATCH(TableWRVORP[[#This Row],[RK]],TableWRCalcPts[RK],0)),"")</f>
        <v>CHI</v>
      </c>
      <c r="R31" s="154">
        <f>IFERROR(INDEX(TableWRCalcPts[BYE],MATCH(TableWRVORP[[#This Row],[RK]],TableWRCalcPts[RK],0)),"")</f>
        <v>10</v>
      </c>
      <c r="S31" s="155">
        <f>IFERROR(INDEX(TableWRCalcPts[Custom],MATCH(TableWRVORP[[#This Row],[RK]],TableWRCalcPts[RK],0)),"")</f>
        <v>174.03183456362797</v>
      </c>
      <c r="T31" s="156">
        <f>(IFERROR((TableWRVORP[[#This Row],[FPS]]-INDEX(TableWRVORP[FPS],MATCH(WRVORPCalc,TableWRVORP[RK],0))),""))</f>
        <v>83.747649173261905</v>
      </c>
      <c r="V31" s="58">
        <v>30</v>
      </c>
      <c r="W31" s="154" t="str">
        <f>IFERROR(INDEX(TableTECalcPts[PLAYER],MATCH(TableTEVORP[[#This Row],[RK]],TableTECalcPts[RK],0)),"")</f>
        <v>Gunnar Helm</v>
      </c>
      <c r="X31" s="154" t="str">
        <f>IFERROR(INDEX(TableTECalcPts[TM],MATCH(TableTEVORP[[#This Row],[RK]],TableTECalcPts[RK],0)),"")</f>
        <v>TEN</v>
      </c>
      <c r="Y31" s="154">
        <f>IFERROR(INDEX(TableTECalcPts[BYE],MATCH(TableTEVORP[[#This Row],[RK]],TableTECalcPts[RK],0)),"")</f>
        <v>9</v>
      </c>
      <c r="Z31" s="155">
        <f>IFERROR(INDEX(TableTECalcPts[Custom],MATCH(TableTEVORP[[#This Row],[RK]],TableTECalcPts[RK],0)),"")</f>
        <v>77.885793976241686</v>
      </c>
      <c r="AA31" s="156">
        <f>IFERROR((TableTEVORP[[#This Row],[FPS]]-INDEX(TableTEVORP[FPS],MATCH(TEVORPCalc,TableTEVORP[RK],0))),"")</f>
        <v>0</v>
      </c>
      <c r="AF31" s="58" t="s">
        <v>7</v>
      </c>
      <c r="AG31" s="58">
        <v>30</v>
      </c>
      <c r="AH31" s="100">
        <f>RANK(TableOverallMaster[[#This Row],[VORP]],TableOverallMaster[VORP])+COUNTIF($AM$2:AM31,AM31)-1</f>
        <v>186</v>
      </c>
      <c r="AI31" s="157" t="str">
        <f>IFERROR(INDEX(TableQBVORP[QUARTERBACK],MATCH(TableOverallMaster[[#This Row],[RK]],TableQBVORP[RK],0)),"")</f>
        <v>Tua Tagovailoa</v>
      </c>
      <c r="AJ31" s="157" t="str">
        <f t="shared" si="0"/>
        <v>QB30</v>
      </c>
      <c r="AK31" s="157">
        <f>IFERROR(INDEX(TableQBVORP[BYE],MATCH(TableOverallMaster[[#This Row],[RK]],TableQBVORP[RK],0)),"")</f>
        <v>11</v>
      </c>
      <c r="AL31" s="158">
        <f>IFERROR(INDEX(TableQBVORP[FPS],MATCH(TableOverallMaster[[#This Row],[RK]],TableQBVORP[RK],0)),"")</f>
        <v>304.17290688650468</v>
      </c>
      <c r="AM31" s="159">
        <f>IFERROR(INDEX(TableQBVORP[VORP],MATCH(TableOverallMaster[[#This Row],[RK]],TableQBVORP[RK],0)),"")</f>
        <v>-9.6998207322909629</v>
      </c>
      <c r="AO31" s="58">
        <v>30</v>
      </c>
      <c r="AP31" s="160" t="str">
        <f>IFERROR(INDEX(TableOverallMaster[OVERALL PLAYER],MATCH(TableOverallRank[[#This Row],[RK]],TableOverallMaster[OVR RK],0)),"")</f>
        <v>Chase Brown</v>
      </c>
      <c r="AQ31" s="161" t="str">
        <f>IFERROR(INDEX(TableOverallMaster[POS RK],MATCH(TableOverallRank[[#This Row],[OVERALL PLAYER]],TableOverallMaster[OVERALL PLAYER],0)),"")</f>
        <v>RB7</v>
      </c>
      <c r="AR31" s="162">
        <f>IFERROR(INDEX(TableOverallMaster[BYE],MATCH(TableOverallRank[[#This Row],[OVERALL PLAYER]],TableOverallMaster[OVERALL PLAYER],0)),"")</f>
        <v>6</v>
      </c>
      <c r="AS31" s="161">
        <f>IFERROR(INDEX(TableOverallMaster[Custom],MATCH(TableOverallRank[[#This Row],[OVERALL PLAYER]],TableOverallMaster[OVERALL PLAYER],0)),"")</f>
        <v>248.68447450614235</v>
      </c>
      <c r="AT31" s="163">
        <f>IFERROR(INDEX(TableOverallMaster[VORP],MATCH(TableOverallRank[[#This Row],[OVERALL PLAYER]],TableOverallMaster[OVERALL PLAYER],0)),"")</f>
        <v>115.74130822009198</v>
      </c>
      <c r="AV31" s="58">
        <v>30</v>
      </c>
      <c r="AW31" s="164" t="str">
        <f>IFERROR(INDEX(TableWRTECalcPts[PLAYER],MATCH(TableWRTERank[[#This Row],[RK]],TableWRTECalcPts[RK],0)),"")</f>
        <v>Jameson Williams</v>
      </c>
      <c r="AX31" s="164" t="str">
        <f>IFERROR(INDEX(TableWRTECalcPts[POS RK],MATCH(TableWRTERank[[#This Row],[WR and TE COMBINED]],TableWRTECalcPts[PLAYER],0)),"")</f>
        <v>WR28</v>
      </c>
      <c r="AY31" s="164">
        <f>IFERROR(INDEX(TableWRTECalcPts[BYE],MATCH(TableWRTERank[[#This Row],[RK]],TableWRTECalcPts[RK],0)),"")</f>
        <v>6</v>
      </c>
      <c r="AZ31" s="165">
        <f>IFERROR(INDEX(TableWRTECalcPts[Custom],MATCH(TableWRTERank[[#This Row],[RK]],TableWRTECalcPts[RK],0)),"")</f>
        <v>184.03111003656136</v>
      </c>
      <c r="BA31" s="166">
        <f>IFERROR((TableWRTERank[[#This Row],[FPS]]-INDEX(TableWRTERank[FPS],MATCH(WRTEVORPCalc,TableWRTERank[RK],0))),"")</f>
        <v>42.794738454269662</v>
      </c>
      <c r="BC31" s="58" t="s">
        <v>148</v>
      </c>
    </row>
    <row r="32" spans="1:55" x14ac:dyDescent="0.25">
      <c r="A32" s="58">
        <v>31</v>
      </c>
      <c r="B32" s="154" t="str">
        <f>IFERROR(INDEX(TableQBCalcPts[PLAYER],MATCH(TableQBVORP[[#This Row],[RK]],TableQBCalcPts[RK],0)),"")</f>
        <v>Kirk Cousins</v>
      </c>
      <c r="C32" s="154" t="str">
        <f>IFERROR(INDEX(TableQBCalcPts[TM],MATCH(TableQBVORP[[#This Row],[RK]],TableQBCalcPts[RK],0)),"")</f>
        <v>LV</v>
      </c>
      <c r="D32" s="154">
        <f>IFERROR(INDEX(TableQBCalcPts[BYE],MATCH(TableQBVORP[[#This Row],[RK]],TableQBCalcPts[RK],0)),"")</f>
        <v>13</v>
      </c>
      <c r="E32" s="155">
        <f>IFERROR(INDEX(TableQBCalcPts[Custom],MATCH(TableQBVORP[[#This Row],[RK]],TableQBCalcPts[RK],0)),"")</f>
        <v>191.74774367975132</v>
      </c>
      <c r="F32" s="156">
        <f>(IFERROR((TableQBVORP[[#This Row],[FPS]]-INDEX(TableQBVORP[FPS],MATCH(QBVORPCalc,TableQBVORP[RK],0))),""))+(TableRBVORP[[#This Row],[VORP]]*0.45)</f>
        <v>-122.5128762967976</v>
      </c>
      <c r="H32" s="58">
        <v>31</v>
      </c>
      <c r="I32" s="154" t="str">
        <f>IFERROR(INDEX(TableRBCalcPts[PLAYER],MATCH(TableRBVORP[[#This Row],[RK]],TableRBCalcPts[RK],0)),"")</f>
        <v>Rico Dowdle</v>
      </c>
      <c r="J32" s="154" t="str">
        <f>IFERROR(INDEX(TableRBCalcPts[TM],MATCH(TableRBVORP[[#This Row],[RK]],TableRBCalcPts[RK],0)),"")</f>
        <v>PIT</v>
      </c>
      <c r="K32" s="154">
        <f>IFERROR(INDEX(TableRBCalcPts[BYE],MATCH(TableRBVORP[[#This Row],[RK]],TableRBCalcPts[RK],0)),"")</f>
        <v>9</v>
      </c>
      <c r="L32" s="155">
        <f>IFERROR(INDEX(TableRBCalcPts[Custom],MATCH(TableRBVORP[[#This Row],[RK]],TableRBCalcPts[RK],0)),"")</f>
        <v>168.56500158390702</v>
      </c>
      <c r="M32" s="156">
        <f>(IFERROR((TableRBVORP[[#This Row],[FPS]]-INDEX(TableRBVORP[FPS],MATCH(RBVORPCalc,TableRBVORP[RK],0))),""))*0.8</f>
        <v>51.645729882303719</v>
      </c>
      <c r="O32" s="58">
        <v>31</v>
      </c>
      <c r="P32" s="154" t="str">
        <f>IFERROR(INDEX(TableWRCalcPts[PLAYER],MATCH(TableWRVORP[[#This Row],[RK]],TableWRCalcPts[RK],0)),"")</f>
        <v>Alec Pierce</v>
      </c>
      <c r="Q32" s="154" t="str">
        <f>IFERROR(INDEX(TableWRCalcPts[TM],MATCH(TableWRVORP[[#This Row],[RK]],TableWRCalcPts[RK],0)),"")</f>
        <v>IND</v>
      </c>
      <c r="R32" s="154">
        <f>IFERROR(INDEX(TableWRCalcPts[BYE],MATCH(TableWRVORP[[#This Row],[RK]],TableWRCalcPts[RK],0)),"")</f>
        <v>13</v>
      </c>
      <c r="S32" s="155">
        <f>IFERROR(INDEX(TableWRCalcPts[Custom],MATCH(TableWRVORP[[#This Row],[RK]],TableWRCalcPts[RK],0)),"")</f>
        <v>172.58925215568158</v>
      </c>
      <c r="T32" s="156">
        <f>(IFERROR((TableWRVORP[[#This Row],[FPS]]-INDEX(TableWRVORP[FPS],MATCH(WRVORPCalc,TableWRVORP[RK],0))),""))</f>
        <v>82.305066765315516</v>
      </c>
      <c r="V32" s="58">
        <v>31</v>
      </c>
      <c r="W32" s="154" t="str">
        <f>IFERROR(INDEX(TableTECalcPts[PLAYER],MATCH(TableTEVORP[[#This Row],[RK]],TableTECalcPts[RK],0)),"")</f>
        <v>David Njoku</v>
      </c>
      <c r="X32" s="154" t="str">
        <f>IFERROR(INDEX(TableTECalcPts[TM],MATCH(TableTEVORP[[#This Row],[RK]],TableTECalcPts[RK],0)),"")</f>
        <v>LAC</v>
      </c>
      <c r="Y32" s="154">
        <f>IFERROR(INDEX(TableTECalcPts[BYE],MATCH(TableTEVORP[[#This Row],[RK]],TableTECalcPts[RK],0)),"")</f>
        <v>7</v>
      </c>
      <c r="Z32" s="155">
        <f>IFERROR(INDEX(TableTECalcPts[Custom],MATCH(TableTEVORP[[#This Row],[RK]],TableTECalcPts[RK],0)),"")</f>
        <v>71.842267786673858</v>
      </c>
      <c r="AA32" s="156">
        <f>IFERROR((TableTEVORP[[#This Row],[FPS]]-INDEX(TableTEVORP[FPS],MATCH(TEVORPCalc,TableTEVORP[RK],0))),"")</f>
        <v>-6.0435261895678281</v>
      </c>
      <c r="AF32" s="58" t="s">
        <v>7</v>
      </c>
      <c r="AG32" s="58">
        <v>31</v>
      </c>
      <c r="AH32" s="100">
        <f>RANK(TableOverallMaster[[#This Row],[VORP]],TableOverallMaster[VORP])+COUNTIF($AM$2:AM32,AM32)-1</f>
        <v>291</v>
      </c>
      <c r="AI32" s="157" t="str">
        <f>IFERROR(INDEX(TableQBVORP[QUARTERBACK],MATCH(TableOverallMaster[[#This Row],[RK]],TableQBVORP[RK],0)),"")</f>
        <v>Kirk Cousins</v>
      </c>
      <c r="AJ32" s="157" t="str">
        <f t="shared" si="0"/>
        <v>QB31</v>
      </c>
      <c r="AK32" s="157">
        <f>IFERROR(INDEX(TableQBVORP[BYE],MATCH(TableOverallMaster[[#This Row],[RK]],TableQBVORP[RK],0)),"")</f>
        <v>13</v>
      </c>
      <c r="AL32" s="158">
        <f>IFERROR(INDEX(TableQBVORP[FPS],MATCH(TableOverallMaster[[#This Row],[RK]],TableQBVORP[RK],0)),"")</f>
        <v>191.74774367975132</v>
      </c>
      <c r="AM32" s="159">
        <f>IFERROR(INDEX(TableQBVORP[VORP],MATCH(TableOverallMaster[[#This Row],[RK]],TableQBVORP[RK],0)),"")</f>
        <v>-122.5128762967976</v>
      </c>
      <c r="AO32" s="58">
        <v>31</v>
      </c>
      <c r="AP32" s="160" t="str">
        <f>IFERROR(INDEX(TableOverallMaster[OVERALL PLAYER],MATCH(TableOverallRank[[#This Row],[RK]],TableOverallMaster[OVR RK],0)),"")</f>
        <v>Colston Loveland</v>
      </c>
      <c r="AQ32" s="161" t="str">
        <f>IFERROR(INDEX(TableOverallMaster[POS RK],MATCH(TableOverallRank[[#This Row],[OVERALL PLAYER]],TableOverallMaster[OVERALL PLAYER],0)),"")</f>
        <v>TE1</v>
      </c>
      <c r="AR32" s="162">
        <f>IFERROR(INDEX(TableOverallMaster[BYE],MATCH(TableOverallRank[[#This Row],[OVERALL PLAYER]],TableOverallMaster[OVERALL PLAYER],0)),"")</f>
        <v>10</v>
      </c>
      <c r="AS32" s="161">
        <f>IFERROR(INDEX(TableOverallMaster[Custom],MATCH(TableOverallRank[[#This Row],[OVERALL PLAYER]],TableOverallMaster[OVERALL PLAYER],0)),"")</f>
        <v>193.51107011578497</v>
      </c>
      <c r="AT32" s="163">
        <f>IFERROR(INDEX(TableOverallMaster[VORP],MATCH(TableOverallRank[[#This Row],[OVERALL PLAYER]],TableOverallMaster[OVERALL PLAYER],0)),"")</f>
        <v>115.62527613954329</v>
      </c>
      <c r="AV32" s="58">
        <v>31</v>
      </c>
      <c r="AW32" s="164" t="str">
        <f>IFERROR(INDEX(TableWRTECalcPts[PLAYER],MATCH(TableWRTERank[[#This Row],[RK]],TableWRTECalcPts[RK],0)),"")</f>
        <v>Trey McBride</v>
      </c>
      <c r="AX32" s="164" t="str">
        <f>IFERROR(INDEX(TableWRTECalcPts[POS RK],MATCH(TableWRTERank[[#This Row],[WR and TE COMBINED]],TableWRTECalcPts[PLAYER],0)),"")</f>
        <v>TE3</v>
      </c>
      <c r="AY32" s="164">
        <f>IFERROR(INDEX(TableWRTECalcPts[BYE],MATCH(TableWRTERank[[#This Row],[RK]],TableWRTECalcPts[RK],0)),"")</f>
        <v>14</v>
      </c>
      <c r="AZ32" s="165">
        <f>IFERROR(INDEX(TableWRTECalcPts[Custom],MATCH(TableWRTERank[[#This Row],[RK]],TableWRTECalcPts[RK],0)),"")</f>
        <v>183.17818580821358</v>
      </c>
      <c r="BA32" s="166">
        <f>IFERROR((TableWRTERank[[#This Row],[FPS]]-INDEX(TableWRTERank[FPS],MATCH(WRTEVORPCalc,TableWRTERank[RK],0))),"")</f>
        <v>41.941814225921888</v>
      </c>
      <c r="BC32" s="58" t="s">
        <v>148</v>
      </c>
    </row>
    <row r="33" spans="1:55" x14ac:dyDescent="0.25">
      <c r="A33" s="58">
        <v>32</v>
      </c>
      <c r="B33" s="154" t="str">
        <f>IFERROR(INDEX(TableQBCalcPts[PLAYER],MATCH(TableQBVORP[[#This Row],[RK]],TableQBCalcPts[RK],0)),"")</f>
        <v>Shedeur Sanders</v>
      </c>
      <c r="C33" s="154" t="str">
        <f>IFERROR(INDEX(TableQBCalcPts[TM],MATCH(TableQBVORP[[#This Row],[RK]],TableQBCalcPts[RK],0)),"")</f>
        <v>CLE</v>
      </c>
      <c r="D33" s="154">
        <f>IFERROR(INDEX(TableQBCalcPts[BYE],MATCH(TableQBVORP[[#This Row],[RK]],TableQBCalcPts[RK],0)),"")</f>
        <v>11</v>
      </c>
      <c r="E33" s="155">
        <f>IFERROR(INDEX(TableQBCalcPts[Custom],MATCH(TableQBVORP[[#This Row],[RK]],TableQBCalcPts[RK],0)),"")</f>
        <v>156.36882801555461</v>
      </c>
      <c r="F33" s="156">
        <f>(IFERROR((TableQBVORP[[#This Row],[FPS]]-INDEX(TableQBVORP[FPS],MATCH(QBVORPCalc,TableQBVORP[RK],0))),""))+(TableRBVORP[[#This Row],[VORP]]*0.45)</f>
        <v>-158.78691304029672</v>
      </c>
      <c r="H33" s="58">
        <v>32</v>
      </c>
      <c r="I33" s="154" t="str">
        <f>IFERROR(INDEX(TableRBCalcPts[PLAYER],MATCH(TableRBVORP[[#This Row],[RK]],TableRBCalcPts[RK],0)),"")</f>
        <v>RJ Harvey</v>
      </c>
      <c r="J33" s="154" t="str">
        <f>IFERROR(INDEX(TableRBCalcPts[TM],MATCH(TableRBVORP[[#This Row],[RK]],TableRBCalcPts[RK],0)),"")</f>
        <v>DEN</v>
      </c>
      <c r="K33" s="154">
        <f>IFERROR(INDEX(TableRBCalcPts[BYE],MATCH(TableRBVORP[[#This Row],[RK]],TableRBCalcPts[RK],0)),"")</f>
        <v>10</v>
      </c>
      <c r="L33" s="155">
        <f>IFERROR(INDEX(TableRBCalcPts[Custom],MATCH(TableRBVORP[[#This Row],[RK]],TableRBCalcPts[RK],0)),"")</f>
        <v>166.0785541414003</v>
      </c>
      <c r="M33" s="156">
        <f>(IFERROR((TableRBVORP[[#This Row],[FPS]]-INDEX(TableRBVORP[FPS],MATCH(RBVORPCalc,TableRBVORP[RK],0))),""))*0.8</f>
        <v>49.656571928298348</v>
      </c>
      <c r="O33" s="58">
        <v>32</v>
      </c>
      <c r="P33" s="154" t="str">
        <f>IFERROR(INDEX(TableWRCalcPts[PLAYER],MATCH(TableWRVORP[[#This Row],[RK]],TableWRCalcPts[RK],0)),"")</f>
        <v>Courtland Sutton</v>
      </c>
      <c r="Q33" s="154" t="str">
        <f>IFERROR(INDEX(TableWRCalcPts[TM],MATCH(TableWRVORP[[#This Row],[RK]],TableWRCalcPts[RK],0)),"")</f>
        <v>DEN</v>
      </c>
      <c r="R33" s="154">
        <f>IFERROR(INDEX(TableWRCalcPts[BYE],MATCH(TableWRVORP[[#This Row],[RK]],TableWRCalcPts[RK],0)),"")</f>
        <v>10</v>
      </c>
      <c r="S33" s="155">
        <f>IFERROR(INDEX(TableWRCalcPts[Custom],MATCH(TableWRVORP[[#This Row],[RK]],TableWRCalcPts[RK],0)),"")</f>
        <v>170.42848543673475</v>
      </c>
      <c r="T33" s="156">
        <f>(IFERROR((TableWRVORP[[#This Row],[FPS]]-INDEX(TableWRVORP[FPS],MATCH(WRVORPCalc,TableWRVORP[RK],0))),""))</f>
        <v>80.144300046368684</v>
      </c>
      <c r="V33" s="58">
        <v>32</v>
      </c>
      <c r="W33" s="154" t="str">
        <f>IFERROR(INDEX(TableTECalcPts[PLAYER],MATCH(TableTEVORP[[#This Row],[RK]],TableTECalcPts[RK],0)),"")</f>
        <v>Evan Engram</v>
      </c>
      <c r="X33" s="154" t="str">
        <f>IFERROR(INDEX(TableTECalcPts[TM],MATCH(TableTEVORP[[#This Row],[RK]],TableTECalcPts[RK],0)),"")</f>
        <v>DEN</v>
      </c>
      <c r="Y33" s="154">
        <f>IFERROR(INDEX(TableTECalcPts[BYE],MATCH(TableTEVORP[[#This Row],[RK]],TableTECalcPts[RK],0)),"")</f>
        <v>10</v>
      </c>
      <c r="Z33" s="155">
        <f>IFERROR(INDEX(TableTECalcPts[Custom],MATCH(TableTEVORP[[#This Row],[RK]],TableTECalcPts[RK],0)),"")</f>
        <v>71.134066611231063</v>
      </c>
      <c r="AA33" s="156">
        <f>IFERROR((TableTEVORP[[#This Row],[FPS]]-INDEX(TableTEVORP[FPS],MATCH(TEVORPCalc,TableTEVORP[RK],0))),"")</f>
        <v>-6.7517273650106233</v>
      </c>
      <c r="AF33" s="58" t="s">
        <v>7</v>
      </c>
      <c r="AG33" s="58">
        <v>32</v>
      </c>
      <c r="AH33" s="100">
        <f>RANK(TableOverallMaster[[#This Row],[VORP]],TableOverallMaster[VORP])+COUNTIF($AM$2:AM33,AM33)-1</f>
        <v>292</v>
      </c>
      <c r="AI33" s="157" t="str">
        <f>IFERROR(INDEX(TableQBVORP[QUARTERBACK],MATCH(TableOverallMaster[[#This Row],[RK]],TableQBVORP[RK],0)),"")</f>
        <v>Shedeur Sanders</v>
      </c>
      <c r="AJ33" s="157" t="str">
        <f t="shared" si="0"/>
        <v>QB32</v>
      </c>
      <c r="AK33" s="157">
        <f>IFERROR(INDEX(TableQBVORP[BYE],MATCH(TableOverallMaster[[#This Row],[RK]],TableQBVORP[RK],0)),"")</f>
        <v>11</v>
      </c>
      <c r="AL33" s="158">
        <f>IFERROR(INDEX(TableQBVORP[FPS],MATCH(TableOverallMaster[[#This Row],[RK]],TableQBVORP[RK],0)),"")</f>
        <v>156.36882801555461</v>
      </c>
      <c r="AM33" s="159">
        <f>IFERROR(INDEX(TableQBVORP[VORP],MATCH(TableOverallMaster[[#This Row],[RK]],TableQBVORP[RK],0)),"")</f>
        <v>-158.78691304029672</v>
      </c>
      <c r="AO33" s="58">
        <v>32</v>
      </c>
      <c r="AP33" s="160" t="str">
        <f>IFERROR(INDEX(TableOverallMaster[OVERALL PLAYER],MATCH(TableOverallRank[[#This Row],[RK]],TableOverallMaster[OVR RK],0)),"")</f>
        <v>Caleb Williams</v>
      </c>
      <c r="AQ33" s="161" t="str">
        <f>IFERROR(INDEX(TableOverallMaster[POS RK],MATCH(TableOverallRank[[#This Row],[OVERALL PLAYER]],TableOverallMaster[OVERALL PLAYER],0)),"")</f>
        <v>QB12</v>
      </c>
      <c r="AR33" s="162">
        <f>IFERROR(INDEX(TableOverallMaster[BYE],MATCH(TableOverallRank[[#This Row],[OVERALL PLAYER]],TableOverallMaster[OVERALL PLAYER],0)),"")</f>
        <v>10</v>
      </c>
      <c r="AS33" s="161">
        <f>IFERROR(INDEX(TableOverallMaster[Custom],MATCH(TableOverallRank[[#This Row],[OVERALL PLAYER]],TableOverallMaster[OVERALL PLAYER],0)),"")</f>
        <v>406.47584816310064</v>
      </c>
      <c r="AT33" s="163">
        <f>IFERROR(INDEX(TableOverallMaster[VORP],MATCH(TableOverallRank[[#This Row],[OVERALL PLAYER]],TableOverallMaster[OVERALL PLAYER],0)),"")</f>
        <v>115.43486479419923</v>
      </c>
      <c r="AV33" s="58">
        <v>32</v>
      </c>
      <c r="AW33" s="164" t="str">
        <f>IFERROR(INDEX(TableWRTECalcPts[PLAYER],MATCH(TableWRTERank[[#This Row],[RK]],TableWRTECalcPts[RK],0)),"")</f>
        <v>Christian Watson</v>
      </c>
      <c r="AX33" s="164" t="str">
        <f>IFERROR(INDEX(TableWRTECalcPts[POS RK],MATCH(TableWRTERank[[#This Row],[WR and TE COMBINED]],TableWRTECalcPts[PLAYER],0)),"")</f>
        <v>WR29</v>
      </c>
      <c r="AY33" s="164">
        <f>IFERROR(INDEX(TableWRTECalcPts[BYE],MATCH(TableWRTERank[[#This Row],[RK]],TableWRTECalcPts[RK],0)),"")</f>
        <v>11</v>
      </c>
      <c r="AZ33" s="165">
        <f>IFERROR(INDEX(TableWRTECalcPts[Custom],MATCH(TableWRTERank[[#This Row],[RK]],TableWRTECalcPts[RK],0)),"")</f>
        <v>180.53046356058982</v>
      </c>
      <c r="BA33" s="166">
        <f>IFERROR((TableWRTERank[[#This Row],[FPS]]-INDEX(TableWRTERank[FPS],MATCH(WRTEVORPCalc,TableWRTERank[RK],0))),"")</f>
        <v>39.294091978298127</v>
      </c>
      <c r="BC33" s="58" t="s">
        <v>148</v>
      </c>
    </row>
    <row r="34" spans="1:55" x14ac:dyDescent="0.25">
      <c r="A34" s="58">
        <v>33</v>
      </c>
      <c r="B34" s="154" t="str">
        <f>IFERROR(INDEX(TableQBCalcPts[PLAYER],MATCH(TableQBVORP[[#This Row],[RK]],TableQBCalcPts[RK],0)),"")</f>
        <v>Deshaun Watson</v>
      </c>
      <c r="C34" s="154" t="str">
        <f>IFERROR(INDEX(TableQBCalcPts[TM],MATCH(TableQBVORP[[#This Row],[RK]],TableQBCalcPts[RK],0)),"")</f>
        <v>CLE</v>
      </c>
      <c r="D34" s="154">
        <f>IFERROR(INDEX(TableQBCalcPts[BYE],MATCH(TableQBVORP[[#This Row],[RK]],TableQBCalcPts[RK],0)),"")</f>
        <v>11</v>
      </c>
      <c r="E34" s="155">
        <f>IFERROR(INDEX(TableQBCalcPts[Custom],MATCH(TableQBVORP[[#This Row],[RK]],TableQBCalcPts[RK],0)),"")</f>
        <v>148.1598360756762</v>
      </c>
      <c r="F34" s="156">
        <f>(IFERROR((TableQBVORP[[#This Row],[FPS]]-INDEX(TableQBVORP[FPS],MATCH(QBVORPCalc,TableQBVORP[RK],0))),""))+(TableRBVORP[[#This Row],[VORP]]*0.45)</f>
        <v>-167.21520137495784</v>
      </c>
      <c r="H34" s="58">
        <v>33</v>
      </c>
      <c r="I34" s="154" t="str">
        <f>IFERROR(INDEX(TableRBCalcPts[PLAYER],MATCH(TableRBVORP[[#This Row],[RK]],TableRBCalcPts[RK],0)),"")</f>
        <v>Jaylen Warren</v>
      </c>
      <c r="J34" s="154" t="str">
        <f>IFERROR(INDEX(TableRBCalcPts[TM],MATCH(TableRBVORP[[#This Row],[RK]],TableRBCalcPts[RK],0)),"")</f>
        <v>PIT</v>
      </c>
      <c r="K34" s="154">
        <f>IFERROR(INDEX(TableRBCalcPts[BYE],MATCH(TableRBVORP[[#This Row],[RK]],TableRBCalcPts[RK],0)),"")</f>
        <v>9</v>
      </c>
      <c r="L34" s="155">
        <f>IFERROR(INDEX(TableRBCalcPts[Custom],MATCH(TableRBVORP[[#This Row],[RK]],TableRBCalcPts[RK],0)),"")</f>
        <v>165.46939748922614</v>
      </c>
      <c r="M34" s="156">
        <f>(IFERROR((TableRBVORP[[#This Row],[FPS]]-INDEX(TableRBVORP[FPS],MATCH(RBVORPCalc,TableRBVORP[RK],0))),""))*0.8</f>
        <v>49.169246606559014</v>
      </c>
      <c r="O34" s="58">
        <v>33</v>
      </c>
      <c r="P34" s="154" t="str">
        <f>IFERROR(INDEX(TableWRCalcPts[PLAYER],MATCH(TableWRVORP[[#This Row],[RK]],TableWRCalcPts[RK],0)),"")</f>
        <v>Makai Lemon</v>
      </c>
      <c r="Q34" s="154" t="str">
        <f>IFERROR(INDEX(TableWRCalcPts[TM],MATCH(TableWRVORP[[#This Row],[RK]],TableWRCalcPts[RK],0)),"")</f>
        <v>PHI</v>
      </c>
      <c r="R34" s="154">
        <f>IFERROR(INDEX(TableWRCalcPts[BYE],MATCH(TableWRVORP[[#This Row],[RK]],TableWRCalcPts[RK],0)),"")</f>
        <v>10</v>
      </c>
      <c r="S34" s="155">
        <f>IFERROR(INDEX(TableWRCalcPts[Custom],MATCH(TableWRVORP[[#This Row],[RK]],TableWRCalcPts[RK],0)),"")</f>
        <v>169.40745113120846</v>
      </c>
      <c r="T34" s="156">
        <f>(IFERROR((TableWRVORP[[#This Row],[FPS]]-INDEX(TableWRVORP[FPS],MATCH(WRVORPCalc,TableWRVORP[RK],0))),""))</f>
        <v>79.123265740842399</v>
      </c>
      <c r="V34" s="58">
        <v>33</v>
      </c>
      <c r="W34" s="154" t="str">
        <f>IFERROR(INDEX(TableTECalcPts[PLAYER],MATCH(TableTEVORP[[#This Row],[RK]],TableTECalcPts[RK],0)),"")</f>
        <v>Mason Taylor</v>
      </c>
      <c r="X34" s="154" t="str">
        <f>IFERROR(INDEX(TableTECalcPts[TM],MATCH(TableTEVORP[[#This Row],[RK]],TableTECalcPts[RK],0)),"")</f>
        <v>NYJ</v>
      </c>
      <c r="Y34" s="154">
        <f>IFERROR(INDEX(TableTECalcPts[BYE],MATCH(TableTEVORP[[#This Row],[RK]],TableTECalcPts[RK],0)),"")</f>
        <v>13</v>
      </c>
      <c r="Z34" s="155">
        <f>IFERROR(INDEX(TableTECalcPts[Custom],MATCH(TableTEVORP[[#This Row],[RK]],TableTECalcPts[RK],0)),"")</f>
        <v>64.620107061078613</v>
      </c>
      <c r="AA34" s="156">
        <f>IFERROR((TableTEVORP[[#This Row],[FPS]]-INDEX(TableTEVORP[FPS],MATCH(TEVORPCalc,TableTEVORP[RK],0))),"")</f>
        <v>-13.265686915163073</v>
      </c>
      <c r="AF34" s="58" t="s">
        <v>7</v>
      </c>
      <c r="AG34" s="58">
        <v>33</v>
      </c>
      <c r="AH34" s="100">
        <f>RANK(TableOverallMaster[[#This Row],[VORP]],TableOverallMaster[VORP])+COUNTIF($AM$2:AM34,AM34)-1</f>
        <v>293</v>
      </c>
      <c r="AI34" s="157" t="str">
        <f>IFERROR(INDEX(TableQBVORP[QUARTERBACK],MATCH(TableOverallMaster[[#This Row],[RK]],TableQBVORP[RK],0)),"")</f>
        <v>Deshaun Watson</v>
      </c>
      <c r="AJ34" s="157" t="str">
        <f t="shared" si="0"/>
        <v>QB33</v>
      </c>
      <c r="AK34" s="157">
        <f>IFERROR(INDEX(TableQBVORP[BYE],MATCH(TableOverallMaster[[#This Row],[RK]],TableQBVORP[RK],0)),"")</f>
        <v>11</v>
      </c>
      <c r="AL34" s="158">
        <f>IFERROR(INDEX(TableQBVORP[FPS],MATCH(TableOverallMaster[[#This Row],[RK]],TableQBVORP[RK],0)),"")</f>
        <v>148.1598360756762</v>
      </c>
      <c r="AM34" s="159">
        <f>IFERROR(INDEX(TableQBVORP[VORP],MATCH(TableOverallMaster[[#This Row],[RK]],TableQBVORP[RK],0)),"")</f>
        <v>-167.21520137495784</v>
      </c>
      <c r="AO34" s="58">
        <v>33</v>
      </c>
      <c r="AP34" s="160" t="str">
        <f>IFERROR(INDEX(TableOverallMaster[OVERALL PLAYER],MATCH(TableOverallRank[[#This Row],[RK]],TableOverallMaster[OVR RK],0)),"")</f>
        <v>Zay Flowers</v>
      </c>
      <c r="AQ34" s="161" t="str">
        <f>IFERROR(INDEX(TableOverallMaster[POS RK],MATCH(TableOverallRank[[#This Row],[OVERALL PLAYER]],TableOverallMaster[OVERALL PLAYER],0)),"")</f>
        <v>WR13</v>
      </c>
      <c r="AR34" s="162">
        <f>IFERROR(INDEX(TableOverallMaster[BYE],MATCH(TableOverallRank[[#This Row],[OVERALL PLAYER]],TableOverallMaster[OVERALL PLAYER],0)),"")</f>
        <v>13</v>
      </c>
      <c r="AS34" s="161">
        <f>IFERROR(INDEX(TableOverallMaster[Custom],MATCH(TableOverallRank[[#This Row],[OVERALL PLAYER]],TableOverallMaster[OVERALL PLAYER],0)),"")</f>
        <v>204.82728652227939</v>
      </c>
      <c r="AT34" s="163">
        <f>IFERROR(INDEX(TableOverallMaster[VORP],MATCH(TableOverallRank[[#This Row],[OVERALL PLAYER]],TableOverallMaster[OVERALL PLAYER],0)),"")</f>
        <v>114.54310113191333</v>
      </c>
      <c r="AV34" s="58">
        <v>33</v>
      </c>
      <c r="AW34" s="164" t="str">
        <f>IFERROR(INDEX(TableWRTECalcPts[PLAYER],MATCH(TableWRTERank[[#This Row],[RK]],TableWRTECalcPts[RK],0)),"")</f>
        <v>Rome Odunze</v>
      </c>
      <c r="AX34" s="164" t="str">
        <f>IFERROR(INDEX(TableWRTECalcPts[POS RK],MATCH(TableWRTERank[[#This Row],[WR and TE COMBINED]],TableWRTECalcPts[PLAYER],0)),"")</f>
        <v>WR30</v>
      </c>
      <c r="AY34" s="164">
        <f>IFERROR(INDEX(TableWRTECalcPts[BYE],MATCH(TableWRTERank[[#This Row],[RK]],TableWRTECalcPts[RK],0)),"")</f>
        <v>10</v>
      </c>
      <c r="AZ34" s="165">
        <f>IFERROR(INDEX(TableWRTECalcPts[Custom],MATCH(TableWRTERank[[#This Row],[RK]],TableWRTECalcPts[RK],0)),"")</f>
        <v>174.03183456362797</v>
      </c>
      <c r="BA34" s="166">
        <f>IFERROR((TableWRTERank[[#This Row],[FPS]]-INDEX(TableWRTERank[FPS],MATCH(WRTEVORPCalc,TableWRTERank[RK],0))),"")</f>
        <v>32.795462981336271</v>
      </c>
      <c r="BC34" s="58" t="s">
        <v>148</v>
      </c>
    </row>
    <row r="35" spans="1:55" x14ac:dyDescent="0.25">
      <c r="A35" s="58">
        <v>34</v>
      </c>
      <c r="B35" s="154" t="str">
        <f>IFERROR(INDEX(TableQBCalcPts[PLAYER],MATCH(TableQBVORP[[#This Row],[RK]],TableQBCalcPts[RK],0)),"")</f>
        <v>Fernando Mendoza</v>
      </c>
      <c r="C35" s="154" t="str">
        <f>IFERROR(INDEX(TableQBCalcPts[TM],MATCH(TableQBVORP[[#This Row],[RK]],TableQBCalcPts[RK],0)),"")</f>
        <v>LV</v>
      </c>
      <c r="D35" s="154">
        <f>IFERROR(INDEX(TableQBCalcPts[BYE],MATCH(TableQBVORP[[#This Row],[RK]],TableQBCalcPts[RK],0)),"")</f>
        <v>13</v>
      </c>
      <c r="E35" s="155">
        <f>IFERROR(INDEX(TableQBCalcPts[Custom],MATCH(TableQBVORP[[#This Row],[RK]],TableQBCalcPts[RK],0)),"")</f>
        <v>134.27768356155099</v>
      </c>
      <c r="F35" s="156">
        <f>(IFERROR((TableQBVORP[[#This Row],[FPS]]-INDEX(TableQBVORP[FPS],MATCH(QBVORPCalc,TableQBVORP[RK],0))),""))+(TableRBVORP[[#This Row],[VORP]]*0.45)</f>
        <v>-187.51548214718269</v>
      </c>
      <c r="H35" s="58">
        <v>34</v>
      </c>
      <c r="I35" s="154" t="str">
        <f>IFERROR(INDEX(TableRBCalcPts[PLAYER],MATCH(TableRBVORP[[#This Row],[RK]],TableRBCalcPts[RK],0)),"")</f>
        <v>Kyle Monangai</v>
      </c>
      <c r="J35" s="154" t="str">
        <f>IFERROR(INDEX(TableRBCalcPts[TM],MATCH(TableRBVORP[[#This Row],[RK]],TableRBCalcPts[RK],0)),"")</f>
        <v>CHI</v>
      </c>
      <c r="K35" s="154">
        <f>IFERROR(INDEX(TableRBCalcPts[BYE],MATCH(TableRBVORP[[#This Row],[RK]],TableRBCalcPts[RK],0)),"")</f>
        <v>10</v>
      </c>
      <c r="L35" s="155">
        <f>IFERROR(INDEX(TableRBCalcPts[Custom],MATCH(TableRBVORP[[#This Row],[RK]],TableRBCalcPts[RK],0)),"")</f>
        <v>147.64126343894941</v>
      </c>
      <c r="M35" s="156">
        <f>(IFERROR((TableRBVORP[[#This Row],[FPS]]-INDEX(TableRBVORP[FPS],MATCH(RBVORPCalc,TableRBVORP[RK],0))),""))*0.8</f>
        <v>34.906739366337625</v>
      </c>
      <c r="O35" s="58">
        <v>34</v>
      </c>
      <c r="P35" s="154" t="str">
        <f>IFERROR(INDEX(TableWRCalcPts[PLAYER],MATCH(TableWRVORP[[#This Row],[RK]],TableWRCalcPts[RK],0)),"")</f>
        <v>Jordan Addison</v>
      </c>
      <c r="Q35" s="154" t="str">
        <f>IFERROR(INDEX(TableWRCalcPts[TM],MATCH(TableWRVORP[[#This Row],[RK]],TableWRCalcPts[RK],0)),"")</f>
        <v>MIN</v>
      </c>
      <c r="R35" s="154">
        <f>IFERROR(INDEX(TableWRCalcPts[BYE],MATCH(TableWRVORP[[#This Row],[RK]],TableWRCalcPts[RK],0)),"")</f>
        <v>6</v>
      </c>
      <c r="S35" s="155">
        <f>IFERROR(INDEX(TableWRCalcPts[Custom],MATCH(TableWRVORP[[#This Row],[RK]],TableWRCalcPts[RK],0)),"")</f>
        <v>168.53891277683735</v>
      </c>
      <c r="T35" s="156">
        <f>(IFERROR((TableWRVORP[[#This Row],[FPS]]-INDEX(TableWRVORP[FPS],MATCH(WRVORPCalc,TableWRVORP[RK],0))),""))</f>
        <v>78.254727386471288</v>
      </c>
      <c r="V35" s="58">
        <v>34</v>
      </c>
      <c r="W35" s="154" t="str">
        <f>IFERROR(INDEX(TableTECalcPts[PLAYER],MATCH(TableTEVORP[[#This Row],[RK]],TableTECalcPts[RK],0)),"")</f>
        <v>Darnell Washington</v>
      </c>
      <c r="X35" s="154" t="str">
        <f>IFERROR(INDEX(TableTECalcPts[TM],MATCH(TableTEVORP[[#This Row],[RK]],TableTECalcPts[RK],0)),"")</f>
        <v>PIT</v>
      </c>
      <c r="Y35" s="154">
        <f>IFERROR(INDEX(TableTECalcPts[BYE],MATCH(TableTEVORP[[#This Row],[RK]],TableTECalcPts[RK],0)),"")</f>
        <v>9</v>
      </c>
      <c r="Z35" s="155">
        <f>IFERROR(INDEX(TableTECalcPts[Custom],MATCH(TableTEVORP[[#This Row],[RK]],TableTECalcPts[RK],0)),"")</f>
        <v>63.316144832859713</v>
      </c>
      <c r="AA35" s="156">
        <f>IFERROR((TableTEVORP[[#This Row],[FPS]]-INDEX(TableTEVORP[FPS],MATCH(TEVORPCalc,TableTEVORP[RK],0))),"")</f>
        <v>-14.569649143381973</v>
      </c>
      <c r="AF35" s="58" t="s">
        <v>7</v>
      </c>
      <c r="AG35" s="58">
        <v>34</v>
      </c>
      <c r="AH35" s="100">
        <f>RANK(TableOverallMaster[[#This Row],[VORP]],TableOverallMaster[VORP])+COUNTIF($AM$2:AM35,AM35)-1</f>
        <v>294</v>
      </c>
      <c r="AI35" s="157" t="str">
        <f>IFERROR(INDEX(TableQBVORP[QUARTERBACK],MATCH(TableOverallMaster[[#This Row],[RK]],TableQBVORP[RK],0)),"")</f>
        <v>Fernando Mendoza</v>
      </c>
      <c r="AJ35" s="157" t="str">
        <f t="shared" si="0"/>
        <v>QB34</v>
      </c>
      <c r="AK35" s="157">
        <f>IFERROR(INDEX(TableQBVORP[BYE],MATCH(TableOverallMaster[[#This Row],[RK]],TableQBVORP[RK],0)),"")</f>
        <v>13</v>
      </c>
      <c r="AL35" s="158">
        <f>IFERROR(INDEX(TableQBVORP[FPS],MATCH(TableOverallMaster[[#This Row],[RK]],TableQBVORP[RK],0)),"")</f>
        <v>134.27768356155099</v>
      </c>
      <c r="AM35" s="159">
        <f>IFERROR(INDEX(TableQBVORP[VORP],MATCH(TableOverallMaster[[#This Row],[RK]],TableQBVORP[RK],0)),"")</f>
        <v>-187.51548214718269</v>
      </c>
      <c r="AO35" s="58">
        <v>34</v>
      </c>
      <c r="AP35" s="160" t="str">
        <f>IFERROR(INDEX(TableOverallMaster[OVERALL PLAYER],MATCH(TableOverallRank[[#This Row],[RK]],TableOverallMaster[OVR RK],0)),"")</f>
        <v>Brock Bowers</v>
      </c>
      <c r="AQ35" s="161" t="str">
        <f>IFERROR(INDEX(TableOverallMaster[POS RK],MATCH(TableOverallRank[[#This Row],[OVERALL PLAYER]],TableOverallMaster[OVERALL PLAYER],0)),"")</f>
        <v>TE2</v>
      </c>
      <c r="AR35" s="162">
        <f>IFERROR(INDEX(TableOverallMaster[BYE],MATCH(TableOverallRank[[#This Row],[OVERALL PLAYER]],TableOverallMaster[OVERALL PLAYER],0)),"")</f>
        <v>13</v>
      </c>
      <c r="AS35" s="161">
        <f>IFERROR(INDEX(TableOverallMaster[Custom],MATCH(TableOverallRank[[#This Row],[OVERALL PLAYER]],TableOverallMaster[OVERALL PLAYER],0)),"")</f>
        <v>189.22979775372039</v>
      </c>
      <c r="AT35" s="163">
        <f>IFERROR(INDEX(TableOverallMaster[VORP],MATCH(TableOverallRank[[#This Row],[OVERALL PLAYER]],TableOverallMaster[OVERALL PLAYER],0)),"")</f>
        <v>111.3440037774787</v>
      </c>
      <c r="AV35" s="58">
        <v>34</v>
      </c>
      <c r="AW35" s="164" t="str">
        <f>IFERROR(INDEX(TableWRTECalcPts[PLAYER],MATCH(TableWRTERank[[#This Row],[RK]],TableWRTECalcPts[RK],0)),"")</f>
        <v>Alec Pierce</v>
      </c>
      <c r="AX35" s="164" t="str">
        <f>IFERROR(INDEX(TableWRTECalcPts[POS RK],MATCH(TableWRTERank[[#This Row],[WR and TE COMBINED]],TableWRTECalcPts[PLAYER],0)),"")</f>
        <v>WR31</v>
      </c>
      <c r="AY35" s="164">
        <f>IFERROR(INDEX(TableWRTECalcPts[BYE],MATCH(TableWRTERank[[#This Row],[RK]],TableWRTECalcPts[RK],0)),"")</f>
        <v>13</v>
      </c>
      <c r="AZ35" s="165">
        <f>IFERROR(INDEX(TableWRTECalcPts[Custom],MATCH(TableWRTERank[[#This Row],[RK]],TableWRTECalcPts[RK],0)),"")</f>
        <v>172.58925215568158</v>
      </c>
      <c r="BA35" s="166">
        <f>IFERROR((TableWRTERank[[#This Row],[FPS]]-INDEX(TableWRTERank[FPS],MATCH(WRTEVORPCalc,TableWRTERank[RK],0))),"")</f>
        <v>31.352880573389882</v>
      </c>
      <c r="BC35" s="58" t="s">
        <v>148</v>
      </c>
    </row>
    <row r="36" spans="1:55" x14ac:dyDescent="0.25">
      <c r="A36" s="58">
        <v>35</v>
      </c>
      <c r="B36" s="154" t="str">
        <f>IFERROR(INDEX(TableQBCalcPts[PLAYER],MATCH(TableQBVORP[[#This Row],[RK]],TableQBCalcPts[RK],0)),"")</f>
        <v>Michael Penix</v>
      </c>
      <c r="C36" s="154" t="str">
        <f>IFERROR(INDEX(TableQBCalcPts[TM],MATCH(TableQBVORP[[#This Row],[RK]],TableQBCalcPts[RK],0)),"")</f>
        <v>ATL</v>
      </c>
      <c r="D36" s="154">
        <f>IFERROR(INDEX(TableQBCalcPts[BYE],MATCH(TableQBVORP[[#This Row],[RK]],TableQBCalcPts[RK],0)),"")</f>
        <v>11</v>
      </c>
      <c r="E36" s="155">
        <f>IFERROR(INDEX(TableQBCalcPts[Custom],MATCH(TableQBVORP[[#This Row],[RK]],TableQBCalcPts[RK],0)),"")</f>
        <v>41.951258611673893</v>
      </c>
      <c r="F36" s="156">
        <f>(IFERROR((TableQBVORP[[#This Row],[FPS]]-INDEX(TableQBVORP[FPS],MATCH(QBVORPCalc,TableQBVORP[RK],0))),""))+(TableRBVORP[[#This Row],[VORP]]*0.45)</f>
        <v>-285.36232872174753</v>
      </c>
      <c r="H36" s="58">
        <v>35</v>
      </c>
      <c r="I36" s="154" t="str">
        <f>IFERROR(INDEX(TableRBCalcPts[PLAYER],MATCH(TableRBVORP[[#This Row],[RK]],TableRBCalcPts[RK],0)),"")</f>
        <v>Jordan Mason</v>
      </c>
      <c r="J36" s="154" t="str">
        <f>IFERROR(INDEX(TableRBCalcPts[TM],MATCH(TableRBVORP[[#This Row],[RK]],TableRBCalcPts[RK],0)),"")</f>
        <v>MIN</v>
      </c>
      <c r="K36" s="154">
        <f>IFERROR(INDEX(TableRBCalcPts[BYE],MATCH(TableRBVORP[[#This Row],[RK]],TableRBCalcPts[RK],0)),"")</f>
        <v>6</v>
      </c>
      <c r="L36" s="155">
        <f>IFERROR(INDEX(TableRBCalcPts[Custom],MATCH(TableRBVORP[[#This Row],[RK]],TableRBCalcPts[RK],0)),"")</f>
        <v>132.30675892592791</v>
      </c>
      <c r="M36" s="156">
        <f>(IFERROR((TableRBVORP[[#This Row],[FPS]]-INDEX(TableRBVORP[FPS],MATCH(RBVORPCalc,TableRBVORP[RK],0))),""))*0.8</f>
        <v>22.639135755920428</v>
      </c>
      <c r="O36" s="58">
        <v>35</v>
      </c>
      <c r="P36" s="154" t="str">
        <f>IFERROR(INDEX(TableWRCalcPts[PLAYER],MATCH(TableWRVORP[[#This Row],[RK]],TableWRCalcPts[RK],0)),"")</f>
        <v>Quentin Johnston</v>
      </c>
      <c r="Q36" s="154" t="str">
        <f>IFERROR(INDEX(TableWRCalcPts[TM],MATCH(TableWRVORP[[#This Row],[RK]],TableWRCalcPts[RK],0)),"")</f>
        <v>LAC</v>
      </c>
      <c r="R36" s="154">
        <f>IFERROR(INDEX(TableWRCalcPts[BYE],MATCH(TableWRVORP[[#This Row],[RK]],TableWRCalcPts[RK],0)),"")</f>
        <v>7</v>
      </c>
      <c r="S36" s="155">
        <f>IFERROR(INDEX(TableWRCalcPts[Custom],MATCH(TableWRVORP[[#This Row],[RK]],TableWRCalcPts[RK],0)),"")</f>
        <v>164.51076219862676</v>
      </c>
      <c r="T36" s="156">
        <f>(IFERROR((TableWRVORP[[#This Row],[FPS]]-INDEX(TableWRVORP[FPS],MATCH(WRVORPCalc,TableWRVORP[RK],0))),""))</f>
        <v>74.226576808260702</v>
      </c>
      <c r="V36" s="58">
        <v>35</v>
      </c>
      <c r="W36" s="154" t="str">
        <f>IFERROR(INDEX(TableTECalcPts[PLAYER],MATCH(TableTEVORP[[#This Row],[RK]],TableTECalcPts[RK],0)),"")</f>
        <v>Dawson Knox</v>
      </c>
      <c r="X36" s="154" t="str">
        <f>IFERROR(INDEX(TableTECalcPts[TM],MATCH(TableTEVORP[[#This Row],[RK]],TableTECalcPts[RK],0)),"")</f>
        <v>BUF</v>
      </c>
      <c r="Y36" s="154">
        <f>IFERROR(INDEX(TableTECalcPts[BYE],MATCH(TableTEVORP[[#This Row],[RK]],TableTECalcPts[RK],0)),"")</f>
        <v>7</v>
      </c>
      <c r="Z36" s="155">
        <f>IFERROR(INDEX(TableTECalcPts[Custom],MATCH(TableTEVORP[[#This Row],[RK]],TableTECalcPts[RK],0)),"")</f>
        <v>61.473812892346771</v>
      </c>
      <c r="AA36" s="156">
        <f>IFERROR((TableTEVORP[[#This Row],[FPS]]-INDEX(TableTEVORP[FPS],MATCH(TEVORPCalc,TableTEVORP[RK],0))),"")</f>
        <v>-16.411981083894915</v>
      </c>
      <c r="AF36" s="58" t="s">
        <v>7</v>
      </c>
      <c r="AG36" s="58">
        <v>35</v>
      </c>
      <c r="AH36" s="100">
        <f>RANK(TableOverallMaster[[#This Row],[VORP]],TableOverallMaster[VORP])+COUNTIF($AM$2:AM36,AM36)-1</f>
        <v>295</v>
      </c>
      <c r="AI36" s="157" t="str">
        <f>IFERROR(INDEX(TableQBVORP[QUARTERBACK],MATCH(TableOverallMaster[[#This Row],[RK]],TableQBVORP[RK],0)),"")</f>
        <v>Michael Penix</v>
      </c>
      <c r="AJ36" s="157" t="str">
        <f t="shared" si="0"/>
        <v>QB35</v>
      </c>
      <c r="AK36" s="157">
        <f>IFERROR(INDEX(TableQBVORP[BYE],MATCH(TableOverallMaster[[#This Row],[RK]],TableQBVORP[RK],0)),"")</f>
        <v>11</v>
      </c>
      <c r="AL36" s="158">
        <f>IFERROR(INDEX(TableQBVORP[FPS],MATCH(TableOverallMaster[[#This Row],[RK]],TableQBVORP[RK],0)),"")</f>
        <v>41.951258611673893</v>
      </c>
      <c r="AM36" s="159">
        <f>IFERROR(INDEX(TableQBVORP[VORP],MATCH(TableOverallMaster[[#This Row],[RK]],TableQBVORP[RK],0)),"")</f>
        <v>-285.36232872174753</v>
      </c>
      <c r="AO36" s="58">
        <v>35</v>
      </c>
      <c r="AP36" s="160" t="str">
        <f>IFERROR(INDEX(TableOverallMaster[OVERALL PLAYER],MATCH(TableOverallRank[[#This Row],[RK]],TableOverallMaster[OVR RK],0)),"")</f>
        <v>Jaylen Waddle</v>
      </c>
      <c r="AQ36" s="161" t="str">
        <f>IFERROR(INDEX(TableOverallMaster[POS RK],MATCH(TableOverallRank[[#This Row],[OVERALL PLAYER]],TableOverallMaster[OVERALL PLAYER],0)),"")</f>
        <v>WR14</v>
      </c>
      <c r="AR36" s="162">
        <f>IFERROR(INDEX(TableOverallMaster[BYE],MATCH(TableOverallRank[[#This Row],[OVERALL PLAYER]],TableOverallMaster[OVERALL PLAYER],0)),"")</f>
        <v>10</v>
      </c>
      <c r="AS36" s="161">
        <f>IFERROR(INDEX(TableOverallMaster[Custom],MATCH(TableOverallRank[[#This Row],[OVERALL PLAYER]],TableOverallMaster[OVERALL PLAYER],0)),"")</f>
        <v>200.8042267743339</v>
      </c>
      <c r="AT36" s="163">
        <f>IFERROR(INDEX(TableOverallMaster[VORP],MATCH(TableOverallRank[[#This Row],[OVERALL PLAYER]],TableOverallMaster[OVERALL PLAYER],0)),"")</f>
        <v>110.52004138396784</v>
      </c>
      <c r="AV36" s="58">
        <v>35</v>
      </c>
      <c r="AW36" s="164" t="str">
        <f>IFERROR(INDEX(TableWRTECalcPts[PLAYER],MATCH(TableWRTERank[[#This Row],[RK]],TableWRTECalcPts[RK],0)),"")</f>
        <v>Courtland Sutton</v>
      </c>
      <c r="AX36" s="164" t="str">
        <f>IFERROR(INDEX(TableWRTECalcPts[POS RK],MATCH(TableWRTERank[[#This Row],[WR and TE COMBINED]],TableWRTECalcPts[PLAYER],0)),"")</f>
        <v>WR32</v>
      </c>
      <c r="AY36" s="164">
        <f>IFERROR(INDEX(TableWRTECalcPts[BYE],MATCH(TableWRTERank[[#This Row],[RK]],TableWRTECalcPts[RK],0)),"")</f>
        <v>10</v>
      </c>
      <c r="AZ36" s="165">
        <f>IFERROR(INDEX(TableWRTECalcPts[Custom],MATCH(TableWRTERank[[#This Row],[RK]],TableWRTECalcPts[RK],0)),"")</f>
        <v>170.42848543673475</v>
      </c>
      <c r="BA36" s="166">
        <f>IFERROR((TableWRTERank[[#This Row],[FPS]]-INDEX(TableWRTERank[FPS],MATCH(WRTEVORPCalc,TableWRTERank[RK],0))),"")</f>
        <v>29.192113854443051</v>
      </c>
      <c r="BC36" s="58" t="s">
        <v>148</v>
      </c>
    </row>
    <row r="37" spans="1:55" x14ac:dyDescent="0.25">
      <c r="A37" s="58">
        <v>36</v>
      </c>
      <c r="B37" s="154" t="str">
        <f>IFERROR(INDEX(TableQBCalcPts[PLAYER],MATCH(TableQBVORP[[#This Row],[RK]],TableQBCalcPts[RK],0)),"")</f>
        <v>Anthony Richardson</v>
      </c>
      <c r="C37" s="154" t="str">
        <f>IFERROR(INDEX(TableQBCalcPts[TM],MATCH(TableQBVORP[[#This Row],[RK]],TableQBCalcPts[RK],0)),"")</f>
        <v>IND</v>
      </c>
      <c r="D37" s="154">
        <f>IFERROR(INDEX(TableQBCalcPts[BYE],MATCH(TableQBVORP[[#This Row],[RK]],TableQBCalcPts[RK],0)),"")</f>
        <v>13</v>
      </c>
      <c r="E37" s="155">
        <f>IFERROR(INDEX(TableQBCalcPts[Custom],MATCH(TableQBVORP[[#This Row],[RK]],TableQBCalcPts[RK],0)),"")</f>
        <v>34.144032787890652</v>
      </c>
      <c r="F37" s="156">
        <f>(IFERROR((TableQBVORP[[#This Row],[FPS]]-INDEX(TableQBVORP[FPS],MATCH(QBVORPCalc,TableQBVORP[RK],0))),""))+(TableRBVORP[[#This Row],[VORP]]*0.45)</f>
        <v>-293.2062907453813</v>
      </c>
      <c r="H37" s="58">
        <v>36</v>
      </c>
      <c r="I37" s="154" t="str">
        <f>IFERROR(INDEX(TableRBCalcPts[PLAYER],MATCH(TableRBVORP[[#This Row],[RK]],TableRBCalcPts[RK],0)),"")</f>
        <v>Blake Corum</v>
      </c>
      <c r="J37" s="154" t="str">
        <f>IFERROR(INDEX(TableRBCalcPts[TM],MATCH(TableRBVORP[[#This Row],[RK]],TableRBCalcPts[RK],0)),"")</f>
        <v>LAR</v>
      </c>
      <c r="K37" s="154">
        <f>IFERROR(INDEX(TableRBCalcPts[BYE],MATCH(TableRBVORP[[#This Row],[RK]],TableRBCalcPts[RK],0)),"")</f>
        <v>11</v>
      </c>
      <c r="L37" s="155">
        <f>IFERROR(INDEX(TableRBCalcPts[Custom],MATCH(TableRBVORP[[#This Row],[RK]],TableRBCalcPts[RK],0)),"")</f>
        <v>132.20471392634317</v>
      </c>
      <c r="M37" s="156">
        <f>(IFERROR((TableRBVORP[[#This Row],[FPS]]-INDEX(TableRBVORP[FPS],MATCH(RBVORPCalc,TableRBVORP[RK],0))),""))*0.8</f>
        <v>22.557499756252639</v>
      </c>
      <c r="O37" s="58">
        <v>36</v>
      </c>
      <c r="P37" s="154" t="str">
        <f>IFERROR(INDEX(TableWRCalcPts[PLAYER],MATCH(TableWRVORP[[#This Row],[RK]],TableWRCalcPts[RK],0)),"")</f>
        <v>Jordyn Tyson</v>
      </c>
      <c r="Q37" s="154" t="str">
        <f>IFERROR(INDEX(TableWRCalcPts[TM],MATCH(TableWRVORP[[#This Row],[RK]],TableWRCalcPts[RK],0)),"")</f>
        <v>NO</v>
      </c>
      <c r="R37" s="154">
        <f>IFERROR(INDEX(TableWRCalcPts[BYE],MATCH(TableWRVORP[[#This Row],[RK]],TableWRCalcPts[RK],0)),"")</f>
        <v>8</v>
      </c>
      <c r="S37" s="155">
        <f>IFERROR(INDEX(TableWRCalcPts[Custom],MATCH(TableWRVORP[[#This Row],[RK]],TableWRCalcPts[RK],0)),"")</f>
        <v>163.96882825838594</v>
      </c>
      <c r="T37" s="156">
        <f>(IFERROR((TableWRVORP[[#This Row],[FPS]]-INDEX(TableWRVORP[FPS],MATCH(WRVORPCalc,TableWRVORP[RK],0))),""))</f>
        <v>73.684642868019878</v>
      </c>
      <c r="V37" s="58">
        <v>36</v>
      </c>
      <c r="W37" s="154" t="str">
        <f>IFERROR(INDEX(TableTECalcPts[PLAYER],MATCH(TableTEVORP[[#This Row],[RK]],TableTECalcPts[RK],0)),"")</f>
        <v>Colby Parkinson</v>
      </c>
      <c r="X37" s="154" t="str">
        <f>IFERROR(INDEX(TableTECalcPts[TM],MATCH(TableTEVORP[[#This Row],[RK]],TableTECalcPts[RK],0)),"")</f>
        <v>LAR</v>
      </c>
      <c r="Y37" s="154">
        <f>IFERROR(INDEX(TableTECalcPts[BYE],MATCH(TableTEVORP[[#This Row],[RK]],TableTECalcPts[RK],0)),"")</f>
        <v>11</v>
      </c>
      <c r="Z37" s="155">
        <f>IFERROR(INDEX(TableTECalcPts[Custom],MATCH(TableTEVORP[[#This Row],[RK]],TableTECalcPts[RK],0)),"")</f>
        <v>61.096125666883822</v>
      </c>
      <c r="AA37" s="156">
        <f>IFERROR((TableTEVORP[[#This Row],[FPS]]-INDEX(TableTEVORP[FPS],MATCH(TEVORPCalc,TableTEVORP[RK],0))),"")</f>
        <v>-16.789668309357864</v>
      </c>
      <c r="AF37" s="58" t="s">
        <v>7</v>
      </c>
      <c r="AG37" s="58">
        <v>36</v>
      </c>
      <c r="AH37" s="100">
        <f>RANK(TableOverallMaster[[#This Row],[VORP]],TableOverallMaster[VORP])+COUNTIF($AM$2:AM37,AM37)-1</f>
        <v>296</v>
      </c>
      <c r="AI37" s="157" t="str">
        <f>IFERROR(INDEX(TableQBVORP[QUARTERBACK],MATCH(TableOverallMaster[[#This Row],[RK]],TableQBVORP[RK],0)),"")</f>
        <v>Anthony Richardson</v>
      </c>
      <c r="AJ37" s="157" t="str">
        <f t="shared" si="0"/>
        <v>QB36</v>
      </c>
      <c r="AK37" s="157">
        <f>IFERROR(INDEX(TableQBVORP[BYE],MATCH(TableOverallMaster[[#This Row],[RK]],TableQBVORP[RK],0)),"")</f>
        <v>13</v>
      </c>
      <c r="AL37" s="158">
        <f>IFERROR(INDEX(TableQBVORP[FPS],MATCH(TableOverallMaster[[#This Row],[RK]],TableQBVORP[RK],0)),"")</f>
        <v>34.144032787890652</v>
      </c>
      <c r="AM37" s="159">
        <f>IFERROR(INDEX(TableQBVORP[VORP],MATCH(TableOverallMaster[[#This Row],[RK]],TableQBVORP[RK],0)),"")</f>
        <v>-293.2062907453813</v>
      </c>
      <c r="AO37" s="58">
        <v>36</v>
      </c>
      <c r="AP37" s="160" t="str">
        <f>IFERROR(INDEX(TableOverallMaster[OVERALL PLAYER],MATCH(TableOverallRank[[#This Row],[RK]],TableOverallMaster[OVR RK],0)),"")</f>
        <v>Terry McLaurin</v>
      </c>
      <c r="AQ37" s="161" t="str">
        <f>IFERROR(INDEX(TableOverallMaster[POS RK],MATCH(TableOverallRank[[#This Row],[OVERALL PLAYER]],TableOverallMaster[OVERALL PLAYER],0)),"")</f>
        <v>WR15</v>
      </c>
      <c r="AR37" s="162">
        <f>IFERROR(INDEX(TableOverallMaster[BYE],MATCH(TableOverallRank[[#This Row],[OVERALL PLAYER]],TableOverallMaster[OVERALL PLAYER],0)),"")</f>
        <v>7</v>
      </c>
      <c r="AS37" s="161">
        <f>IFERROR(INDEX(TableOverallMaster[Custom],MATCH(TableOverallRank[[#This Row],[OVERALL PLAYER]],TableOverallMaster[OVERALL PLAYER],0)),"")</f>
        <v>200.39780956148348</v>
      </c>
      <c r="AT37" s="163">
        <f>IFERROR(INDEX(TableOverallMaster[VORP],MATCH(TableOverallRank[[#This Row],[OVERALL PLAYER]],TableOverallMaster[OVERALL PLAYER],0)),"")</f>
        <v>110.11362417111742</v>
      </c>
      <c r="AV37" s="58">
        <v>36</v>
      </c>
      <c r="AW37" s="164" t="str">
        <f>IFERROR(INDEX(TableWRTECalcPts[PLAYER],MATCH(TableWRTERank[[#This Row],[RK]],TableWRTECalcPts[RK],0)),"")</f>
        <v>Makai Lemon</v>
      </c>
      <c r="AX37" s="164" t="str">
        <f>IFERROR(INDEX(TableWRTECalcPts[POS RK],MATCH(TableWRTERank[[#This Row],[WR and TE COMBINED]],TableWRTECalcPts[PLAYER],0)),"")</f>
        <v>WR33</v>
      </c>
      <c r="AY37" s="164">
        <f>IFERROR(INDEX(TableWRTECalcPts[BYE],MATCH(TableWRTERank[[#This Row],[RK]],TableWRTECalcPts[RK],0)),"")</f>
        <v>10</v>
      </c>
      <c r="AZ37" s="165">
        <f>IFERROR(INDEX(TableWRTECalcPts[Custom],MATCH(TableWRTERank[[#This Row],[RK]],TableWRTECalcPts[RK],0)),"")</f>
        <v>169.40745113120846</v>
      </c>
      <c r="BA37" s="166">
        <f>IFERROR((TableWRTERank[[#This Row],[FPS]]-INDEX(TableWRTERank[FPS],MATCH(WRTEVORPCalc,TableWRTERank[RK],0))),"")</f>
        <v>28.171079548916765</v>
      </c>
      <c r="BC37" s="58" t="s">
        <v>148</v>
      </c>
    </row>
    <row r="38" spans="1:55" x14ac:dyDescent="0.25">
      <c r="A38" s="58">
        <v>37</v>
      </c>
      <c r="B38" s="154" t="str">
        <f>IFERROR(INDEX(TableQBCalcPts[PLAYER],MATCH(TableQBVORP[[#This Row],[RK]],TableQBCalcPts[RK],0)),"")</f>
        <v>Carson Beck</v>
      </c>
      <c r="C38" s="154" t="str">
        <f>IFERROR(INDEX(TableQBCalcPts[TM],MATCH(TableQBVORP[[#This Row],[RK]],TableQBCalcPts[RK],0)),"")</f>
        <v>ARI</v>
      </c>
      <c r="D38" s="154">
        <f>IFERROR(INDEX(TableQBCalcPts[BYE],MATCH(TableQBVORP[[#This Row],[RK]],TableQBCalcPts[RK],0)),"")</f>
        <v>14</v>
      </c>
      <c r="E38" s="155">
        <f>IFERROR(INDEX(TableQBCalcPts[Custom],MATCH(TableQBVORP[[#This Row],[RK]],TableQBCalcPts[RK],0)),"")</f>
        <v>22.154240727309414</v>
      </c>
      <c r="F38" s="156">
        <f>(IFERROR((TableQBVORP[[#This Row],[FPS]]-INDEX(TableQBVORP[FPS],MATCH(QBVORPCalc,TableQBVORP[RK],0))),""))+(TableRBVORP[[#This Row],[VORP]]*0.45)</f>
        <v>-305.65800871352349</v>
      </c>
      <c r="H38" s="58">
        <v>37</v>
      </c>
      <c r="I38" s="154" t="str">
        <f>IFERROR(INDEX(TableRBCalcPts[PLAYER],MATCH(TableRBVORP[[#This Row],[RK]],TableRBCalcPts[RK],0)),"")</f>
        <v>Aaron Jones</v>
      </c>
      <c r="J38" s="154" t="str">
        <f>IFERROR(INDEX(TableRBCalcPts[TM],MATCH(TableRBVORP[[#This Row],[RK]],TableRBCalcPts[RK],0)),"")</f>
        <v>MIN</v>
      </c>
      <c r="K38" s="154">
        <f>IFERROR(INDEX(TableRBCalcPts[BYE],MATCH(TableRBVORP[[#This Row],[RK]],TableRBCalcPts[RK],0)),"")</f>
        <v>6</v>
      </c>
      <c r="L38" s="155">
        <f>IFERROR(INDEX(TableRBCalcPts[Custom],MATCH(TableRBVORP[[#This Row],[RK]],TableRBCalcPts[RK],0)),"")</f>
        <v>130.92158640534046</v>
      </c>
      <c r="M38" s="156">
        <f>(IFERROR((TableRBVORP[[#This Row],[FPS]]-INDEX(TableRBVORP[FPS],MATCH(RBVORPCalc,TableRBVORP[RK],0))),""))*0.8</f>
        <v>21.53099773945047</v>
      </c>
      <c r="O38" s="58">
        <v>37</v>
      </c>
      <c r="P38" s="154" t="str">
        <f>IFERROR(INDEX(TableWRCalcPts[PLAYER],MATCH(TableWRVORP[[#This Row],[RK]],TableWRCalcPts[RK],0)),"")</f>
        <v>DK Metcalf</v>
      </c>
      <c r="Q38" s="154" t="str">
        <f>IFERROR(INDEX(TableWRCalcPts[TM],MATCH(TableWRVORP[[#This Row],[RK]],TableWRCalcPts[RK],0)),"")</f>
        <v>PIT</v>
      </c>
      <c r="R38" s="154">
        <f>IFERROR(INDEX(TableWRCalcPts[BYE],MATCH(TableWRVORP[[#This Row],[RK]],TableWRCalcPts[RK],0)),"")</f>
        <v>9</v>
      </c>
      <c r="S38" s="155">
        <f>IFERROR(INDEX(TableWRCalcPts[Custom],MATCH(TableWRVORP[[#This Row],[RK]],TableWRCalcPts[RK],0)),"")</f>
        <v>162.91605562564334</v>
      </c>
      <c r="T38" s="156">
        <f>(IFERROR((TableWRVORP[[#This Row],[FPS]]-INDEX(TableWRVORP[FPS],MATCH(WRVORPCalc,TableWRVORP[RK],0))),""))</f>
        <v>72.631870235277276</v>
      </c>
      <c r="V38" s="58">
        <v>37</v>
      </c>
      <c r="W38" s="154" t="str">
        <f>IFERROR(INDEX(TableTECalcPts[PLAYER],MATCH(TableTEVORP[[#This Row],[RK]],TableTECalcPts[RK],0)),"")</f>
        <v>Ja'Tavion Sanders</v>
      </c>
      <c r="X38" s="154" t="str">
        <f>IFERROR(INDEX(TableTECalcPts[TM],MATCH(TableTEVORP[[#This Row],[RK]],TableTECalcPts[RK],0)),"")</f>
        <v>CAR</v>
      </c>
      <c r="Y38" s="154">
        <f>IFERROR(INDEX(TableTECalcPts[BYE],MATCH(TableTEVORP[[#This Row],[RK]],TableTECalcPts[RK],0)),"")</f>
        <v>5</v>
      </c>
      <c r="Z38" s="155">
        <f>IFERROR(INDEX(TableTECalcPts[Custom],MATCH(TableTEVORP[[#This Row],[RK]],TableTECalcPts[RK],0)),"")</f>
        <v>52.136489551557439</v>
      </c>
      <c r="AA38" s="156">
        <f>IFERROR((TableTEVORP[[#This Row],[FPS]]-INDEX(TableTEVORP[FPS],MATCH(TEVORPCalc,TableTEVORP[RK],0))),"")</f>
        <v>-25.749304424684247</v>
      </c>
      <c r="AF38" s="58" t="s">
        <v>7</v>
      </c>
      <c r="AG38" s="58">
        <v>37</v>
      </c>
      <c r="AH38" s="100">
        <f>RANK(TableOverallMaster[[#This Row],[VORP]],TableOverallMaster[VORP])+COUNTIF($AM$2:AM38,AM38)-1</f>
        <v>297</v>
      </c>
      <c r="AI38" s="157" t="str">
        <f>IFERROR(INDEX(TableQBVORP[QUARTERBACK],MATCH(TableOverallMaster[[#This Row],[RK]],TableQBVORP[RK],0)),"")</f>
        <v>Carson Beck</v>
      </c>
      <c r="AJ38" s="157" t="str">
        <f t="shared" si="0"/>
        <v>QB37</v>
      </c>
      <c r="AK38" s="157">
        <f>IFERROR(INDEX(TableQBVORP[BYE],MATCH(TableOverallMaster[[#This Row],[RK]],TableQBVORP[RK],0)),"")</f>
        <v>14</v>
      </c>
      <c r="AL38" s="158">
        <f>IFERROR(INDEX(TableQBVORP[FPS],MATCH(TableOverallMaster[[#This Row],[RK]],TableQBVORP[RK],0)),"")</f>
        <v>22.154240727309414</v>
      </c>
      <c r="AM38" s="159">
        <f>IFERROR(INDEX(TableQBVORP[VORP],MATCH(TableOverallMaster[[#This Row],[RK]],TableQBVORP[RK],0)),"")</f>
        <v>-305.65800871352349</v>
      </c>
      <c r="AO38" s="58">
        <v>37</v>
      </c>
      <c r="AP38" s="160" t="str">
        <f>IFERROR(INDEX(TableOverallMaster[OVERALL PLAYER],MATCH(TableOverallRank[[#This Row],[RK]],TableOverallMaster[OVR RK],0)),"")</f>
        <v>Derrick Henry</v>
      </c>
      <c r="AQ38" s="161" t="str">
        <f>IFERROR(INDEX(TableOverallMaster[POS RK],MATCH(TableOverallRank[[#This Row],[OVERALL PLAYER]],TableOverallMaster[OVERALL PLAYER],0)),"")</f>
        <v>RB8</v>
      </c>
      <c r="AR38" s="162">
        <f>IFERROR(INDEX(TableOverallMaster[BYE],MATCH(TableOverallRank[[#This Row],[OVERALL PLAYER]],TableOverallMaster[OVERALL PLAYER],0)),"")</f>
        <v>13</v>
      </c>
      <c r="AS38" s="161">
        <f>IFERROR(INDEX(TableOverallMaster[Custom],MATCH(TableOverallRank[[#This Row],[OVERALL PLAYER]],TableOverallMaster[OVERALL PLAYER],0)),"")</f>
        <v>240.81590204526415</v>
      </c>
      <c r="AT38" s="163">
        <f>IFERROR(INDEX(TableOverallMaster[VORP],MATCH(TableOverallRank[[#This Row],[OVERALL PLAYER]],TableOverallMaster[OVERALL PLAYER],0)),"")</f>
        <v>109.44645025138944</v>
      </c>
      <c r="AV38" s="58">
        <v>37</v>
      </c>
      <c r="AW38" s="164" t="str">
        <f>IFERROR(INDEX(TableWRTECalcPts[PLAYER],MATCH(TableWRTERank[[#This Row],[RK]],TableWRTECalcPts[RK],0)),"")</f>
        <v>Jordan Addison</v>
      </c>
      <c r="AX38" s="164" t="str">
        <f>IFERROR(INDEX(TableWRTECalcPts[POS RK],MATCH(TableWRTERank[[#This Row],[WR and TE COMBINED]],TableWRTECalcPts[PLAYER],0)),"")</f>
        <v>WR34</v>
      </c>
      <c r="AY38" s="164">
        <f>IFERROR(INDEX(TableWRTECalcPts[BYE],MATCH(TableWRTERank[[#This Row],[RK]],TableWRTECalcPts[RK],0)),"")</f>
        <v>6</v>
      </c>
      <c r="AZ38" s="165">
        <f>IFERROR(INDEX(TableWRTECalcPts[Custom],MATCH(TableWRTERank[[#This Row],[RK]],TableWRTECalcPts[RK],0)),"")</f>
        <v>168.53891277683735</v>
      </c>
      <c r="BA38" s="166">
        <f>IFERROR((TableWRTERank[[#This Row],[FPS]]-INDEX(TableWRTERank[FPS],MATCH(WRTEVORPCalc,TableWRTERank[RK],0))),"")</f>
        <v>27.302541194545654</v>
      </c>
      <c r="BC38" s="58" t="s">
        <v>148</v>
      </c>
    </row>
    <row r="39" spans="1:55" x14ac:dyDescent="0.25">
      <c r="A39" s="58">
        <v>38</v>
      </c>
      <c r="B39" s="154" t="str">
        <f>IFERROR(INDEX(TableQBCalcPts[PLAYER],MATCH(TableQBVORP[[#This Row],[RK]],TableQBCalcPts[RK],0)),"")</f>
        <v>Justin Fields</v>
      </c>
      <c r="C39" s="154" t="str">
        <f>IFERROR(INDEX(TableQBCalcPts[TM],MATCH(TableQBVORP[[#This Row],[RK]],TableQBCalcPts[RK],0)),"")</f>
        <v>KC</v>
      </c>
      <c r="D39" s="154">
        <f>IFERROR(INDEX(TableQBCalcPts[BYE],MATCH(TableQBVORP[[#This Row],[RK]],TableQBCalcPts[RK],0)),"")</f>
        <v>5</v>
      </c>
      <c r="E39" s="155">
        <f>IFERROR(INDEX(TableQBCalcPts[Custom],MATCH(TableQBVORP[[#This Row],[RK]],TableQBCalcPts[RK],0)),"")</f>
        <v>20.709034516463291</v>
      </c>
      <c r="F39" s="156">
        <f>(IFERROR((TableQBVORP[[#This Row],[FPS]]-INDEX(TableQBVORP[FPS],MATCH(QBVORPCalc,TableQBVORP[RK],0))),""))+(TableRBVORP[[#This Row],[VORP]]*0.45)</f>
        <v>-308.75936837294148</v>
      </c>
      <c r="H39" s="58">
        <v>38</v>
      </c>
      <c r="I39" s="154" t="str">
        <f>IFERROR(INDEX(TableRBCalcPts[PLAYER],MATCH(TableRBVORP[[#This Row],[RK]],TableRBCalcPts[RK],0)),"")</f>
        <v>Jonathon Brooks</v>
      </c>
      <c r="J39" s="154" t="str">
        <f>IFERROR(INDEX(TableRBCalcPts[TM],MATCH(TableRBVORP[[#This Row],[RK]],TableRBCalcPts[RK],0)),"")</f>
        <v>CAR</v>
      </c>
      <c r="K39" s="154">
        <f>IFERROR(INDEX(TableRBCalcPts[BYE],MATCH(TableRBVORP[[#This Row],[RK]],TableRBCalcPts[RK],0)),"")</f>
        <v>5</v>
      </c>
      <c r="L39" s="155">
        <f>IFERROR(INDEX(TableRBCalcPts[Custom],MATCH(TableRBVORP[[#This Row],[RK]],TableRBCalcPts[RK],0)),"")</f>
        <v>126.32116015930738</v>
      </c>
      <c r="M39" s="156">
        <f>(IFERROR((TableRBVORP[[#This Row],[FPS]]-INDEX(TableRBVORP[FPS],MATCH(RBVORPCalc,TableRBVORP[RK],0))),""))*0.8</f>
        <v>17.850656742624007</v>
      </c>
      <c r="O39" s="58">
        <v>38</v>
      </c>
      <c r="P39" s="154" t="str">
        <f>IFERROR(INDEX(TableWRCalcPts[PLAYER],MATCH(TableWRVORP[[#This Row],[RK]],TableWRCalcPts[RK],0)),"")</f>
        <v>Michael Pittman</v>
      </c>
      <c r="Q39" s="154" t="str">
        <f>IFERROR(INDEX(TableWRCalcPts[TM],MATCH(TableWRVORP[[#This Row],[RK]],TableWRCalcPts[RK],0)),"")</f>
        <v>PIT</v>
      </c>
      <c r="R39" s="154">
        <f>IFERROR(INDEX(TableWRCalcPts[BYE],MATCH(TableWRVORP[[#This Row],[RK]],TableWRCalcPts[RK],0)),"")</f>
        <v>9</v>
      </c>
      <c r="S39" s="155">
        <f>IFERROR(INDEX(TableWRCalcPts[Custom],MATCH(TableWRVORP[[#This Row],[RK]],TableWRCalcPts[RK],0)),"")</f>
        <v>161.35338225495778</v>
      </c>
      <c r="T39" s="156">
        <f>(IFERROR((TableWRVORP[[#This Row],[FPS]]-INDEX(TableWRVORP[FPS],MATCH(WRVORPCalc,TableWRVORP[RK],0))),""))</f>
        <v>71.069196864591717</v>
      </c>
      <c r="V39" s="58">
        <v>38</v>
      </c>
      <c r="W39" s="154" t="str">
        <f>IFERROR(INDEX(TableTECalcPts[PLAYER],MATCH(TableTEVORP[[#This Row],[RK]],TableTECalcPts[RK],0)),"")</f>
        <v>Eli Raridon</v>
      </c>
      <c r="X39" s="154" t="str">
        <f>IFERROR(INDEX(TableTECalcPts[TM],MATCH(TableTEVORP[[#This Row],[RK]],TableTECalcPts[RK],0)),"")</f>
        <v>NE</v>
      </c>
      <c r="Y39" s="154">
        <f>IFERROR(INDEX(TableTECalcPts[BYE],MATCH(TableTEVORP[[#This Row],[RK]],TableTECalcPts[RK],0)),"")</f>
        <v>11</v>
      </c>
      <c r="Z39" s="155">
        <f>IFERROR(INDEX(TableTECalcPts[Custom],MATCH(TableTEVORP[[#This Row],[RK]],TableTECalcPts[RK],0)),"")</f>
        <v>50.386639635027102</v>
      </c>
      <c r="AA39" s="156">
        <f>IFERROR((TableTEVORP[[#This Row],[FPS]]-INDEX(TableTEVORP[FPS],MATCH(TEVORPCalc,TableTEVORP[RK],0))),"")</f>
        <v>-27.499154341214584</v>
      </c>
      <c r="AF39" s="58" t="s">
        <v>7</v>
      </c>
      <c r="AG39" s="58">
        <v>38</v>
      </c>
      <c r="AH39" s="100">
        <f>RANK(TableOverallMaster[[#This Row],[VORP]],TableOverallMaster[VORP])+COUNTIF($AM$2:AM39,AM39)-1</f>
        <v>298</v>
      </c>
      <c r="AI39" s="157" t="str">
        <f>IFERROR(INDEX(TableQBVORP[QUARTERBACK],MATCH(TableOverallMaster[[#This Row],[RK]],TableQBVORP[RK],0)),"")</f>
        <v>Justin Fields</v>
      </c>
      <c r="AJ39" s="157" t="str">
        <f t="shared" si="0"/>
        <v>QB38</v>
      </c>
      <c r="AK39" s="157">
        <f>IFERROR(INDEX(TableQBVORP[BYE],MATCH(TableOverallMaster[[#This Row],[RK]],TableQBVORP[RK],0)),"")</f>
        <v>5</v>
      </c>
      <c r="AL39" s="158">
        <f>IFERROR(INDEX(TableQBVORP[FPS],MATCH(TableOverallMaster[[#This Row],[RK]],TableQBVORP[RK],0)),"")</f>
        <v>20.709034516463291</v>
      </c>
      <c r="AM39" s="159">
        <f>IFERROR(INDEX(TableQBVORP[VORP],MATCH(TableOverallMaster[[#This Row],[RK]],TableQBVORP[RK],0)),"")</f>
        <v>-308.75936837294148</v>
      </c>
      <c r="AO39" s="58">
        <v>38</v>
      </c>
      <c r="AP39" s="160" t="str">
        <f>IFERROR(INDEX(TableOverallMaster[OVERALL PLAYER],MATCH(TableOverallRank[[#This Row],[RK]],TableOverallMaster[OVR RK],0)),"")</f>
        <v>DeVonta Smith</v>
      </c>
      <c r="AQ39" s="161" t="str">
        <f>IFERROR(INDEX(TableOverallMaster[POS RK],MATCH(TableOverallRank[[#This Row],[OVERALL PLAYER]],TableOverallMaster[OVERALL PLAYER],0)),"")</f>
        <v>WR16</v>
      </c>
      <c r="AR39" s="162">
        <f>IFERROR(INDEX(TableOverallMaster[BYE],MATCH(TableOverallRank[[#This Row],[OVERALL PLAYER]],TableOverallMaster[OVERALL PLAYER],0)),"")</f>
        <v>10</v>
      </c>
      <c r="AS39" s="161">
        <f>IFERROR(INDEX(TableOverallMaster[Custom],MATCH(TableOverallRank[[#This Row],[OVERALL PLAYER]],TableOverallMaster[OVERALL PLAYER],0)),"")</f>
        <v>198.11700522987917</v>
      </c>
      <c r="AT39" s="163">
        <f>IFERROR(INDEX(TableOverallMaster[VORP],MATCH(TableOverallRank[[#This Row],[OVERALL PLAYER]],TableOverallMaster[OVERALL PLAYER],0)),"")</f>
        <v>107.83281983951311</v>
      </c>
      <c r="AV39" s="58">
        <v>38</v>
      </c>
      <c r="AW39" s="164" t="str">
        <f>IFERROR(INDEX(TableWRTECalcPts[PLAYER],MATCH(TableWRTERank[[#This Row],[RK]],TableWRTECalcPts[RK],0)),"")</f>
        <v>Tyler Warren</v>
      </c>
      <c r="AX39" s="164" t="str">
        <f>IFERROR(INDEX(TableWRTECalcPts[POS RK],MATCH(TableWRTERank[[#This Row],[WR and TE COMBINED]],TableWRTECalcPts[PLAYER],0)),"")</f>
        <v>TE4</v>
      </c>
      <c r="AY39" s="164">
        <f>IFERROR(INDEX(TableWRTECalcPts[BYE],MATCH(TableWRTERank[[#This Row],[RK]],TableWRTECalcPts[RK],0)),"")</f>
        <v>13</v>
      </c>
      <c r="AZ39" s="165">
        <f>IFERROR(INDEX(TableWRTECalcPts[Custom],MATCH(TableWRTERank[[#This Row],[RK]],TableWRTECalcPts[RK],0)),"")</f>
        <v>168.31977546975355</v>
      </c>
      <c r="BA39" s="166">
        <f>IFERROR((TableWRTERank[[#This Row],[FPS]]-INDEX(TableWRTERank[FPS],MATCH(WRTEVORPCalc,TableWRTERank[RK],0))),"")</f>
        <v>27.083403887461856</v>
      </c>
      <c r="BC39" s="58" t="s">
        <v>148</v>
      </c>
    </row>
    <row r="40" spans="1:55" x14ac:dyDescent="0.25">
      <c r="A40" s="58">
        <v>39</v>
      </c>
      <c r="B40" s="154" t="str">
        <f>IFERROR(INDEX(TableQBCalcPts[PLAYER],MATCH(TableQBVORP[[#This Row],[RK]],TableQBCalcPts[RK],0)),"")</f>
        <v>Marcus Mariota</v>
      </c>
      <c r="C40" s="154" t="str">
        <f>IFERROR(INDEX(TableQBCalcPts[TM],MATCH(TableQBVORP[[#This Row],[RK]],TableQBCalcPts[RK],0)),"")</f>
        <v>WSH</v>
      </c>
      <c r="D40" s="154">
        <f>IFERROR(INDEX(TableQBCalcPts[BYE],MATCH(TableQBVORP[[#This Row],[RK]],TableQBCalcPts[RK],0)),"")</f>
        <v>7</v>
      </c>
      <c r="E40" s="155">
        <f>IFERROR(INDEX(TableQBCalcPts[Custom],MATCH(TableQBVORP[[#This Row],[RK]],TableQBCalcPts[RK],0)),"")</f>
        <v>20.087651290103864</v>
      </c>
      <c r="F40" s="156">
        <f>(IFERROR((TableQBVORP[[#This Row],[FPS]]-INDEX(TableQBVORP[FPS],MATCH(QBVORPCalc,TableQBVORP[RK],0))),""))+(TableRBVORP[[#This Row],[VORP]]*0.45)</f>
        <v>-310.20327596216066</v>
      </c>
      <c r="H40" s="58">
        <v>39</v>
      </c>
      <c r="I40" s="154" t="str">
        <f>IFERROR(INDEX(TableRBCalcPts[PLAYER],MATCH(TableRBVORP[[#This Row],[RK]],TableRBCalcPts[RK],0)),"")</f>
        <v>Rachaad White</v>
      </c>
      <c r="J40" s="154" t="str">
        <f>IFERROR(INDEX(TableRBCalcPts[TM],MATCH(TableRBVORP[[#This Row],[RK]],TableRBCalcPts[RK],0)),"")</f>
        <v>WSH</v>
      </c>
      <c r="K40" s="154">
        <f>IFERROR(INDEX(TableRBCalcPts[BYE],MATCH(TableRBVORP[[#This Row],[RK]],TableRBCalcPts[RK],0)),"")</f>
        <v>7</v>
      </c>
      <c r="L40" s="155">
        <f>IFERROR(INDEX(TableRBCalcPts[Custom],MATCH(TableRBVORP[[#This Row],[RK]],TableRBCalcPts[RK],0)),"")</f>
        <v>124.03637026247482</v>
      </c>
      <c r="M40" s="156">
        <f>(IFERROR((TableRBVORP[[#This Row],[FPS]]-INDEX(TableRBVORP[FPS],MATCH(RBVORPCalc,TableRBVORP[RK],0))),""))*0.8</f>
        <v>16.022824825157954</v>
      </c>
      <c r="O40" s="58">
        <v>39</v>
      </c>
      <c r="P40" s="154" t="str">
        <f>IFERROR(INDEX(TableWRCalcPts[PLAYER],MATCH(TableWRVORP[[#This Row],[RK]],TableWRCalcPts[RK],0)),"")</f>
        <v>Marvin Harrison</v>
      </c>
      <c r="Q40" s="154" t="str">
        <f>IFERROR(INDEX(TableWRCalcPts[TM],MATCH(TableWRVORP[[#This Row],[RK]],TableWRCalcPts[RK],0)),"")</f>
        <v>ARI</v>
      </c>
      <c r="R40" s="154">
        <f>IFERROR(INDEX(TableWRCalcPts[BYE],MATCH(TableWRVORP[[#This Row],[RK]],TableWRCalcPts[RK],0)),"")</f>
        <v>14</v>
      </c>
      <c r="S40" s="155">
        <f>IFERROR(INDEX(TableWRCalcPts[Custom],MATCH(TableWRVORP[[#This Row],[RK]],TableWRCalcPts[RK],0)),"")</f>
        <v>159.00760212908483</v>
      </c>
      <c r="T40" s="156">
        <f>(IFERROR((TableWRVORP[[#This Row],[FPS]]-INDEX(TableWRVORP[FPS],MATCH(WRVORPCalc,TableWRVORP[RK],0))),""))</f>
        <v>68.723416738718768</v>
      </c>
      <c r="V40" s="58">
        <v>39</v>
      </c>
      <c r="W40" s="154" t="str">
        <f>IFERROR(INDEX(TableTECalcPts[PLAYER],MATCH(TableTEVORP[[#This Row],[RK]],TableTECalcPts[RK],0)),"")</f>
        <v>Noah Gray</v>
      </c>
      <c r="X40" s="154" t="str">
        <f>IFERROR(INDEX(TableTECalcPts[TM],MATCH(TableTEVORP[[#This Row],[RK]],TableTECalcPts[RK],0)),"")</f>
        <v>KC</v>
      </c>
      <c r="Y40" s="154">
        <f>IFERROR(INDEX(TableTECalcPts[BYE],MATCH(TableTEVORP[[#This Row],[RK]],TableTECalcPts[RK],0)),"")</f>
        <v>5</v>
      </c>
      <c r="Z40" s="155">
        <f>IFERROR(INDEX(TableTECalcPts[Custom],MATCH(TableTEVORP[[#This Row],[RK]],TableTECalcPts[RK],0)),"")</f>
        <v>49.391673692991986</v>
      </c>
      <c r="AA40" s="156">
        <f>IFERROR((TableTEVORP[[#This Row],[FPS]]-INDEX(TableTEVORP[FPS],MATCH(TEVORPCalc,TableTEVORP[RK],0))),"")</f>
        <v>-28.4941202832497</v>
      </c>
      <c r="AF40" s="58" t="s">
        <v>7</v>
      </c>
      <c r="AG40" s="58">
        <v>39</v>
      </c>
      <c r="AH40" s="100">
        <f>RANK(TableOverallMaster[[#This Row],[VORP]],TableOverallMaster[VORP])+COUNTIF($AM$2:AM40,AM40)-1</f>
        <v>299</v>
      </c>
      <c r="AI40" s="157" t="str">
        <f>IFERROR(INDEX(TableQBVORP[QUARTERBACK],MATCH(TableOverallMaster[[#This Row],[RK]],TableQBVORP[RK],0)),"")</f>
        <v>Marcus Mariota</v>
      </c>
      <c r="AJ40" s="157" t="str">
        <f t="shared" si="0"/>
        <v>QB39</v>
      </c>
      <c r="AK40" s="157">
        <f>IFERROR(INDEX(TableQBVORP[BYE],MATCH(TableOverallMaster[[#This Row],[RK]],TableQBVORP[RK],0)),"")</f>
        <v>7</v>
      </c>
      <c r="AL40" s="158">
        <f>IFERROR(INDEX(TableQBVORP[FPS],MATCH(TableOverallMaster[[#This Row],[RK]],TableQBVORP[RK],0)),"")</f>
        <v>20.087651290103864</v>
      </c>
      <c r="AM40" s="159">
        <f>IFERROR(INDEX(TableQBVORP[VORP],MATCH(TableOverallMaster[[#This Row],[RK]],TableQBVORP[RK],0)),"")</f>
        <v>-310.20327596216066</v>
      </c>
      <c r="AO40" s="58">
        <v>39</v>
      </c>
      <c r="AP40" s="160" t="str">
        <f>IFERROR(INDEX(TableOverallMaster[OVERALL PLAYER],MATCH(TableOverallRank[[#This Row],[RK]],TableOverallMaster[OVR RK],0)),"")</f>
        <v>Bo Nix</v>
      </c>
      <c r="AQ40" s="161" t="str">
        <f>IFERROR(INDEX(TableOverallMaster[POS RK],MATCH(TableOverallRank[[#This Row],[OVERALL PLAYER]],TableOverallMaster[OVERALL PLAYER],0)),"")</f>
        <v>QB13</v>
      </c>
      <c r="AR40" s="162">
        <f>IFERROR(INDEX(TableOverallMaster[BYE],MATCH(TableOverallRank[[#This Row],[OVERALL PLAYER]],TableOverallMaster[OVERALL PLAYER],0)),"")</f>
        <v>10</v>
      </c>
      <c r="AS40" s="161">
        <f>IFERROR(INDEX(TableOverallMaster[Custom],MATCH(TableOverallRank[[#This Row],[OVERALL PLAYER]],TableOverallMaster[OVERALL PLAYER],0)),"")</f>
        <v>400.64266716606681</v>
      </c>
      <c r="AT40" s="163">
        <f>IFERROR(INDEX(TableOverallMaster[VORP],MATCH(TableOverallRank[[#This Row],[OVERALL PLAYER]],TableOverallMaster[OVERALL PLAYER],0)),"")</f>
        <v>107.47793704236389</v>
      </c>
      <c r="AV40" s="58">
        <v>39</v>
      </c>
      <c r="AW40" s="164" t="str">
        <f>IFERROR(INDEX(TableWRTECalcPts[PLAYER],MATCH(TableWRTERank[[#This Row],[RK]],TableWRTECalcPts[RK],0)),"")</f>
        <v>Quentin Johnston</v>
      </c>
      <c r="AX40" s="164" t="str">
        <f>IFERROR(INDEX(TableWRTECalcPts[POS RK],MATCH(TableWRTERank[[#This Row],[WR and TE COMBINED]],TableWRTECalcPts[PLAYER],0)),"")</f>
        <v>WR35</v>
      </c>
      <c r="AY40" s="164">
        <f>IFERROR(INDEX(TableWRTECalcPts[BYE],MATCH(TableWRTERank[[#This Row],[RK]],TableWRTECalcPts[RK],0)),"")</f>
        <v>7</v>
      </c>
      <c r="AZ40" s="165">
        <f>IFERROR(INDEX(TableWRTECalcPts[Custom],MATCH(TableWRTERank[[#This Row],[RK]],TableWRTECalcPts[RK],0)),"")</f>
        <v>164.51076219862676</v>
      </c>
      <c r="BA40" s="166">
        <f>IFERROR((TableWRTERank[[#This Row],[FPS]]-INDEX(TableWRTERank[FPS],MATCH(WRTEVORPCalc,TableWRTERank[RK],0))),"")</f>
        <v>23.274390616335069</v>
      </c>
      <c r="BC40" s="58" t="s">
        <v>148</v>
      </c>
    </row>
    <row r="41" spans="1:55" x14ac:dyDescent="0.25">
      <c r="A41" s="58">
        <v>40</v>
      </c>
      <c r="B41" s="154" t="str">
        <f>IFERROR(INDEX(TableQBCalcPts[PLAYER],MATCH(TableQBVORP[[#This Row],[RK]],TableQBCalcPts[RK],0)),"")</f>
        <v>Joe Flacco</v>
      </c>
      <c r="C41" s="154" t="str">
        <f>IFERROR(INDEX(TableQBCalcPts[TM],MATCH(TableQBVORP[[#This Row],[RK]],TableQBCalcPts[RK],0)),"")</f>
        <v>CIN</v>
      </c>
      <c r="D41" s="154">
        <f>IFERROR(INDEX(TableQBCalcPts[BYE],MATCH(TableQBVORP[[#This Row],[RK]],TableQBCalcPts[RK],0)),"")</f>
        <v>6</v>
      </c>
      <c r="E41" s="155">
        <f>IFERROR(INDEX(TableQBCalcPts[Custom],MATCH(TableQBVORP[[#This Row],[RK]],TableQBCalcPts[RK],0)),"")</f>
        <v>18.398348837547346</v>
      </c>
      <c r="F41" s="156">
        <f>(IFERROR((TableQBVORP[[#This Row],[FPS]]-INDEX(TableQBVORP[FPS],MATCH(QBVORPCalc,TableQBVORP[RK],0))),""))+(TableRBVORP[[#This Row],[VORP]]*0.45)</f>
        <v>-312.00560049167427</v>
      </c>
      <c r="H41" s="58">
        <v>40</v>
      </c>
      <c r="I41" s="154" t="str">
        <f>IFERROR(INDEX(TableRBCalcPts[PLAYER],MATCH(TableRBVORP[[#This Row],[RK]],TableRBCalcPts[RK],0)),"")</f>
        <v>Jacory Croskey-Merritt</v>
      </c>
      <c r="J41" s="154" t="str">
        <f>IFERROR(INDEX(TableRBCalcPts[TM],MATCH(TableRBVORP[[#This Row],[RK]],TableRBCalcPts[RK],0)),"")</f>
        <v>WSH</v>
      </c>
      <c r="K41" s="154">
        <f>IFERROR(INDEX(TableRBCalcPts[BYE],MATCH(TableRBVORP[[#This Row],[RK]],TableRBCalcPts[RK],0)),"")</f>
        <v>7</v>
      </c>
      <c r="L41" s="155">
        <f>IFERROR(INDEX(TableRBCalcPts[Custom],MATCH(TableRBVORP[[#This Row],[RK]],TableRBCalcPts[RK],0)),"")</f>
        <v>123.7224200487051</v>
      </c>
      <c r="M41" s="156">
        <f>(IFERROR((TableRBVORP[[#This Row],[FPS]]-INDEX(TableRBVORP[FPS],MATCH(RBVORPCalc,TableRBVORP[RK],0))),""))*0.8</f>
        <v>15.771664654142183</v>
      </c>
      <c r="O41" s="58">
        <v>40</v>
      </c>
      <c r="P41" s="154" t="str">
        <f>IFERROR(INDEX(TableWRCalcPts[PLAYER],MATCH(TableWRVORP[[#This Row],[RK]],TableWRCalcPts[RK],0)),"")</f>
        <v>Jayden Higgins</v>
      </c>
      <c r="Q41" s="154" t="str">
        <f>IFERROR(INDEX(TableWRCalcPts[TM],MATCH(TableWRVORP[[#This Row],[RK]],TableWRCalcPts[RK],0)),"")</f>
        <v>HOU</v>
      </c>
      <c r="R41" s="154">
        <f>IFERROR(INDEX(TableWRCalcPts[BYE],MATCH(TableWRVORP[[#This Row],[RK]],TableWRCalcPts[RK],0)),"")</f>
        <v>8</v>
      </c>
      <c r="S41" s="155">
        <f>IFERROR(INDEX(TableWRCalcPts[Custom],MATCH(TableWRVORP[[#This Row],[RK]],TableWRCalcPts[RK],0)),"")</f>
        <v>152.492255822088</v>
      </c>
      <c r="T41" s="156">
        <f>(IFERROR((TableWRVORP[[#This Row],[FPS]]-INDEX(TableWRVORP[FPS],MATCH(WRVORPCalc,TableWRVORP[RK],0))),""))</f>
        <v>62.208070431721936</v>
      </c>
      <c r="V41" s="58">
        <v>40</v>
      </c>
      <c r="W41" s="154" t="str">
        <f>IFERROR(INDEX(TableTECalcPts[PLAYER],MATCH(TableTEVORP[[#This Row],[RK]],TableTECalcPts[RK],0)),"")</f>
        <v>Cole Kmet</v>
      </c>
      <c r="X41" s="154" t="str">
        <f>IFERROR(INDEX(TableTECalcPts[TM],MATCH(TableTEVORP[[#This Row],[RK]],TableTECalcPts[RK],0)),"")</f>
        <v>CHI</v>
      </c>
      <c r="Y41" s="154">
        <f>IFERROR(INDEX(TableTECalcPts[BYE],MATCH(TableTEVORP[[#This Row],[RK]],TableTECalcPts[RK],0)),"")</f>
        <v>10</v>
      </c>
      <c r="Z41" s="155">
        <f>IFERROR(INDEX(TableTECalcPts[Custom],MATCH(TableTEVORP[[#This Row],[RK]],TableTECalcPts[RK],0)),"")</f>
        <v>47.577931581028814</v>
      </c>
      <c r="AA41" s="156">
        <f>IFERROR((TableTEVORP[[#This Row],[FPS]]-INDEX(TableTEVORP[FPS],MATCH(TEVORPCalc,TableTEVORP[RK],0))),"")</f>
        <v>-30.307862395212872</v>
      </c>
      <c r="AF41" s="58" t="s">
        <v>7</v>
      </c>
      <c r="AG41" s="58">
        <v>40</v>
      </c>
      <c r="AH41" s="100">
        <f>RANK(TableOverallMaster[[#This Row],[VORP]],TableOverallMaster[VORP])+COUNTIF($AM$2:AM41,AM41)-1</f>
        <v>300</v>
      </c>
      <c r="AI41" s="157" t="str">
        <f>IFERROR(INDEX(TableQBVORP[QUARTERBACK],MATCH(TableOverallMaster[[#This Row],[RK]],TableQBVORP[RK],0)),"")</f>
        <v>Joe Flacco</v>
      </c>
      <c r="AJ41" s="157" t="str">
        <f t="shared" si="0"/>
        <v>QB40</v>
      </c>
      <c r="AK41" s="157">
        <f>IFERROR(INDEX(TableQBVORP[BYE],MATCH(TableOverallMaster[[#This Row],[RK]],TableQBVORP[RK],0)),"")</f>
        <v>6</v>
      </c>
      <c r="AL41" s="158">
        <f>IFERROR(INDEX(TableQBVORP[FPS],MATCH(TableOverallMaster[[#This Row],[RK]],TableQBVORP[RK],0)),"")</f>
        <v>18.398348837547346</v>
      </c>
      <c r="AM41" s="159">
        <f>IFERROR(INDEX(TableQBVORP[VORP],MATCH(TableOverallMaster[[#This Row],[RK]],TableQBVORP[RK],0)),"")</f>
        <v>-312.00560049167427</v>
      </c>
      <c r="AO41" s="58">
        <v>40</v>
      </c>
      <c r="AP41" s="160" t="str">
        <f>IFERROR(INDEX(TableOverallMaster[OVERALL PLAYER],MATCH(TableOverallRank[[#This Row],[RK]],TableOverallMaster[OVR RK],0)),"")</f>
        <v>Rashee Rice</v>
      </c>
      <c r="AQ41" s="161" t="str">
        <f>IFERROR(INDEX(TableOverallMaster[POS RK],MATCH(TableOverallRank[[#This Row],[OVERALL PLAYER]],TableOverallMaster[OVERALL PLAYER],0)),"")</f>
        <v>WR17</v>
      </c>
      <c r="AR41" s="162">
        <f>IFERROR(INDEX(TableOverallMaster[BYE],MATCH(TableOverallRank[[#This Row],[OVERALL PLAYER]],TableOverallMaster[OVERALL PLAYER],0)),"")</f>
        <v>5</v>
      </c>
      <c r="AS41" s="161">
        <f>IFERROR(INDEX(TableOverallMaster[Custom],MATCH(TableOverallRank[[#This Row],[OVERALL PLAYER]],TableOverallMaster[OVERALL PLAYER],0)),"")</f>
        <v>197.06183681925825</v>
      </c>
      <c r="AT41" s="163">
        <f>IFERROR(INDEX(TableOverallMaster[VORP],MATCH(TableOverallRank[[#This Row],[OVERALL PLAYER]],TableOverallMaster[OVERALL PLAYER],0)),"")</f>
        <v>106.77765142889218</v>
      </c>
      <c r="AV41" s="58">
        <v>40</v>
      </c>
      <c r="AW41" s="164" t="str">
        <f>IFERROR(INDEX(TableWRTECalcPts[PLAYER],MATCH(TableWRTERank[[#This Row],[RK]],TableWRTECalcPts[RK],0)),"")</f>
        <v>Jordyn Tyson</v>
      </c>
      <c r="AX41" s="164" t="str">
        <f>IFERROR(INDEX(TableWRTECalcPts[POS RK],MATCH(TableWRTERank[[#This Row],[WR and TE COMBINED]],TableWRTECalcPts[PLAYER],0)),"")</f>
        <v>WR36</v>
      </c>
      <c r="AY41" s="164">
        <f>IFERROR(INDEX(TableWRTECalcPts[BYE],MATCH(TableWRTERank[[#This Row],[RK]],TableWRTECalcPts[RK],0)),"")</f>
        <v>8</v>
      </c>
      <c r="AZ41" s="165">
        <f>IFERROR(INDEX(TableWRTECalcPts[Custom],MATCH(TableWRTERank[[#This Row],[RK]],TableWRTECalcPts[RK],0)),"")</f>
        <v>163.96882825838594</v>
      </c>
      <c r="BA41" s="166">
        <f>IFERROR((TableWRTERank[[#This Row],[FPS]]-INDEX(TableWRTERank[FPS],MATCH(WRTEVORPCalc,TableWRTERank[RK],0))),"")</f>
        <v>22.732456676094245</v>
      </c>
      <c r="BC41" s="58" t="s">
        <v>148</v>
      </c>
    </row>
    <row r="42" spans="1:55" x14ac:dyDescent="0.25">
      <c r="A42" s="58">
        <v>41</v>
      </c>
      <c r="B42" s="154" t="str">
        <f>IFERROR(INDEX(TableQBCalcPts[PLAYER],MATCH(TableQBVORP[[#This Row],[RK]],TableQBCalcPts[RK],0)),"")</f>
        <v>Tyler Huntley</v>
      </c>
      <c r="C42" s="154" t="str">
        <f>IFERROR(INDEX(TableQBCalcPts[TM],MATCH(TableQBVORP[[#This Row],[RK]],TableQBCalcPts[RK],0)),"")</f>
        <v>BAL</v>
      </c>
      <c r="D42" s="154">
        <f>IFERROR(INDEX(TableQBCalcPts[BYE],MATCH(TableQBVORP[[#This Row],[RK]],TableQBCalcPts[RK],0)),"")</f>
        <v>13</v>
      </c>
      <c r="E42" s="155">
        <f>IFERROR(INDEX(TableQBCalcPts[Custom],MATCH(TableQBVORP[[#This Row],[RK]],TableQBCalcPts[RK],0)),"")</f>
        <v>17.862362923229476</v>
      </c>
      <c r="F42" s="156">
        <f>(IFERROR((TableQBVORP[[#This Row],[FPS]]-INDEX(TableQBVORP[FPS],MATCH(QBVORPCalc,TableQBVORP[RK],0))),""))+(TableRBVORP[[#This Row],[VORP]]*0.45)</f>
        <v>-313.76271510743555</v>
      </c>
      <c r="H42" s="58">
        <v>41</v>
      </c>
      <c r="I42" s="154" t="str">
        <f>IFERROR(INDEX(TableRBCalcPts[PLAYER],MATCH(TableRBVORP[[#This Row],[RK]],TableRBCalcPts[RK],0)),"")</f>
        <v>J.K. Dobbins</v>
      </c>
      <c r="J42" s="154" t="str">
        <f>IFERROR(INDEX(TableRBCalcPts[TM],MATCH(TableRBVORP[[#This Row],[RK]],TableRBCalcPts[RK],0)),"")</f>
        <v>DEN</v>
      </c>
      <c r="K42" s="154">
        <f>IFERROR(INDEX(TableRBCalcPts[BYE],MATCH(TableRBVORP[[#This Row],[RK]],TableRBCalcPts[RK],0)),"")</f>
        <v>10</v>
      </c>
      <c r="L42" s="155">
        <f>IFERROR(INDEX(TableRBCalcPts[Custom],MATCH(TableRBVORP[[#This Row],[RK]],TableRBCalcPts[RK],0)),"")</f>
        <v>120.33039587802907</v>
      </c>
      <c r="M42" s="156">
        <f>(IFERROR((TableRBVORP[[#This Row],[FPS]]-INDEX(TableRBVORP[FPS],MATCH(RBVORPCalc,TableRBVORP[RK],0))),""))*0.8</f>
        <v>13.058045317601353</v>
      </c>
      <c r="O42" s="58">
        <v>41</v>
      </c>
      <c r="P42" s="154" t="str">
        <f>IFERROR(INDEX(TableWRCalcPts[PLAYER],MATCH(TableWRVORP[[#This Row],[RK]],TableWRCalcPts[RK],0)),"")</f>
        <v>Wan'Dale Robinson</v>
      </c>
      <c r="Q42" s="154" t="str">
        <f>IFERROR(INDEX(TableWRCalcPts[TM],MATCH(TableWRVORP[[#This Row],[RK]],TableWRCalcPts[RK],0)),"")</f>
        <v>TEN</v>
      </c>
      <c r="R42" s="154">
        <f>IFERROR(INDEX(TableWRCalcPts[BYE],MATCH(TableWRVORP[[#This Row],[RK]],TableWRCalcPts[RK],0)),"")</f>
        <v>9</v>
      </c>
      <c r="S42" s="155">
        <f>IFERROR(INDEX(TableWRCalcPts[Custom],MATCH(TableWRVORP[[#This Row],[RK]],TableWRCalcPts[RK],0)),"")</f>
        <v>152.09749839836161</v>
      </c>
      <c r="T42" s="156">
        <f>(IFERROR((TableWRVORP[[#This Row],[FPS]]-INDEX(TableWRVORP[FPS],MATCH(WRVORPCalc,TableWRVORP[RK],0))),""))</f>
        <v>61.813313007995546</v>
      </c>
      <c r="V42" s="58">
        <v>41</v>
      </c>
      <c r="W42" s="154" t="str">
        <f>IFERROR(INDEX(TableTECalcPts[PLAYER],MATCH(TableTEVORP[[#This Row],[RK]],TableTECalcPts[RK],0)),"")</f>
        <v>Michael Mayer</v>
      </c>
      <c r="X42" s="154" t="str">
        <f>IFERROR(INDEX(TableTECalcPts[TM],MATCH(TableTEVORP[[#This Row],[RK]],TableTECalcPts[RK],0)),"")</f>
        <v>LV</v>
      </c>
      <c r="Y42" s="154">
        <f>IFERROR(INDEX(TableTECalcPts[BYE],MATCH(TableTEVORP[[#This Row],[RK]],TableTECalcPts[RK],0)),"")</f>
        <v>13</v>
      </c>
      <c r="Z42" s="155">
        <f>IFERROR(INDEX(TableTECalcPts[Custom],MATCH(TableTEVORP[[#This Row],[RK]],TableTECalcPts[RK],0)),"")</f>
        <v>46.282097929207907</v>
      </c>
      <c r="AA42" s="156">
        <f>IFERROR((TableTEVORP[[#This Row],[FPS]]-INDEX(TableTEVORP[FPS],MATCH(TEVORPCalc,TableTEVORP[RK],0))),"")</f>
        <v>-31.603696047033779</v>
      </c>
      <c r="AF42" s="58" t="s">
        <v>147</v>
      </c>
      <c r="AG42" s="58">
        <v>1</v>
      </c>
      <c r="AH42" s="100">
        <f>RANK(TableOverallMaster[[#This Row],[VORP]],TableOverallMaster[VORP])+COUNTIF($AM$2:AM42,AM42)-1</f>
        <v>7</v>
      </c>
      <c r="AI42" s="157" t="str">
        <f>IFERROR(INDEX(TableRBVORP[RUNNING BACK],MATCH(TableOverallMaster[[#This Row],[RK]],TableRBVORP[RK],0)),"")</f>
        <v>Jahmyr Gibbs</v>
      </c>
      <c r="AJ42" s="157" t="str">
        <f t="shared" si="0"/>
        <v>RB1</v>
      </c>
      <c r="AK42" s="157">
        <f>IFERROR(INDEX(TableRBVORP[BYE],MATCH(TableOverallMaster[[#This Row],[RK]],TableRBVORP[RK],0)),"")</f>
        <v>6</v>
      </c>
      <c r="AL42" s="158">
        <f>IFERROR(INDEX(TableRBVORP[FPS],MATCH(TableOverallMaster[[#This Row],[RK]],TableRBVORP[RK],0)),"")</f>
        <v>324.15018072686019</v>
      </c>
      <c r="AM42" s="159">
        <f>IFERROR(INDEX(TableRBVORP[VORP],MATCH(TableOverallMaster[[#This Row],[RK]],TableRBVORP[RK],0)),"")</f>
        <v>176.11387319666625</v>
      </c>
      <c r="AO42" s="58">
        <v>41</v>
      </c>
      <c r="AP42" s="160" t="str">
        <f>IFERROR(INDEX(TableOverallMaster[OVERALL PLAYER],MATCH(TableOverallRank[[#This Row],[RK]],TableOverallMaster[OVR RK],0)),"")</f>
        <v>Ladd McConkey</v>
      </c>
      <c r="AQ42" s="161" t="str">
        <f>IFERROR(INDEX(TableOverallMaster[POS RK],MATCH(TableOverallRank[[#This Row],[OVERALL PLAYER]],TableOverallMaster[OVERALL PLAYER],0)),"")</f>
        <v>WR18</v>
      </c>
      <c r="AR42" s="162">
        <f>IFERROR(INDEX(TableOverallMaster[BYE],MATCH(TableOverallRank[[#This Row],[OVERALL PLAYER]],TableOverallMaster[OVERALL PLAYER],0)),"")</f>
        <v>7</v>
      </c>
      <c r="AS42" s="161">
        <f>IFERROR(INDEX(TableOverallMaster[Custom],MATCH(TableOverallRank[[#This Row],[OVERALL PLAYER]],TableOverallMaster[OVERALL PLAYER],0)),"")</f>
        <v>196.40430309354878</v>
      </c>
      <c r="AT42" s="163">
        <f>IFERROR(INDEX(TableOverallMaster[VORP],MATCH(TableOverallRank[[#This Row],[OVERALL PLAYER]],TableOverallMaster[OVERALL PLAYER],0)),"")</f>
        <v>106.12011770318271</v>
      </c>
      <c r="AV42" s="58">
        <v>41</v>
      </c>
      <c r="AW42" s="164" t="str">
        <f>IFERROR(INDEX(TableWRTECalcPts[PLAYER],MATCH(TableWRTERank[[#This Row],[RK]],TableWRTECalcPts[RK],0)),"")</f>
        <v>DK Metcalf</v>
      </c>
      <c r="AX42" s="164" t="str">
        <f>IFERROR(INDEX(TableWRTECalcPts[POS RK],MATCH(TableWRTERank[[#This Row],[WR and TE COMBINED]],TableWRTECalcPts[PLAYER],0)),"")</f>
        <v>WR37</v>
      </c>
      <c r="AY42" s="164">
        <f>IFERROR(INDEX(TableWRTECalcPts[BYE],MATCH(TableWRTERank[[#This Row],[RK]],TableWRTECalcPts[RK],0)),"")</f>
        <v>9</v>
      </c>
      <c r="AZ42" s="165">
        <f>IFERROR(INDEX(TableWRTECalcPts[Custom],MATCH(TableWRTERank[[#This Row],[RK]],TableWRTECalcPts[RK],0)),"")</f>
        <v>162.91605562564334</v>
      </c>
      <c r="BA42" s="166">
        <f>IFERROR((TableWRTERank[[#This Row],[FPS]]-INDEX(TableWRTERank[FPS],MATCH(WRTEVORPCalc,TableWRTERank[RK],0))),"")</f>
        <v>21.679684043351642</v>
      </c>
      <c r="BC42" s="58" t="s">
        <v>148</v>
      </c>
    </row>
    <row r="43" spans="1:55" x14ac:dyDescent="0.25">
      <c r="A43" s="58">
        <v>42</v>
      </c>
      <c r="B43" s="154" t="str">
        <f>IFERROR(INDEX(TableQBCalcPts[PLAYER],MATCH(TableQBVORP[[#This Row],[RK]],TableQBCalcPts[RK],0)),"")</f>
        <v>J.J. McCarthy</v>
      </c>
      <c r="C43" s="154" t="str">
        <f>IFERROR(INDEX(TableQBCalcPts[TM],MATCH(TableQBVORP[[#This Row],[RK]],TableQBCalcPts[RK],0)),"")</f>
        <v>MIN</v>
      </c>
      <c r="D43" s="154">
        <f>IFERROR(INDEX(TableQBCalcPts[BYE],MATCH(TableQBVORP[[#This Row],[RK]],TableQBCalcPts[RK],0)),"")</f>
        <v>6</v>
      </c>
      <c r="E43" s="155">
        <f>IFERROR(INDEX(TableQBCalcPts[Custom],MATCH(TableQBVORP[[#This Row],[RK]],TableQBCalcPts[RK],0)),"")</f>
        <v>17.659176117600179</v>
      </c>
      <c r="F43" s="156">
        <f>(IFERROR((TableQBVORP[[#This Row],[FPS]]-INDEX(TableQBVORP[FPS],MATCH(QBVORPCalc,TableQBVORP[RK],0))),""))+(TableRBVORP[[#This Row],[VORP]]*0.45)</f>
        <v>-316.39961420401647</v>
      </c>
      <c r="H43" s="58">
        <v>42</v>
      </c>
      <c r="I43" s="154" t="str">
        <f>IFERROR(INDEX(TableRBCalcPts[PLAYER],MATCH(TableRBVORP[[#This Row],[RK]],TableRBCalcPts[RK],0)),"")</f>
        <v>Emanuel Wilson</v>
      </c>
      <c r="J43" s="154" t="str">
        <f>IFERROR(INDEX(TableRBCalcPts[TM],MATCH(TableRBVORP[[#This Row],[RK]],TableRBCalcPts[RK],0)),"")</f>
        <v>SEA</v>
      </c>
      <c r="K43" s="154">
        <f>IFERROR(INDEX(TableRBCalcPts[BYE],MATCH(TableRBVORP[[#This Row],[RK]],TableRBCalcPts[RK],0)),"")</f>
        <v>11</v>
      </c>
      <c r="L43" s="155">
        <f>IFERROR(INDEX(TableRBCalcPts[Custom],MATCH(TableRBVORP[[#This Row],[RK]],TableRBCalcPts[RK],0)),"")</f>
        <v>113.57008395871891</v>
      </c>
      <c r="M43" s="156">
        <f>(IFERROR((TableRBVORP[[#This Row],[FPS]]-INDEX(TableRBVORP[FPS],MATCH(RBVORPCalc,TableRBVORP[RK],0))),""))*0.8</f>
        <v>7.6497957821532285</v>
      </c>
      <c r="O43" s="58">
        <v>42</v>
      </c>
      <c r="P43" s="154" t="str">
        <f>IFERROR(INDEX(TableWRCalcPts[PLAYER],MATCH(TableWRVORP[[#This Row],[RK]],TableWRCalcPts[RK],0)),"")</f>
        <v>Deebo Samuel</v>
      </c>
      <c r="Q43" s="154" t="str">
        <f>IFERROR(INDEX(TableWRCalcPts[TM],MATCH(TableWRVORP[[#This Row],[RK]],TableWRCalcPts[RK],0)),"")</f>
        <v>SF</v>
      </c>
      <c r="R43" s="154">
        <f>IFERROR(INDEX(TableWRCalcPts[BYE],MATCH(TableWRVORP[[#This Row],[RK]],TableWRCalcPts[RK],0)),"")</f>
        <v>8</v>
      </c>
      <c r="S43" s="155">
        <f>IFERROR(INDEX(TableWRCalcPts[Custom],MATCH(TableWRVORP[[#This Row],[RK]],TableWRCalcPts[RK],0)),"")</f>
        <v>150.71515766082945</v>
      </c>
      <c r="T43" s="156">
        <f>(IFERROR((TableWRVORP[[#This Row],[FPS]]-INDEX(TableWRVORP[FPS],MATCH(WRVORPCalc,TableWRVORP[RK],0))),""))</f>
        <v>60.430972270463386</v>
      </c>
      <c r="V43" s="58">
        <v>42</v>
      </c>
      <c r="W43" s="154" t="str">
        <f>IFERROR(INDEX(TableTECalcPts[PLAYER],MATCH(TableTEVORP[[#This Row],[RK]],TableTECalcPts[RK],0)),"")</f>
        <v>Elijah Arroyo</v>
      </c>
      <c r="X43" s="154" t="str">
        <f>IFERROR(INDEX(TableTECalcPts[TM],MATCH(TableTEVORP[[#This Row],[RK]],TableTECalcPts[RK],0)),"")</f>
        <v>SEA</v>
      </c>
      <c r="Y43" s="154">
        <f>IFERROR(INDEX(TableTECalcPts[BYE],MATCH(TableTEVORP[[#This Row],[RK]],TableTECalcPts[RK],0)),"")</f>
        <v>11</v>
      </c>
      <c r="Z43" s="155">
        <f>IFERROR(INDEX(TableTECalcPts[Custom],MATCH(TableTEVORP[[#This Row],[RK]],TableTECalcPts[RK],0)),"")</f>
        <v>41.558434084112932</v>
      </c>
      <c r="AA43" s="156">
        <f>IFERROR((TableTEVORP[[#This Row],[FPS]]-INDEX(TableTEVORP[FPS],MATCH(TEVORPCalc,TableTEVORP[RK],0))),"")</f>
        <v>-36.327359892128754</v>
      </c>
      <c r="AF43" s="58" t="s">
        <v>147</v>
      </c>
      <c r="AG43" s="58">
        <v>2</v>
      </c>
      <c r="AH43" s="100">
        <f>RANK(TableOverallMaster[[#This Row],[VORP]],TableOverallMaster[VORP])+COUNTIF($AM$2:AM43,AM43)-1</f>
        <v>8</v>
      </c>
      <c r="AI43" s="157" t="str">
        <f>IFERROR(INDEX(TableRBVORP[RUNNING BACK],MATCH(TableOverallMaster[[#This Row],[RK]],TableRBVORP[RK],0)),"")</f>
        <v>Bijan Robinson</v>
      </c>
      <c r="AJ43" s="157" t="str">
        <f t="shared" si="0"/>
        <v>RB2</v>
      </c>
      <c r="AK43" s="157">
        <f>IFERROR(INDEX(TableRBVORP[BYE],MATCH(TableOverallMaster[[#This Row],[RK]],TableRBVORP[RK],0)),"")</f>
        <v>11</v>
      </c>
      <c r="AL43" s="158">
        <f>IFERROR(INDEX(TableRBVORP[FPS],MATCH(TableOverallMaster[[#This Row],[RK]],TableRBVORP[RK],0)),"")</f>
        <v>322.90400469051792</v>
      </c>
      <c r="AM43" s="159">
        <f>IFERROR(INDEX(TableRBVORP[VORP],MATCH(TableOverallMaster[[#This Row],[RK]],TableRBVORP[RK],0)),"")</f>
        <v>175.11693236759243</v>
      </c>
      <c r="AO43" s="58">
        <v>42</v>
      </c>
      <c r="AP43" s="160" t="str">
        <f>IFERROR(INDEX(TableOverallMaster[OVERALL PLAYER],MATCH(TableOverallRank[[#This Row],[RK]],TableOverallMaster[OVR RK],0)),"")</f>
        <v>Jayden Daniels</v>
      </c>
      <c r="AQ43" s="161" t="str">
        <f>IFERROR(INDEX(TableOverallMaster[POS RK],MATCH(TableOverallRank[[#This Row],[OVERALL PLAYER]],TableOverallMaster[OVERALL PLAYER],0)),"")</f>
        <v>QB14</v>
      </c>
      <c r="AR43" s="162">
        <f>IFERROR(INDEX(TableOverallMaster[BYE],MATCH(TableOverallRank[[#This Row],[OVERALL PLAYER]],TableOverallMaster[OVERALL PLAYER],0)),"")</f>
        <v>7</v>
      </c>
      <c r="AS43" s="161">
        <f>IFERROR(INDEX(TableOverallMaster[Custom],MATCH(TableOverallRank[[#This Row],[OVERALL PLAYER]],TableOverallMaster[OVERALL PLAYER],0)),"")</f>
        <v>399.83546948934764</v>
      </c>
      <c r="AT43" s="163">
        <f>IFERROR(INDEX(TableOverallMaster[VORP],MATCH(TableOverallRank[[#This Row],[OVERALL PLAYER]],TableOverallMaster[OVERALL PLAYER],0)),"")</f>
        <v>105.45243077830958</v>
      </c>
      <c r="AV43" s="58">
        <v>42</v>
      </c>
      <c r="AW43" s="164" t="str">
        <f>IFERROR(INDEX(TableWRTECalcPts[PLAYER],MATCH(TableWRTERank[[#This Row],[RK]],TableWRTECalcPts[RK],0)),"")</f>
        <v>Michael Pittman</v>
      </c>
      <c r="AX43" s="164" t="str">
        <f>IFERROR(INDEX(TableWRTECalcPts[POS RK],MATCH(TableWRTERank[[#This Row],[WR and TE COMBINED]],TableWRTECalcPts[PLAYER],0)),"")</f>
        <v>WR38</v>
      </c>
      <c r="AY43" s="164">
        <f>IFERROR(INDEX(TableWRTECalcPts[BYE],MATCH(TableWRTERank[[#This Row],[RK]],TableWRTECalcPts[RK],0)),"")</f>
        <v>9</v>
      </c>
      <c r="AZ43" s="165">
        <f>IFERROR(INDEX(TableWRTECalcPts[Custom],MATCH(TableWRTERank[[#This Row],[RK]],TableWRTECalcPts[RK],0)),"")</f>
        <v>161.35338225495778</v>
      </c>
      <c r="BA43" s="166">
        <f>IFERROR((TableWRTERank[[#This Row],[FPS]]-INDEX(TableWRTERank[FPS],MATCH(WRTEVORPCalc,TableWRTERank[RK],0))),"")</f>
        <v>20.117010672666083</v>
      </c>
      <c r="BC43" s="58" t="s">
        <v>148</v>
      </c>
    </row>
    <row r="44" spans="1:55" x14ac:dyDescent="0.25">
      <c r="A44" s="58">
        <v>43</v>
      </c>
      <c r="B44" s="154" t="str">
        <f>IFERROR(INDEX(TableQBCalcPts[PLAYER],MATCH(TableQBVORP[[#This Row],[RK]],TableQBCalcPts[RK],0)),"")</f>
        <v>Brady Cook</v>
      </c>
      <c r="C44" s="154" t="str">
        <f>IFERROR(INDEX(TableQBCalcPts[TM],MATCH(TableQBVORP[[#This Row],[RK]],TableQBCalcPts[RK],0)),"")</f>
        <v>NYJ</v>
      </c>
      <c r="D44" s="154">
        <f>IFERROR(INDEX(TableQBCalcPts[BYE],MATCH(TableQBVORP[[#This Row],[RK]],TableQBCalcPts[RK],0)),"")</f>
        <v>13</v>
      </c>
      <c r="E44" s="155">
        <f>IFERROR(INDEX(TableQBCalcPts[Custom],MATCH(TableQBVORP[[#This Row],[RK]],TableQBCalcPts[RK],0)),"")</f>
        <v>16.393047977919995</v>
      </c>
      <c r="F44" s="156">
        <f>(IFERROR((TableQBVORP[[#This Row],[FPS]]-INDEX(TableQBVORP[FPS],MATCH(QBVORPCalc,TableQBVORP[RK],0))),""))+(TableRBVORP[[#This Row],[VORP]]*0.45)</f>
        <v>-320.2359296831936</v>
      </c>
      <c r="H44" s="58">
        <v>43</v>
      </c>
      <c r="I44" s="154" t="str">
        <f>IFERROR(INDEX(TableRBCalcPts[PLAYER],MATCH(TableRBVORP[[#This Row],[RK]],TableRBCalcPts[RK],0)),"")</f>
        <v>Isiah Pacheco</v>
      </c>
      <c r="J44" s="154" t="str">
        <f>IFERROR(INDEX(TableRBCalcPts[TM],MATCH(TableRBVORP[[#This Row],[RK]],TableRBCalcPts[RK],0)),"")</f>
        <v>DET</v>
      </c>
      <c r="K44" s="154">
        <f>IFERROR(INDEX(TableRBCalcPts[BYE],MATCH(TableRBVORP[[#This Row],[RK]],TableRBCalcPts[RK],0)),"")</f>
        <v>6</v>
      </c>
      <c r="L44" s="155">
        <f>IFERROR(INDEX(TableRBCalcPts[Custom],MATCH(TableRBVORP[[#This Row],[RK]],TableRBCalcPts[RK],0)),"")</f>
        <v>106.43067468233848</v>
      </c>
      <c r="M44" s="156">
        <f>(IFERROR((TableRBVORP[[#This Row],[FPS]]-INDEX(TableRBVORP[FPS],MATCH(RBVORPCalc,TableRBVORP[RK],0))),""))*0.8</f>
        <v>1.9382683610488813</v>
      </c>
      <c r="O44" s="58">
        <v>43</v>
      </c>
      <c r="P44" s="154" t="str">
        <f>IFERROR(INDEX(TableWRCalcPts[PLAYER],MATCH(TableWRVORP[[#This Row],[RK]],TableWRCalcPts[RK],0)),"")</f>
        <v>Jayden Reed</v>
      </c>
      <c r="Q44" s="154" t="str">
        <f>IFERROR(INDEX(TableWRCalcPts[TM],MATCH(TableWRVORP[[#This Row],[RK]],TableWRCalcPts[RK],0)),"")</f>
        <v>GB</v>
      </c>
      <c r="R44" s="154">
        <f>IFERROR(INDEX(TableWRCalcPts[BYE],MATCH(TableWRVORP[[#This Row],[RK]],TableWRCalcPts[RK],0)),"")</f>
        <v>11</v>
      </c>
      <c r="S44" s="155">
        <f>IFERROR(INDEX(TableWRCalcPts[Custom],MATCH(TableWRVORP[[#This Row],[RK]],TableWRCalcPts[RK],0)),"")</f>
        <v>148.99904400559308</v>
      </c>
      <c r="T44" s="156">
        <f>(IFERROR((TableWRVORP[[#This Row],[FPS]]-INDEX(TableWRVORP[FPS],MATCH(WRVORPCalc,TableWRVORP[RK],0))),""))</f>
        <v>58.714858615227016</v>
      </c>
      <c r="V44" s="58">
        <v>43</v>
      </c>
      <c r="W44" s="154" t="str">
        <f>IFERROR(INDEX(TableTECalcPts[PLAYER],MATCH(TableTEVORP[[#This Row],[RK]],TableTECalcPts[RK],0)),"")</f>
        <v>Tommy Tremble</v>
      </c>
      <c r="X44" s="154" t="str">
        <f>IFERROR(INDEX(TableTECalcPts[TM],MATCH(TableTEVORP[[#This Row],[RK]],TableTECalcPts[RK],0)),"")</f>
        <v>CAR</v>
      </c>
      <c r="Y44" s="154">
        <f>IFERROR(INDEX(TableTECalcPts[BYE],MATCH(TableTEVORP[[#This Row],[RK]],TableTECalcPts[RK],0)),"")</f>
        <v>5</v>
      </c>
      <c r="Z44" s="155">
        <f>IFERROR(INDEX(TableTECalcPts[Custom],MATCH(TableTEVORP[[#This Row],[RK]],TableTECalcPts[RK],0)),"")</f>
        <v>41.058899402597987</v>
      </c>
      <c r="AA44" s="156">
        <f>IFERROR((TableTEVORP[[#This Row],[FPS]]-INDEX(TableTEVORP[FPS],MATCH(TEVORPCalc,TableTEVORP[RK],0))),"")</f>
        <v>-36.826894573643699</v>
      </c>
      <c r="AF44" s="58" t="s">
        <v>147</v>
      </c>
      <c r="AG44" s="58">
        <v>3</v>
      </c>
      <c r="AH44" s="100">
        <f>RANK(TableOverallMaster[[#This Row],[VORP]],TableOverallMaster[VORP])+COUNTIF($AM$2:AM44,AM44)-1</f>
        <v>10</v>
      </c>
      <c r="AI44" s="157" t="str">
        <f>IFERROR(INDEX(TableRBVORP[RUNNING BACK],MATCH(TableOverallMaster[[#This Row],[RK]],TableRBVORP[RK],0)),"")</f>
        <v>Christian McCaffrey</v>
      </c>
      <c r="AJ44" s="157" t="str">
        <f t="shared" si="0"/>
        <v>RB3</v>
      </c>
      <c r="AK44" s="157">
        <f>IFERROR(INDEX(TableRBVORP[BYE],MATCH(TableOverallMaster[[#This Row],[RK]],TableRBVORP[RK],0)),"")</f>
        <v>8</v>
      </c>
      <c r="AL44" s="158">
        <f>IFERROR(INDEX(TableRBVORP[FPS],MATCH(TableOverallMaster[[#This Row],[RK]],TableRBVORP[RK],0)),"")</f>
        <v>307.77619531315895</v>
      </c>
      <c r="AM44" s="159">
        <f>IFERROR(INDEX(TableRBVORP[VORP],MATCH(TableOverallMaster[[#This Row],[RK]],TableRBVORP[RK],0)),"")</f>
        <v>163.01468486570525</v>
      </c>
      <c r="AO44" s="58">
        <v>43</v>
      </c>
      <c r="AP44" s="160" t="str">
        <f>IFERROR(INDEX(TableOverallMaster[OVERALL PLAYER],MATCH(TableOverallRank[[#This Row],[RK]],TableOverallMaster[OVR RK],0)),"")</f>
        <v>Trey McBride</v>
      </c>
      <c r="AQ44" s="161" t="str">
        <f>IFERROR(INDEX(TableOverallMaster[POS RK],MATCH(TableOverallRank[[#This Row],[OVERALL PLAYER]],TableOverallMaster[OVERALL PLAYER],0)),"")</f>
        <v>TE3</v>
      </c>
      <c r="AR44" s="162">
        <f>IFERROR(INDEX(TableOverallMaster[BYE],MATCH(TableOverallRank[[#This Row],[OVERALL PLAYER]],TableOverallMaster[OVERALL PLAYER],0)),"")</f>
        <v>14</v>
      </c>
      <c r="AS44" s="161">
        <f>IFERROR(INDEX(TableOverallMaster[Custom],MATCH(TableOverallRank[[#This Row],[OVERALL PLAYER]],TableOverallMaster[OVERALL PLAYER],0)),"")</f>
        <v>183.17818580821358</v>
      </c>
      <c r="AT44" s="163">
        <f>IFERROR(INDEX(TableOverallMaster[VORP],MATCH(TableOverallRank[[#This Row],[OVERALL PLAYER]],TableOverallMaster[OVERALL PLAYER],0)),"")</f>
        <v>105.2923918319719</v>
      </c>
      <c r="AV44" s="58">
        <v>43</v>
      </c>
      <c r="AW44" s="164" t="str">
        <f>IFERROR(INDEX(TableWRTECalcPts[PLAYER],MATCH(TableWRTERank[[#This Row],[RK]],TableWRTECalcPts[RK],0)),"")</f>
        <v>Marvin Harrison</v>
      </c>
      <c r="AX44" s="164" t="str">
        <f>IFERROR(INDEX(TableWRTECalcPts[POS RK],MATCH(TableWRTERank[[#This Row],[WR and TE COMBINED]],TableWRTECalcPts[PLAYER],0)),"")</f>
        <v>WR39</v>
      </c>
      <c r="AY44" s="164">
        <f>IFERROR(INDEX(TableWRTECalcPts[BYE],MATCH(TableWRTERank[[#This Row],[RK]],TableWRTECalcPts[RK],0)),"")</f>
        <v>14</v>
      </c>
      <c r="AZ44" s="165">
        <f>IFERROR(INDEX(TableWRTECalcPts[Custom],MATCH(TableWRTERank[[#This Row],[RK]],TableWRTECalcPts[RK],0)),"")</f>
        <v>159.00760212908483</v>
      </c>
      <c r="BA44" s="166">
        <f>IFERROR((TableWRTERank[[#This Row],[FPS]]-INDEX(TableWRTERank[FPS],MATCH(WRTEVORPCalc,TableWRTERank[RK],0))),"")</f>
        <v>17.771230546793134</v>
      </c>
      <c r="BC44" s="58" t="s">
        <v>148</v>
      </c>
    </row>
    <row r="45" spans="1:55" x14ac:dyDescent="0.25">
      <c r="A45" s="58">
        <v>44</v>
      </c>
      <c r="B45" s="154" t="str">
        <f>IFERROR(INDEX(TableQBCalcPts[PLAYER],MATCH(TableQBVORP[[#This Row],[RK]],TableQBCalcPts[RK],0)),"")</f>
        <v>Jameis Winston</v>
      </c>
      <c r="C45" s="154" t="str">
        <f>IFERROR(INDEX(TableQBCalcPts[TM],MATCH(TableQBVORP[[#This Row],[RK]],TableQBCalcPts[RK],0)),"")</f>
        <v>NYG</v>
      </c>
      <c r="D45" s="154">
        <f>IFERROR(INDEX(TableQBCalcPts[BYE],MATCH(TableQBVORP[[#This Row],[RK]],TableQBCalcPts[RK],0)),"")</f>
        <v>8</v>
      </c>
      <c r="E45" s="155">
        <f>IFERROR(INDEX(TableQBCalcPts[Custom],MATCH(TableQBVORP[[#This Row],[RK]],TableQBCalcPts[RK],0)),"")</f>
        <v>15.834055429960992</v>
      </c>
      <c r="F45" s="156">
        <f>(IFERROR((TableQBVORP[[#This Row],[FPS]]-INDEX(TableQBVORP[FPS],MATCH(QBVORPCalc,TableQBVORP[RK],0))),""))+(TableRBVORP[[#This Row],[VORP]]*0.45)</f>
        <v>-321.66714299362462</v>
      </c>
      <c r="H45" s="58">
        <v>44</v>
      </c>
      <c r="I45" s="154" t="str">
        <f>IFERROR(INDEX(TableRBCalcPts[PLAYER],MATCH(TableRBVORP[[#This Row],[RK]],TableRBCalcPts[RK],0)),"")</f>
        <v>Alvin Kamara</v>
      </c>
      <c r="J45" s="154" t="str">
        <f>IFERROR(INDEX(TableRBCalcPts[TM],MATCH(TableRBVORP[[#This Row],[RK]],TableRBCalcPts[RK],0)),"")</f>
        <v>NO</v>
      </c>
      <c r="K45" s="154">
        <f>IFERROR(INDEX(TableRBCalcPts[BYE],MATCH(TableRBVORP[[#This Row],[RK]],TableRBCalcPts[RK],0)),"")</f>
        <v>8</v>
      </c>
      <c r="L45" s="155">
        <f>IFERROR(INDEX(TableRBCalcPts[Custom],MATCH(TableRBVORP[[#This Row],[RK]],TableRBCalcPts[RK],0)),"")</f>
        <v>104.00783923102738</v>
      </c>
      <c r="M45" s="156">
        <f>(IFERROR((TableRBVORP[[#This Row],[FPS]]-INDEX(TableRBVORP[FPS],MATCH(RBVORPCalc,TableRBVORP[RK],0))),""))*0.8</f>
        <v>0</v>
      </c>
      <c r="O45" s="58">
        <v>44</v>
      </c>
      <c r="P45" s="154" t="str">
        <f>IFERROR(INDEX(TableWRCalcPts[PLAYER],MATCH(TableWRVORP[[#This Row],[RK]],TableWRCalcPts[RK],0)),"")</f>
        <v>Josh Downs</v>
      </c>
      <c r="Q45" s="154" t="str">
        <f>IFERROR(INDEX(TableWRCalcPts[TM],MATCH(TableWRVORP[[#This Row],[RK]],TableWRCalcPts[RK],0)),"")</f>
        <v>IND</v>
      </c>
      <c r="R45" s="154">
        <f>IFERROR(INDEX(TableWRCalcPts[BYE],MATCH(TableWRVORP[[#This Row],[RK]],TableWRCalcPts[RK],0)),"")</f>
        <v>13</v>
      </c>
      <c r="S45" s="155">
        <f>IFERROR(INDEX(TableWRCalcPts[Custom],MATCH(TableWRVORP[[#This Row],[RK]],TableWRCalcPts[RK],0)),"")</f>
        <v>148.75355445006602</v>
      </c>
      <c r="T45" s="156">
        <f>(IFERROR((TableWRVORP[[#This Row],[FPS]]-INDEX(TableWRVORP[FPS],MATCH(WRVORPCalc,TableWRVORP[RK],0))),""))</f>
        <v>58.469369059699957</v>
      </c>
      <c r="V45" s="58">
        <v>44</v>
      </c>
      <c r="W45" s="154" t="str">
        <f>IFERROR(INDEX(TableTECalcPts[PLAYER],MATCH(TableTEVORP[[#This Row],[RK]],TableTECalcPts[RK],0)),"")</f>
        <v>Theo Johnson</v>
      </c>
      <c r="X45" s="154" t="str">
        <f>IFERROR(INDEX(TableTECalcPts[TM],MATCH(TableTEVORP[[#This Row],[RK]],TableTECalcPts[RK],0)),"")</f>
        <v>NYG</v>
      </c>
      <c r="Y45" s="154">
        <f>IFERROR(INDEX(TableTECalcPts[BYE],MATCH(TableTEVORP[[#This Row],[RK]],TableTECalcPts[RK],0)),"")</f>
        <v>8</v>
      </c>
      <c r="Z45" s="155">
        <f>IFERROR(INDEX(TableTECalcPts[Custom],MATCH(TableTEVORP[[#This Row],[RK]],TableTECalcPts[RK],0)),"")</f>
        <v>41.026183631433959</v>
      </c>
      <c r="AA45" s="156">
        <f>IFERROR((TableTEVORP[[#This Row],[FPS]]-INDEX(TableTEVORP[FPS],MATCH(TEVORPCalc,TableTEVORP[RK],0))),"")</f>
        <v>-36.859610344807727</v>
      </c>
      <c r="AF45" s="58" t="s">
        <v>147</v>
      </c>
      <c r="AG45" s="58">
        <v>4</v>
      </c>
      <c r="AH45" s="100">
        <f>RANK(TableOverallMaster[[#This Row],[VORP]],TableOverallMaster[VORP])+COUNTIF($AM$2:AM45,AM45)-1</f>
        <v>12</v>
      </c>
      <c r="AI45" s="157" t="str">
        <f>IFERROR(INDEX(TableRBVORP[RUNNING BACK],MATCH(TableOverallMaster[[#This Row],[RK]],TableRBVORP[RK],0)),"")</f>
        <v>Jonathan Taylor</v>
      </c>
      <c r="AJ45" s="157" t="str">
        <f t="shared" si="0"/>
        <v>RB4</v>
      </c>
      <c r="AK45" s="157">
        <f>IFERROR(INDEX(TableRBVORP[BYE],MATCH(TableOverallMaster[[#This Row],[RK]],TableRBVORP[RK],0)),"")</f>
        <v>13</v>
      </c>
      <c r="AL45" s="158">
        <f>IFERROR(INDEX(TableRBVORP[FPS],MATCH(TableOverallMaster[[#This Row],[RK]],TableRBVORP[RK],0)),"")</f>
        <v>287.83953308823624</v>
      </c>
      <c r="AM45" s="159">
        <f>IFERROR(INDEX(TableRBVORP[VORP],MATCH(TableOverallMaster[[#This Row],[RK]],TableRBVORP[RK],0)),"")</f>
        <v>147.0653550857671</v>
      </c>
      <c r="AO45" s="58">
        <v>44</v>
      </c>
      <c r="AP45" s="160" t="str">
        <f>IFERROR(INDEX(TableOverallMaster[OVERALL PLAYER],MATCH(TableOverallRank[[#This Row],[RK]],TableOverallMaster[OVR RK],0)),"")</f>
        <v>Saquon Barkley</v>
      </c>
      <c r="AQ45" s="161" t="str">
        <f>IFERROR(INDEX(TableOverallMaster[POS RK],MATCH(TableOverallRank[[#This Row],[OVERALL PLAYER]],TableOverallMaster[OVERALL PLAYER],0)),"")</f>
        <v>RB9</v>
      </c>
      <c r="AR45" s="162">
        <f>IFERROR(INDEX(TableOverallMaster[BYE],MATCH(TableOverallRank[[#This Row],[OVERALL PLAYER]],TableOverallMaster[OVERALL PLAYER],0)),"")</f>
        <v>10</v>
      </c>
      <c r="AS45" s="161">
        <f>IFERROR(INDEX(TableOverallMaster[Custom],MATCH(TableOverallRank[[#This Row],[OVERALL PLAYER]],TableOverallMaster[OVERALL PLAYER],0)),"")</f>
        <v>234.04588385981933</v>
      </c>
      <c r="AT45" s="163">
        <f>IFERROR(INDEX(TableOverallMaster[VORP],MATCH(TableOverallRank[[#This Row],[OVERALL PLAYER]],TableOverallMaster[OVERALL PLAYER],0)),"")</f>
        <v>104.03043570303358</v>
      </c>
      <c r="AV45" s="58">
        <v>44</v>
      </c>
      <c r="AW45" s="164" t="str">
        <f>IFERROR(INDEX(TableWRTECalcPts[PLAYER],MATCH(TableWRTERank[[#This Row],[RK]],TableWRTECalcPts[RK],0)),"")</f>
        <v>Sam LaPorta</v>
      </c>
      <c r="AX45" s="164" t="str">
        <f>IFERROR(INDEX(TableWRTECalcPts[POS RK],MATCH(TableWRTERank[[#This Row],[WR and TE COMBINED]],TableWRTECalcPts[PLAYER],0)),"")</f>
        <v>TE5</v>
      </c>
      <c r="AY45" s="164">
        <f>IFERROR(INDEX(TableWRTECalcPts[BYE],MATCH(TableWRTERank[[#This Row],[RK]],TableWRTECalcPts[RK],0)),"")</f>
        <v>6</v>
      </c>
      <c r="AZ45" s="165">
        <f>IFERROR(INDEX(TableWRTECalcPts[Custom],MATCH(TableWRTERank[[#This Row],[RK]],TableWRTECalcPts[RK],0)),"")</f>
        <v>155.89636881295675</v>
      </c>
      <c r="BA45" s="166">
        <f>IFERROR((TableWRTERank[[#This Row],[FPS]]-INDEX(TableWRTERank[FPS],MATCH(WRTEVORPCalc,TableWRTERank[RK],0))),"")</f>
        <v>14.659997230665056</v>
      </c>
      <c r="BC45" s="58" t="s">
        <v>148</v>
      </c>
    </row>
    <row r="46" spans="1:55" x14ac:dyDescent="0.25">
      <c r="A46" s="58">
        <v>45</v>
      </c>
      <c r="B46" s="154" t="str">
        <f>IFERROR(INDEX(TableQBCalcPts[PLAYER],MATCH(TableQBVORP[[#This Row],[RK]],TableQBCalcPts[RK],0)),"")</f>
        <v>Will Howard</v>
      </c>
      <c r="C46" s="154" t="str">
        <f>IFERROR(INDEX(TableQBCalcPts[TM],MATCH(TableQBVORP[[#This Row],[RK]],TableQBCalcPts[RK],0)),"")</f>
        <v>PIT</v>
      </c>
      <c r="D46" s="154">
        <f>IFERROR(INDEX(TableQBCalcPts[BYE],MATCH(TableQBVORP[[#This Row],[RK]],TableQBCalcPts[RK],0)),"")</f>
        <v>9</v>
      </c>
      <c r="E46" s="155">
        <f>IFERROR(INDEX(TableQBCalcPts[Custom],MATCH(TableQBVORP[[#This Row],[RK]],TableQBCalcPts[RK],0)),"")</f>
        <v>14.725827648000003</v>
      </c>
      <c r="F46" s="156">
        <f>(IFERROR((TableQBVORP[[#This Row],[FPS]]-INDEX(TableQBVORP[FPS],MATCH(QBVORPCalc,TableQBVORP[RK],0))),""))+(TableRBVORP[[#This Row],[VORP]]*0.45)</f>
        <v>-324.60288771191489</v>
      </c>
      <c r="H46" s="58">
        <v>45</v>
      </c>
      <c r="I46" s="154" t="str">
        <f>IFERROR(INDEX(TableRBCalcPts[PLAYER],MATCH(TableRBVORP[[#This Row],[RK]],TableRBCalcPts[RK],0)),"")</f>
        <v>Chris Rodriguez</v>
      </c>
      <c r="J46" s="154" t="str">
        <f>IFERROR(INDEX(TableRBCalcPts[TM],MATCH(TableRBVORP[[#This Row],[RK]],TableRBCalcPts[RK],0)),"")</f>
        <v>JAX</v>
      </c>
      <c r="K46" s="154">
        <f>IFERROR(INDEX(TableRBCalcPts[BYE],MATCH(TableRBVORP[[#This Row],[RK]],TableRBCalcPts[RK],0)),"")</f>
        <v>7</v>
      </c>
      <c r="L46" s="155">
        <f>IFERROR(INDEX(TableRBCalcPts[Custom],MATCH(TableRBVORP[[#This Row],[RK]],TableRBCalcPts[RK],0)),"")</f>
        <v>98.931403296779322</v>
      </c>
      <c r="M46" s="156">
        <f>(IFERROR((TableRBVORP[[#This Row],[FPS]]-INDEX(TableRBVORP[FPS],MATCH(RBVORPCalc,TableRBVORP[RK],0))),""))*0.8</f>
        <v>-4.0611487473984429</v>
      </c>
      <c r="O46" s="58">
        <v>45</v>
      </c>
      <c r="P46" s="154" t="str">
        <f>IFERROR(INDEX(TableWRCalcPts[PLAYER],MATCH(TableWRVORP[[#This Row],[RK]],TableWRCalcPts[RK],0)),"")</f>
        <v>Malik Nabers</v>
      </c>
      <c r="Q46" s="154" t="str">
        <f>IFERROR(INDEX(TableWRCalcPts[TM],MATCH(TableWRVORP[[#This Row],[RK]],TableWRCalcPts[RK],0)),"")</f>
        <v>NYG</v>
      </c>
      <c r="R46" s="154">
        <f>IFERROR(INDEX(TableWRCalcPts[BYE],MATCH(TableWRVORP[[#This Row],[RK]],TableWRCalcPts[RK],0)),"")</f>
        <v>8</v>
      </c>
      <c r="S46" s="155">
        <f>IFERROR(INDEX(TableWRCalcPts[Custom],MATCH(TableWRVORP[[#This Row],[RK]],TableWRCalcPts[RK],0)),"")</f>
        <v>147.06776996248362</v>
      </c>
      <c r="T46" s="156">
        <f>(IFERROR((TableWRVORP[[#This Row],[FPS]]-INDEX(TableWRVORP[FPS],MATCH(WRVORPCalc,TableWRVORP[RK],0))),""))</f>
        <v>56.783584572117562</v>
      </c>
      <c r="V46" s="58">
        <v>45</v>
      </c>
      <c r="W46" s="154" t="str">
        <f>IFERROR(INDEX(TableTECalcPts[PLAYER],MATCH(TableTEVORP[[#This Row],[RK]],TableTECalcPts[RK],0)),"")</f>
        <v>Max Klare</v>
      </c>
      <c r="X46" s="154" t="str">
        <f>IFERROR(INDEX(TableTECalcPts[TM],MATCH(TableTEVORP[[#This Row],[RK]],TableTECalcPts[RK],0)),"")</f>
        <v>LAR</v>
      </c>
      <c r="Y46" s="154">
        <f>IFERROR(INDEX(TableTECalcPts[BYE],MATCH(TableTEVORP[[#This Row],[RK]],TableTECalcPts[RK],0)),"")</f>
        <v>11</v>
      </c>
      <c r="Z46" s="155">
        <f>IFERROR(INDEX(TableTECalcPts[Custom],MATCH(TableTEVORP[[#This Row],[RK]],TableTECalcPts[RK],0)),"")</f>
        <v>35.785164132437984</v>
      </c>
      <c r="AA46" s="156">
        <f>IFERROR((TableTEVORP[[#This Row],[FPS]]-INDEX(TableTEVORP[FPS],MATCH(TEVORPCalc,TableTEVORP[RK],0))),"")</f>
        <v>-42.100629843803702</v>
      </c>
      <c r="AF46" s="58" t="s">
        <v>147</v>
      </c>
      <c r="AG46" s="58">
        <v>5</v>
      </c>
      <c r="AH46" s="100">
        <f>RANK(TableOverallMaster[[#This Row],[VORP]],TableOverallMaster[VORP])+COUNTIF($AM$2:AM46,AM46)-1</f>
        <v>26</v>
      </c>
      <c r="AI46" s="157" t="str">
        <f>IFERROR(INDEX(TableRBVORP[RUNNING BACK],MATCH(TableOverallMaster[[#This Row],[RK]],TableRBVORP[RK],0)),"")</f>
        <v>James Cook</v>
      </c>
      <c r="AJ46" s="157" t="str">
        <f t="shared" si="0"/>
        <v>RB5</v>
      </c>
      <c r="AK46" s="157">
        <f>IFERROR(INDEX(TableRBVORP[BYE],MATCH(TableOverallMaster[[#This Row],[RK]],TableRBVORP[RK],0)),"")</f>
        <v>7</v>
      </c>
      <c r="AL46" s="158">
        <f>IFERROR(INDEX(TableRBVORP[FPS],MATCH(TableOverallMaster[[#This Row],[RK]],TableRBVORP[RK],0)),"")</f>
        <v>252.99926754623516</v>
      </c>
      <c r="AM46" s="159">
        <f>IFERROR(INDEX(TableRBVORP[VORP],MATCH(TableOverallMaster[[#This Row],[RK]],TableRBVORP[RK],0)),"")</f>
        <v>119.19314265216622</v>
      </c>
      <c r="AO46" s="58">
        <v>45</v>
      </c>
      <c r="AP46" s="160" t="str">
        <f>IFERROR(INDEX(TableOverallMaster[OVERALL PLAYER],MATCH(TableOverallRank[[#This Row],[RK]],TableOverallMaster[OVR RK],0)),"")</f>
        <v>Kenneth Walker</v>
      </c>
      <c r="AQ46" s="161" t="str">
        <f>IFERROR(INDEX(TableOverallMaster[POS RK],MATCH(TableOverallRank[[#This Row],[OVERALL PLAYER]],TableOverallMaster[OVERALL PLAYER],0)),"")</f>
        <v>RB10</v>
      </c>
      <c r="AR46" s="162">
        <f>IFERROR(INDEX(TableOverallMaster[BYE],MATCH(TableOverallRank[[#This Row],[OVERALL PLAYER]],TableOverallMaster[OVERALL PLAYER],0)),"")</f>
        <v>5</v>
      </c>
      <c r="AS46" s="161">
        <f>IFERROR(INDEX(TableOverallMaster[Custom],MATCH(TableOverallRank[[#This Row],[OVERALL PLAYER]],TableOverallMaster[OVERALL PLAYER],0)),"")</f>
        <v>233.20034776851375</v>
      </c>
      <c r="AT46" s="163">
        <f>IFERROR(INDEX(TableOverallMaster[VORP],MATCH(TableOverallRank[[#This Row],[OVERALL PLAYER]],TableOverallMaster[OVERALL PLAYER],0)),"")</f>
        <v>103.35400682998912</v>
      </c>
      <c r="AV46" s="58">
        <v>45</v>
      </c>
      <c r="AW46" s="164" t="str">
        <f>IFERROR(INDEX(TableWRTECalcPts[PLAYER],MATCH(TableWRTERank[[#This Row],[RK]],TableWRTECalcPts[RK],0)),"")</f>
        <v>George Kittle</v>
      </c>
      <c r="AX46" s="164" t="str">
        <f>IFERROR(INDEX(TableWRTECalcPts[POS RK],MATCH(TableWRTERank[[#This Row],[WR and TE COMBINED]],TableWRTECalcPts[PLAYER],0)),"")</f>
        <v>TE6</v>
      </c>
      <c r="AY46" s="164">
        <f>IFERROR(INDEX(TableWRTECalcPts[BYE],MATCH(TableWRTERank[[#This Row],[RK]],TableWRTECalcPts[RK],0)),"")</f>
        <v>8</v>
      </c>
      <c r="AZ46" s="165">
        <f>IFERROR(INDEX(TableWRTECalcPts[Custom],MATCH(TableWRTERank[[#This Row],[RK]],TableWRTECalcPts[RK],0)),"")</f>
        <v>155.06993486799362</v>
      </c>
      <c r="BA46" s="166">
        <f>IFERROR((TableWRTERank[[#This Row],[FPS]]-INDEX(TableWRTERank[FPS],MATCH(WRTEVORPCalc,TableWRTERank[RK],0))),"")</f>
        <v>13.833563285701928</v>
      </c>
      <c r="BC46" s="58" t="s">
        <v>148</v>
      </c>
    </row>
    <row r="47" spans="1:55" x14ac:dyDescent="0.25">
      <c r="A47" s="58">
        <v>46</v>
      </c>
      <c r="B47" s="154" t="str">
        <f>IFERROR(INDEX(TableQBCalcPts[PLAYER],MATCH(TableQBVORP[[#This Row],[RK]],TableQBCalcPts[RK],0)),"")</f>
        <v>Kenny Pickett</v>
      </c>
      <c r="C47" s="154" t="str">
        <f>IFERROR(INDEX(TableQBCalcPts[TM],MATCH(TableQBVORP[[#This Row],[RK]],TableQBCalcPts[RK],0)),"")</f>
        <v>CAR</v>
      </c>
      <c r="D47" s="154">
        <f>IFERROR(INDEX(TableQBCalcPts[BYE],MATCH(TableQBVORP[[#This Row],[RK]],TableQBCalcPts[RK],0)),"")</f>
        <v>5</v>
      </c>
      <c r="E47" s="155">
        <f>IFERROR(INDEX(TableQBCalcPts[Custom],MATCH(TableQBVORP[[#This Row],[RK]],TableQBCalcPts[RK],0)),"")</f>
        <v>14.456667186020452</v>
      </c>
      <c r="F47" s="156">
        <f>(IFERROR((TableQBVORP[[#This Row],[FPS]]-INDEX(TableQBVORP[FPS],MATCH(QBVORPCalc,TableQBVORP[RK],0))),""))+(TableRBVORP[[#This Row],[VORP]]*0.45)</f>
        <v>-326.26610790845541</v>
      </c>
      <c r="H47" s="58">
        <v>46</v>
      </c>
      <c r="I47" s="154" t="str">
        <f>IFERROR(INDEX(TableRBCalcPts[PLAYER],MATCH(TableRBVORP[[#This Row],[RK]],TableRBCalcPts[RK],0)),"")</f>
        <v>Woody Marks</v>
      </c>
      <c r="J47" s="154" t="str">
        <f>IFERROR(INDEX(TableRBCalcPts[TM],MATCH(TableRBVORP[[#This Row],[RK]],TableRBCalcPts[RK],0)),"")</f>
        <v>HOU</v>
      </c>
      <c r="K47" s="154">
        <f>IFERROR(INDEX(TableRBCalcPts[BYE],MATCH(TableRBVORP[[#This Row],[RK]],TableRBCalcPts[RK],0)),"")</f>
        <v>8</v>
      </c>
      <c r="L47" s="155">
        <f>IFERROR(INDEX(TableRBCalcPts[Custom],MATCH(TableRBVORP[[#This Row],[RK]],TableRBCalcPts[RK],0)),"")</f>
        <v>95.059015145221139</v>
      </c>
      <c r="M47" s="156">
        <f>(IFERROR((TableRBVORP[[#This Row],[FPS]]-INDEX(TableRBVORP[FPS],MATCH(RBVORPCalc,TableRBVORP[RK],0))),""))*0.8</f>
        <v>-7.1590592686449899</v>
      </c>
      <c r="O47" s="58">
        <v>46</v>
      </c>
      <c r="P47" s="154" t="str">
        <f>IFERROR(INDEX(TableWRCalcPts[PLAYER],MATCH(TableWRVORP[[#This Row],[RK]],TableWRCalcPts[RK],0)),"")</f>
        <v>Brian Thomas</v>
      </c>
      <c r="Q47" s="154" t="str">
        <f>IFERROR(INDEX(TableWRCalcPts[TM],MATCH(TableWRVORP[[#This Row],[RK]],TableWRCalcPts[RK],0)),"")</f>
        <v>JAX</v>
      </c>
      <c r="R47" s="154">
        <f>IFERROR(INDEX(TableWRCalcPts[BYE],MATCH(TableWRVORP[[#This Row],[RK]],TableWRCalcPts[RK],0)),"")</f>
        <v>7</v>
      </c>
      <c r="S47" s="155">
        <f>IFERROR(INDEX(TableWRCalcPts[Custom],MATCH(TableWRVORP[[#This Row],[RK]],TableWRCalcPts[RK],0)),"")</f>
        <v>145.44104743852742</v>
      </c>
      <c r="T47" s="156">
        <f>(IFERROR((TableWRVORP[[#This Row],[FPS]]-INDEX(TableWRVORP[FPS],MATCH(WRVORPCalc,TableWRVORP[RK],0))),""))</f>
        <v>55.156862048161358</v>
      </c>
      <c r="V47" s="58">
        <v>46</v>
      </c>
      <c r="W47" s="154" t="str">
        <f>IFERROR(INDEX(TableTECalcPts[PLAYER],MATCH(TableTEVORP[[#This Row],[RK]],TableTECalcPts[RK],0)),"")</f>
        <v>Austin Hooper</v>
      </c>
      <c r="X47" s="154" t="str">
        <f>IFERROR(INDEX(TableTECalcPts[TM],MATCH(TableTEVORP[[#This Row],[RK]],TableTECalcPts[RK],0)),"")</f>
        <v>ATL</v>
      </c>
      <c r="Y47" s="154">
        <f>IFERROR(INDEX(TableTECalcPts[BYE],MATCH(TableTEVORP[[#This Row],[RK]],TableTECalcPts[RK],0)),"")</f>
        <v>11</v>
      </c>
      <c r="Z47" s="155">
        <f>IFERROR(INDEX(TableTECalcPts[Custom],MATCH(TableTEVORP[[#This Row],[RK]],TableTECalcPts[RK],0)),"")</f>
        <v>33.184453283020098</v>
      </c>
      <c r="AA47" s="156">
        <f>IFERROR((TableTEVORP[[#This Row],[FPS]]-INDEX(TableTEVORP[FPS],MATCH(TEVORPCalc,TableTEVORP[RK],0))),"")</f>
        <v>-44.701340693221589</v>
      </c>
      <c r="AF47" s="58" t="s">
        <v>147</v>
      </c>
      <c r="AG47" s="58">
        <v>6</v>
      </c>
      <c r="AH47" s="100">
        <f>RANK(TableOverallMaster[[#This Row],[VORP]],TableOverallMaster[VORP])+COUNTIF($AM$2:AM47,AM47)-1</f>
        <v>29</v>
      </c>
      <c r="AI47" s="157" t="str">
        <f>IFERROR(INDEX(TableRBVORP[RUNNING BACK],MATCH(TableOverallMaster[[#This Row],[RK]],TableRBVORP[RK],0)),"")</f>
        <v>De'Von Achane</v>
      </c>
      <c r="AJ47" s="157" t="str">
        <f t="shared" si="0"/>
        <v>RB6</v>
      </c>
      <c r="AK47" s="157">
        <f>IFERROR(INDEX(TableRBVORP[BYE],MATCH(TableOverallMaster[[#This Row],[RK]],TableRBVORP[RK],0)),"")</f>
        <v>6</v>
      </c>
      <c r="AL47" s="158">
        <f>IFERROR(INDEX(TableRBVORP[FPS],MATCH(TableOverallMaster[[#This Row],[RK]],TableRBVORP[RK],0)),"")</f>
        <v>249.37088241694448</v>
      </c>
      <c r="AM47" s="159">
        <f>IFERROR(INDEX(TableRBVORP[VORP],MATCH(TableOverallMaster[[#This Row],[RK]],TableRBVORP[RK],0)),"")</f>
        <v>116.29043454873369</v>
      </c>
      <c r="AO47" s="58">
        <v>46</v>
      </c>
      <c r="AP47" s="160" t="str">
        <f>IFERROR(INDEX(TableOverallMaster[OVERALL PLAYER],MATCH(TableOverallRank[[#This Row],[RK]],TableOverallMaster[OVR RK],0)),"")</f>
        <v>Omarion Hampton</v>
      </c>
      <c r="AQ47" s="161" t="str">
        <f>IFERROR(INDEX(TableOverallMaster[POS RK],MATCH(TableOverallRank[[#This Row],[OVERALL PLAYER]],TableOverallMaster[OVERALL PLAYER],0)),"")</f>
        <v>RB11</v>
      </c>
      <c r="AR47" s="162">
        <f>IFERROR(INDEX(TableOverallMaster[BYE],MATCH(TableOverallRank[[#This Row],[OVERALL PLAYER]],TableOverallMaster[OVERALL PLAYER],0)),"")</f>
        <v>7</v>
      </c>
      <c r="AS47" s="161">
        <f>IFERROR(INDEX(TableOverallMaster[Custom],MATCH(TableOverallRank[[#This Row],[OVERALL PLAYER]],TableOverallMaster[OVERALL PLAYER],0)),"")</f>
        <v>233.07683835007555</v>
      </c>
      <c r="AT47" s="163">
        <f>IFERROR(INDEX(TableOverallMaster[VORP],MATCH(TableOverallRank[[#This Row],[OVERALL PLAYER]],TableOverallMaster[OVERALL PLAYER],0)),"")</f>
        <v>103.25519929523853</v>
      </c>
      <c r="AV47" s="58">
        <v>46</v>
      </c>
      <c r="AW47" s="164" t="str">
        <f>IFERROR(INDEX(TableWRTECalcPts[PLAYER],MATCH(TableWRTERank[[#This Row],[RK]],TableWRTECalcPts[RK],0)),"")</f>
        <v>Harold Fannin</v>
      </c>
      <c r="AX47" s="164" t="str">
        <f>IFERROR(INDEX(TableWRTECalcPts[POS RK],MATCH(TableWRTERank[[#This Row],[WR and TE COMBINED]],TableWRTECalcPts[PLAYER],0)),"")</f>
        <v>TE7</v>
      </c>
      <c r="AY47" s="164">
        <f>IFERROR(INDEX(TableWRTECalcPts[BYE],MATCH(TableWRTERank[[#This Row],[RK]],TableWRTECalcPts[RK],0)),"")</f>
        <v>11</v>
      </c>
      <c r="AZ47" s="165">
        <f>IFERROR(INDEX(TableWRTECalcPts[Custom],MATCH(TableWRTERank[[#This Row],[RK]],TableWRTECalcPts[RK],0)),"")</f>
        <v>154.01102933720159</v>
      </c>
      <c r="BA47" s="166">
        <f>IFERROR((TableWRTERank[[#This Row],[FPS]]-INDEX(TableWRTERank[FPS],MATCH(WRTEVORPCalc,TableWRTERank[RK],0))),"")</f>
        <v>12.774657754909896</v>
      </c>
      <c r="BC47" s="58" t="s">
        <v>148</v>
      </c>
    </row>
    <row r="48" spans="1:55" x14ac:dyDescent="0.25">
      <c r="A48" s="58">
        <v>47</v>
      </c>
      <c r="B48" s="154" t="str">
        <f>IFERROR(INDEX(TableQBCalcPts[PLAYER],MATCH(TableQBVORP[[#This Row],[RK]],TableQBCalcPts[RK],0)),"")</f>
        <v>Cade Klubnik</v>
      </c>
      <c r="C48" s="154" t="str">
        <f>IFERROR(INDEX(TableQBCalcPts[TM],MATCH(TableQBVORP[[#This Row],[RK]],TableQBCalcPts[RK],0)),"")</f>
        <v>NYJ</v>
      </c>
      <c r="D48" s="154">
        <f>IFERROR(INDEX(TableQBCalcPts[BYE],MATCH(TableQBVORP[[#This Row],[RK]],TableQBCalcPts[RK],0)),"")</f>
        <v>13</v>
      </c>
      <c r="E48" s="155">
        <f>IFERROR(INDEX(TableQBCalcPts[Custom],MATCH(TableQBVORP[[#This Row],[RK]],TableQBCalcPts[RK],0)),"")</f>
        <v>11.778385631907273</v>
      </c>
      <c r="F48" s="156">
        <f>(IFERROR((TableQBVORP[[#This Row],[FPS]]-INDEX(TableQBVORP[FPS],MATCH(QBVORPCalc,TableQBVORP[RK],0))),""))+(TableRBVORP[[#This Row],[VORP]]*0.45)</f>
        <v>-329.46785513746318</v>
      </c>
      <c r="H48" s="58">
        <v>47</v>
      </c>
      <c r="I48" s="154" t="str">
        <f>IFERROR(INDEX(TableRBCalcPts[PLAYER],MATCH(TableRBVORP[[#This Row],[RK]],TableRBCalcPts[RK],0)),"")</f>
        <v>Braelon Allen</v>
      </c>
      <c r="J48" s="154" t="str">
        <f>IFERROR(INDEX(TableRBCalcPts[TM],MATCH(TableRBVORP[[#This Row],[RK]],TableRBCalcPts[RK],0)),"")</f>
        <v>NYJ</v>
      </c>
      <c r="K48" s="154">
        <f>IFERROR(INDEX(TableRBCalcPts[BYE],MATCH(TableRBVORP[[#This Row],[RK]],TableRBCalcPts[RK],0)),"")</f>
        <v>13</v>
      </c>
      <c r="L48" s="155">
        <f>IFERROR(INDEX(TableRBCalcPts[Custom],MATCH(TableRBVORP[[#This Row],[RK]],TableRBCalcPts[RK],0)),"")</f>
        <v>93.604943826069501</v>
      </c>
      <c r="M48" s="156">
        <f>(IFERROR((TableRBVORP[[#This Row],[FPS]]-INDEX(TableRBVORP[FPS],MATCH(RBVORPCalc,TableRBVORP[RK],0))),""))*0.8</f>
        <v>-8.3223163239662998</v>
      </c>
      <c r="O48" s="58">
        <v>47</v>
      </c>
      <c r="P48" s="154" t="str">
        <f>IFERROR(INDEX(TableWRCalcPts[PLAYER],MATCH(TableWRVORP[[#This Row],[RK]],TableWRCalcPts[RK],0)),"")</f>
        <v>Chris Godwin</v>
      </c>
      <c r="Q48" s="154" t="str">
        <f>IFERROR(INDEX(TableWRCalcPts[TM],MATCH(TableWRVORP[[#This Row],[RK]],TableWRCalcPts[RK],0)),"")</f>
        <v>TB</v>
      </c>
      <c r="R48" s="154">
        <f>IFERROR(INDEX(TableWRCalcPts[BYE],MATCH(TableWRVORP[[#This Row],[RK]],TableWRCalcPts[RK],0)),"")</f>
        <v>10</v>
      </c>
      <c r="S48" s="155">
        <f>IFERROR(INDEX(TableWRCalcPts[Custom],MATCH(TableWRVORP[[#This Row],[RK]],TableWRCalcPts[RK],0)),"")</f>
        <v>144.56829686906872</v>
      </c>
      <c r="T48" s="156">
        <f>(IFERROR((TableWRVORP[[#This Row],[FPS]]-INDEX(TableWRVORP[FPS],MATCH(WRVORPCalc,TableWRVORP[RK],0))),""))</f>
        <v>54.284111478702656</v>
      </c>
      <c r="V48" s="58">
        <v>47</v>
      </c>
      <c r="W48" s="154" t="str">
        <f>IFERROR(INDEX(TableTECalcPts[PLAYER],MATCH(TableTEVORP[[#This Row],[RK]],TableTECalcPts[RK],0)),"")</f>
        <v>Justin Joly</v>
      </c>
      <c r="X48" s="154" t="str">
        <f>IFERROR(INDEX(TableTECalcPts[TM],MATCH(TableTEVORP[[#This Row],[RK]],TableTECalcPts[RK],0)),"")</f>
        <v>DEN</v>
      </c>
      <c r="Y48" s="154">
        <f>IFERROR(INDEX(TableTECalcPts[BYE],MATCH(TableTEVORP[[#This Row],[RK]],TableTECalcPts[RK],0)),"")</f>
        <v>10</v>
      </c>
      <c r="Z48" s="155">
        <f>IFERROR(INDEX(TableTECalcPts[Custom],MATCH(TableTEVORP[[#This Row],[RK]],TableTECalcPts[RK],0)),"")</f>
        <v>32.391832742321469</v>
      </c>
      <c r="AA48" s="156">
        <f>IFERROR((TableTEVORP[[#This Row],[FPS]]-INDEX(TableTEVORP[FPS],MATCH(TEVORPCalc,TableTEVORP[RK],0))),"")</f>
        <v>-45.493961233920217</v>
      </c>
      <c r="AF48" s="58" t="s">
        <v>147</v>
      </c>
      <c r="AG48" s="58">
        <v>7</v>
      </c>
      <c r="AH48" s="100">
        <f>RANK(TableOverallMaster[[#This Row],[VORP]],TableOverallMaster[VORP])+COUNTIF($AM$2:AM48,AM48)-1</f>
        <v>30</v>
      </c>
      <c r="AI48" s="157" t="str">
        <f>IFERROR(INDEX(TableRBVORP[RUNNING BACK],MATCH(TableOverallMaster[[#This Row],[RK]],TableRBVORP[RK],0)),"")</f>
        <v>Chase Brown</v>
      </c>
      <c r="AJ48" s="157" t="str">
        <f t="shared" si="0"/>
        <v>RB7</v>
      </c>
      <c r="AK48" s="157">
        <f>IFERROR(INDEX(TableRBVORP[BYE],MATCH(TableOverallMaster[[#This Row],[RK]],TableRBVORP[RK],0)),"")</f>
        <v>6</v>
      </c>
      <c r="AL48" s="158">
        <f>IFERROR(INDEX(TableRBVORP[FPS],MATCH(TableOverallMaster[[#This Row],[RK]],TableRBVORP[RK],0)),"")</f>
        <v>248.68447450614235</v>
      </c>
      <c r="AM48" s="159">
        <f>IFERROR(INDEX(TableRBVORP[VORP],MATCH(TableOverallMaster[[#This Row],[RK]],TableRBVORP[RK],0)),"")</f>
        <v>115.74130822009198</v>
      </c>
      <c r="AO48" s="58">
        <v>47</v>
      </c>
      <c r="AP48" s="160" t="str">
        <f>IFERROR(INDEX(TableOverallMaster[OVERALL PLAYER],MATCH(TableOverallRank[[#This Row],[RK]],TableOverallMaster[OVR RK],0)),"")</f>
        <v>Ashton Jeanty</v>
      </c>
      <c r="AQ48" s="161" t="str">
        <f>IFERROR(INDEX(TableOverallMaster[POS RK],MATCH(TableOverallRank[[#This Row],[OVERALL PLAYER]],TableOverallMaster[OVERALL PLAYER],0)),"")</f>
        <v>RB12</v>
      </c>
      <c r="AR48" s="162">
        <f>IFERROR(INDEX(TableOverallMaster[BYE],MATCH(TableOverallRank[[#This Row],[OVERALL PLAYER]],TableOverallMaster[OVERALL PLAYER],0)),"")</f>
        <v>13</v>
      </c>
      <c r="AS48" s="161">
        <f>IFERROR(INDEX(TableOverallMaster[Custom],MATCH(TableOverallRank[[#This Row],[OVERALL PLAYER]],TableOverallMaster[OVERALL PLAYER],0)),"")</f>
        <v>233.06399216070568</v>
      </c>
      <c r="AT48" s="163">
        <f>IFERROR(INDEX(TableOverallMaster[VORP],MATCH(TableOverallRank[[#This Row],[OVERALL PLAYER]],TableOverallMaster[OVERALL PLAYER],0)),"")</f>
        <v>103.24492234374266</v>
      </c>
      <c r="AV48" s="58">
        <v>47</v>
      </c>
      <c r="AW48" s="164" t="str">
        <f>IFERROR(INDEX(TableWRTECalcPts[PLAYER],MATCH(TableWRTERank[[#This Row],[RK]],TableWRTECalcPts[RK],0)),"")</f>
        <v>Tucker Kraft</v>
      </c>
      <c r="AX48" s="164" t="str">
        <f>IFERROR(INDEX(TableWRTECalcPts[POS RK],MATCH(TableWRTERank[[#This Row],[WR and TE COMBINED]],TableWRTECalcPts[PLAYER],0)),"")</f>
        <v>TE8</v>
      </c>
      <c r="AY48" s="164">
        <f>IFERROR(INDEX(TableWRTECalcPts[BYE],MATCH(TableWRTERank[[#This Row],[RK]],TableWRTECalcPts[RK],0)),"")</f>
        <v>11</v>
      </c>
      <c r="AZ48" s="165">
        <f>IFERROR(INDEX(TableWRTECalcPts[Custom],MATCH(TableWRTERank[[#This Row],[RK]],TableWRTECalcPts[RK],0)),"")</f>
        <v>153.12367420756547</v>
      </c>
      <c r="BA48" s="166">
        <f>IFERROR((TableWRTERank[[#This Row],[FPS]]-INDEX(TableWRTERank[FPS],MATCH(WRTEVORPCalc,TableWRTERank[RK],0))),"")</f>
        <v>11.887302625273776</v>
      </c>
      <c r="BC48" s="58" t="s">
        <v>148</v>
      </c>
    </row>
    <row r="49" spans="1:55" x14ac:dyDescent="0.25">
      <c r="A49" s="58">
        <v>48</v>
      </c>
      <c r="B49" s="154" t="str">
        <f>IFERROR(INDEX(TableQBCalcPts[PLAYER],MATCH(TableQBVORP[[#This Row],[RK]],TableQBCalcPts[RK],0)),"")</f>
        <v>Tyson Bagent</v>
      </c>
      <c r="C49" s="154" t="str">
        <f>IFERROR(INDEX(TableQBCalcPts[TM],MATCH(TableQBVORP[[#This Row],[RK]],TableQBCalcPts[RK],0)),"")</f>
        <v>CHI</v>
      </c>
      <c r="D49" s="154">
        <f>IFERROR(INDEX(TableQBCalcPts[BYE],MATCH(TableQBVORP[[#This Row],[RK]],TableQBCalcPts[RK],0)),"")</f>
        <v>10</v>
      </c>
      <c r="E49" s="155">
        <f>IFERROR(INDEX(TableQBCalcPts[Custom],MATCH(TableQBVORP[[#This Row],[RK]],TableQBCalcPts[RK],0)),"")</f>
        <v>10.328868025428866</v>
      </c>
      <c r="F49" s="156">
        <f>(IFERROR((TableQBVORP[[#This Row],[FPS]]-INDEX(TableQBVORP[FPS],MATCH(QBVORPCalc,TableQBVORP[RK],0))),""))+(TableRBVORP[[#This Row],[VORP]]*0.45)</f>
        <v>-331.2881537608813</v>
      </c>
      <c r="H49" s="58">
        <v>48</v>
      </c>
      <c r="I49" s="154" t="str">
        <f>IFERROR(INDEX(TableRBCalcPts[PLAYER],MATCH(TableRBVORP[[#This Row],[RK]],TableRBCalcPts[RK],0)),"")</f>
        <v>Justice Hill</v>
      </c>
      <c r="J49" s="154" t="str">
        <f>IFERROR(INDEX(TableRBCalcPts[TM],MATCH(TableRBVORP[[#This Row],[RK]],TableRBCalcPts[RK],0)),"")</f>
        <v>BAL</v>
      </c>
      <c r="K49" s="154">
        <f>IFERROR(INDEX(TableRBCalcPts[BYE],MATCH(TableRBVORP[[#This Row],[RK]],TableRBCalcPts[RK],0)),"")</f>
        <v>13</v>
      </c>
      <c r="L49" s="155">
        <f>IFERROR(INDEX(TableRBCalcPts[Custom],MATCH(TableRBVORP[[#This Row],[RK]],TableRBCalcPts[RK],0)),"")</f>
        <v>92.574996556792598</v>
      </c>
      <c r="M49" s="156">
        <f>(IFERROR((TableRBVORP[[#This Row],[FPS]]-INDEX(TableRBVORP[FPS],MATCH(RBVORPCalc,TableRBVORP[RK],0))),""))*0.8</f>
        <v>-9.1462741393878222</v>
      </c>
      <c r="O49" s="58">
        <v>48</v>
      </c>
      <c r="P49" s="154" t="str">
        <f>IFERROR(INDEX(TableWRCalcPts[PLAYER],MATCH(TableWRVORP[[#This Row],[RK]],TableWRCalcPts[RK],0)),"")</f>
        <v>Michael Wilson</v>
      </c>
      <c r="Q49" s="154" t="str">
        <f>IFERROR(INDEX(TableWRCalcPts[TM],MATCH(TableWRVORP[[#This Row],[RK]],TableWRCalcPts[RK],0)),"")</f>
        <v>ARI</v>
      </c>
      <c r="R49" s="154">
        <f>IFERROR(INDEX(TableWRCalcPts[BYE],MATCH(TableWRVORP[[#This Row],[RK]],TableWRCalcPts[RK],0)),"")</f>
        <v>14</v>
      </c>
      <c r="S49" s="155">
        <f>IFERROR(INDEX(TableWRCalcPts[Custom],MATCH(TableWRVORP[[#This Row],[RK]],TableWRCalcPts[RK],0)),"")</f>
        <v>143.41848778330626</v>
      </c>
      <c r="T49" s="156">
        <f>(IFERROR((TableWRVORP[[#This Row],[FPS]]-INDEX(TableWRVORP[FPS],MATCH(WRVORPCalc,TableWRVORP[RK],0))),""))</f>
        <v>53.134302392940199</v>
      </c>
      <c r="V49" s="58">
        <v>48</v>
      </c>
      <c r="W49" s="154" t="str">
        <f>IFERROR(INDEX(TableTECalcPts[PLAYER],MATCH(TableTEVORP[[#This Row],[RK]],TableTECalcPts[RK],0)),"")</f>
        <v>Jake Tonges</v>
      </c>
      <c r="X49" s="154" t="str">
        <f>IFERROR(INDEX(TableTECalcPts[TM],MATCH(TableTEVORP[[#This Row],[RK]],TableTECalcPts[RK],0)),"")</f>
        <v>SF</v>
      </c>
      <c r="Y49" s="154">
        <f>IFERROR(INDEX(TableTECalcPts[BYE],MATCH(TableTEVORP[[#This Row],[RK]],TableTECalcPts[RK],0)),"")</f>
        <v>8</v>
      </c>
      <c r="Z49" s="155">
        <f>IFERROR(INDEX(TableTECalcPts[Custom],MATCH(TableTEVORP[[#This Row],[RK]],TableTECalcPts[RK],0)),"")</f>
        <v>32.157489867619205</v>
      </c>
      <c r="AA49" s="156">
        <f>IFERROR((TableTEVORP[[#This Row],[FPS]]-INDEX(TableTEVORP[FPS],MATCH(TEVORPCalc,TableTEVORP[RK],0))),"")</f>
        <v>-45.728304108622481</v>
      </c>
      <c r="AF49" s="58" t="s">
        <v>147</v>
      </c>
      <c r="AG49" s="58">
        <v>8</v>
      </c>
      <c r="AH49" s="100">
        <f>RANK(TableOverallMaster[[#This Row],[VORP]],TableOverallMaster[VORP])+COUNTIF($AM$2:AM49,AM49)-1</f>
        <v>37</v>
      </c>
      <c r="AI49" s="157" t="str">
        <f>IFERROR(INDEX(TableRBVORP[RUNNING BACK],MATCH(TableOverallMaster[[#This Row],[RK]],TableRBVORP[RK],0)),"")</f>
        <v>Derrick Henry</v>
      </c>
      <c r="AJ49" s="157" t="str">
        <f t="shared" si="0"/>
        <v>RB8</v>
      </c>
      <c r="AK49" s="157">
        <f>IFERROR(INDEX(TableRBVORP[BYE],MATCH(TableOverallMaster[[#This Row],[RK]],TableRBVORP[RK],0)),"")</f>
        <v>13</v>
      </c>
      <c r="AL49" s="158">
        <f>IFERROR(INDEX(TableRBVORP[FPS],MATCH(TableOverallMaster[[#This Row],[RK]],TableRBVORP[RK],0)),"")</f>
        <v>240.81590204526415</v>
      </c>
      <c r="AM49" s="159">
        <f>IFERROR(INDEX(TableRBVORP[VORP],MATCH(TableOverallMaster[[#This Row],[RK]],TableRBVORP[RK],0)),"")</f>
        <v>109.44645025138944</v>
      </c>
      <c r="AO49" s="58">
        <v>48</v>
      </c>
      <c r="AP49" s="160" t="str">
        <f>IFERROR(INDEX(TableOverallMaster[OVERALL PLAYER],MATCH(TableOverallRank[[#This Row],[RK]],TableOverallMaster[OVR RK],0)),"")</f>
        <v>Chris Olave</v>
      </c>
      <c r="AQ49" s="161" t="str">
        <f>IFERROR(INDEX(TableOverallMaster[POS RK],MATCH(TableOverallRank[[#This Row],[OVERALL PLAYER]],TableOverallMaster[OVERALL PLAYER],0)),"")</f>
        <v>WR19</v>
      </c>
      <c r="AR49" s="162">
        <f>IFERROR(INDEX(TableOverallMaster[BYE],MATCH(TableOverallRank[[#This Row],[OVERALL PLAYER]],TableOverallMaster[OVERALL PLAYER],0)),"")</f>
        <v>8</v>
      </c>
      <c r="AS49" s="161">
        <f>IFERROR(INDEX(TableOverallMaster[Custom],MATCH(TableOverallRank[[#This Row],[OVERALL PLAYER]],TableOverallMaster[OVERALL PLAYER],0)),"")</f>
        <v>193.42620577280005</v>
      </c>
      <c r="AT49" s="163">
        <f>IFERROR(INDEX(TableOverallMaster[VORP],MATCH(TableOverallRank[[#This Row],[OVERALL PLAYER]],TableOverallMaster[OVERALL PLAYER],0)),"")</f>
        <v>103.14202038243398</v>
      </c>
      <c r="AV49" s="58">
        <v>48</v>
      </c>
      <c r="AW49" s="164" t="str">
        <f>IFERROR(INDEX(TableWRTECalcPts[PLAYER],MATCH(TableWRTERank[[#This Row],[RK]],TableWRTECalcPts[RK],0)),"")</f>
        <v>Jayden Higgins</v>
      </c>
      <c r="AX49" s="164" t="str">
        <f>IFERROR(INDEX(TableWRTECalcPts[POS RK],MATCH(TableWRTERank[[#This Row],[WR and TE COMBINED]],TableWRTECalcPts[PLAYER],0)),"")</f>
        <v>WR40</v>
      </c>
      <c r="AY49" s="164">
        <f>IFERROR(INDEX(TableWRTECalcPts[BYE],MATCH(TableWRTERank[[#This Row],[RK]],TableWRTECalcPts[RK],0)),"")</f>
        <v>8</v>
      </c>
      <c r="AZ49" s="165">
        <f>IFERROR(INDEX(TableWRTECalcPts[Custom],MATCH(TableWRTERank[[#This Row],[RK]],TableWRTECalcPts[RK],0)),"")</f>
        <v>152.492255822088</v>
      </c>
      <c r="BA49" s="166">
        <f>IFERROR((TableWRTERank[[#This Row],[FPS]]-INDEX(TableWRTERank[FPS],MATCH(WRTEVORPCalc,TableWRTERank[RK],0))),"")</f>
        <v>11.255884239796302</v>
      </c>
      <c r="BC49" s="58" t="s">
        <v>148</v>
      </c>
    </row>
    <row r="50" spans="1:55" x14ac:dyDescent="0.25">
      <c r="A50" s="58">
        <v>49</v>
      </c>
      <c r="B50" s="154" t="str">
        <f>IFERROR(INDEX(TableQBCalcPts[PLAYER],MATCH(TableQBVORP[[#This Row],[RK]],TableQBCalcPts[RK],0)),"")</f>
        <v>Spencer Rattler</v>
      </c>
      <c r="C50" s="154" t="str">
        <f>IFERROR(INDEX(TableQBCalcPts[TM],MATCH(TableQBVORP[[#This Row],[RK]],TableQBCalcPts[RK],0)),"")</f>
        <v>NO</v>
      </c>
      <c r="D50" s="154">
        <f>IFERROR(INDEX(TableQBCalcPts[BYE],MATCH(TableQBVORP[[#This Row],[RK]],TableQBCalcPts[RK],0)),"")</f>
        <v>8</v>
      </c>
      <c r="E50" s="155">
        <f>IFERROR(INDEX(TableQBCalcPts[Custom],MATCH(TableQBVORP[[#This Row],[RK]],TableQBCalcPts[RK],0)),"")</f>
        <v>9.985309572333378</v>
      </c>
      <c r="F50" s="156">
        <f>(IFERROR((TableQBVORP[[#This Row],[FPS]]-INDEX(TableQBVORP[FPS],MATCH(QBVORPCalc,TableQBVORP[RK],0))),""))+(TableRBVORP[[#This Row],[VORP]]*0.45)</f>
        <v>-332.15788950751005</v>
      </c>
      <c r="H50" s="58">
        <v>49</v>
      </c>
      <c r="I50" s="154" t="str">
        <f>IFERROR(INDEX(TableRBCalcPts[PLAYER],MATCH(TableRBVORP[[#This Row],[RK]],TableRBCalcPts[RK],0)),"")</f>
        <v>Dylan Sampson</v>
      </c>
      <c r="J50" s="154" t="str">
        <f>IFERROR(INDEX(TableRBCalcPts[TM],MATCH(TableRBVORP[[#This Row],[RK]],TableRBCalcPts[RK],0)),"")</f>
        <v>CLE</v>
      </c>
      <c r="K50" s="154">
        <f>IFERROR(INDEX(TableRBCalcPts[BYE],MATCH(TableRBVORP[[#This Row],[RK]],TableRBCalcPts[RK],0)),"")</f>
        <v>11</v>
      </c>
      <c r="L50" s="155">
        <f>IFERROR(INDEX(TableRBCalcPts[Custom],MATCH(TableRBVORP[[#This Row],[RK]],TableRBCalcPts[RK],0)),"")</f>
        <v>91.113392963644444</v>
      </c>
      <c r="M50" s="156">
        <f>(IFERROR((TableRBVORP[[#This Row],[FPS]]-INDEX(TableRBVORP[FPS],MATCH(RBVORPCalc,TableRBVORP[RK],0))),""))*0.8</f>
        <v>-10.315557013906346</v>
      </c>
      <c r="O50" s="58">
        <v>49</v>
      </c>
      <c r="P50" s="154" t="str">
        <f>IFERROR(INDEX(TableWRCalcPts[PLAYER],MATCH(TableWRVORP[[#This Row],[RK]],TableWRCalcPts[RK],0)),"")</f>
        <v>Xavier Worthy</v>
      </c>
      <c r="Q50" s="154" t="str">
        <f>IFERROR(INDEX(TableWRCalcPts[TM],MATCH(TableWRVORP[[#This Row],[RK]],TableWRCalcPts[RK],0)),"")</f>
        <v>KC</v>
      </c>
      <c r="R50" s="154">
        <f>IFERROR(INDEX(TableWRCalcPts[BYE],MATCH(TableWRVORP[[#This Row],[RK]],TableWRCalcPts[RK],0)),"")</f>
        <v>5</v>
      </c>
      <c r="S50" s="155">
        <f>IFERROR(INDEX(TableWRCalcPts[Custom],MATCH(TableWRVORP[[#This Row],[RK]],TableWRCalcPts[RK],0)),"")</f>
        <v>142.00991741360272</v>
      </c>
      <c r="T50" s="156">
        <f>(IFERROR((TableWRVORP[[#This Row],[FPS]]-INDEX(TableWRVORP[FPS],MATCH(WRVORPCalc,TableWRVORP[RK],0))),""))</f>
        <v>51.72573202323666</v>
      </c>
      <c r="V50" s="58">
        <v>49</v>
      </c>
      <c r="W50" s="154" t="str">
        <f>IFERROR(INDEX(TableTECalcPts[PLAYER],MATCH(TableTEVORP[[#This Row],[RK]],TableTECalcPts[RK],0)),"")</f>
        <v>Eli Stowers</v>
      </c>
      <c r="X50" s="154" t="str">
        <f>IFERROR(INDEX(TableTECalcPts[TM],MATCH(TableTEVORP[[#This Row],[RK]],TableTECalcPts[RK],0)),"")</f>
        <v>PHI</v>
      </c>
      <c r="Y50" s="154">
        <f>IFERROR(INDEX(TableTECalcPts[BYE],MATCH(TableTEVORP[[#This Row],[RK]],TableTECalcPts[RK],0)),"")</f>
        <v>10</v>
      </c>
      <c r="Z50" s="155">
        <f>IFERROR(INDEX(TableTECalcPts[Custom],MATCH(TableTEVORP[[#This Row],[RK]],TableTECalcPts[RK],0)),"")</f>
        <v>32.087305180512104</v>
      </c>
      <c r="AA50" s="156">
        <f>IFERROR((TableTEVORP[[#This Row],[FPS]]-INDEX(TableTEVORP[FPS],MATCH(TEVORPCalc,TableTEVORP[RK],0))),"")</f>
        <v>-45.798488795729583</v>
      </c>
      <c r="AF50" s="58" t="s">
        <v>147</v>
      </c>
      <c r="AG50" s="58">
        <v>9</v>
      </c>
      <c r="AH50" s="100">
        <f>RANK(TableOverallMaster[[#This Row],[VORP]],TableOverallMaster[VORP])+COUNTIF($AM$2:AM50,AM50)-1</f>
        <v>44</v>
      </c>
      <c r="AI50" s="157" t="str">
        <f>IFERROR(INDEX(TableRBVORP[RUNNING BACK],MATCH(TableOverallMaster[[#This Row],[RK]],TableRBVORP[RK],0)),"")</f>
        <v>Saquon Barkley</v>
      </c>
      <c r="AJ50" s="157" t="str">
        <f t="shared" si="0"/>
        <v>RB9</v>
      </c>
      <c r="AK50" s="157">
        <f>IFERROR(INDEX(TableRBVORP[BYE],MATCH(TableOverallMaster[[#This Row],[RK]],TableRBVORP[RK],0)),"")</f>
        <v>10</v>
      </c>
      <c r="AL50" s="158">
        <f>IFERROR(INDEX(TableRBVORP[FPS],MATCH(TableOverallMaster[[#This Row],[RK]],TableRBVORP[RK],0)),"")</f>
        <v>234.04588385981933</v>
      </c>
      <c r="AM50" s="159">
        <f>IFERROR(INDEX(TableRBVORP[VORP],MATCH(TableOverallMaster[[#This Row],[RK]],TableRBVORP[RK],0)),"")</f>
        <v>104.03043570303358</v>
      </c>
      <c r="AO50" s="58">
        <v>49</v>
      </c>
      <c r="AP50" s="160" t="str">
        <f>IFERROR(INDEX(TableOverallMaster[OVERALL PLAYER],MATCH(TableOverallRank[[#This Row],[RK]],TableOverallMaster[OVR RK],0)),"")</f>
        <v>Mike Evans</v>
      </c>
      <c r="AQ50" s="161" t="str">
        <f>IFERROR(INDEX(TableOverallMaster[POS RK],MATCH(TableOverallRank[[#This Row],[OVERALL PLAYER]],TableOverallMaster[OVERALL PLAYER],0)),"")</f>
        <v>WR20</v>
      </c>
      <c r="AR50" s="162">
        <f>IFERROR(INDEX(TableOverallMaster[BYE],MATCH(TableOverallRank[[#This Row],[OVERALL PLAYER]],TableOverallMaster[OVERALL PLAYER],0)),"")</f>
        <v>8</v>
      </c>
      <c r="AS50" s="161">
        <f>IFERROR(INDEX(TableOverallMaster[Custom],MATCH(TableOverallRank[[#This Row],[OVERALL PLAYER]],TableOverallMaster[OVERALL PLAYER],0)),"")</f>
        <v>192.40786039577091</v>
      </c>
      <c r="AT50" s="163">
        <f>IFERROR(INDEX(TableOverallMaster[VORP],MATCH(TableOverallRank[[#This Row],[OVERALL PLAYER]],TableOverallMaster[OVERALL PLAYER],0)),"")</f>
        <v>102.12367500540485</v>
      </c>
      <c r="AV50" s="58">
        <v>49</v>
      </c>
      <c r="AW50" s="164" t="str">
        <f>IFERROR(INDEX(TableWRTECalcPts[PLAYER],MATCH(TableWRTERank[[#This Row],[RK]],TableWRTECalcPts[RK],0)),"")</f>
        <v>Wan'Dale Robinson</v>
      </c>
      <c r="AX50" s="164" t="str">
        <f>IFERROR(INDEX(TableWRTECalcPts[POS RK],MATCH(TableWRTERank[[#This Row],[WR and TE COMBINED]],TableWRTECalcPts[PLAYER],0)),"")</f>
        <v>WR41</v>
      </c>
      <c r="AY50" s="164">
        <f>IFERROR(INDEX(TableWRTECalcPts[BYE],MATCH(TableWRTERank[[#This Row],[RK]],TableWRTECalcPts[RK],0)),"")</f>
        <v>9</v>
      </c>
      <c r="AZ50" s="165">
        <f>IFERROR(INDEX(TableWRTECalcPts[Custom],MATCH(TableWRTERank[[#This Row],[RK]],TableWRTECalcPts[RK],0)),"")</f>
        <v>152.09749839836161</v>
      </c>
      <c r="BA50" s="166">
        <f>IFERROR((TableWRTERank[[#This Row],[FPS]]-INDEX(TableWRTERank[FPS],MATCH(WRTEVORPCalc,TableWRTERank[RK],0))),"")</f>
        <v>10.861126816069913</v>
      </c>
      <c r="BC50" s="58" t="s">
        <v>148</v>
      </c>
    </row>
    <row r="51" spans="1:55" x14ac:dyDescent="0.25">
      <c r="A51" s="58">
        <v>50</v>
      </c>
      <c r="B51" s="154" t="str">
        <f>IFERROR(INDEX(TableQBCalcPts[PLAYER],MATCH(TableQBVORP[[#This Row],[RK]],TableQBCalcPts[RK],0)),"")</f>
        <v>Sam Howell</v>
      </c>
      <c r="C51" s="154" t="str">
        <f>IFERROR(INDEX(TableQBCalcPts[TM],MATCH(TableQBVORP[[#This Row],[RK]],TableQBCalcPts[RK],0)),"")</f>
        <v>DAL</v>
      </c>
      <c r="D51" s="154">
        <f>IFERROR(INDEX(TableQBCalcPts[BYE],MATCH(TableQBVORP[[#This Row],[RK]],TableQBCalcPts[RK],0)),"")</f>
        <v>14</v>
      </c>
      <c r="E51" s="155">
        <f>IFERROR(INDEX(TableQBCalcPts[Custom],MATCH(TableQBVORP[[#This Row],[RK]],TableQBCalcPts[RK],0)),"")</f>
        <v>7.6131918176318258</v>
      </c>
      <c r="F51" s="156">
        <f>(IFERROR((TableQBVORP[[#This Row],[FPS]]-INDEX(TableQBVORP[FPS],MATCH(QBVORPCalc,TableQBVORP[RK],0))),""))+(TableRBVORP[[#This Row],[VORP]]*0.45)</f>
        <v>-334.77841884212734</v>
      </c>
      <c r="H51" s="58">
        <v>50</v>
      </c>
      <c r="I51" s="154" t="str">
        <f>IFERROR(INDEX(TableRBCalcPts[PLAYER],MATCH(TableRBVORP[[#This Row],[RK]],TableRBCalcPts[RK],0)),"")</f>
        <v>Tyrone Tracy</v>
      </c>
      <c r="J51" s="154" t="str">
        <f>IFERROR(INDEX(TableRBCalcPts[TM],MATCH(TableRBVORP[[#This Row],[RK]],TableRBCalcPts[RK],0)),"")</f>
        <v>NYG</v>
      </c>
      <c r="K51" s="154">
        <f>IFERROR(INDEX(TableRBCalcPts[BYE],MATCH(TableRBVORP[[#This Row],[RK]],TableRBCalcPts[RK],0)),"")</f>
        <v>8</v>
      </c>
      <c r="L51" s="155">
        <f>IFERROR(INDEX(TableRBCalcPts[Custom],MATCH(TableRBVORP[[#This Row],[RK]],TableRBCalcPts[RK],0)),"")</f>
        <v>90.423360797211956</v>
      </c>
      <c r="M51" s="156">
        <f>(IFERROR((TableRBVORP[[#This Row],[FPS]]-INDEX(TableRBVORP[FPS],MATCH(RBVORPCalc,TableRBVORP[RK],0))),""))*0.8</f>
        <v>-10.867582747052337</v>
      </c>
      <c r="O51" s="58">
        <v>50</v>
      </c>
      <c r="P51" s="154" t="str">
        <f>IFERROR(INDEX(TableWRCalcPts[PLAYER],MATCH(TableWRVORP[[#This Row],[RK]],TableWRCalcPts[RK],0)),"")</f>
        <v>Jakobi Meyers</v>
      </c>
      <c r="Q51" s="154" t="str">
        <f>IFERROR(INDEX(TableWRCalcPts[TM],MATCH(TableWRVORP[[#This Row],[RK]],TableWRCalcPts[RK],0)),"")</f>
        <v>JAX</v>
      </c>
      <c r="R51" s="154">
        <f>IFERROR(INDEX(TableWRCalcPts[BYE],MATCH(TableWRVORP[[#This Row],[RK]],TableWRCalcPts[RK],0)),"")</f>
        <v>7</v>
      </c>
      <c r="S51" s="155">
        <f>IFERROR(INDEX(TableWRCalcPts[Custom],MATCH(TableWRVORP[[#This Row],[RK]],TableWRCalcPts[RK],0)),"")</f>
        <v>137.56599358807983</v>
      </c>
      <c r="T51" s="156">
        <f>(IFERROR((TableWRVORP[[#This Row],[FPS]]-INDEX(TableWRVORP[FPS],MATCH(WRVORPCalc,TableWRVORP[RK],0))),""))</f>
        <v>47.281808197713772</v>
      </c>
      <c r="V51" s="58">
        <v>50</v>
      </c>
      <c r="W51" s="154" t="str">
        <f>IFERROR(INDEX(TableTECalcPts[PLAYER],MATCH(TableTEVORP[[#This Row],[RK]],TableTECalcPts[RK],0)),"")</f>
        <v>Erick All</v>
      </c>
      <c r="X51" s="154" t="str">
        <f>IFERROR(INDEX(TableTECalcPts[TM],MATCH(TableTEVORP[[#This Row],[RK]],TableTECalcPts[RK],0)),"")</f>
        <v>CIN</v>
      </c>
      <c r="Y51" s="154">
        <f>IFERROR(INDEX(TableTECalcPts[BYE],MATCH(TableTEVORP[[#This Row],[RK]],TableTECalcPts[RK],0)),"")</f>
        <v>6</v>
      </c>
      <c r="Z51" s="155">
        <f>IFERROR(INDEX(TableTECalcPts[Custom],MATCH(TableTEVORP[[#This Row],[RK]],TableTECalcPts[RK],0)),"")</f>
        <v>30.702244123332896</v>
      </c>
      <c r="AA51" s="156">
        <f>IFERROR((TableTEVORP[[#This Row],[FPS]]-INDEX(TableTEVORP[FPS],MATCH(TEVORPCalc,TableTEVORP[RK],0))),"")</f>
        <v>-47.18354985290879</v>
      </c>
      <c r="AF51" s="58" t="s">
        <v>147</v>
      </c>
      <c r="AG51" s="58">
        <v>10</v>
      </c>
      <c r="AH51" s="100">
        <f>RANK(TableOverallMaster[[#This Row],[VORP]],TableOverallMaster[VORP])+COUNTIF($AM$2:AM51,AM51)-1</f>
        <v>45</v>
      </c>
      <c r="AI51" s="157" t="str">
        <f>IFERROR(INDEX(TableRBVORP[RUNNING BACK],MATCH(TableOverallMaster[[#This Row],[RK]],TableRBVORP[RK],0)),"")</f>
        <v>Kenneth Walker</v>
      </c>
      <c r="AJ51" s="157" t="str">
        <f t="shared" si="0"/>
        <v>RB10</v>
      </c>
      <c r="AK51" s="157">
        <f>IFERROR(INDEX(TableRBVORP[BYE],MATCH(TableOverallMaster[[#This Row],[RK]],TableRBVORP[RK],0)),"")</f>
        <v>5</v>
      </c>
      <c r="AL51" s="158">
        <f>IFERROR(INDEX(TableRBVORP[FPS],MATCH(TableOverallMaster[[#This Row],[RK]],TableRBVORP[RK],0)),"")</f>
        <v>233.20034776851375</v>
      </c>
      <c r="AM51" s="159">
        <f>IFERROR(INDEX(TableRBVORP[VORP],MATCH(TableOverallMaster[[#This Row],[RK]],TableRBVORP[RK],0)),"")</f>
        <v>103.35400682998912</v>
      </c>
      <c r="AO51" s="58">
        <v>50</v>
      </c>
      <c r="AP51" s="160" t="str">
        <f>IFERROR(INDEX(TableOverallMaster[OVERALL PLAYER],MATCH(TableOverallRank[[#This Row],[RK]],TableOverallMaster[OVR RK],0)),"")</f>
        <v>Luther Burden</v>
      </c>
      <c r="AQ51" s="161" t="str">
        <f>IFERROR(INDEX(TableOverallMaster[POS RK],MATCH(TableOverallRank[[#This Row],[OVERALL PLAYER]],TableOverallMaster[OVERALL PLAYER],0)),"")</f>
        <v>WR21</v>
      </c>
      <c r="AR51" s="162">
        <f>IFERROR(INDEX(TableOverallMaster[BYE],MATCH(TableOverallRank[[#This Row],[OVERALL PLAYER]],TableOverallMaster[OVERALL PLAYER],0)),"")</f>
        <v>10</v>
      </c>
      <c r="AS51" s="161">
        <f>IFERROR(INDEX(TableOverallMaster[Custom],MATCH(TableOverallRank[[#This Row],[OVERALL PLAYER]],TableOverallMaster[OVERALL PLAYER],0)),"")</f>
        <v>192.08515296732605</v>
      </c>
      <c r="AT51" s="163">
        <f>IFERROR(INDEX(TableOverallMaster[VORP],MATCH(TableOverallRank[[#This Row],[OVERALL PLAYER]],TableOverallMaster[OVERALL PLAYER],0)),"")</f>
        <v>101.80096757695999</v>
      </c>
      <c r="AV51" s="58">
        <v>50</v>
      </c>
      <c r="AW51" s="164" t="str">
        <f>IFERROR(INDEX(TableWRTECalcPts[PLAYER],MATCH(TableWRTERank[[#This Row],[RK]],TableWRTECalcPts[RK],0)),"")</f>
        <v>Deebo Samuel</v>
      </c>
      <c r="AX51" s="164" t="str">
        <f>IFERROR(INDEX(TableWRTECalcPts[POS RK],MATCH(TableWRTERank[[#This Row],[WR and TE COMBINED]],TableWRTECalcPts[PLAYER],0)),"")</f>
        <v>WR42</v>
      </c>
      <c r="AY51" s="164">
        <f>IFERROR(INDEX(TableWRTECalcPts[BYE],MATCH(TableWRTERank[[#This Row],[RK]],TableWRTECalcPts[RK],0)),"")</f>
        <v>8</v>
      </c>
      <c r="AZ51" s="165">
        <f>IFERROR(INDEX(TableWRTECalcPts[Custom],MATCH(TableWRTERank[[#This Row],[RK]],TableWRTECalcPts[RK],0)),"")</f>
        <v>150.71515766082945</v>
      </c>
      <c r="BA51" s="166">
        <f>IFERROR((TableWRTERank[[#This Row],[FPS]]-INDEX(TableWRTERank[FPS],MATCH(WRTEVORPCalc,TableWRTERank[RK],0))),"")</f>
        <v>9.4787860785377518</v>
      </c>
      <c r="BC51" s="58" t="s">
        <v>148</v>
      </c>
    </row>
    <row r="52" spans="1:55" x14ac:dyDescent="0.25">
      <c r="A52" s="58">
        <v>51</v>
      </c>
      <c r="B52" s="154" t="str">
        <f>IFERROR(INDEX(TableQBCalcPts[PLAYER],MATCH(TableQBVORP[[#This Row],[RK]],TableQBCalcPts[RK],0)),"")</f>
        <v>Teddy Bridgewater</v>
      </c>
      <c r="C52" s="154" t="str">
        <f>IFERROR(INDEX(TableQBCalcPts[TM],MATCH(TableQBVORP[[#This Row],[RK]],TableQBCalcPts[RK],0)),"")</f>
        <v>DET</v>
      </c>
      <c r="D52" s="154">
        <f>IFERROR(INDEX(TableQBCalcPts[BYE],MATCH(TableQBVORP[[#This Row],[RK]],TableQBCalcPts[RK],0)),"")</f>
        <v>6</v>
      </c>
      <c r="E52" s="155">
        <f>IFERROR(INDEX(TableQBCalcPts[Custom],MATCH(TableQBVORP[[#This Row],[RK]],TableQBCalcPts[RK],0)),"")</f>
        <v>7.4259096181147779</v>
      </c>
      <c r="F52" s="156">
        <f>(IFERROR((TableQBVORP[[#This Row],[FPS]]-INDEX(TableQBVORP[FPS],MATCH(QBVORPCalc,TableQBVORP[RK],0))),""))+(TableRBVORP[[#This Row],[VORP]]*0.45)</f>
        <v>-336.69788111518113</v>
      </c>
      <c r="H52" s="58">
        <v>51</v>
      </c>
      <c r="I52" s="154" t="str">
        <f>IFERROR(INDEX(TableRBCalcPts[PLAYER],MATCH(TableRBVORP[[#This Row],[RK]],TableRBCalcPts[RK],0)),"")</f>
        <v>Samaje Perine</v>
      </c>
      <c r="J52" s="154" t="str">
        <f>IFERROR(INDEX(TableRBCalcPts[TM],MATCH(TableRBVORP[[#This Row],[RK]],TableRBCalcPts[RK],0)),"")</f>
        <v>CIN</v>
      </c>
      <c r="K52" s="154">
        <f>IFERROR(INDEX(TableRBCalcPts[BYE],MATCH(TableRBVORP[[#This Row],[RK]],TableRBCalcPts[RK],0)),"")</f>
        <v>6</v>
      </c>
      <c r="L52" s="155">
        <f>IFERROR(INDEX(TableRBCalcPts[Custom],MATCH(TableRBVORP[[#This Row],[RK]],TableRBCalcPts[RK],0)),"")</f>
        <v>85.611749481832177</v>
      </c>
      <c r="M52" s="156">
        <f>(IFERROR((TableRBVORP[[#This Row],[FPS]]-INDEX(TableRBVORP[FPS],MATCH(RBVORPCalc,TableRBVORP[RK],0))),""))*0.8</f>
        <v>-14.716871799356159</v>
      </c>
      <c r="O52" s="58">
        <v>51</v>
      </c>
      <c r="P52" s="154" t="str">
        <f>IFERROR(INDEX(TableWRCalcPts[PLAYER],MATCH(TableWRVORP[[#This Row],[RK]],TableWRCalcPts[RK],0)),"")</f>
        <v>Jalen Coker</v>
      </c>
      <c r="Q52" s="154" t="str">
        <f>IFERROR(INDEX(TableWRCalcPts[TM],MATCH(TableWRVORP[[#This Row],[RK]],TableWRCalcPts[RK],0)),"")</f>
        <v>CAR</v>
      </c>
      <c r="R52" s="154">
        <f>IFERROR(INDEX(TableWRCalcPts[BYE],MATCH(TableWRVORP[[#This Row],[RK]],TableWRCalcPts[RK],0)),"")</f>
        <v>5</v>
      </c>
      <c r="S52" s="155">
        <f>IFERROR(INDEX(TableWRCalcPts[Custom],MATCH(TableWRVORP[[#This Row],[RK]],TableWRCalcPts[RK],0)),"")</f>
        <v>136.0645177815</v>
      </c>
      <c r="T52" s="156">
        <f>(IFERROR((TableWRVORP[[#This Row],[FPS]]-INDEX(TableWRVORP[FPS],MATCH(WRVORPCalc,TableWRVORP[RK],0))),""))</f>
        <v>45.780332391133939</v>
      </c>
      <c r="V52" s="58">
        <v>51</v>
      </c>
      <c r="W52" s="154" t="str">
        <f>IFERROR(INDEX(TableTECalcPts[PLAYER],MATCH(TableTEVORP[[#This Row],[RK]],TableTECalcPts[RK],0)),"")</f>
        <v>Luke Musgrave</v>
      </c>
      <c r="X52" s="154" t="str">
        <f>IFERROR(INDEX(TableTECalcPts[TM],MATCH(TableTEVORP[[#This Row],[RK]],TableTECalcPts[RK],0)),"")</f>
        <v>GB</v>
      </c>
      <c r="Y52" s="154">
        <f>IFERROR(INDEX(TableTECalcPts[BYE],MATCH(TableTEVORP[[#This Row],[RK]],TableTECalcPts[RK],0)),"")</f>
        <v>11</v>
      </c>
      <c r="Z52" s="155">
        <f>IFERROR(INDEX(TableTECalcPts[Custom],MATCH(TableTEVORP[[#This Row],[RK]],TableTECalcPts[RK],0)),"")</f>
        <v>29.770886817973757</v>
      </c>
      <c r="AA52" s="156">
        <f>IFERROR((TableTEVORP[[#This Row],[FPS]]-INDEX(TableTEVORP[FPS],MATCH(TEVORPCalc,TableTEVORP[RK],0))),"")</f>
        <v>-48.114907158267926</v>
      </c>
      <c r="AF52" s="58" t="s">
        <v>147</v>
      </c>
      <c r="AG52" s="58">
        <v>11</v>
      </c>
      <c r="AH52" s="100">
        <f>RANK(TableOverallMaster[[#This Row],[VORP]],TableOverallMaster[VORP])+COUNTIF($AM$2:AM52,AM52)-1</f>
        <v>46</v>
      </c>
      <c r="AI52" s="157" t="str">
        <f>IFERROR(INDEX(TableRBVORP[RUNNING BACK],MATCH(TableOverallMaster[[#This Row],[RK]],TableRBVORP[RK],0)),"")</f>
        <v>Omarion Hampton</v>
      </c>
      <c r="AJ52" s="157" t="str">
        <f t="shared" si="0"/>
        <v>RB11</v>
      </c>
      <c r="AK52" s="157">
        <f>IFERROR(INDEX(TableRBVORP[BYE],MATCH(TableOverallMaster[[#This Row],[RK]],TableRBVORP[RK],0)),"")</f>
        <v>7</v>
      </c>
      <c r="AL52" s="158">
        <f>IFERROR(INDEX(TableRBVORP[FPS],MATCH(TableOverallMaster[[#This Row],[RK]],TableRBVORP[RK],0)),"")</f>
        <v>233.07683835007555</v>
      </c>
      <c r="AM52" s="159">
        <f>IFERROR(INDEX(TableRBVORP[VORP],MATCH(TableOverallMaster[[#This Row],[RK]],TableRBVORP[RK],0)),"")</f>
        <v>103.25519929523853</v>
      </c>
      <c r="AO52" s="58">
        <v>51</v>
      </c>
      <c r="AP52" s="160" t="str">
        <f>IFERROR(INDEX(TableOverallMaster[OVERALL PLAYER],MATCH(TableOverallRank[[#This Row],[RK]],TableOverallMaster[OVR RK],0)),"")</f>
        <v>Justin Herbert</v>
      </c>
      <c r="AQ52" s="161" t="str">
        <f>IFERROR(INDEX(TableOverallMaster[POS RK],MATCH(TableOverallRank[[#This Row],[OVERALL PLAYER]],TableOverallMaster[OVERALL PLAYER],0)),"")</f>
        <v>QB15</v>
      </c>
      <c r="AR52" s="162">
        <f>IFERROR(INDEX(TableOverallMaster[BYE],MATCH(TableOverallRank[[#This Row],[OVERALL PLAYER]],TableOverallMaster[OVERALL PLAYER],0)),"")</f>
        <v>7</v>
      </c>
      <c r="AS52" s="161">
        <f>IFERROR(INDEX(TableOverallMaster[Custom],MATCH(TableOverallRank[[#This Row],[OVERALL PLAYER]],TableOverallMaster[OVERALL PLAYER],0)),"")</f>
        <v>395.41933124934303</v>
      </c>
      <c r="AT52" s="163">
        <f>IFERROR(INDEX(TableOverallMaster[VORP],MATCH(TableOverallRank[[#This Row],[OVERALL PLAYER]],TableOverallMaster[OVERALL PLAYER],0)),"")</f>
        <v>100.49574751115534</v>
      </c>
      <c r="AV52" s="58">
        <v>51</v>
      </c>
      <c r="AW52" s="164" t="str">
        <f>IFERROR(INDEX(TableWRTECalcPts[PLAYER],MATCH(TableWRTERank[[#This Row],[RK]],TableWRTECalcPts[RK],0)),"")</f>
        <v>Jayden Reed</v>
      </c>
      <c r="AX52" s="164" t="str">
        <f>IFERROR(INDEX(TableWRTECalcPts[POS RK],MATCH(TableWRTERank[[#This Row],[WR and TE COMBINED]],TableWRTECalcPts[PLAYER],0)),"")</f>
        <v>WR43</v>
      </c>
      <c r="AY52" s="164">
        <f>IFERROR(INDEX(TableWRTECalcPts[BYE],MATCH(TableWRTERank[[#This Row],[RK]],TableWRTECalcPts[RK],0)),"")</f>
        <v>11</v>
      </c>
      <c r="AZ52" s="165">
        <f>IFERROR(INDEX(TableWRTECalcPts[Custom],MATCH(TableWRTERank[[#This Row],[RK]],TableWRTECalcPts[RK],0)),"")</f>
        <v>148.99904400559308</v>
      </c>
      <c r="BA52" s="166">
        <f>IFERROR((TableWRTERank[[#This Row],[FPS]]-INDEX(TableWRTERank[FPS],MATCH(WRTEVORPCalc,TableWRTERank[RK],0))),"")</f>
        <v>7.7626724233013817</v>
      </c>
      <c r="BC52" s="58" t="s">
        <v>148</v>
      </c>
    </row>
    <row r="53" spans="1:55" x14ac:dyDescent="0.25">
      <c r="A53" s="58">
        <v>52</v>
      </c>
      <c r="B53" s="154" t="str">
        <f>IFERROR(INDEX(TableQBCalcPts[PLAYER],MATCH(TableQBVORP[[#This Row],[RK]],TableQBCalcPts[RK],0)),"")</f>
        <v>Quinn Ewers</v>
      </c>
      <c r="C53" s="154" t="str">
        <f>IFERROR(INDEX(TableQBCalcPts[TM],MATCH(TableQBVORP[[#This Row],[RK]],TableQBCalcPts[RK],0)),"")</f>
        <v>MIA</v>
      </c>
      <c r="D53" s="154">
        <f>IFERROR(INDEX(TableQBCalcPts[BYE],MATCH(TableQBVORP[[#This Row],[RK]],TableQBCalcPts[RK],0)),"")</f>
        <v>6</v>
      </c>
      <c r="E53" s="155">
        <f>IFERROR(INDEX(TableQBCalcPts[Custom],MATCH(TableQBVORP[[#This Row],[RK]],TableQBCalcPts[RK],0)),"")</f>
        <v>7.1484489593944947</v>
      </c>
      <c r="F53" s="156">
        <f>(IFERROR((TableQBVORP[[#This Row],[FPS]]-INDEX(TableQBVORP[FPS],MATCH(QBVORPCalc,TableQBVORP[RK],0))),""))+(TableRBVORP[[#This Row],[VORP]]*0.45)</f>
        <v>-337.07514304651693</v>
      </c>
      <c r="H53" s="58">
        <v>52</v>
      </c>
      <c r="I53" s="154" t="str">
        <f>IFERROR(INDEX(TableRBCalcPts[PLAYER],MATCH(TableRBVORP[[#This Row],[RK]],TableRBCalcPts[RK],0)),"")</f>
        <v>Brian Robinson</v>
      </c>
      <c r="J53" s="154" t="str">
        <f>IFERROR(INDEX(TableRBCalcPts[TM],MATCH(TableRBVORP[[#This Row],[RK]],TableRBCalcPts[RK],0)),"")</f>
        <v>ATL</v>
      </c>
      <c r="K53" s="154">
        <f>IFERROR(INDEX(TableRBCalcPts[BYE],MATCH(TableRBVORP[[#This Row],[RK]],TableRBCalcPts[RK],0)),"")</f>
        <v>11</v>
      </c>
      <c r="L53" s="155">
        <f>IFERROR(INDEX(TableRBCalcPts[Custom],MATCH(TableRBVORP[[#This Row],[RK]],TableRBCalcPts[RK],0)),"")</f>
        <v>85.334523724566836</v>
      </c>
      <c r="M53" s="156">
        <f>(IFERROR((TableRBVORP[[#This Row],[FPS]]-INDEX(TableRBVORP[FPS],MATCH(RBVORPCalc,TableRBVORP[RK],0))),""))*0.8</f>
        <v>-14.938652405168433</v>
      </c>
      <c r="O53" s="58">
        <v>52</v>
      </c>
      <c r="P53" s="154" t="str">
        <f>IFERROR(INDEX(TableWRCalcPts[PLAYER],MATCH(TableWRVORP[[#This Row],[RK]],TableWRCalcPts[RK],0)),"")</f>
        <v>Romeo Doubs</v>
      </c>
      <c r="Q53" s="154" t="str">
        <f>IFERROR(INDEX(TableWRCalcPts[TM],MATCH(TableWRVORP[[#This Row],[RK]],TableWRCalcPts[RK],0)),"")</f>
        <v>NE</v>
      </c>
      <c r="R53" s="154">
        <f>IFERROR(INDEX(TableWRCalcPts[BYE],MATCH(TableWRVORP[[#This Row],[RK]],TableWRCalcPts[RK],0)),"")</f>
        <v>11</v>
      </c>
      <c r="S53" s="155">
        <f>IFERROR(INDEX(TableWRCalcPts[Custom],MATCH(TableWRVORP[[#This Row],[RK]],TableWRCalcPts[RK],0)),"")</f>
        <v>131.55279041196593</v>
      </c>
      <c r="T53" s="156">
        <f>(IFERROR((TableWRVORP[[#This Row],[FPS]]-INDEX(TableWRVORP[FPS],MATCH(WRVORPCalc,TableWRVORP[RK],0))),""))</f>
        <v>41.268605021599868</v>
      </c>
      <c r="V53" s="58">
        <v>52</v>
      </c>
      <c r="W53" s="154" t="str">
        <f>IFERROR(INDEX(TableTECalcPts[PLAYER],MATCH(TableTEVORP[[#This Row],[RK]],TableTECalcPts[RK],0)),"")</f>
        <v>Mitchell Evans</v>
      </c>
      <c r="X53" s="154" t="str">
        <f>IFERROR(INDEX(TableTECalcPts[TM],MATCH(TableTEVORP[[#This Row],[RK]],TableTECalcPts[RK],0)),"")</f>
        <v>CAR</v>
      </c>
      <c r="Y53" s="154">
        <f>IFERROR(INDEX(TableTECalcPts[BYE],MATCH(TableTEVORP[[#This Row],[RK]],TableTECalcPts[RK],0)),"")</f>
        <v>5</v>
      </c>
      <c r="Z53" s="155">
        <f>IFERROR(INDEX(TableTECalcPts[Custom],MATCH(TableTEVORP[[#This Row],[RK]],TableTECalcPts[RK],0)),"")</f>
        <v>29.061253155538388</v>
      </c>
      <c r="AA53" s="156">
        <f>IFERROR((TableTEVORP[[#This Row],[FPS]]-INDEX(TableTEVORP[FPS],MATCH(TEVORPCalc,TableTEVORP[RK],0))),"")</f>
        <v>-48.824540820703298</v>
      </c>
      <c r="AF53" s="58" t="s">
        <v>147</v>
      </c>
      <c r="AG53" s="58">
        <v>12</v>
      </c>
      <c r="AH53" s="100">
        <f>RANK(TableOverallMaster[[#This Row],[VORP]],TableOverallMaster[VORP])+COUNTIF($AM$2:AM53,AM53)-1</f>
        <v>47</v>
      </c>
      <c r="AI53" s="157" t="str">
        <f>IFERROR(INDEX(TableRBVORP[RUNNING BACK],MATCH(TableOverallMaster[[#This Row],[RK]],TableRBVORP[RK],0)),"")</f>
        <v>Ashton Jeanty</v>
      </c>
      <c r="AJ53" s="157" t="str">
        <f t="shared" si="0"/>
        <v>RB12</v>
      </c>
      <c r="AK53" s="157">
        <f>IFERROR(INDEX(TableRBVORP[BYE],MATCH(TableOverallMaster[[#This Row],[RK]],TableRBVORP[RK],0)),"")</f>
        <v>13</v>
      </c>
      <c r="AL53" s="158">
        <f>IFERROR(INDEX(TableRBVORP[FPS],MATCH(TableOverallMaster[[#This Row],[RK]],TableRBVORP[RK],0)),"")</f>
        <v>233.06399216070568</v>
      </c>
      <c r="AM53" s="159">
        <f>IFERROR(INDEX(TableRBVORP[VORP],MATCH(TableOverallMaster[[#This Row],[RK]],TableRBVORP[RK],0)),"")</f>
        <v>103.24492234374266</v>
      </c>
      <c r="AO53" s="58">
        <v>52</v>
      </c>
      <c r="AP53" s="160" t="str">
        <f>IFERROR(INDEX(TableOverallMaster[OVERALL PLAYER],MATCH(TableOverallRank[[#This Row],[RK]],TableOverallMaster[OVR RK],0)),"")</f>
        <v>Davante Adams</v>
      </c>
      <c r="AQ53" s="161" t="str">
        <f>IFERROR(INDEX(TableOverallMaster[POS RK],MATCH(TableOverallRank[[#This Row],[OVERALL PLAYER]],TableOverallMaster[OVERALL PLAYER],0)),"")</f>
        <v>WR22</v>
      </c>
      <c r="AR53" s="162">
        <f>IFERROR(INDEX(TableOverallMaster[BYE],MATCH(TableOverallRank[[#This Row],[OVERALL PLAYER]],TableOverallMaster[OVERALL PLAYER],0)),"")</f>
        <v>11</v>
      </c>
      <c r="AS53" s="161">
        <f>IFERROR(INDEX(TableOverallMaster[Custom],MATCH(TableOverallRank[[#This Row],[OVERALL PLAYER]],TableOverallMaster[OVERALL PLAYER],0)),"")</f>
        <v>189.81633003807275</v>
      </c>
      <c r="AT53" s="163">
        <f>IFERROR(INDEX(TableOverallMaster[VORP],MATCH(TableOverallRank[[#This Row],[OVERALL PLAYER]],TableOverallMaster[OVERALL PLAYER],0)),"")</f>
        <v>99.532144647706687</v>
      </c>
      <c r="AV53" s="58">
        <v>52</v>
      </c>
      <c r="AW53" s="164" t="str">
        <f>IFERROR(INDEX(TableWRTECalcPts[PLAYER],MATCH(TableWRTERank[[#This Row],[RK]],TableWRTECalcPts[RK],0)),"")</f>
        <v>Isaiah Likely</v>
      </c>
      <c r="AX53" s="164" t="str">
        <f>IFERROR(INDEX(TableWRTECalcPts[POS RK],MATCH(TableWRTERank[[#This Row],[WR and TE COMBINED]],TableWRTECalcPts[PLAYER],0)),"")</f>
        <v>TE9</v>
      </c>
      <c r="AY53" s="164">
        <f>IFERROR(INDEX(TableWRTECalcPts[BYE],MATCH(TableWRTERank[[#This Row],[RK]],TableWRTECalcPts[RK],0)),"")</f>
        <v>8</v>
      </c>
      <c r="AZ53" s="165">
        <f>IFERROR(INDEX(TableWRTECalcPts[Custom],MATCH(TableWRTERank[[#This Row],[RK]],TableWRTECalcPts[RK],0)),"")</f>
        <v>148.89250113248056</v>
      </c>
      <c r="BA53" s="166">
        <f>IFERROR((TableWRTERank[[#This Row],[FPS]]-INDEX(TableWRTERank[FPS],MATCH(WRTEVORPCalc,TableWRTERank[RK],0))),"")</f>
        <v>7.6561295501888651</v>
      </c>
      <c r="BC53" s="58" t="s">
        <v>148</v>
      </c>
    </row>
    <row r="54" spans="1:55" x14ac:dyDescent="0.25">
      <c r="A54" s="58">
        <v>53</v>
      </c>
      <c r="B54" s="154" t="str">
        <f>IFERROR(INDEX(TableQBCalcPts[PLAYER],MATCH(TableQBVORP[[#This Row],[RK]],TableQBCalcPts[RK],0)),"")</f>
        <v>Mitchell Trubisky</v>
      </c>
      <c r="C54" s="154" t="str">
        <f>IFERROR(INDEX(TableQBCalcPts[TM],MATCH(TableQBVORP[[#This Row],[RK]],TableQBCalcPts[RK],0)),"")</f>
        <v>TEN</v>
      </c>
      <c r="D54" s="154">
        <f>IFERROR(INDEX(TableQBCalcPts[BYE],MATCH(TableQBVORP[[#This Row],[RK]],TableQBCalcPts[RK],0)),"")</f>
        <v>9</v>
      </c>
      <c r="E54" s="155">
        <f>IFERROR(INDEX(TableQBCalcPts[Custom],MATCH(TableQBVORP[[#This Row],[RK]],TableQBCalcPts[RK],0)),"")</f>
        <v>6.8780731764705898</v>
      </c>
      <c r="F54" s="156">
        <f>(IFERROR((TableQBVORP[[#This Row],[FPS]]-INDEX(TableQBVORP[FPS],MATCH(QBVORPCalc,TableQBVORP[RK],0))),""))+(TableRBVORP[[#This Row],[VORP]]*0.45)</f>
        <v>-339.18349632056834</v>
      </c>
      <c r="H54" s="58">
        <v>53</v>
      </c>
      <c r="I54" s="154" t="str">
        <f>IFERROR(INDEX(TableRBCalcPts[PLAYER],MATCH(TableRBVORP[[#This Row],[RK]],TableRBCalcPts[RK],0)),"")</f>
        <v>Tyler Allgeier</v>
      </c>
      <c r="J54" s="154" t="str">
        <f>IFERROR(INDEX(TableRBCalcPts[TM],MATCH(TableRBVORP[[#This Row],[RK]],TableRBCalcPts[RK],0)),"")</f>
        <v>ARI</v>
      </c>
      <c r="K54" s="154">
        <f>IFERROR(INDEX(TableRBCalcPts[BYE],MATCH(TableRBVORP[[#This Row],[RK]],TableRBCalcPts[RK],0)),"")</f>
        <v>14</v>
      </c>
      <c r="L54" s="155">
        <f>IFERROR(INDEX(TableRBCalcPts[Custom],MATCH(TableRBVORP[[#This Row],[RK]],TableRBCalcPts[RK],0)),"")</f>
        <v>80.229030693656966</v>
      </c>
      <c r="M54" s="156">
        <f>(IFERROR((TableRBVORP[[#This Row],[FPS]]-INDEX(TableRBVORP[FPS],MATCH(RBVORPCalc,TableRBVORP[RK],0))),""))*0.8</f>
        <v>-19.023046829896327</v>
      </c>
      <c r="O54" s="58">
        <v>53</v>
      </c>
      <c r="P54" s="154" t="str">
        <f>IFERROR(INDEX(TableWRCalcPts[PLAYER],MATCH(TableWRVORP[[#This Row],[RK]],TableWRCalcPts[RK],0)),"")</f>
        <v>Omar Cooper</v>
      </c>
      <c r="Q54" s="154" t="str">
        <f>IFERROR(INDEX(TableWRCalcPts[TM],MATCH(TableWRVORP[[#This Row],[RK]],TableWRCalcPts[RK],0)),"")</f>
        <v>NYJ</v>
      </c>
      <c r="R54" s="154">
        <f>IFERROR(INDEX(TableWRCalcPts[BYE],MATCH(TableWRVORP[[#This Row],[RK]],TableWRCalcPts[RK],0)),"")</f>
        <v>13</v>
      </c>
      <c r="S54" s="155">
        <f>IFERROR(INDEX(TableWRCalcPts[Custom],MATCH(TableWRVORP[[#This Row],[RK]],TableWRCalcPts[RK],0)),"")</f>
        <v>131.08678629872901</v>
      </c>
      <c r="T54" s="156">
        <f>(IFERROR((TableWRVORP[[#This Row],[FPS]]-INDEX(TableWRVORP[FPS],MATCH(WRVORPCalc,TableWRVORP[RK],0))),""))</f>
        <v>40.802600908362948</v>
      </c>
      <c r="V54" s="58">
        <v>53</v>
      </c>
      <c r="W54" s="154" t="str">
        <f>IFERROR(INDEX(TableTECalcPts[PLAYER],MATCH(TableTEVORP[[#This Row],[RK]],TableTECalcPts[RK],0)),"")</f>
        <v>Daniel Bellinger</v>
      </c>
      <c r="X54" s="154" t="str">
        <f>IFERROR(INDEX(TableTECalcPts[TM],MATCH(TableTEVORP[[#This Row],[RK]],TableTECalcPts[RK],0)),"")</f>
        <v>TEN</v>
      </c>
      <c r="Y54" s="154">
        <f>IFERROR(INDEX(TableTECalcPts[BYE],MATCH(TableTEVORP[[#This Row],[RK]],TableTECalcPts[RK],0)),"")</f>
        <v>9</v>
      </c>
      <c r="Z54" s="155">
        <f>IFERROR(INDEX(TableTECalcPts[Custom],MATCH(TableTEVORP[[#This Row],[RK]],TableTECalcPts[RK],0)),"")</f>
        <v>27.803954362383365</v>
      </c>
      <c r="AA54" s="156">
        <f>IFERROR((TableTEVORP[[#This Row],[FPS]]-INDEX(TableTEVORP[FPS],MATCH(TEVORPCalc,TableTEVORP[RK],0))),"")</f>
        <v>-50.081839613858321</v>
      </c>
      <c r="AF54" s="58" t="s">
        <v>147</v>
      </c>
      <c r="AG54" s="58">
        <v>13</v>
      </c>
      <c r="AH54" s="100">
        <f>RANK(TableOverallMaster[[#This Row],[VORP]],TableOverallMaster[VORP])+COUNTIF($AM$2:AM54,AM54)-1</f>
        <v>54</v>
      </c>
      <c r="AI54" s="157" t="str">
        <f>IFERROR(INDEX(TableRBVORP[RUNNING BACK],MATCH(TableOverallMaster[[#This Row],[RK]],TableRBVORP[RK],0)),"")</f>
        <v>Javonte Williams</v>
      </c>
      <c r="AJ54" s="157" t="str">
        <f t="shared" si="0"/>
        <v>RB13</v>
      </c>
      <c r="AK54" s="157">
        <f>IFERROR(INDEX(TableRBVORP[BYE],MATCH(TableOverallMaster[[#This Row],[RK]],TableRBVORP[RK],0)),"")</f>
        <v>14</v>
      </c>
      <c r="AL54" s="158">
        <f>IFERROR(INDEX(TableRBVORP[FPS],MATCH(TableOverallMaster[[#This Row],[RK]],TableRBVORP[RK],0)),"")</f>
        <v>227.16469561959036</v>
      </c>
      <c r="AM54" s="159">
        <f>IFERROR(INDEX(TableRBVORP[VORP],MATCH(TableOverallMaster[[#This Row],[RK]],TableRBVORP[RK],0)),"")</f>
        <v>98.525485110850397</v>
      </c>
      <c r="AO54" s="58">
        <v>53</v>
      </c>
      <c r="AP54" s="160" t="str">
        <f>IFERROR(INDEX(TableOverallMaster[OVERALL PLAYER],MATCH(TableOverallRank[[#This Row],[RK]],TableOverallMaster[OVR RK],0)),"")</f>
        <v>Garrett Wilson</v>
      </c>
      <c r="AQ54" s="161" t="str">
        <f>IFERROR(INDEX(TableOverallMaster[POS RK],MATCH(TableOverallRank[[#This Row],[OVERALL PLAYER]],TableOverallMaster[OVERALL PLAYER],0)),"")</f>
        <v>WR23</v>
      </c>
      <c r="AR54" s="162">
        <f>IFERROR(INDEX(TableOverallMaster[BYE],MATCH(TableOverallRank[[#This Row],[OVERALL PLAYER]],TableOverallMaster[OVERALL PLAYER],0)),"")</f>
        <v>13</v>
      </c>
      <c r="AS54" s="161">
        <f>IFERROR(INDEX(TableOverallMaster[Custom],MATCH(TableOverallRank[[#This Row],[OVERALL PLAYER]],TableOverallMaster[OVERALL PLAYER],0)),"")</f>
        <v>189.14773728625423</v>
      </c>
      <c r="AT54" s="163">
        <f>IFERROR(INDEX(TableOverallMaster[VORP],MATCH(TableOverallRank[[#This Row],[OVERALL PLAYER]],TableOverallMaster[OVERALL PLAYER],0)),"")</f>
        <v>98.863551895888165</v>
      </c>
      <c r="AV54" s="58">
        <v>53</v>
      </c>
      <c r="AW54" s="164" t="str">
        <f>IFERROR(INDEX(TableWRTECalcPts[PLAYER],MATCH(TableWRTERank[[#This Row],[RK]],TableWRTECalcPts[RK],0)),"")</f>
        <v>Josh Downs</v>
      </c>
      <c r="AX54" s="164" t="str">
        <f>IFERROR(INDEX(TableWRTECalcPts[POS RK],MATCH(TableWRTERank[[#This Row],[WR and TE COMBINED]],TableWRTECalcPts[PLAYER],0)),"")</f>
        <v>WR44</v>
      </c>
      <c r="AY54" s="164">
        <f>IFERROR(INDEX(TableWRTECalcPts[BYE],MATCH(TableWRTERank[[#This Row],[RK]],TableWRTECalcPts[RK],0)),"")</f>
        <v>13</v>
      </c>
      <c r="AZ54" s="165">
        <f>IFERROR(INDEX(TableWRTECalcPts[Custom],MATCH(TableWRTERank[[#This Row],[RK]],TableWRTECalcPts[RK],0)),"")</f>
        <v>148.75355445006602</v>
      </c>
      <c r="BA54" s="166">
        <f>IFERROR((TableWRTERank[[#This Row],[FPS]]-INDEX(TableWRTERank[FPS],MATCH(WRTEVORPCalc,TableWRTERank[RK],0))),"")</f>
        <v>7.5171828677743235</v>
      </c>
      <c r="BC54" s="58" t="s">
        <v>148</v>
      </c>
    </row>
    <row r="55" spans="1:55" x14ac:dyDescent="0.25">
      <c r="A55" s="58">
        <v>54</v>
      </c>
      <c r="B55" s="154" t="str">
        <f>IFERROR(INDEX(TableQBCalcPts[PLAYER],MATCH(TableQBVORP[[#This Row],[RK]],TableQBCalcPts[RK],0)),"")</f>
        <v>Mac Jones</v>
      </c>
      <c r="C55" s="154" t="str">
        <f>IFERROR(INDEX(TableQBCalcPts[TM],MATCH(TableQBVORP[[#This Row],[RK]],TableQBCalcPts[RK],0)),"")</f>
        <v>SF</v>
      </c>
      <c r="D55" s="154">
        <f>IFERROR(INDEX(TableQBCalcPts[BYE],MATCH(TableQBVORP[[#This Row],[RK]],TableQBCalcPts[RK],0)),"")</f>
        <v>8</v>
      </c>
      <c r="E55" s="155">
        <f>IFERROR(INDEX(TableQBCalcPts[Custom],MATCH(TableQBVORP[[#This Row],[RK]],TableQBCalcPts[RK],0)),"")</f>
        <v>6.8733165451226945</v>
      </c>
      <c r="F55" s="156">
        <f>(IFERROR((TableQBVORP[[#This Row],[FPS]]-INDEX(TableQBVORP[FPS],MATCH(QBVORPCalc,TableQBVORP[RK],0))),""))+(TableRBVORP[[#This Row],[VORP]]*0.45)</f>
        <v>-339.76126739364821</v>
      </c>
      <c r="H55" s="58">
        <v>54</v>
      </c>
      <c r="I55" s="154" t="str">
        <f>IFERROR(INDEX(TableRBCalcPts[PLAYER],MATCH(TableRBVORP[[#This Row],[RK]],TableRBCalcPts[RK],0)),"")</f>
        <v>Keaton Mitchell</v>
      </c>
      <c r="J55" s="154" t="str">
        <f>IFERROR(INDEX(TableRBCalcPts[TM],MATCH(TableRBVORP[[#This Row],[RK]],TableRBCalcPts[RK],0)),"")</f>
        <v>LAC</v>
      </c>
      <c r="K55" s="154">
        <f>IFERROR(INDEX(TableRBCalcPts[BYE],MATCH(TableRBVORP[[#This Row],[RK]],TableRBCalcPts[RK],0)),"")</f>
        <v>7</v>
      </c>
      <c r="L55" s="155">
        <f>IFERROR(INDEX(TableRBCalcPts[Custom],MATCH(TableRBVORP[[#This Row],[RK]],TableRBCalcPts[RK],0)),"")</f>
        <v>78.637323911068265</v>
      </c>
      <c r="M55" s="156">
        <f>(IFERROR((TableRBVORP[[#This Row],[FPS]]-INDEX(TableRBVORP[FPS],MATCH(RBVORPCalc,TableRBVORP[RK],0))),""))*0.8</f>
        <v>-20.29641225596729</v>
      </c>
      <c r="O55" s="58">
        <v>54</v>
      </c>
      <c r="P55" s="154" t="str">
        <f>IFERROR(INDEX(TableWRCalcPts[PLAYER],MATCH(TableWRVORP[[#This Row],[RK]],TableWRCalcPts[RK],0)),"")</f>
        <v>Khalil Shakir</v>
      </c>
      <c r="Q55" s="154" t="str">
        <f>IFERROR(INDEX(TableWRCalcPts[TM],MATCH(TableWRVORP[[#This Row],[RK]],TableWRCalcPts[RK],0)),"")</f>
        <v>BUF</v>
      </c>
      <c r="R55" s="154">
        <f>IFERROR(INDEX(TableWRCalcPts[BYE],MATCH(TableWRVORP[[#This Row],[RK]],TableWRCalcPts[RK],0)),"")</f>
        <v>7</v>
      </c>
      <c r="S55" s="155">
        <f>IFERROR(INDEX(TableWRCalcPts[Custom],MATCH(TableWRVORP[[#This Row],[RK]],TableWRCalcPts[RK],0)),"")</f>
        <v>125.25541451841632</v>
      </c>
      <c r="T55" s="156">
        <f>(IFERROR((TableWRVORP[[#This Row],[FPS]]-INDEX(TableWRVORP[FPS],MATCH(WRVORPCalc,TableWRVORP[RK],0))),""))</f>
        <v>34.971229128050254</v>
      </c>
      <c r="V55" s="58">
        <v>54</v>
      </c>
      <c r="W55" s="154" t="str">
        <f>IFERROR(INDEX(TableTECalcPts[PLAYER],MATCH(TableTEVORP[[#This Row],[RK]],TableTECalcPts[RK],0)),"")</f>
        <v>Luke Schoonmaker</v>
      </c>
      <c r="X55" s="154" t="str">
        <f>IFERROR(INDEX(TableTECalcPts[TM],MATCH(TableTEVORP[[#This Row],[RK]],TableTECalcPts[RK],0)),"")</f>
        <v>DAL</v>
      </c>
      <c r="Y55" s="154">
        <f>IFERROR(INDEX(TableTECalcPts[BYE],MATCH(TableTEVORP[[#This Row],[RK]],TableTECalcPts[RK],0)),"")</f>
        <v>14</v>
      </c>
      <c r="Z55" s="155">
        <f>IFERROR(INDEX(TableTECalcPts[Custom],MATCH(TableTEVORP[[#This Row],[RK]],TableTECalcPts[RK],0)),"")</f>
        <v>25.414771732747063</v>
      </c>
      <c r="AA55" s="156">
        <f>IFERROR((TableTEVORP[[#This Row],[FPS]]-INDEX(TableTEVORP[FPS],MATCH(TEVORPCalc,TableTEVORP[RK],0))),"")</f>
        <v>-52.471022243494623</v>
      </c>
      <c r="AF55" s="58" t="s">
        <v>147</v>
      </c>
      <c r="AG55" s="58">
        <v>14</v>
      </c>
      <c r="AH55" s="100">
        <f>RANK(TableOverallMaster[[#This Row],[VORP]],TableOverallMaster[VORP])+COUNTIF($AM$2:AM55,AM55)-1</f>
        <v>59</v>
      </c>
      <c r="AI55" s="157" t="str">
        <f>IFERROR(INDEX(TableRBVORP[RUNNING BACK],MATCH(TableOverallMaster[[#This Row],[RK]],TableRBVORP[RK],0)),"")</f>
        <v>Cam Skattebo</v>
      </c>
      <c r="AJ55" s="157" t="str">
        <f t="shared" si="0"/>
        <v>RB14</v>
      </c>
      <c r="AK55" s="157">
        <f>IFERROR(INDEX(TableRBVORP[BYE],MATCH(TableOverallMaster[[#This Row],[RK]],TableRBVORP[RK],0)),"")</f>
        <v>8</v>
      </c>
      <c r="AL55" s="158">
        <f>IFERROR(INDEX(TableRBVORP[FPS],MATCH(TableOverallMaster[[#This Row],[RK]],TableRBVORP[RK],0)),"")</f>
        <v>223.78050509921496</v>
      </c>
      <c r="AM55" s="159">
        <f>IFERROR(INDEX(TableRBVORP[VORP],MATCH(TableOverallMaster[[#This Row],[RK]],TableRBVORP[RK],0)),"")</f>
        <v>95.818132694550073</v>
      </c>
      <c r="AO55" s="58">
        <v>54</v>
      </c>
      <c r="AP55" s="160" t="str">
        <f>IFERROR(INDEX(TableOverallMaster[OVERALL PLAYER],MATCH(TableOverallRank[[#This Row],[RK]],TableOverallMaster[OVR RK],0)),"")</f>
        <v>Javonte Williams</v>
      </c>
      <c r="AQ55" s="161" t="str">
        <f>IFERROR(INDEX(TableOverallMaster[POS RK],MATCH(TableOverallRank[[#This Row],[OVERALL PLAYER]],TableOverallMaster[OVERALL PLAYER],0)),"")</f>
        <v>RB13</v>
      </c>
      <c r="AR55" s="162">
        <f>IFERROR(INDEX(TableOverallMaster[BYE],MATCH(TableOverallRank[[#This Row],[OVERALL PLAYER]],TableOverallMaster[OVERALL PLAYER],0)),"")</f>
        <v>14</v>
      </c>
      <c r="AS55" s="161">
        <f>IFERROR(INDEX(TableOverallMaster[Custom],MATCH(TableOverallRank[[#This Row],[OVERALL PLAYER]],TableOverallMaster[OVERALL PLAYER],0)),"")</f>
        <v>227.16469561959036</v>
      </c>
      <c r="AT55" s="163">
        <f>IFERROR(INDEX(TableOverallMaster[VORP],MATCH(TableOverallRank[[#This Row],[OVERALL PLAYER]],TableOverallMaster[OVERALL PLAYER],0)),"")</f>
        <v>98.525485110850397</v>
      </c>
      <c r="AV55" s="58">
        <v>54</v>
      </c>
      <c r="AW55" s="164" t="str">
        <f>IFERROR(INDEX(TableWRTECalcPts[PLAYER],MATCH(TableWRTERank[[#This Row],[RK]],TableWRTECalcPts[RK],0)),"")</f>
        <v>Travis Kelce</v>
      </c>
      <c r="AX55" s="164" t="str">
        <f>IFERROR(INDEX(TableWRTECalcPts[POS RK],MATCH(TableWRTERank[[#This Row],[WR and TE COMBINED]],TableWRTECalcPts[PLAYER],0)),"")</f>
        <v>TE10</v>
      </c>
      <c r="AY55" s="164">
        <f>IFERROR(INDEX(TableWRTECalcPts[BYE],MATCH(TableWRTERank[[#This Row],[RK]],TableWRTECalcPts[RK],0)),"")</f>
        <v>5</v>
      </c>
      <c r="AZ55" s="165">
        <f>IFERROR(INDEX(TableWRTECalcPts[Custom],MATCH(TableWRTERank[[#This Row],[RK]],TableWRTECalcPts[RK],0)),"")</f>
        <v>147.70317535955797</v>
      </c>
      <c r="BA55" s="166">
        <f>IFERROR((TableWRTERank[[#This Row],[FPS]]-INDEX(TableWRTERank[FPS],MATCH(WRTEVORPCalc,TableWRTERank[RK],0))),"")</f>
        <v>6.4668037772662785</v>
      </c>
      <c r="BC55" s="58" t="s">
        <v>148</v>
      </c>
    </row>
    <row r="56" spans="1:55" x14ac:dyDescent="0.25">
      <c r="A56" s="58">
        <v>55</v>
      </c>
      <c r="B56" s="154" t="str">
        <f>IFERROR(INDEX(TableQBCalcPts[PLAYER],MATCH(TableQBVORP[[#This Row],[RK]],TableQBCalcPts[RK],0)),"")</f>
        <v>Gardner Minshew</v>
      </c>
      <c r="C56" s="154" t="str">
        <f>IFERROR(INDEX(TableQBCalcPts[TM],MATCH(TableQBVORP[[#This Row],[RK]],TableQBCalcPts[RK],0)),"")</f>
        <v>ARI</v>
      </c>
      <c r="D56" s="154">
        <f>IFERROR(INDEX(TableQBCalcPts[BYE],MATCH(TableQBVORP[[#This Row],[RK]],TableQBCalcPts[RK],0)),"")</f>
        <v>14</v>
      </c>
      <c r="E56" s="155">
        <f>IFERROR(INDEX(TableQBCalcPts[Custom],MATCH(TableQBVORP[[#This Row],[RK]],TableQBCalcPts[RK],0)),"")</f>
        <v>6.7286604282314109</v>
      </c>
      <c r="F56" s="156">
        <f>(IFERROR((TableQBVORP[[#This Row],[FPS]]-INDEX(TableQBVORP[FPS],MATCH(QBVORPCalc,TableQBVORP[RK],0))),""))+(TableRBVORP[[#This Row],[VORP]]*0.45)</f>
        <v>-340.7604189335533</v>
      </c>
      <c r="H56" s="58">
        <v>55</v>
      </c>
      <c r="I56" s="154" t="str">
        <f>IFERROR(INDEX(TableRBCalcPts[PLAYER],MATCH(TableRBVORP[[#This Row],[RK]],TableRBCalcPts[RK],0)),"")</f>
        <v>Ty Johnson</v>
      </c>
      <c r="J56" s="154" t="str">
        <f>IFERROR(INDEX(TableRBCalcPts[TM],MATCH(TableRBVORP[[#This Row],[RK]],TableRBCalcPts[RK],0)),"")</f>
        <v>BUF</v>
      </c>
      <c r="K56" s="154">
        <f>IFERROR(INDEX(TableRBCalcPts[BYE],MATCH(TableRBVORP[[#This Row],[RK]],TableRBCalcPts[RK],0)),"")</f>
        <v>7</v>
      </c>
      <c r="L56" s="155">
        <f>IFERROR(INDEX(TableRBCalcPts[Custom],MATCH(TableRBVORP[[#This Row],[RK]],TableRBCalcPts[RK],0)),"")</f>
        <v>76.263725513807657</v>
      </c>
      <c r="M56" s="156">
        <f>(IFERROR((TableRBVORP[[#This Row],[FPS]]-INDEX(TableRBVORP[FPS],MATCH(RBVORPCalc,TableRBVORP[RK],0))),""))*0.8</f>
        <v>-22.195290973775776</v>
      </c>
      <c r="O56" s="58">
        <v>55</v>
      </c>
      <c r="P56" s="154" t="str">
        <f>IFERROR(INDEX(TableWRCalcPts[PLAYER],MATCH(TableWRVORP[[#This Row],[RK]],TableWRCalcPts[RK],0)),"")</f>
        <v>Matthew Golden</v>
      </c>
      <c r="Q56" s="154" t="str">
        <f>IFERROR(INDEX(TableWRCalcPts[TM],MATCH(TableWRVORP[[#This Row],[RK]],TableWRCalcPts[RK],0)),"")</f>
        <v>GB</v>
      </c>
      <c r="R56" s="154">
        <f>IFERROR(INDEX(TableWRCalcPts[BYE],MATCH(TableWRVORP[[#This Row],[RK]],TableWRCalcPts[RK],0)),"")</f>
        <v>11</v>
      </c>
      <c r="S56" s="155">
        <f>IFERROR(INDEX(TableWRCalcPts[Custom],MATCH(TableWRVORP[[#This Row],[RK]],TableWRCalcPts[RK],0)),"")</f>
        <v>121.76900567298148</v>
      </c>
      <c r="T56" s="156">
        <f>(IFERROR((TableWRVORP[[#This Row],[FPS]]-INDEX(TableWRVORP[FPS],MATCH(WRVORPCalc,TableWRVORP[RK],0))),""))</f>
        <v>31.484820282615416</v>
      </c>
      <c r="V56" s="58">
        <v>55</v>
      </c>
      <c r="W56" s="154" t="str">
        <f>IFERROR(INDEX(TableTECalcPts[PLAYER],MATCH(TableTEVORP[[#This Row],[RK]],TableTECalcPts[RK],0)),"")</f>
        <v>Noah Fant</v>
      </c>
      <c r="X56" s="154" t="str">
        <f>IFERROR(INDEX(TableTECalcPts[TM],MATCH(TableTEVORP[[#This Row],[RK]],TableTECalcPts[RK],0)),"")</f>
        <v>NO</v>
      </c>
      <c r="Y56" s="154">
        <f>IFERROR(INDEX(TableTECalcPts[BYE],MATCH(TableTEVORP[[#This Row],[RK]],TableTECalcPts[RK],0)),"")</f>
        <v>8</v>
      </c>
      <c r="Z56" s="155">
        <f>IFERROR(INDEX(TableTECalcPts[Custom],MATCH(TableTEVORP[[#This Row],[RK]],TableTECalcPts[RK],0)),"")</f>
        <v>23.644709993235693</v>
      </c>
      <c r="AA56" s="156">
        <f>IFERROR((TableTEVORP[[#This Row],[FPS]]-INDEX(TableTEVORP[FPS],MATCH(TEVORPCalc,TableTEVORP[RK],0))),"")</f>
        <v>-54.241083983005993</v>
      </c>
      <c r="AF56" s="58" t="s">
        <v>147</v>
      </c>
      <c r="AG56" s="58">
        <v>15</v>
      </c>
      <c r="AH56" s="100">
        <f>RANK(TableOverallMaster[[#This Row],[VORP]],TableOverallMaster[VORP])+COUNTIF($AM$2:AM56,AM56)-1</f>
        <v>61</v>
      </c>
      <c r="AI56" s="157" t="str">
        <f>IFERROR(INDEX(TableRBVORP[RUNNING BACK],MATCH(TableOverallMaster[[#This Row],[RK]],TableRBVORP[RK],0)),"")</f>
        <v>Kyren Williams</v>
      </c>
      <c r="AJ56" s="157" t="str">
        <f t="shared" si="0"/>
        <v>RB15</v>
      </c>
      <c r="AK56" s="157">
        <f>IFERROR(INDEX(TableRBVORP[BYE],MATCH(TableOverallMaster[[#This Row],[RK]],TableRBVORP[RK],0)),"")</f>
        <v>11</v>
      </c>
      <c r="AL56" s="158">
        <f>IFERROR(INDEX(TableRBVORP[FPS],MATCH(TableOverallMaster[[#This Row],[RK]],TableRBVORP[RK],0)),"")</f>
        <v>222.27899113491048</v>
      </c>
      <c r="AM56" s="159">
        <f>IFERROR(INDEX(TableRBVORP[VORP],MATCH(TableOverallMaster[[#This Row],[RK]],TableRBVORP[RK],0)),"")</f>
        <v>94.616921523106498</v>
      </c>
      <c r="AO56" s="58">
        <v>55</v>
      </c>
      <c r="AP56" s="160" t="str">
        <f>IFERROR(INDEX(TableOverallMaster[OVERALL PLAYER],MATCH(TableOverallRank[[#This Row],[RK]],TableOverallMaster[OVR RK],0)),"")</f>
        <v>Parker Washington</v>
      </c>
      <c r="AQ56" s="161" t="str">
        <f>IFERROR(INDEX(TableOverallMaster[POS RK],MATCH(TableOverallRank[[#This Row],[OVERALL PLAYER]],TableOverallMaster[OVERALL PLAYER],0)),"")</f>
        <v>WR24</v>
      </c>
      <c r="AR56" s="162">
        <f>IFERROR(INDEX(TableOverallMaster[BYE],MATCH(TableOverallRank[[#This Row],[OVERALL PLAYER]],TableOverallMaster[OVERALL PLAYER],0)),"")</f>
        <v>7</v>
      </c>
      <c r="AS56" s="161">
        <f>IFERROR(INDEX(TableOverallMaster[Custom],MATCH(TableOverallRank[[#This Row],[OVERALL PLAYER]],TableOverallMaster[OVERALL PLAYER],0)),"")</f>
        <v>188.01132302400001</v>
      </c>
      <c r="AT56" s="163">
        <f>IFERROR(INDEX(TableOverallMaster[VORP],MATCH(TableOverallRank[[#This Row],[OVERALL PLAYER]],TableOverallMaster[OVERALL PLAYER],0)),"")</f>
        <v>97.727137633633944</v>
      </c>
      <c r="AV56" s="58">
        <v>55</v>
      </c>
      <c r="AW56" s="164" t="str">
        <f>IFERROR(INDEX(TableWRTECalcPts[PLAYER],MATCH(TableWRTERank[[#This Row],[RK]],TableWRTECalcPts[RK],0)),"")</f>
        <v>Malik Nabers</v>
      </c>
      <c r="AX56" s="164" t="str">
        <f>IFERROR(INDEX(TableWRTECalcPts[POS RK],MATCH(TableWRTERank[[#This Row],[WR and TE COMBINED]],TableWRTECalcPts[PLAYER],0)),"")</f>
        <v>WR45</v>
      </c>
      <c r="AY56" s="164">
        <f>IFERROR(INDEX(TableWRTECalcPts[BYE],MATCH(TableWRTERank[[#This Row],[RK]],TableWRTECalcPts[RK],0)),"")</f>
        <v>8</v>
      </c>
      <c r="AZ56" s="165">
        <f>IFERROR(INDEX(TableWRTECalcPts[Custom],MATCH(TableWRTERank[[#This Row],[RK]],TableWRTECalcPts[RK],0)),"")</f>
        <v>147.06776996248362</v>
      </c>
      <c r="BA56" s="166">
        <f>IFERROR((TableWRTERank[[#This Row],[FPS]]-INDEX(TableWRTERank[FPS],MATCH(WRTEVORPCalc,TableWRTERank[RK],0))),"")</f>
        <v>5.8313983801919278</v>
      </c>
      <c r="BC56" s="58" t="s">
        <v>148</v>
      </c>
    </row>
    <row r="57" spans="1:55" x14ac:dyDescent="0.25">
      <c r="A57" s="58">
        <v>56</v>
      </c>
      <c r="B57" s="154" t="str">
        <f>IFERROR(INDEX(TableQBCalcPts[PLAYER],MATCH(TableQBVORP[[#This Row],[RK]],TableQBCalcPts[RK],0)),"")</f>
        <v>Jake Browning</v>
      </c>
      <c r="C57" s="154" t="str">
        <f>IFERROR(INDEX(TableQBCalcPts[TM],MATCH(TableQBVORP[[#This Row],[RK]],TableQBCalcPts[RK],0)),"")</f>
        <v>TB</v>
      </c>
      <c r="D57" s="154">
        <f>IFERROR(INDEX(TableQBCalcPts[BYE],MATCH(TableQBVORP[[#This Row],[RK]],TableQBCalcPts[RK],0)),"")</f>
        <v>10</v>
      </c>
      <c r="E57" s="155">
        <f>IFERROR(INDEX(TableQBCalcPts[Custom],MATCH(TableQBVORP[[#This Row],[RK]],TableQBCalcPts[RK],0)),"")</f>
        <v>6.6586480112464796</v>
      </c>
      <c r="F57" s="156">
        <f>(IFERROR((TableQBVORP[[#This Row],[FPS]]-INDEX(TableQBVORP[FPS],MATCH(QBVORPCalc,TableQBVORP[RK],0))),""))+(TableRBVORP[[#This Row],[VORP]]*0.45)</f>
        <v>-341.0709788976319</v>
      </c>
      <c r="H57" s="58">
        <v>56</v>
      </c>
      <c r="I57" s="154" t="str">
        <f>IFERROR(INDEX(TableRBCalcPts[PLAYER],MATCH(TableRBVORP[[#This Row],[RK]],TableRBCalcPts[RK],0)),"")</f>
        <v>Tyjae Spears</v>
      </c>
      <c r="J57" s="154" t="str">
        <f>IFERROR(INDEX(TableRBCalcPts[TM],MATCH(TableRBVORP[[#This Row],[RK]],TableRBCalcPts[RK],0)),"")</f>
        <v>TEN</v>
      </c>
      <c r="K57" s="154">
        <f>IFERROR(INDEX(TableRBCalcPts[BYE],MATCH(TableRBVORP[[#This Row],[RK]],TableRBCalcPts[RK],0)),"")</f>
        <v>9</v>
      </c>
      <c r="L57" s="155">
        <f>IFERROR(INDEX(TableRBCalcPts[Custom],MATCH(TableRBVORP[[#This Row],[RK]],TableRBCalcPts[RK],0)),"")</f>
        <v>75.595537882991906</v>
      </c>
      <c r="M57" s="156">
        <f>(IFERROR((TableRBVORP[[#This Row],[FPS]]-INDEX(TableRBVORP[FPS],MATCH(RBVORPCalc,TableRBVORP[RK],0))),""))*0.8</f>
        <v>-22.729841078428379</v>
      </c>
      <c r="O57" s="58">
        <v>56</v>
      </c>
      <c r="P57" s="154" t="str">
        <f>IFERROR(INDEX(TableWRCalcPts[PLAYER],MATCH(TableWRVORP[[#This Row],[RK]],TableWRCalcPts[RK],0)),"")</f>
        <v>Rashid Shaheed</v>
      </c>
      <c r="Q57" s="154" t="str">
        <f>IFERROR(INDEX(TableWRCalcPts[TM],MATCH(TableWRVORP[[#This Row],[RK]],TableWRCalcPts[RK],0)),"")</f>
        <v>SEA</v>
      </c>
      <c r="R57" s="154">
        <f>IFERROR(INDEX(TableWRCalcPts[BYE],MATCH(TableWRVORP[[#This Row],[RK]],TableWRCalcPts[RK],0)),"")</f>
        <v>11</v>
      </c>
      <c r="S57" s="155">
        <f>IFERROR(INDEX(TableWRCalcPts[Custom],MATCH(TableWRVORP[[#This Row],[RK]],TableWRCalcPts[RK],0)),"")</f>
        <v>119.41105593447746</v>
      </c>
      <c r="T57" s="156">
        <f>(IFERROR((TableWRVORP[[#This Row],[FPS]]-INDEX(TableWRVORP[FPS],MATCH(WRVORPCalc,TableWRVORP[RK],0))),""))</f>
        <v>29.126870544111398</v>
      </c>
      <c r="V57" s="58">
        <v>56</v>
      </c>
      <c r="W57" s="154" t="str">
        <f>IFERROR(INDEX(TableTECalcPts[PLAYER],MATCH(TableTEVORP[[#This Row],[RK]],TableTECalcPts[RK],0)),"")</f>
        <v>Durham Smythe</v>
      </c>
      <c r="X57" s="154" t="str">
        <f>IFERROR(INDEX(TableTECalcPts[TM],MATCH(TableTEVORP[[#This Row],[RK]],TableTECalcPts[RK],0)),"")</f>
        <v>BAL</v>
      </c>
      <c r="Y57" s="154">
        <f>IFERROR(INDEX(TableTECalcPts[BYE],MATCH(TableTEVORP[[#This Row],[RK]],TableTECalcPts[RK],0)),"")</f>
        <v>13</v>
      </c>
      <c r="Z57" s="155">
        <f>IFERROR(INDEX(TableTECalcPts[Custom],MATCH(TableTEVORP[[#This Row],[RK]],TableTECalcPts[RK],0)),"")</f>
        <v>23.244352303853336</v>
      </c>
      <c r="AA57" s="156">
        <f>IFERROR((TableTEVORP[[#This Row],[FPS]]-INDEX(TableTEVORP[FPS],MATCH(TEVORPCalc,TableTEVORP[RK],0))),"")</f>
        <v>-54.641441672388353</v>
      </c>
      <c r="AF57" s="58" t="s">
        <v>147</v>
      </c>
      <c r="AG57" s="58">
        <v>16</v>
      </c>
      <c r="AH57" s="100">
        <f>RANK(TableOverallMaster[[#This Row],[VORP]],TableOverallMaster[VORP])+COUNTIF($AM$2:AM57,AM57)-1</f>
        <v>63</v>
      </c>
      <c r="AI57" s="157" t="str">
        <f>IFERROR(INDEX(TableRBVORP[RUNNING BACK],MATCH(TableOverallMaster[[#This Row],[RK]],TableRBVORP[RK],0)),"")</f>
        <v>Breece Hall</v>
      </c>
      <c r="AJ57" s="157" t="str">
        <f t="shared" si="0"/>
        <v>RB16</v>
      </c>
      <c r="AK57" s="157">
        <f>IFERROR(INDEX(TableRBVORP[BYE],MATCH(TableOverallMaster[[#This Row],[RK]],TableRBVORP[RK],0)),"")</f>
        <v>13</v>
      </c>
      <c r="AL57" s="158">
        <f>IFERROR(INDEX(TableRBVORP[FPS],MATCH(TableOverallMaster[[#This Row],[RK]],TableRBVORP[RK],0)),"")</f>
        <v>219.69324965444545</v>
      </c>
      <c r="AM57" s="159">
        <f>IFERROR(INDEX(TableRBVORP[VORP],MATCH(TableOverallMaster[[#This Row],[RK]],TableRBVORP[RK],0)),"")</f>
        <v>92.548328338734464</v>
      </c>
      <c r="AO57" s="58">
        <v>56</v>
      </c>
      <c r="AP57" s="160" t="str">
        <f>IFERROR(INDEX(TableOverallMaster[OVERALL PLAYER],MATCH(TableOverallRank[[#This Row],[RK]],TableOverallMaster[OVR RK],0)),"")</f>
        <v>Emeka Egbuka</v>
      </c>
      <c r="AQ57" s="161" t="str">
        <f>IFERROR(INDEX(TableOverallMaster[POS RK],MATCH(TableOverallRank[[#This Row],[OVERALL PLAYER]],TableOverallMaster[OVERALL PLAYER],0)),"")</f>
        <v>WR25</v>
      </c>
      <c r="AR57" s="162">
        <f>IFERROR(INDEX(TableOverallMaster[BYE],MATCH(TableOverallRank[[#This Row],[OVERALL PLAYER]],TableOverallMaster[OVERALL PLAYER],0)),"")</f>
        <v>10</v>
      </c>
      <c r="AS57" s="161">
        <f>IFERROR(INDEX(TableOverallMaster[Custom],MATCH(TableOverallRank[[#This Row],[OVERALL PLAYER]],TableOverallMaster[OVERALL PLAYER],0)),"")</f>
        <v>187.69417440185407</v>
      </c>
      <c r="AT57" s="163">
        <f>IFERROR(INDEX(TableOverallMaster[VORP],MATCH(TableOverallRank[[#This Row],[OVERALL PLAYER]],TableOverallMaster[OVERALL PLAYER],0)),"")</f>
        <v>97.409989011488008</v>
      </c>
      <c r="AV57" s="58">
        <v>56</v>
      </c>
      <c r="AW57" s="164" t="str">
        <f>IFERROR(INDEX(TableWRTECalcPts[PLAYER],MATCH(TableWRTERank[[#This Row],[RK]],TableWRTECalcPts[RK],0)),"")</f>
        <v>Brian Thomas</v>
      </c>
      <c r="AX57" s="164" t="str">
        <f>IFERROR(INDEX(TableWRTECalcPts[POS RK],MATCH(TableWRTERank[[#This Row],[WR and TE COMBINED]],TableWRTECalcPts[PLAYER],0)),"")</f>
        <v>WR46</v>
      </c>
      <c r="AY57" s="164">
        <f>IFERROR(INDEX(TableWRTECalcPts[BYE],MATCH(TableWRTERank[[#This Row],[RK]],TableWRTECalcPts[RK],0)),"")</f>
        <v>7</v>
      </c>
      <c r="AZ57" s="165">
        <f>IFERROR(INDEX(TableWRTECalcPts[Custom],MATCH(TableWRTERank[[#This Row],[RK]],TableWRTECalcPts[RK],0)),"")</f>
        <v>145.44104743852742</v>
      </c>
      <c r="BA57" s="166">
        <f>IFERROR((TableWRTERank[[#This Row],[FPS]]-INDEX(TableWRTERank[FPS],MATCH(WRTEVORPCalc,TableWRTERank[RK],0))),"")</f>
        <v>4.204675856235724</v>
      </c>
      <c r="BC57" s="58" t="s">
        <v>148</v>
      </c>
    </row>
    <row r="58" spans="1:55" x14ac:dyDescent="0.25">
      <c r="A58" s="58">
        <v>57</v>
      </c>
      <c r="B58" s="154" t="str">
        <f>IFERROR(INDEX(TableQBCalcPts[PLAYER],MATCH(TableQBVORP[[#This Row],[RK]],TableQBCalcPts[RK],0)),"")</f>
        <v>Trey Lance</v>
      </c>
      <c r="C58" s="154" t="str">
        <f>IFERROR(INDEX(TableQBCalcPts[TM],MATCH(TableQBVORP[[#This Row],[RK]],TableQBCalcPts[RK],0)),"")</f>
        <v>LAC</v>
      </c>
      <c r="D58" s="154">
        <f>IFERROR(INDEX(TableQBCalcPts[BYE],MATCH(TableQBVORP[[#This Row],[RK]],TableQBCalcPts[RK],0)),"")</f>
        <v>7</v>
      </c>
      <c r="E58" s="155">
        <f>IFERROR(INDEX(TableQBCalcPts[Custom],MATCH(TableQBVORP[[#This Row],[RK]],TableQBCalcPts[RK],0)),"")</f>
        <v>6.5610960212300142</v>
      </c>
      <c r="F58" s="156">
        <f>(IFERROR((TableQBVORP[[#This Row],[FPS]]-INDEX(TableQBVORP[FPS],MATCH(QBVORPCalc,TableQBVORP[RK],0))),""))+(TableRBVORP[[#This Row],[VORP]]*0.45)</f>
        <v>-342.40873118281837</v>
      </c>
      <c r="H58" s="58">
        <v>57</v>
      </c>
      <c r="I58" s="154" t="str">
        <f>IFERROR(INDEX(TableRBCalcPts[PLAYER],MATCH(TableRBVORP[[#This Row],[RK]],TableRBCalcPts[RK],0)),"")</f>
        <v>Tank Bigsby</v>
      </c>
      <c r="J58" s="154" t="str">
        <f>IFERROR(INDEX(TableRBCalcPts[TM],MATCH(TableRBVORP[[#This Row],[RK]],TableRBCalcPts[RK],0)),"")</f>
        <v>PHI</v>
      </c>
      <c r="K58" s="154">
        <f>IFERROR(INDEX(TableRBCalcPts[BYE],MATCH(TableRBVORP[[#This Row],[RK]],TableRBCalcPts[RK],0)),"")</f>
        <v>10</v>
      </c>
      <c r="L58" s="155">
        <f>IFERROR(INDEX(TableRBCalcPts[Custom],MATCH(TableRBVORP[[#This Row],[RK]],TableRBCalcPts[RK],0)),"")</f>
        <v>72.150537063075149</v>
      </c>
      <c r="M58" s="156">
        <f>(IFERROR((TableRBVORP[[#This Row],[FPS]]-INDEX(TableRBVORP[FPS],MATCH(RBVORPCalc,TableRBVORP[RK],0))),""))*0.8</f>
        <v>-25.485841734361784</v>
      </c>
      <c r="O58" s="58">
        <v>57</v>
      </c>
      <c r="P58" s="154" t="str">
        <f>IFERROR(INDEX(TableWRCalcPts[PLAYER],MATCH(TableWRVORP[[#This Row],[RK]],TableWRCalcPts[RK],0)),"")</f>
        <v>Jalen McMillan</v>
      </c>
      <c r="Q58" s="154" t="str">
        <f>IFERROR(INDEX(TableWRCalcPts[TM],MATCH(TableWRVORP[[#This Row],[RK]],TableWRCalcPts[RK],0)),"")</f>
        <v>TB</v>
      </c>
      <c r="R58" s="154">
        <f>IFERROR(INDEX(TableWRCalcPts[BYE],MATCH(TableWRVORP[[#This Row],[RK]],TableWRCalcPts[RK],0)),"")</f>
        <v>10</v>
      </c>
      <c r="S58" s="155">
        <f>IFERROR(INDEX(TableWRCalcPts[Custom],MATCH(TableWRVORP[[#This Row],[RK]],TableWRCalcPts[RK],0)),"")</f>
        <v>108.1071908674808</v>
      </c>
      <c r="T58" s="156">
        <f>(IFERROR((TableWRVORP[[#This Row],[FPS]]-INDEX(TableWRVORP[FPS],MATCH(WRVORPCalc,TableWRVORP[RK],0))),""))</f>
        <v>17.823005477114734</v>
      </c>
      <c r="V58" s="58">
        <v>57</v>
      </c>
      <c r="W58" s="154" t="str">
        <f>IFERROR(INDEX(TableTECalcPts[PLAYER],MATCH(TableTEVORP[[#This Row],[RK]],TableTECalcPts[RK],0)),"")</f>
        <v>Will Kacmarek</v>
      </c>
      <c r="X58" s="154" t="str">
        <f>IFERROR(INDEX(TableTECalcPts[TM],MATCH(TableTEVORP[[#This Row],[RK]],TableTECalcPts[RK],0)),"")</f>
        <v>MIA</v>
      </c>
      <c r="Y58" s="154">
        <f>IFERROR(INDEX(TableTECalcPts[BYE],MATCH(TableTEVORP[[#This Row],[RK]],TableTECalcPts[RK],0)),"")</f>
        <v>6</v>
      </c>
      <c r="Z58" s="155">
        <f>IFERROR(INDEX(TableTECalcPts[Custom],MATCH(TableTEVORP[[#This Row],[RK]],TableTECalcPts[RK],0)),"")</f>
        <v>21.932373717418365</v>
      </c>
      <c r="AA58" s="156">
        <f>IFERROR((TableTEVORP[[#This Row],[FPS]]-INDEX(TableTEVORP[FPS],MATCH(TEVORPCalc,TableTEVORP[RK],0))),"")</f>
        <v>-55.953420258823321</v>
      </c>
      <c r="AF58" s="58" t="s">
        <v>147</v>
      </c>
      <c r="AG58" s="58">
        <v>17</v>
      </c>
      <c r="AH58" s="100">
        <f>RANK(TableOverallMaster[[#This Row],[VORP]],TableOverallMaster[VORP])+COUNTIF($AM$2:AM58,AM58)-1</f>
        <v>64</v>
      </c>
      <c r="AI58" s="157" t="str">
        <f>IFERROR(INDEX(TableRBVORP[RUNNING BACK],MATCH(TableOverallMaster[[#This Row],[RK]],TableRBVORP[RK],0)),"")</f>
        <v>Josh Jacobs</v>
      </c>
      <c r="AJ58" s="157" t="str">
        <f t="shared" si="0"/>
        <v>RB17</v>
      </c>
      <c r="AK58" s="157">
        <f>IFERROR(INDEX(TableRBVORP[BYE],MATCH(TableOverallMaster[[#This Row],[RK]],TableRBVORP[RK],0)),"")</f>
        <v>11</v>
      </c>
      <c r="AL58" s="158">
        <f>IFERROR(INDEX(TableRBVORP[FPS],MATCH(TableOverallMaster[[#This Row],[RK]],TableRBVORP[RK],0)),"")</f>
        <v>217.57593303188446</v>
      </c>
      <c r="AM58" s="159">
        <f>IFERROR(INDEX(TableRBVORP[VORP],MATCH(TableOverallMaster[[#This Row],[RK]],TableRBVORP[RK],0)),"")</f>
        <v>90.854475040685671</v>
      </c>
      <c r="AO58" s="58">
        <v>57</v>
      </c>
      <c r="AP58" s="160" t="str">
        <f>IFERROR(INDEX(TableOverallMaster[OVERALL PLAYER],MATCH(TableOverallRank[[#This Row],[RK]],TableOverallMaster[OVR RK],0)),"")</f>
        <v>Carnell Tate</v>
      </c>
      <c r="AQ58" s="161" t="str">
        <f>IFERROR(INDEX(TableOverallMaster[POS RK],MATCH(TableOverallRank[[#This Row],[OVERALL PLAYER]],TableOverallMaster[OVERALL PLAYER],0)),"")</f>
        <v>WR26</v>
      </c>
      <c r="AR58" s="162">
        <f>IFERROR(INDEX(TableOverallMaster[BYE],MATCH(TableOverallRank[[#This Row],[OVERALL PLAYER]],TableOverallMaster[OVERALL PLAYER],0)),"")</f>
        <v>9</v>
      </c>
      <c r="AS58" s="161">
        <f>IFERROR(INDEX(TableOverallMaster[Custom],MATCH(TableOverallRank[[#This Row],[OVERALL PLAYER]],TableOverallMaster[OVERALL PLAYER],0)),"")</f>
        <v>186.69245943108095</v>
      </c>
      <c r="AT58" s="163">
        <f>IFERROR(INDEX(TableOverallMaster[VORP],MATCH(TableOverallRank[[#This Row],[OVERALL PLAYER]],TableOverallMaster[OVERALL PLAYER],0)),"")</f>
        <v>96.408274040714886</v>
      </c>
      <c r="AV58" s="58">
        <v>57</v>
      </c>
      <c r="AW58" s="164" t="str">
        <f>IFERROR(INDEX(TableWRTECalcPts[PLAYER],MATCH(TableWRTERank[[#This Row],[RK]],TableWRTECalcPts[RK],0)),"")</f>
        <v>Chris Godwin</v>
      </c>
      <c r="AX58" s="164" t="str">
        <f>IFERROR(INDEX(TableWRTECalcPts[POS RK],MATCH(TableWRTERank[[#This Row],[WR and TE COMBINED]],TableWRTECalcPts[PLAYER],0)),"")</f>
        <v>WR47</v>
      </c>
      <c r="AY58" s="164">
        <f>IFERROR(INDEX(TableWRTECalcPts[BYE],MATCH(TableWRTERank[[#This Row],[RK]],TableWRTECalcPts[RK],0)),"")</f>
        <v>10</v>
      </c>
      <c r="AZ58" s="165">
        <f>IFERROR(INDEX(TableWRTECalcPts[Custom],MATCH(TableWRTERank[[#This Row],[RK]],TableWRTECalcPts[RK],0)),"")</f>
        <v>144.56829686906872</v>
      </c>
      <c r="BA58" s="166">
        <f>IFERROR((TableWRTERank[[#This Row],[FPS]]-INDEX(TableWRTERank[FPS],MATCH(WRTEVORPCalc,TableWRTERank[RK],0))),"")</f>
        <v>3.3319252867770217</v>
      </c>
      <c r="BC58" s="58" t="s">
        <v>148</v>
      </c>
    </row>
    <row r="59" spans="1:55" x14ac:dyDescent="0.25">
      <c r="A59" s="58">
        <v>58</v>
      </c>
      <c r="B59" s="154" t="str">
        <f>IFERROR(INDEX(TableQBCalcPts[PLAYER],MATCH(TableQBVORP[[#This Row],[RK]],TableQBCalcPts[RK],0)),"")</f>
        <v>Jarrett Stidham</v>
      </c>
      <c r="C59" s="154" t="str">
        <f>IFERROR(INDEX(TableQBCalcPts[TM],MATCH(TableQBVORP[[#This Row],[RK]],TableQBCalcPts[RK],0)),"")</f>
        <v>DEN</v>
      </c>
      <c r="D59" s="154">
        <f>IFERROR(INDEX(TableQBCalcPts[BYE],MATCH(TableQBVORP[[#This Row],[RK]],TableQBCalcPts[RK],0)),"")</f>
        <v>10</v>
      </c>
      <c r="E59" s="155">
        <f>IFERROR(INDEX(TableQBCalcPts[Custom],MATCH(TableQBVORP[[#This Row],[RK]],TableQBCalcPts[RK],0)),"")</f>
        <v>6.1685299727989049</v>
      </c>
      <c r="F59" s="156">
        <f>(IFERROR((TableQBVORP[[#This Row],[FPS]]-INDEX(TableQBVORP[FPS],MATCH(QBVORPCalc,TableQBVORP[RK],0))),""))+(TableRBVORP[[#This Row],[VORP]]*0.45)</f>
        <v>-343.17783872128604</v>
      </c>
      <c r="H59" s="58">
        <v>58</v>
      </c>
      <c r="I59" s="154" t="str">
        <f>IFERROR(INDEX(TableRBCalcPts[PLAYER],MATCH(TableRBVORP[[#This Row],[RK]],TableRBCalcPts[RK],0)),"")</f>
        <v>MarShawn Lloyd</v>
      </c>
      <c r="J59" s="154" t="str">
        <f>IFERROR(INDEX(TableRBCalcPts[TM],MATCH(TableRBVORP[[#This Row],[RK]],TableRBCalcPts[RK],0)),"")</f>
        <v>GB</v>
      </c>
      <c r="K59" s="154">
        <f>IFERROR(INDEX(TableRBCalcPts[BYE],MATCH(TableRBVORP[[#This Row],[RK]],TableRBCalcPts[RK],0)),"")</f>
        <v>11</v>
      </c>
      <c r="L59" s="155">
        <f>IFERROR(INDEX(TableRBCalcPts[Custom],MATCH(TableRBVORP[[#This Row],[RK]],TableRBCalcPts[RK],0)),"")</f>
        <v>71.104588479640356</v>
      </c>
      <c r="M59" s="156">
        <f>(IFERROR((TableRBVORP[[#This Row],[FPS]]-INDEX(TableRBVORP[FPS],MATCH(RBVORPCalc,TableRBVORP[RK],0))),""))*0.8</f>
        <v>-26.322600601109617</v>
      </c>
      <c r="O59" s="58">
        <v>58</v>
      </c>
      <c r="P59" s="154" t="str">
        <f>IFERROR(INDEX(TableWRCalcPts[PLAYER],MATCH(TableWRVORP[[#This Row],[RK]],TableWRCalcPts[RK],0)),"")</f>
        <v>Tyquan Thornton</v>
      </c>
      <c r="Q59" s="154" t="str">
        <f>IFERROR(INDEX(TableWRCalcPts[TM],MATCH(TableWRVORP[[#This Row],[RK]],TableWRCalcPts[RK],0)),"")</f>
        <v>KC</v>
      </c>
      <c r="R59" s="154">
        <f>IFERROR(INDEX(TableWRCalcPts[BYE],MATCH(TableWRVORP[[#This Row],[RK]],TableWRCalcPts[RK],0)),"")</f>
        <v>5</v>
      </c>
      <c r="S59" s="155">
        <f>IFERROR(INDEX(TableWRCalcPts[Custom],MATCH(TableWRVORP[[#This Row],[RK]],TableWRCalcPts[RK],0)),"")</f>
        <v>105.42376555000021</v>
      </c>
      <c r="T59" s="156">
        <f>(IFERROR((TableWRVORP[[#This Row],[FPS]]-INDEX(TableWRVORP[FPS],MATCH(WRVORPCalc,TableWRVORP[RK],0))),""))</f>
        <v>15.13958015963415</v>
      </c>
      <c r="V59" s="58">
        <v>58</v>
      </c>
      <c r="W59" s="154" t="str">
        <f>IFERROR(INDEX(TableTECalcPts[PLAYER],MATCH(TableTEVORP[[#This Row],[RK]],TableTECalcPts[RK],0)),"")</f>
        <v>Josh Oliver</v>
      </c>
      <c r="X59" s="154" t="str">
        <f>IFERROR(INDEX(TableTECalcPts[TM],MATCH(TableTEVORP[[#This Row],[RK]],TableTECalcPts[RK],0)),"")</f>
        <v>MIN</v>
      </c>
      <c r="Y59" s="154">
        <f>IFERROR(INDEX(TableTECalcPts[BYE],MATCH(TableTEVORP[[#This Row],[RK]],TableTECalcPts[RK],0)),"")</f>
        <v>6</v>
      </c>
      <c r="Z59" s="155">
        <f>IFERROR(INDEX(TableTECalcPts[Custom],MATCH(TableTEVORP[[#This Row],[RK]],TableTECalcPts[RK],0)),"")</f>
        <v>21.025707823411203</v>
      </c>
      <c r="AA59" s="156">
        <f>IFERROR((TableTEVORP[[#This Row],[FPS]]-INDEX(TableTEVORP[FPS],MATCH(TEVORPCalc,TableTEVORP[RK],0))),"")</f>
        <v>-56.860086152830483</v>
      </c>
      <c r="AF59" s="58" t="s">
        <v>147</v>
      </c>
      <c r="AG59" s="58">
        <v>18</v>
      </c>
      <c r="AH59" s="100">
        <f>RANK(TableOverallMaster[[#This Row],[VORP]],TableOverallMaster[VORP])+COUNTIF($AM$2:AM59,AM59)-1</f>
        <v>67</v>
      </c>
      <c r="AI59" s="157" t="str">
        <f>IFERROR(INDEX(TableRBVORP[RUNNING BACK],MATCH(TableOverallMaster[[#This Row],[RK]],TableRBVORP[RK],0)),"")</f>
        <v>Jeremiyah Love</v>
      </c>
      <c r="AJ59" s="157" t="str">
        <f t="shared" si="0"/>
        <v>RB18</v>
      </c>
      <c r="AK59" s="157">
        <f>IFERROR(INDEX(TableRBVORP[BYE],MATCH(TableOverallMaster[[#This Row],[RK]],TableRBVORP[RK],0)),"")</f>
        <v>14</v>
      </c>
      <c r="AL59" s="158">
        <f>IFERROR(INDEX(TableRBVORP[FPS],MATCH(TableOverallMaster[[#This Row],[RK]],TableRBVORP[RK],0)),"")</f>
        <v>214.72193089157778</v>
      </c>
      <c r="AM59" s="159">
        <f>IFERROR(INDEX(TableRBVORP[VORP],MATCH(TableOverallMaster[[#This Row],[RK]],TableRBVORP[RK],0)),"")</f>
        <v>88.571273328440327</v>
      </c>
      <c r="AO59" s="58">
        <v>58</v>
      </c>
      <c r="AP59" s="160" t="str">
        <f>IFERROR(INDEX(TableOverallMaster[OVERALL PLAYER],MATCH(TableOverallRank[[#This Row],[RK]],TableOverallMaster[OVR RK],0)),"")</f>
        <v>Jaxson Dart</v>
      </c>
      <c r="AQ59" s="161" t="str">
        <f>IFERROR(INDEX(TableOverallMaster[POS RK],MATCH(TableOverallRank[[#This Row],[OVERALL PLAYER]],TableOverallMaster[OVERALL PLAYER],0)),"")</f>
        <v>QB16</v>
      </c>
      <c r="AR59" s="162">
        <f>IFERROR(INDEX(TableOverallMaster[BYE],MATCH(TableOverallRank[[#This Row],[OVERALL PLAYER]],TableOverallMaster[OVERALL PLAYER],0)),"")</f>
        <v>8</v>
      </c>
      <c r="AS59" s="161">
        <f>IFERROR(INDEX(TableOverallMaster[Custom],MATCH(TableOverallRank[[#This Row],[OVERALL PLAYER]],TableOverallMaster[OVERALL PLAYER],0)),"")</f>
        <v>391.99200877029875</v>
      </c>
      <c r="AT59" s="163">
        <f>IFERROR(INDEX(TableOverallMaster[VORP],MATCH(TableOverallRank[[#This Row],[OVERALL PLAYER]],TableOverallMaster[OVERALL PLAYER],0)),"")</f>
        <v>96.137558099143661</v>
      </c>
      <c r="AV59" s="58">
        <v>58</v>
      </c>
      <c r="AW59" s="164" t="str">
        <f>IFERROR(INDEX(TableWRTECalcPts[PLAYER],MATCH(TableWRTERank[[#This Row],[RK]],TableWRTECalcPts[RK],0)),"")</f>
        <v>Michael Wilson</v>
      </c>
      <c r="AX59" s="164" t="str">
        <f>IFERROR(INDEX(TableWRTECalcPts[POS RK],MATCH(TableWRTERank[[#This Row],[WR and TE COMBINED]],TableWRTECalcPts[PLAYER],0)),"")</f>
        <v>WR48</v>
      </c>
      <c r="AY59" s="164">
        <f>IFERROR(INDEX(TableWRTECalcPts[BYE],MATCH(TableWRTERank[[#This Row],[RK]],TableWRTECalcPts[RK],0)),"")</f>
        <v>14</v>
      </c>
      <c r="AZ59" s="165">
        <f>IFERROR(INDEX(TableWRTECalcPts[Custom],MATCH(TableWRTERank[[#This Row],[RK]],TableWRTECalcPts[RK],0)),"")</f>
        <v>143.41848778330626</v>
      </c>
      <c r="BA59" s="166">
        <f>IFERROR((TableWRTERank[[#This Row],[FPS]]-INDEX(TableWRTERank[FPS],MATCH(WRTEVORPCalc,TableWRTERank[RK],0))),"")</f>
        <v>2.1821162010145656</v>
      </c>
      <c r="BC59" s="58" t="s">
        <v>148</v>
      </c>
    </row>
    <row r="60" spans="1:55" x14ac:dyDescent="0.25">
      <c r="A60" s="58">
        <v>59</v>
      </c>
      <c r="B60" s="154" t="str">
        <f>IFERROR(INDEX(TableQBCalcPts[PLAYER],MATCH(TableQBVORP[[#This Row],[RK]],TableQBCalcPts[RK],0)),"")</f>
        <v>Tommy DeVito</v>
      </c>
      <c r="C60" s="154" t="str">
        <f>IFERROR(INDEX(TableQBCalcPts[TM],MATCH(TableQBVORP[[#This Row],[RK]],TableQBCalcPts[RK],0)),"")</f>
        <v>NE</v>
      </c>
      <c r="D60" s="154">
        <f>IFERROR(INDEX(TableQBCalcPts[BYE],MATCH(TableQBVORP[[#This Row],[RK]],TableQBCalcPts[RK],0)),"")</f>
        <v>11</v>
      </c>
      <c r="E60" s="155">
        <f>IFERROR(INDEX(TableQBCalcPts[Custom],MATCH(TableQBVORP[[#This Row],[RK]],TableQBCalcPts[RK],0)),"")</f>
        <v>5.8076463699232752</v>
      </c>
      <c r="F60" s="156">
        <f>(IFERROR((TableQBVORP[[#This Row],[FPS]]-INDEX(TableQBVORP[FPS],MATCH(QBVORPCalc,TableQBVORP[RK],0))),""))+(TableRBVORP[[#This Row],[VORP]]*0.45)</f>
        <v>-345.94575066587794</v>
      </c>
      <c r="H60" s="58">
        <v>59</v>
      </c>
      <c r="I60" s="154" t="str">
        <f>IFERROR(INDEX(TableRBCalcPts[PLAYER],MATCH(TableRBVORP[[#This Row],[RK]],TableRBCalcPts[RK],0)),"")</f>
        <v>Mike Washington</v>
      </c>
      <c r="J60" s="154" t="str">
        <f>IFERROR(INDEX(TableRBCalcPts[TM],MATCH(TableRBVORP[[#This Row],[RK]],TableRBCalcPts[RK],0)),"")</f>
        <v>LV</v>
      </c>
      <c r="K60" s="154">
        <f>IFERROR(INDEX(TableRBCalcPts[BYE],MATCH(TableRBVORP[[#This Row],[RK]],TableRBCalcPts[RK],0)),"")</f>
        <v>13</v>
      </c>
      <c r="L60" s="155">
        <f>IFERROR(INDEX(TableRBCalcPts[Custom],MATCH(TableRBVORP[[#This Row],[RK]],TableRBCalcPts[RK],0)),"")</f>
        <v>64.418398641539639</v>
      </c>
      <c r="M60" s="156">
        <f>(IFERROR((TableRBVORP[[#This Row],[FPS]]-INDEX(TableRBVORP[FPS],MATCH(RBVORPCalc,TableRBVORP[RK],0))),""))*0.8</f>
        <v>-31.671552471590189</v>
      </c>
      <c r="O60" s="58">
        <v>59</v>
      </c>
      <c r="P60" s="154" t="str">
        <f>IFERROR(INDEX(TableWRCalcPts[PLAYER],MATCH(TableWRVORP[[#This Row],[RK]],TableWRCalcPts[RK],0)),"")</f>
        <v>Calvin Ridley</v>
      </c>
      <c r="Q60" s="154" t="str">
        <f>IFERROR(INDEX(TableWRCalcPts[TM],MATCH(TableWRVORP[[#This Row],[RK]],TableWRCalcPts[RK],0)),"")</f>
        <v>TEN</v>
      </c>
      <c r="R60" s="154">
        <f>IFERROR(INDEX(TableWRCalcPts[BYE],MATCH(TableWRVORP[[#This Row],[RK]],TableWRCalcPts[RK],0)),"")</f>
        <v>9</v>
      </c>
      <c r="S60" s="155">
        <f>IFERROR(INDEX(TableWRCalcPts[Custom],MATCH(TableWRVORP[[#This Row],[RK]],TableWRCalcPts[RK],0)),"")</f>
        <v>105.40024930600705</v>
      </c>
      <c r="T60" s="156">
        <f>(IFERROR((TableWRVORP[[#This Row],[FPS]]-INDEX(TableWRVORP[FPS],MATCH(WRVORPCalc,TableWRVORP[RK],0))),""))</f>
        <v>15.116063915640993</v>
      </c>
      <c r="V60" s="58">
        <v>59</v>
      </c>
      <c r="W60" s="154" t="str">
        <f>IFERROR(INDEX(TableTECalcPts[PLAYER],MATCH(TableTEVORP[[#This Row],[RK]],TableTECalcPts[RK],0)),"")</f>
        <v>Elijah Higgins</v>
      </c>
      <c r="X60" s="154" t="str">
        <f>IFERROR(INDEX(TableTECalcPts[TM],MATCH(TableTEVORP[[#This Row],[RK]],TableTECalcPts[RK],0)),"")</f>
        <v>ARI</v>
      </c>
      <c r="Y60" s="154">
        <f>IFERROR(INDEX(TableTECalcPts[BYE],MATCH(TableTEVORP[[#This Row],[RK]],TableTECalcPts[RK],0)),"")</f>
        <v>14</v>
      </c>
      <c r="Z60" s="155">
        <f>IFERROR(INDEX(TableTECalcPts[Custom],MATCH(TableTEVORP[[#This Row],[RK]],TableTECalcPts[RK],0)),"")</f>
        <v>20.467085864788103</v>
      </c>
      <c r="AA60" s="156">
        <f>IFERROR((TableTEVORP[[#This Row],[FPS]]-INDEX(TableTEVORP[FPS],MATCH(TEVORPCalc,TableTEVORP[RK],0))),"")</f>
        <v>-57.418708111453583</v>
      </c>
      <c r="AF60" s="58" t="s">
        <v>147</v>
      </c>
      <c r="AG60" s="58">
        <v>19</v>
      </c>
      <c r="AH60" s="100">
        <f>RANK(TableOverallMaster[[#This Row],[VORP]],TableOverallMaster[VORP])+COUNTIF($AM$2:AM60,AM60)-1</f>
        <v>71</v>
      </c>
      <c r="AI60" s="157" t="str">
        <f>IFERROR(INDEX(TableRBVORP[RUNNING BACK],MATCH(TableOverallMaster[[#This Row],[RK]],TableRBVORP[RK],0)),"")</f>
        <v>Travis Etienne</v>
      </c>
      <c r="AJ60" s="157" t="str">
        <f t="shared" si="0"/>
        <v>RB19</v>
      </c>
      <c r="AK60" s="157">
        <f>IFERROR(INDEX(TableRBVORP[BYE],MATCH(TableOverallMaster[[#This Row],[RK]],TableRBVORP[RK],0)),"")</f>
        <v>8</v>
      </c>
      <c r="AL60" s="158">
        <f>IFERROR(INDEX(TableRBVORP[FPS],MATCH(TableOverallMaster[[#This Row],[RK]],TableRBVORP[RK],0)),"")</f>
        <v>206.70738022037409</v>
      </c>
      <c r="AM60" s="159">
        <f>IFERROR(INDEX(TableRBVORP[VORP],MATCH(TableOverallMaster[[#This Row],[RK]],TableRBVORP[RK],0)),"")</f>
        <v>82.159632791477378</v>
      </c>
      <c r="AO60" s="58">
        <v>59</v>
      </c>
      <c r="AP60" s="160" t="str">
        <f>IFERROR(INDEX(TableOverallMaster[OVERALL PLAYER],MATCH(TableOverallRank[[#This Row],[RK]],TableOverallMaster[OVR RK],0)),"")</f>
        <v>Cam Skattebo</v>
      </c>
      <c r="AQ60" s="161" t="str">
        <f>IFERROR(INDEX(TableOverallMaster[POS RK],MATCH(TableOverallRank[[#This Row],[OVERALL PLAYER]],TableOverallMaster[OVERALL PLAYER],0)),"")</f>
        <v>RB14</v>
      </c>
      <c r="AR60" s="162">
        <f>IFERROR(INDEX(TableOverallMaster[BYE],MATCH(TableOverallRank[[#This Row],[OVERALL PLAYER]],TableOverallMaster[OVERALL PLAYER],0)),"")</f>
        <v>8</v>
      </c>
      <c r="AS60" s="161">
        <f>IFERROR(INDEX(TableOverallMaster[Custom],MATCH(TableOverallRank[[#This Row],[OVERALL PLAYER]],TableOverallMaster[OVERALL PLAYER],0)),"")</f>
        <v>223.78050509921496</v>
      </c>
      <c r="AT60" s="163">
        <f>IFERROR(INDEX(TableOverallMaster[VORP],MATCH(TableOverallRank[[#This Row],[OVERALL PLAYER]],TableOverallMaster[OVERALL PLAYER],0)),"")</f>
        <v>95.818132694550073</v>
      </c>
      <c r="AV60" s="58">
        <v>59</v>
      </c>
      <c r="AW60" s="164" t="str">
        <f>IFERROR(INDEX(TableWRTECalcPts[PLAYER],MATCH(TableWRTERank[[#This Row],[RK]],TableWRTECalcPts[RK],0)),"")</f>
        <v>Xavier Worthy</v>
      </c>
      <c r="AX60" s="164" t="str">
        <f>IFERROR(INDEX(TableWRTECalcPts[POS RK],MATCH(TableWRTERank[[#This Row],[WR and TE COMBINED]],TableWRTECalcPts[PLAYER],0)),"")</f>
        <v>WR49</v>
      </c>
      <c r="AY60" s="164">
        <f>IFERROR(INDEX(TableWRTECalcPts[BYE],MATCH(TableWRTERank[[#This Row],[RK]],TableWRTECalcPts[RK],0)),"")</f>
        <v>5</v>
      </c>
      <c r="AZ60" s="165">
        <f>IFERROR(INDEX(TableWRTECalcPts[Custom],MATCH(TableWRTERank[[#This Row],[RK]],TableWRTECalcPts[RK],0)),"")</f>
        <v>142.00991741360272</v>
      </c>
      <c r="BA60" s="166">
        <f>IFERROR((TableWRTERank[[#This Row],[FPS]]-INDEX(TableWRTERank[FPS],MATCH(WRTEVORPCalc,TableWRTERank[RK],0))),"")</f>
        <v>0.77354583131102572</v>
      </c>
      <c r="BC60" s="58" t="s">
        <v>148</v>
      </c>
    </row>
    <row r="61" spans="1:55" x14ac:dyDescent="0.25">
      <c r="A61" s="58">
        <v>60</v>
      </c>
      <c r="B61" s="154" t="str">
        <f>IFERROR(INDEX(TableQBCalcPts[PLAYER],MATCH(TableQBVORP[[#This Row],[RK]],TableQBCalcPts[RK],0)),"")</f>
        <v>Jalen Milroe</v>
      </c>
      <c r="C61" s="154" t="str">
        <f>IFERROR(INDEX(TableQBCalcPts[TM],MATCH(TableQBVORP[[#This Row],[RK]],TableQBCalcPts[RK],0)),"")</f>
        <v>SEA</v>
      </c>
      <c r="D61" s="154">
        <f>IFERROR(INDEX(TableQBCalcPts[BYE],MATCH(TableQBVORP[[#This Row],[RK]],TableQBCalcPts[RK],0)),"")</f>
        <v>11</v>
      </c>
      <c r="E61" s="155">
        <f>IFERROR(INDEX(TableQBCalcPts[Custom],MATCH(TableQBVORP[[#This Row],[RK]],TableQBCalcPts[RK],0)),"")</f>
        <v>4.8799273820160005</v>
      </c>
      <c r="F61" s="156">
        <f>(IFERROR((TableQBVORP[[#This Row],[FPS]]-INDEX(TableQBVORP[FPS],MATCH(QBVORPCalc,TableQBVORP[RK],0))),""))+(TableRBVORP[[#This Row],[VORP]]*0.45)</f>
        <v>-347.49788502521932</v>
      </c>
      <c r="H61" s="58">
        <v>60</v>
      </c>
      <c r="I61" s="154" t="str">
        <f>IFERROR(INDEX(TableRBCalcPts[PLAYER],MATCH(TableRBVORP[[#This Row],[RK]],TableRBCalcPts[RK],0)),"")</f>
        <v>Kaytron Allen</v>
      </c>
      <c r="J61" s="154" t="str">
        <f>IFERROR(INDEX(TableRBCalcPts[TM],MATCH(TableRBVORP[[#This Row],[RK]],TableRBCalcPts[RK],0)),"")</f>
        <v>WSH</v>
      </c>
      <c r="K61" s="154">
        <f>IFERROR(INDEX(TableRBCalcPts[BYE],MATCH(TableRBVORP[[#This Row],[RK]],TableRBCalcPts[RK],0)),"")</f>
        <v>7</v>
      </c>
      <c r="L61" s="155">
        <f>IFERROR(INDEX(TableRBCalcPts[Custom],MATCH(TableRBVORP[[#This Row],[RK]],TableRBCalcPts[RK],0)),"")</f>
        <v>62.6839114986672</v>
      </c>
      <c r="M61" s="156">
        <f>(IFERROR((TableRBVORP[[#This Row],[FPS]]-INDEX(TableRBVORP[FPS],MATCH(RBVORPCalc,TableRBVORP[RK],0))),""))*0.8</f>
        <v>-33.059142185888142</v>
      </c>
      <c r="O61" s="58">
        <v>60</v>
      </c>
      <c r="P61" s="154" t="str">
        <f>IFERROR(INDEX(TableWRCalcPts[PLAYER],MATCH(TableWRVORP[[#This Row],[RK]],TableWRCalcPts[RK],0)),"")</f>
        <v>Antonio Williams</v>
      </c>
      <c r="Q61" s="154" t="str">
        <f>IFERROR(INDEX(TableWRCalcPts[TM],MATCH(TableWRVORP[[#This Row],[RK]],TableWRCalcPts[RK],0)),"")</f>
        <v>WSH</v>
      </c>
      <c r="R61" s="154">
        <f>IFERROR(INDEX(TableWRCalcPts[BYE],MATCH(TableWRVORP[[#This Row],[RK]],TableWRCalcPts[RK],0)),"")</f>
        <v>7</v>
      </c>
      <c r="S61" s="155">
        <f>IFERROR(INDEX(TableWRCalcPts[Custom],MATCH(TableWRVORP[[#This Row],[RK]],TableWRCalcPts[RK],0)),"")</f>
        <v>103.72050015538173</v>
      </c>
      <c r="T61" s="156">
        <f>(IFERROR((TableWRVORP[[#This Row],[FPS]]-INDEX(TableWRVORP[FPS],MATCH(WRVORPCalc,TableWRVORP[RK],0))),""))</f>
        <v>13.436314765015666</v>
      </c>
      <c r="V61" s="58">
        <v>60</v>
      </c>
      <c r="W61" s="154" t="str">
        <f>IFERROR(INDEX(TableTECalcPts[PLAYER],MATCH(TableTEVORP[[#This Row],[RK]],TableTECalcPts[RK],0)),"")</f>
        <v>Adam Trautman</v>
      </c>
      <c r="X61" s="154" t="str">
        <f>IFERROR(INDEX(TableTECalcPts[TM],MATCH(TableTEVORP[[#This Row],[RK]],TableTECalcPts[RK],0)),"")</f>
        <v>DEN</v>
      </c>
      <c r="Y61" s="154">
        <f>IFERROR(INDEX(TableTECalcPts[BYE],MATCH(TableTEVORP[[#This Row],[RK]],TableTECalcPts[RK],0)),"")</f>
        <v>10</v>
      </c>
      <c r="Z61" s="155">
        <f>IFERROR(INDEX(TableTECalcPts[Custom],MATCH(TableTEVORP[[#This Row],[RK]],TableTECalcPts[RK],0)),"")</f>
        <v>20.176940339267716</v>
      </c>
      <c r="AA61" s="156">
        <f>IFERROR((TableTEVORP[[#This Row],[FPS]]-INDEX(TableTEVORP[FPS],MATCH(TEVORPCalc,TableTEVORP[RK],0))),"")</f>
        <v>-57.70885363697397</v>
      </c>
      <c r="AF61" s="58" t="s">
        <v>147</v>
      </c>
      <c r="AG61" s="58">
        <v>20</v>
      </c>
      <c r="AH61" s="100">
        <f>RANK(TableOverallMaster[[#This Row],[VORP]],TableOverallMaster[VORP])+COUNTIF($AM$2:AM61,AM61)-1</f>
        <v>79</v>
      </c>
      <c r="AI61" s="157" t="str">
        <f>IFERROR(INDEX(TableRBVORP[RUNNING BACK],MATCH(TableOverallMaster[[#This Row],[RK]],TableRBVORP[RK],0)),"")</f>
        <v>Bhayshul Tuten</v>
      </c>
      <c r="AJ61" s="157" t="str">
        <f t="shared" si="0"/>
        <v>RB20</v>
      </c>
      <c r="AK61" s="157">
        <f>IFERROR(INDEX(TableRBVORP[BYE],MATCH(TableOverallMaster[[#This Row],[RK]],TableRBVORP[RK],0)),"")</f>
        <v>7</v>
      </c>
      <c r="AL61" s="158">
        <f>IFERROR(INDEX(TableRBVORP[FPS],MATCH(TableOverallMaster[[#This Row],[RK]],TableRBVORP[RK],0)),"")</f>
        <v>199.12984589076595</v>
      </c>
      <c r="AM61" s="159">
        <f>IFERROR(INDEX(TableRBVORP[VORP],MATCH(TableOverallMaster[[#This Row],[RK]],TableRBVORP[RK],0)),"")</f>
        <v>76.097605327790859</v>
      </c>
      <c r="AO61" s="58">
        <v>60</v>
      </c>
      <c r="AP61" s="160" t="str">
        <f>IFERROR(INDEX(TableOverallMaster[OVERALL PLAYER],MATCH(TableOverallRank[[#This Row],[RK]],TableOverallMaster[OVR RK],0)),"")</f>
        <v>DJ Moore</v>
      </c>
      <c r="AQ61" s="161" t="str">
        <f>IFERROR(INDEX(TableOverallMaster[POS RK],MATCH(TableOverallRank[[#This Row],[OVERALL PLAYER]],TableOverallMaster[OVERALL PLAYER],0)),"")</f>
        <v>WR27</v>
      </c>
      <c r="AR61" s="162">
        <f>IFERROR(INDEX(TableOverallMaster[BYE],MATCH(TableOverallRank[[#This Row],[OVERALL PLAYER]],TableOverallMaster[OVERALL PLAYER],0)),"")</f>
        <v>7</v>
      </c>
      <c r="AS61" s="161">
        <f>IFERROR(INDEX(TableOverallMaster[Custom],MATCH(TableOverallRank[[#This Row],[OVERALL PLAYER]],TableOverallMaster[OVERALL PLAYER],0)),"")</f>
        <v>185.89535424952149</v>
      </c>
      <c r="AT61" s="163">
        <f>IFERROR(INDEX(TableOverallMaster[VORP],MATCH(TableOverallRank[[#This Row],[OVERALL PLAYER]],TableOverallMaster[OVERALL PLAYER],0)),"")</f>
        <v>95.611168859155427</v>
      </c>
      <c r="AV61" s="58">
        <v>60</v>
      </c>
      <c r="AW61" s="164" t="str">
        <f>IFERROR(INDEX(TableWRTECalcPts[PLAYER],MATCH(TableWRTERank[[#This Row],[RK]],TableWRTECalcPts[RK],0)),"")</f>
        <v>Kyle Pitts</v>
      </c>
      <c r="AX61" s="164" t="str">
        <f>IFERROR(INDEX(TableWRTECalcPts[POS RK],MATCH(TableWRTERank[[#This Row],[WR and TE COMBINED]],TableWRTECalcPts[PLAYER],0)),"")</f>
        <v>TE11</v>
      </c>
      <c r="AY61" s="164">
        <f>IFERROR(INDEX(TableWRTECalcPts[BYE],MATCH(TableWRTERank[[#This Row],[RK]],TableWRTECalcPts[RK],0)),"")</f>
        <v>11</v>
      </c>
      <c r="AZ61" s="165">
        <f>IFERROR(INDEX(TableWRTECalcPts[Custom],MATCH(TableWRTERank[[#This Row],[RK]],TableWRTECalcPts[RK],0)),"")</f>
        <v>141.2363715822917</v>
      </c>
      <c r="BA61" s="166">
        <f>IFERROR((TableWRTERank[[#This Row],[FPS]]-INDEX(TableWRTERank[FPS],MATCH(WRTEVORPCalc,TableWRTERank[RK],0))),"")</f>
        <v>0</v>
      </c>
      <c r="BC61" s="58" t="s">
        <v>148</v>
      </c>
    </row>
    <row r="62" spans="1:55" x14ac:dyDescent="0.25">
      <c r="A62" s="58">
        <v>61</v>
      </c>
      <c r="B62" s="154" t="str">
        <f>IFERROR(INDEX(TableQBCalcPts[PLAYER],MATCH(TableQBVORP[[#This Row],[RK]],TableQBCalcPts[RK],0)),"")</f>
        <v>Taylen Green</v>
      </c>
      <c r="C62" s="154" t="str">
        <f>IFERROR(INDEX(TableQBCalcPts[TM],MATCH(TableQBVORP[[#This Row],[RK]],TableQBCalcPts[RK],0)),"")</f>
        <v>CLE</v>
      </c>
      <c r="D62" s="154">
        <f>IFERROR(INDEX(TableQBCalcPts[BYE],MATCH(TableQBVORP[[#This Row],[RK]],TableQBCalcPts[RK],0)),"")</f>
        <v>11</v>
      </c>
      <c r="E62" s="155">
        <f>IFERROR(INDEX(TableQBCalcPts[Custom],MATCH(TableQBVORP[[#This Row],[RK]],TableQBCalcPts[RK],0)),"")</f>
        <v>4.5875941055999991</v>
      </c>
      <c r="F62" s="156">
        <f>(IFERROR((TableQBVORP[[#This Row],[FPS]]-INDEX(TableQBVORP[FPS],MATCH(QBVORPCalc,TableQBVORP[RK],0))),""))+(TableRBVORP[[#This Row],[VORP]]*0.45)</f>
        <v>-350.59331774684301</v>
      </c>
      <c r="H62" s="58">
        <v>61</v>
      </c>
      <c r="I62" s="154" t="str">
        <f>IFERROR(INDEX(TableRBCalcPts[PLAYER],MATCH(TableRBVORP[[#This Row],[RK]],TableRBCalcPts[RK],0)),"")</f>
        <v>Emari Demercado</v>
      </c>
      <c r="J62" s="154" t="str">
        <f>IFERROR(INDEX(TableRBCalcPts[TM],MATCH(TableRBVORP[[#This Row],[RK]],TableRBCalcPts[RK],0)),"")</f>
        <v>KC</v>
      </c>
      <c r="K62" s="154">
        <f>IFERROR(INDEX(TableRBCalcPts[BYE],MATCH(TableRBVORP[[#This Row],[RK]],TableRBCalcPts[RK],0)),"")</f>
        <v>5</v>
      </c>
      <c r="L62" s="155">
        <f>IFERROR(INDEX(TableRBCalcPts[Custom],MATCH(TableRBVORP[[#This Row],[RK]],TableRBCalcPts[RK],0)),"")</f>
        <v>54.897524150868009</v>
      </c>
      <c r="M62" s="156">
        <f>(IFERROR((TableRBVORP[[#This Row],[FPS]]-INDEX(TableRBVORP[FPS],MATCH(RBVORPCalc,TableRBVORP[RK],0))),""))*0.8</f>
        <v>-39.288252064127498</v>
      </c>
      <c r="O62" s="58">
        <v>61</v>
      </c>
      <c r="P62" s="154" t="str">
        <f>IFERROR(INDEX(TableWRCalcPts[PLAYER],MATCH(TableWRVORP[[#This Row],[RK]],TableWRCalcPts[RK],0)),"")</f>
        <v>Jalen Nailor</v>
      </c>
      <c r="Q62" s="154" t="str">
        <f>IFERROR(INDEX(TableWRCalcPts[TM],MATCH(TableWRVORP[[#This Row],[RK]],TableWRCalcPts[RK],0)),"")</f>
        <v>LV</v>
      </c>
      <c r="R62" s="154">
        <f>IFERROR(INDEX(TableWRCalcPts[BYE],MATCH(TableWRVORP[[#This Row],[RK]],TableWRCalcPts[RK],0)),"")</f>
        <v>13</v>
      </c>
      <c r="S62" s="155">
        <f>IFERROR(INDEX(TableWRCalcPts[Custom],MATCH(TableWRVORP[[#This Row],[RK]],TableWRCalcPts[RK],0)),"")</f>
        <v>103.21973275557887</v>
      </c>
      <c r="T62" s="156">
        <f>(IFERROR((TableWRVORP[[#This Row],[FPS]]-INDEX(TableWRVORP[FPS],MATCH(WRVORPCalc,TableWRVORP[RK],0))),""))</f>
        <v>12.935547365212813</v>
      </c>
      <c r="V62" s="58">
        <v>61</v>
      </c>
      <c r="W62" s="154" t="str">
        <f>IFERROR(INDEX(TableTECalcPts[PLAYER],MATCH(TableTEVORP[[#This Row],[RK]],TableTECalcPts[RK],0)),"")</f>
        <v>Tanner Koziol</v>
      </c>
      <c r="X62" s="154" t="str">
        <f>IFERROR(INDEX(TableTECalcPts[TM],MATCH(TableTEVORP[[#This Row],[RK]],TableTECalcPts[RK],0)),"")</f>
        <v>JAX</v>
      </c>
      <c r="Y62" s="154">
        <f>IFERROR(INDEX(TableTECalcPts[BYE],MATCH(TableTEVORP[[#This Row],[RK]],TableTECalcPts[RK],0)),"")</f>
        <v>7</v>
      </c>
      <c r="Z62" s="155">
        <f>IFERROR(INDEX(TableTECalcPts[Custom],MATCH(TableTEVORP[[#This Row],[RK]],TableTECalcPts[RK],0)),"")</f>
        <v>19.747819077336001</v>
      </c>
      <c r="AA62" s="156">
        <f>IFERROR((TableTEVORP[[#This Row],[FPS]]-INDEX(TableTEVORP[FPS],MATCH(TEVORPCalc,TableTEVORP[RK],0))),"")</f>
        <v>-58.137974898905682</v>
      </c>
      <c r="AF62" s="58" t="s">
        <v>147</v>
      </c>
      <c r="AG62" s="58">
        <v>21</v>
      </c>
      <c r="AH62" s="100">
        <f>RANK(TableOverallMaster[[#This Row],[VORP]],TableOverallMaster[VORP])+COUNTIF($AM$2:AM62,AM62)-1</f>
        <v>84</v>
      </c>
      <c r="AI62" s="157" t="str">
        <f>IFERROR(INDEX(TableRBVORP[RUNNING BACK],MATCH(TableOverallMaster[[#This Row],[RK]],TableRBVORP[RK],0)),"")</f>
        <v>David Montgomery</v>
      </c>
      <c r="AJ62" s="157" t="str">
        <f t="shared" si="0"/>
        <v>RB21</v>
      </c>
      <c r="AK62" s="157">
        <f>IFERROR(INDEX(TableRBVORP[BYE],MATCH(TableOverallMaster[[#This Row],[RK]],TableRBVORP[RK],0)),"")</f>
        <v>8</v>
      </c>
      <c r="AL62" s="158">
        <f>IFERROR(INDEX(TableRBVORP[FPS],MATCH(TableOverallMaster[[#This Row],[RK]],TableRBVORP[RK],0)),"")</f>
        <v>195.35659337837441</v>
      </c>
      <c r="AM62" s="159">
        <f>IFERROR(INDEX(TableRBVORP[VORP],MATCH(TableOverallMaster[[#This Row],[RK]],TableRBVORP[RK],0)),"")</f>
        <v>73.079003317877635</v>
      </c>
      <c r="AO62" s="58">
        <v>61</v>
      </c>
      <c r="AP62" s="160" t="str">
        <f>IFERROR(INDEX(TableOverallMaster[OVERALL PLAYER],MATCH(TableOverallRank[[#This Row],[RK]],TableOverallMaster[OVR RK],0)),"")</f>
        <v>Kyren Williams</v>
      </c>
      <c r="AQ62" s="161" t="str">
        <f>IFERROR(INDEX(TableOverallMaster[POS RK],MATCH(TableOverallRank[[#This Row],[OVERALL PLAYER]],TableOverallMaster[OVERALL PLAYER],0)),"")</f>
        <v>RB15</v>
      </c>
      <c r="AR62" s="162">
        <f>IFERROR(INDEX(TableOverallMaster[BYE],MATCH(TableOverallRank[[#This Row],[OVERALL PLAYER]],TableOverallMaster[OVERALL PLAYER],0)),"")</f>
        <v>11</v>
      </c>
      <c r="AS62" s="161">
        <f>IFERROR(INDEX(TableOverallMaster[Custom],MATCH(TableOverallRank[[#This Row],[OVERALL PLAYER]],TableOverallMaster[OVERALL PLAYER],0)),"")</f>
        <v>222.27899113491048</v>
      </c>
      <c r="AT62" s="163">
        <f>IFERROR(INDEX(TableOverallMaster[VORP],MATCH(TableOverallRank[[#This Row],[OVERALL PLAYER]],TableOverallMaster[OVERALL PLAYER],0)),"")</f>
        <v>94.616921523106498</v>
      </c>
      <c r="AV62" s="58">
        <v>61</v>
      </c>
      <c r="AW62" s="164" t="str">
        <f>IFERROR(INDEX(TableWRTECalcPts[PLAYER],MATCH(TableWRTERank[[#This Row],[RK]],TableWRTECalcPts[RK],0)),"")</f>
        <v>Jakobi Meyers</v>
      </c>
      <c r="AX62" s="164" t="str">
        <f>IFERROR(INDEX(TableWRTECalcPts[POS RK],MATCH(TableWRTERank[[#This Row],[WR and TE COMBINED]],TableWRTECalcPts[PLAYER],0)),"")</f>
        <v>WR50</v>
      </c>
      <c r="AY62" s="164">
        <f>IFERROR(INDEX(TableWRTECalcPts[BYE],MATCH(TableWRTERank[[#This Row],[RK]],TableWRTECalcPts[RK],0)),"")</f>
        <v>7</v>
      </c>
      <c r="AZ62" s="165">
        <f>IFERROR(INDEX(TableWRTECalcPts[Custom],MATCH(TableWRTERank[[#This Row],[RK]],TableWRTECalcPts[RK],0)),"")</f>
        <v>137.56599358807983</v>
      </c>
      <c r="BA62" s="166">
        <f>IFERROR((TableWRTERank[[#This Row],[FPS]]-INDEX(TableWRTERank[FPS],MATCH(WRTEVORPCalc,TableWRTERank[RK],0))),"")</f>
        <v>-3.6703779942118615</v>
      </c>
      <c r="BC62" s="58" t="s">
        <v>148</v>
      </c>
    </row>
    <row r="63" spans="1:55" x14ac:dyDescent="0.25">
      <c r="A63" s="58">
        <v>62</v>
      </c>
      <c r="B63" s="154" t="str">
        <f>IFERROR(INDEX(TableQBCalcPts[PLAYER],MATCH(TableQBVORP[[#This Row],[RK]],TableQBCalcPts[RK],0)),"")</f>
        <v>Davis Mills</v>
      </c>
      <c r="C63" s="154" t="str">
        <f>IFERROR(INDEX(TableQBCalcPts[TM],MATCH(TableQBVORP[[#This Row],[RK]],TableQBCalcPts[RK],0)),"")</f>
        <v>HOU</v>
      </c>
      <c r="D63" s="154">
        <f>IFERROR(INDEX(TableQBCalcPts[BYE],MATCH(TableQBVORP[[#This Row],[RK]],TableQBCalcPts[RK],0)),"")</f>
        <v>8</v>
      </c>
      <c r="E63" s="155">
        <f>IFERROR(INDEX(TableQBCalcPts[Custom],MATCH(TableQBVORP[[#This Row],[RK]],TableQBCalcPts[RK],0)),"")</f>
        <v>4.2706835356278372</v>
      </c>
      <c r="F63" s="156">
        <f>(IFERROR((TableQBVORP[[#This Row],[FPS]]-INDEX(TableQBVORP[FPS],MATCH(QBVORPCalc,TableQBVORP[RK],0))),""))+(TableRBVORP[[#This Row],[VORP]]*0.45)</f>
        <v>-352.35554148620474</v>
      </c>
      <c r="H63" s="58">
        <v>62</v>
      </c>
      <c r="I63" s="154" t="str">
        <f>IFERROR(INDEX(TableRBCalcPts[PLAYER],MATCH(TableRBVORP[[#This Row],[RK]],TableRBCalcPts[RK],0)),"")</f>
        <v>Nicholas Singleton</v>
      </c>
      <c r="J63" s="154" t="str">
        <f>IFERROR(INDEX(TableRBCalcPts[TM],MATCH(TableRBVORP[[#This Row],[RK]],TableRBCalcPts[RK],0)),"")</f>
        <v>TEN</v>
      </c>
      <c r="K63" s="154">
        <f>IFERROR(INDEX(TableRBCalcPts[BYE],MATCH(TableRBVORP[[#This Row],[RK]],TableRBCalcPts[RK],0)),"")</f>
        <v>9</v>
      </c>
      <c r="L63" s="155">
        <f>IFERROR(INDEX(TableRBCalcPts[Custom],MATCH(TableRBVORP[[#This Row],[RK]],TableRBCalcPts[RK],0)),"")</f>
        <v>50.882765347008004</v>
      </c>
      <c r="M63" s="156">
        <f>(IFERROR((TableRBVORP[[#This Row],[FPS]]-INDEX(TableRBVORP[FPS],MATCH(RBVORPCalc,TableRBVORP[RK],0))),""))*0.8</f>
        <v>-42.500059107215499</v>
      </c>
      <c r="O63" s="58">
        <v>62</v>
      </c>
      <c r="P63" s="154" t="str">
        <f>IFERROR(INDEX(TableWRCalcPts[PLAYER],MATCH(TableWRVORP[[#This Row],[RK]],TableWRCalcPts[RK],0)),"")</f>
        <v>Adonai Mitchell</v>
      </c>
      <c r="Q63" s="154" t="str">
        <f>IFERROR(INDEX(TableWRCalcPts[TM],MATCH(TableWRVORP[[#This Row],[RK]],TableWRCalcPts[RK],0)),"")</f>
        <v>NYJ</v>
      </c>
      <c r="R63" s="154">
        <f>IFERROR(INDEX(TableWRCalcPts[BYE],MATCH(TableWRVORP[[#This Row],[RK]],TableWRCalcPts[RK],0)),"")</f>
        <v>13</v>
      </c>
      <c r="S63" s="155">
        <f>IFERROR(INDEX(TableWRCalcPts[Custom],MATCH(TableWRVORP[[#This Row],[RK]],TableWRCalcPts[RK],0)),"")</f>
        <v>101.89531015054624</v>
      </c>
      <c r="T63" s="156">
        <f>(IFERROR((TableWRVORP[[#This Row],[FPS]]-INDEX(TableWRVORP[FPS],MATCH(WRVORPCalc,TableWRVORP[RK],0))),""))</f>
        <v>11.611124760180175</v>
      </c>
      <c r="V63" s="58">
        <v>62</v>
      </c>
      <c r="W63" s="154" t="str">
        <f>IFERROR(INDEX(TableTECalcPts[PLAYER],MATCH(TableTEVORP[[#This Row],[RK]],TableTECalcPts[RK],0)),"")</f>
        <v>Brock Wright</v>
      </c>
      <c r="X63" s="154" t="str">
        <f>IFERROR(INDEX(TableTECalcPts[TM],MATCH(TableTEVORP[[#This Row],[RK]],TableTECalcPts[RK],0)),"")</f>
        <v>DET</v>
      </c>
      <c r="Y63" s="154">
        <f>IFERROR(INDEX(TableTECalcPts[BYE],MATCH(TableTEVORP[[#This Row],[RK]],TableTECalcPts[RK],0)),"")</f>
        <v>6</v>
      </c>
      <c r="Z63" s="155">
        <f>IFERROR(INDEX(TableTECalcPts[Custom],MATCH(TableTEVORP[[#This Row],[RK]],TableTECalcPts[RK],0)),"")</f>
        <v>18.232570883216621</v>
      </c>
      <c r="AA63" s="156">
        <f>IFERROR((TableTEVORP[[#This Row],[FPS]]-INDEX(TableTEVORP[FPS],MATCH(TEVORPCalc,TableTEVORP[RK],0))),"")</f>
        <v>-59.653223093025062</v>
      </c>
      <c r="AF63" s="58" t="s">
        <v>147</v>
      </c>
      <c r="AG63" s="58">
        <v>22</v>
      </c>
      <c r="AH63" s="100">
        <f>RANK(TableOverallMaster[[#This Row],[VORP]],TableOverallMaster[VORP])+COUNTIF($AM$2:AM63,AM63)-1</f>
        <v>89</v>
      </c>
      <c r="AI63" s="157" t="str">
        <f>IFERROR(INDEX(TableRBVORP[RUNNING BACK],MATCH(TableOverallMaster[[#This Row],[RK]],TableRBVORP[RK],0)),"")</f>
        <v>TreVeyon Henderson</v>
      </c>
      <c r="AJ63" s="157" t="str">
        <f t="shared" si="0"/>
        <v>RB22</v>
      </c>
      <c r="AK63" s="157">
        <f>IFERROR(INDEX(TableRBVORP[BYE],MATCH(TableOverallMaster[[#This Row],[RK]],TableRBVORP[RK],0)),"")</f>
        <v>11</v>
      </c>
      <c r="AL63" s="158">
        <f>IFERROR(INDEX(TableRBVORP[FPS],MATCH(TableOverallMaster[[#This Row],[RK]],TableRBVORP[RK],0)),"")</f>
        <v>190.66909293364586</v>
      </c>
      <c r="AM63" s="159">
        <f>IFERROR(INDEX(TableRBVORP[VORP],MATCH(TableOverallMaster[[#This Row],[RK]],TableRBVORP[RK],0)),"")</f>
        <v>69.329002962094791</v>
      </c>
      <c r="AO63" s="58">
        <v>62</v>
      </c>
      <c r="AP63" s="160" t="str">
        <f>IFERROR(INDEX(TableOverallMaster[OVERALL PLAYER],MATCH(TableOverallRank[[#This Row],[RK]],TableOverallMaster[OVR RK],0)),"")</f>
        <v>Jameson Williams</v>
      </c>
      <c r="AQ63" s="161" t="str">
        <f>IFERROR(INDEX(TableOverallMaster[POS RK],MATCH(TableOverallRank[[#This Row],[OVERALL PLAYER]],TableOverallMaster[OVERALL PLAYER],0)),"")</f>
        <v>WR28</v>
      </c>
      <c r="AR63" s="162">
        <f>IFERROR(INDEX(TableOverallMaster[BYE],MATCH(TableOverallRank[[#This Row],[OVERALL PLAYER]],TableOverallMaster[OVERALL PLAYER],0)),"")</f>
        <v>6</v>
      </c>
      <c r="AS63" s="161">
        <f>IFERROR(INDEX(TableOverallMaster[Custom],MATCH(TableOverallRank[[#This Row],[OVERALL PLAYER]],TableOverallMaster[OVERALL PLAYER],0)),"")</f>
        <v>184.03111003656136</v>
      </c>
      <c r="AT63" s="163">
        <f>IFERROR(INDEX(TableOverallMaster[VORP],MATCH(TableOverallRank[[#This Row],[OVERALL PLAYER]],TableOverallMaster[OVERALL PLAYER],0)),"")</f>
        <v>93.746924646195296</v>
      </c>
      <c r="AV63" s="58">
        <v>62</v>
      </c>
      <c r="AW63" s="164" t="str">
        <f>IFERROR(INDEX(TableWRTECalcPts[PLAYER],MATCH(TableWRTERank[[#This Row],[RK]],TableWRTECalcPts[RK],0)),"")</f>
        <v>Dalton Kincaid</v>
      </c>
      <c r="AX63" s="164" t="str">
        <f>IFERROR(INDEX(TableWRTECalcPts[POS RK],MATCH(TableWRTERank[[#This Row],[WR and TE COMBINED]],TableWRTECalcPts[PLAYER],0)),"")</f>
        <v>TE12</v>
      </c>
      <c r="AY63" s="164">
        <f>IFERROR(INDEX(TableWRTECalcPts[BYE],MATCH(TableWRTERank[[#This Row],[RK]],TableWRTECalcPts[RK],0)),"")</f>
        <v>7</v>
      </c>
      <c r="AZ63" s="165">
        <f>IFERROR(INDEX(TableWRTECalcPts[Custom],MATCH(TableWRTERank[[#This Row],[RK]],TableWRTECalcPts[RK],0)),"")</f>
        <v>137.45097051248635</v>
      </c>
      <c r="BA63" s="166">
        <f>IFERROR((TableWRTERank[[#This Row],[FPS]]-INDEX(TableWRTERank[FPS],MATCH(WRTEVORPCalc,TableWRTERank[RK],0))),"")</f>
        <v>-3.7854010698053457</v>
      </c>
      <c r="BC63" s="58" t="s">
        <v>148</v>
      </c>
    </row>
    <row r="64" spans="1:55" x14ac:dyDescent="0.25">
      <c r="A64" s="58">
        <v>63</v>
      </c>
      <c r="B64" s="154" t="str">
        <f>IFERROR(INDEX(TableQBCalcPts[PLAYER],MATCH(TableQBVORP[[#This Row],[RK]],TableQBCalcPts[RK],0)),"")</f>
        <v>Nick Mullens</v>
      </c>
      <c r="C64" s="154" t="str">
        <f>IFERROR(INDEX(TableQBCalcPts[TM],MATCH(TableQBVORP[[#This Row],[RK]],TableQBCalcPts[RK],0)),"")</f>
        <v>JAX</v>
      </c>
      <c r="D64" s="154">
        <f>IFERROR(INDEX(TableQBCalcPts[BYE],MATCH(TableQBVORP[[#This Row],[RK]],TableQBCalcPts[RK],0)),"")</f>
        <v>7</v>
      </c>
      <c r="E64" s="155">
        <f>IFERROR(INDEX(TableQBCalcPts[Custom],MATCH(TableQBVORP[[#This Row],[RK]],TableQBCalcPts[RK],0)),"")</f>
        <v>3.3384700000908967</v>
      </c>
      <c r="F64" s="156">
        <f>(IFERROR((TableQBVORP[[#This Row],[FPS]]-INDEX(TableQBVORP[FPS],MATCH(QBVORPCalc,TableQBVORP[RK],0))),""))+(TableRBVORP[[#This Row],[VORP]]*0.45)</f>
        <v>-354.05058052579386</v>
      </c>
      <c r="H64" s="58">
        <v>63</v>
      </c>
      <c r="I64" s="154" t="str">
        <f>IFERROR(INDEX(TableRBCalcPts[PLAYER],MATCH(TableRBVORP[[#This Row],[RK]],TableRBCalcPts[RK],0)),"")</f>
        <v>Ray Davis</v>
      </c>
      <c r="J64" s="154" t="str">
        <f>IFERROR(INDEX(TableRBCalcPts[TM],MATCH(TableRBVORP[[#This Row],[RK]],TableRBCalcPts[RK],0)),"")</f>
        <v>BUF</v>
      </c>
      <c r="K64" s="154">
        <f>IFERROR(INDEX(TableRBCalcPts[BYE],MATCH(TableRBVORP[[#This Row],[RK]],TableRBCalcPts[RK],0)),"")</f>
        <v>7</v>
      </c>
      <c r="L64" s="155">
        <f>IFERROR(INDEX(TableRBCalcPts[Custom],MATCH(TableRBVORP[[#This Row],[RK]],TableRBCalcPts[RK],0)),"")</f>
        <v>48.763805613529733</v>
      </c>
      <c r="M64" s="156">
        <f>(IFERROR((TableRBVORP[[#This Row],[FPS]]-INDEX(TableRBVORP[FPS],MATCH(RBVORPCalc,TableRBVORP[RK],0))),""))*0.8</f>
        <v>-44.195226893998118</v>
      </c>
      <c r="O64" s="58">
        <v>63</v>
      </c>
      <c r="P64" s="154" t="str">
        <f>IFERROR(INDEX(TableWRCalcPts[PLAYER],MATCH(TableWRVORP[[#This Row],[RK]],TableWRCalcPts[RK],0)),"")</f>
        <v>Jack Bech</v>
      </c>
      <c r="Q64" s="154" t="str">
        <f>IFERROR(INDEX(TableWRCalcPts[TM],MATCH(TableWRVORP[[#This Row],[RK]],TableWRCalcPts[RK],0)),"")</f>
        <v>LV</v>
      </c>
      <c r="R64" s="154">
        <f>IFERROR(INDEX(TableWRCalcPts[BYE],MATCH(TableWRVORP[[#This Row],[RK]],TableWRCalcPts[RK],0)),"")</f>
        <v>13</v>
      </c>
      <c r="S64" s="155">
        <f>IFERROR(INDEX(TableWRCalcPts[Custom],MATCH(TableWRVORP[[#This Row],[RK]],TableWRCalcPts[RK],0)),"")</f>
        <v>101.30747732999711</v>
      </c>
      <c r="T64" s="156">
        <f>(IFERROR((TableWRVORP[[#This Row],[FPS]]-INDEX(TableWRVORP[FPS],MATCH(WRVORPCalc,TableWRVORP[RK],0))),""))</f>
        <v>11.023291939631051</v>
      </c>
      <c r="V64" s="58">
        <v>63</v>
      </c>
      <c r="W64" s="154" t="str">
        <f>IFERROR(INDEX(TableTECalcPts[PLAYER],MATCH(TableTEVORP[[#This Row],[RK]],TableTECalcPts[RK],0)),"")</f>
        <v>Marlin Klein</v>
      </c>
      <c r="X64" s="154" t="str">
        <f>IFERROR(INDEX(TableTECalcPts[TM],MATCH(TableTEVORP[[#This Row],[RK]],TableTECalcPts[RK],0)),"")</f>
        <v>HOU</v>
      </c>
      <c r="Y64" s="154">
        <f>IFERROR(INDEX(TableTECalcPts[BYE],MATCH(TableTEVORP[[#This Row],[RK]],TableTECalcPts[RK],0)),"")</f>
        <v>8</v>
      </c>
      <c r="Z64" s="155">
        <f>IFERROR(INDEX(TableTECalcPts[Custom],MATCH(TableTEVORP[[#This Row],[RK]],TableTECalcPts[RK],0)),"")</f>
        <v>18.025268113439999</v>
      </c>
      <c r="AA64" s="156">
        <f>IFERROR((TableTEVORP[[#This Row],[FPS]]-INDEX(TableTEVORP[FPS],MATCH(TEVORPCalc,TableTEVORP[RK],0))),"")</f>
        <v>-59.860525862801687</v>
      </c>
      <c r="AF64" s="58" t="s">
        <v>147</v>
      </c>
      <c r="AG64" s="58">
        <v>23</v>
      </c>
      <c r="AH64" s="100">
        <f>RANK(TableOverallMaster[[#This Row],[VORP]],TableOverallMaster[VORP])+COUNTIF($AM$2:AM64,AM64)-1</f>
        <v>91</v>
      </c>
      <c r="AI64" s="157" t="str">
        <f>IFERROR(INDEX(TableRBVORP[RUNNING BACK],MATCH(TableOverallMaster[[#This Row],[RK]],TableRBVORP[RK],0)),"")</f>
        <v>Rhamondre Stevenson</v>
      </c>
      <c r="AJ64" s="157" t="str">
        <f t="shared" si="0"/>
        <v>RB23</v>
      </c>
      <c r="AK64" s="157">
        <f>IFERROR(INDEX(TableRBVORP[BYE],MATCH(TableOverallMaster[[#This Row],[RK]],TableRBVORP[RK],0)),"")</f>
        <v>11</v>
      </c>
      <c r="AL64" s="158">
        <f>IFERROR(INDEX(TableRBVORP[FPS],MATCH(TableOverallMaster[[#This Row],[RK]],TableRBVORP[RK],0)),"")</f>
        <v>189.05386180345894</v>
      </c>
      <c r="AM64" s="159">
        <f>IFERROR(INDEX(TableRBVORP[VORP],MATCH(TableOverallMaster[[#This Row],[RK]],TableRBVORP[RK],0)),"")</f>
        <v>68.036818057945254</v>
      </c>
      <c r="AO64" s="58">
        <v>63</v>
      </c>
      <c r="AP64" s="160" t="str">
        <f>IFERROR(INDEX(TableOverallMaster[OVERALL PLAYER],MATCH(TableOverallRank[[#This Row],[RK]],TableOverallMaster[OVR RK],0)),"")</f>
        <v>Breece Hall</v>
      </c>
      <c r="AQ64" s="161" t="str">
        <f>IFERROR(INDEX(TableOverallMaster[POS RK],MATCH(TableOverallRank[[#This Row],[OVERALL PLAYER]],TableOverallMaster[OVERALL PLAYER],0)),"")</f>
        <v>RB16</v>
      </c>
      <c r="AR64" s="162">
        <f>IFERROR(INDEX(TableOverallMaster[BYE],MATCH(TableOverallRank[[#This Row],[OVERALL PLAYER]],TableOverallMaster[OVERALL PLAYER],0)),"")</f>
        <v>13</v>
      </c>
      <c r="AS64" s="161">
        <f>IFERROR(INDEX(TableOverallMaster[Custom],MATCH(TableOverallRank[[#This Row],[OVERALL PLAYER]],TableOverallMaster[OVERALL PLAYER],0)),"")</f>
        <v>219.69324965444545</v>
      </c>
      <c r="AT64" s="163">
        <f>IFERROR(INDEX(TableOverallMaster[VORP],MATCH(TableOverallRank[[#This Row],[OVERALL PLAYER]],TableOverallMaster[OVERALL PLAYER],0)),"")</f>
        <v>92.548328338734464</v>
      </c>
      <c r="AV64" s="58">
        <v>63</v>
      </c>
      <c r="AW64" s="164" t="str">
        <f>IFERROR(INDEX(TableWRTECalcPts[PLAYER],MATCH(TableWRTERank[[#This Row],[RK]],TableWRTECalcPts[RK],0)),"")</f>
        <v>Jalen Coker</v>
      </c>
      <c r="AX64" s="164" t="str">
        <f>IFERROR(INDEX(TableWRTECalcPts[POS RK],MATCH(TableWRTERank[[#This Row],[WR and TE COMBINED]],TableWRTECalcPts[PLAYER],0)),"")</f>
        <v>WR51</v>
      </c>
      <c r="AY64" s="164">
        <f>IFERROR(INDEX(TableWRTECalcPts[BYE],MATCH(TableWRTERank[[#This Row],[RK]],TableWRTECalcPts[RK],0)),"")</f>
        <v>5</v>
      </c>
      <c r="AZ64" s="165">
        <f>IFERROR(INDEX(TableWRTECalcPts[Custom],MATCH(TableWRTERank[[#This Row],[RK]],TableWRTECalcPts[RK],0)),"")</f>
        <v>136.0645177815</v>
      </c>
      <c r="BA64" s="166">
        <f>IFERROR((TableWRTERank[[#This Row],[FPS]]-INDEX(TableWRTERank[FPS],MATCH(WRTEVORPCalc,TableWRTERank[RK],0))),"")</f>
        <v>-5.1718538007916948</v>
      </c>
      <c r="BC64" s="58" t="s">
        <v>148</v>
      </c>
    </row>
    <row r="65" spans="1:55" x14ac:dyDescent="0.25">
      <c r="A65" s="58">
        <v>64</v>
      </c>
      <c r="B65" s="154" t="str">
        <f>IFERROR(INDEX(TableQBCalcPts[PLAYER],MATCH(TableQBVORP[[#This Row],[RK]],TableQBCalcPts[RK],0)),"")</f>
        <v>Ty Simpson</v>
      </c>
      <c r="C65" s="154" t="str">
        <f>IFERROR(INDEX(TableQBCalcPts[TM],MATCH(TableQBVORP[[#This Row],[RK]],TableQBCalcPts[RK],0)),"")</f>
        <v>LAR</v>
      </c>
      <c r="D65" s="154">
        <f>IFERROR(INDEX(TableQBCalcPts[BYE],MATCH(TableQBVORP[[#This Row],[RK]],TableQBCalcPts[RK],0)),"")</f>
        <v>11</v>
      </c>
      <c r="E65" s="155">
        <f>IFERROR(INDEX(TableQBCalcPts[Custom],MATCH(TableQBVORP[[#This Row],[RK]],TableQBCalcPts[RK],0)),"")</f>
        <v>3.1693723592521681</v>
      </c>
      <c r="F65" s="156">
        <f>(IFERROR((TableQBVORP[[#This Row],[FPS]]-INDEX(TableQBVORP[FPS],MATCH(QBVORPCalc,TableQBVORP[RK],0))),""))+(TableRBVORP[[#This Row],[VORP]]*0.45)</f>
        <v>-354.43630308867046</v>
      </c>
      <c r="H65" s="58">
        <v>64</v>
      </c>
      <c r="I65" s="154" t="str">
        <f>IFERROR(INDEX(TableRBCalcPts[PLAYER],MATCH(TableRBVORP[[#This Row],[RK]],TableRBCalcPts[RK],0)),"")</f>
        <v>Emmett Johnson</v>
      </c>
      <c r="J65" s="154" t="str">
        <f>IFERROR(INDEX(TableRBCalcPts[TM],MATCH(TableRBVORP[[#This Row],[RK]],TableRBCalcPts[RK],0)),"")</f>
        <v>KC</v>
      </c>
      <c r="K65" s="154">
        <f>IFERROR(INDEX(TableRBCalcPts[BYE],MATCH(TableRBVORP[[#This Row],[RK]],TableRBCalcPts[RK],0)),"")</f>
        <v>5</v>
      </c>
      <c r="L65" s="155">
        <f>IFERROR(INDEX(TableRBCalcPts[Custom],MATCH(TableRBVORP[[#This Row],[RK]],TableRBCalcPts[RK],0)),"")</f>
        <v>48.16206971898</v>
      </c>
      <c r="M65" s="156">
        <f>(IFERROR((TableRBVORP[[#This Row],[FPS]]-INDEX(TableRBVORP[FPS],MATCH(RBVORPCalc,TableRBVORP[RK],0))),""))*0.8</f>
        <v>-44.676615609637906</v>
      </c>
      <c r="O65" s="58">
        <v>64</v>
      </c>
      <c r="P65" s="154" t="str">
        <f>IFERROR(INDEX(TableWRCalcPts[PLAYER],MATCH(TableWRVORP[[#This Row],[RK]],TableWRCalcPts[RK],0)),"")</f>
        <v>Andrei Iosivas</v>
      </c>
      <c r="Q65" s="154" t="str">
        <f>IFERROR(INDEX(TableWRCalcPts[TM],MATCH(TableWRVORP[[#This Row],[RK]],TableWRCalcPts[RK],0)),"")</f>
        <v>CIN</v>
      </c>
      <c r="R65" s="154">
        <f>IFERROR(INDEX(TableWRCalcPts[BYE],MATCH(TableWRVORP[[#This Row],[RK]],TableWRCalcPts[RK],0)),"")</f>
        <v>6</v>
      </c>
      <c r="S65" s="155">
        <f>IFERROR(INDEX(TableWRCalcPts[Custom],MATCH(TableWRVORP[[#This Row],[RK]],TableWRCalcPts[RK],0)),"")</f>
        <v>101.18003586602683</v>
      </c>
      <c r="T65" s="156">
        <f>(IFERROR((TableWRVORP[[#This Row],[FPS]]-INDEX(TableWRVORP[FPS],MATCH(WRVORPCalc,TableWRVORP[RK],0))),""))</f>
        <v>10.895850475660765</v>
      </c>
      <c r="V65" s="58">
        <v>64</v>
      </c>
      <c r="W65" s="154" t="str">
        <f>IFERROR(INDEX(TableTECalcPts[PLAYER],MATCH(TableTEVORP[[#This Row],[RK]],TableTECalcPts[RK],0)),"")</f>
        <v>Ben Sinnott</v>
      </c>
      <c r="X65" s="154" t="str">
        <f>IFERROR(INDEX(TableTECalcPts[TM],MATCH(TableTEVORP[[#This Row],[RK]],TableTECalcPts[RK],0)),"")</f>
        <v>WSH</v>
      </c>
      <c r="Y65" s="154">
        <f>IFERROR(INDEX(TableTECalcPts[BYE],MATCH(TableTEVORP[[#This Row],[RK]],TableTECalcPts[RK],0)),"")</f>
        <v>7</v>
      </c>
      <c r="Z65" s="155">
        <f>IFERROR(INDEX(TableTECalcPts[Custom],MATCH(TableTEVORP[[#This Row],[RK]],TableTECalcPts[RK],0)),"")</f>
        <v>17.804662151116609</v>
      </c>
      <c r="AA65" s="156">
        <f>IFERROR((TableTEVORP[[#This Row],[FPS]]-INDEX(TableTEVORP[FPS],MATCH(TEVORPCalc,TableTEVORP[RK],0))),"")</f>
        <v>-60.081131825125077</v>
      </c>
      <c r="AF65" s="58" t="s">
        <v>147</v>
      </c>
      <c r="AG65" s="58">
        <v>24</v>
      </c>
      <c r="AH65" s="100">
        <f>RANK(TableOverallMaster[[#This Row],[VORP]],TableOverallMaster[VORP])+COUNTIF($AM$2:AM65,AM65)-1</f>
        <v>92</v>
      </c>
      <c r="AI65" s="157" t="str">
        <f>IFERROR(INDEX(TableRBVORP[RUNNING BACK],MATCH(TableOverallMaster[[#This Row],[RK]],TableRBVORP[RK],0)),"")</f>
        <v>Quinshon Judkins</v>
      </c>
      <c r="AJ65" s="157" t="str">
        <f t="shared" si="0"/>
        <v>RB24</v>
      </c>
      <c r="AK65" s="157">
        <f>IFERROR(INDEX(TableRBVORP[BYE],MATCH(TableOverallMaster[[#This Row],[RK]],TableRBVORP[RK],0)),"")</f>
        <v>11</v>
      </c>
      <c r="AL65" s="158">
        <f>IFERROR(INDEX(TableRBVORP[FPS],MATCH(TableOverallMaster[[#This Row],[RK]],TableRBVORP[RK],0)),"")</f>
        <v>188.99420386322706</v>
      </c>
      <c r="AM65" s="159">
        <f>IFERROR(INDEX(TableRBVORP[VORP],MATCH(TableOverallMaster[[#This Row],[RK]],TableRBVORP[RK],0)),"")</f>
        <v>67.989091705759748</v>
      </c>
      <c r="AO65" s="58">
        <v>64</v>
      </c>
      <c r="AP65" s="160" t="str">
        <f>IFERROR(INDEX(TableOverallMaster[OVERALL PLAYER],MATCH(TableOverallRank[[#This Row],[RK]],TableOverallMaster[OVR RK],0)),"")</f>
        <v>Josh Jacobs</v>
      </c>
      <c r="AQ65" s="161" t="str">
        <f>IFERROR(INDEX(TableOverallMaster[POS RK],MATCH(TableOverallRank[[#This Row],[OVERALL PLAYER]],TableOverallMaster[OVERALL PLAYER],0)),"")</f>
        <v>RB17</v>
      </c>
      <c r="AR65" s="162">
        <f>IFERROR(INDEX(TableOverallMaster[BYE],MATCH(TableOverallRank[[#This Row],[OVERALL PLAYER]],TableOverallMaster[OVERALL PLAYER],0)),"")</f>
        <v>11</v>
      </c>
      <c r="AS65" s="161">
        <f>IFERROR(INDEX(TableOverallMaster[Custom],MATCH(TableOverallRank[[#This Row],[OVERALL PLAYER]],TableOverallMaster[OVERALL PLAYER],0)),"")</f>
        <v>217.57593303188446</v>
      </c>
      <c r="AT65" s="163">
        <f>IFERROR(INDEX(TableOverallMaster[VORP],MATCH(TableOverallRank[[#This Row],[OVERALL PLAYER]],TableOverallMaster[OVERALL PLAYER],0)),"")</f>
        <v>90.854475040685671</v>
      </c>
      <c r="AV65" s="58">
        <v>64</v>
      </c>
      <c r="AW65" s="164" t="str">
        <f>IFERROR(INDEX(TableWRTECalcPts[PLAYER],MATCH(TableWRTERank[[#This Row],[RK]],TableWRTECalcPts[RK],0)),"")</f>
        <v>Jake Ferguson</v>
      </c>
      <c r="AX65" s="164" t="str">
        <f>IFERROR(INDEX(TableWRTECalcPts[POS RK],MATCH(TableWRTERank[[#This Row],[WR and TE COMBINED]],TableWRTECalcPts[PLAYER],0)),"")</f>
        <v>TE13</v>
      </c>
      <c r="AY65" s="164">
        <f>IFERROR(INDEX(TableWRTECalcPts[BYE],MATCH(TableWRTERank[[#This Row],[RK]],TableWRTECalcPts[RK],0)),"")</f>
        <v>14</v>
      </c>
      <c r="AZ65" s="165">
        <f>IFERROR(INDEX(TableWRTECalcPts[Custom],MATCH(TableWRTERank[[#This Row],[RK]],TableWRTECalcPts[RK],0)),"")</f>
        <v>135.53776951944241</v>
      </c>
      <c r="BA65" s="166">
        <f>IFERROR((TableWRTERank[[#This Row],[FPS]]-INDEX(TableWRTERank[FPS],MATCH(WRTEVORPCalc,TableWRTERank[RK],0))),"")</f>
        <v>-5.6986020628492895</v>
      </c>
      <c r="BC65" s="58" t="s">
        <v>148</v>
      </c>
    </row>
    <row r="66" spans="1:55" x14ac:dyDescent="0.25">
      <c r="A66" s="58">
        <v>65</v>
      </c>
      <c r="B66" s="154" t="str">
        <f>IFERROR(INDEX(TableQBCalcPts[PLAYER],MATCH(TableQBVORP[[#This Row],[RK]],TableQBCalcPts[RK],0)),"")</f>
        <v>Tyrod Taylor</v>
      </c>
      <c r="C66" s="154" t="str">
        <f>IFERROR(INDEX(TableQBCalcPts[TM],MATCH(TableQBVORP[[#This Row],[RK]],TableQBCalcPts[RK],0)),"")</f>
        <v>GB</v>
      </c>
      <c r="D66" s="154">
        <f>IFERROR(INDEX(TableQBCalcPts[BYE],MATCH(TableQBVORP[[#This Row],[RK]],TableQBCalcPts[RK],0)),"")</f>
        <v>11</v>
      </c>
      <c r="E66" s="155">
        <f>IFERROR(INDEX(TableQBCalcPts[Custom],MATCH(TableQBVORP[[#This Row],[RK]],TableQBCalcPts[RK],0)),"")</f>
        <v>2.8061911575422762</v>
      </c>
      <c r="F66" s="156">
        <f>(IFERROR((TableQBVORP[[#This Row],[FPS]]-INDEX(TableQBVORP[FPS],MATCH(QBVORPCalc,TableQBVORP[RK],0))),""))+(TableRBVORP[[#This Row],[VORP]]*0.45)</f>
        <v>-354.82714343653424</v>
      </c>
      <c r="H66" s="58">
        <v>65</v>
      </c>
      <c r="I66" s="154" t="str">
        <f>IFERROR(INDEX(TableRBCalcPts[PLAYER],MATCH(TableRBVORP[[#This Row],[RK]],TableRBCalcPts[RK],0)),"")</f>
        <v>Ollie Gordon</v>
      </c>
      <c r="J66" s="154" t="str">
        <f>IFERROR(INDEX(TableRBCalcPts[TM],MATCH(TableRBVORP[[#This Row],[RK]],TableRBCalcPts[RK],0)),"")</f>
        <v>MIA</v>
      </c>
      <c r="K66" s="154">
        <f>IFERROR(INDEX(TableRBCalcPts[BYE],MATCH(TableRBVORP[[#This Row],[RK]],TableRBCalcPts[RK],0)),"")</f>
        <v>6</v>
      </c>
      <c r="L66" s="155">
        <f>IFERROR(INDEX(TableRBCalcPts[Custom],MATCH(TableRBVORP[[#This Row],[RK]],TableRBCalcPts[RK],0)),"")</f>
        <v>48.085238757441402</v>
      </c>
      <c r="M66" s="156">
        <f>(IFERROR((TableRBVORP[[#This Row],[FPS]]-INDEX(TableRBVORP[FPS],MATCH(RBVORPCalc,TableRBVORP[RK],0))),""))*0.8</f>
        <v>-44.73808037886878</v>
      </c>
      <c r="O66" s="58">
        <v>65</v>
      </c>
      <c r="P66" s="154" t="str">
        <f>IFERROR(INDEX(TableWRCalcPts[PLAYER],MATCH(TableWRVORP[[#This Row],[RK]],TableWRCalcPts[RK],0)),"")</f>
        <v>Denzel Boston</v>
      </c>
      <c r="Q66" s="154" t="str">
        <f>IFERROR(INDEX(TableWRCalcPts[TM],MATCH(TableWRVORP[[#This Row],[RK]],TableWRCalcPts[RK],0)),"")</f>
        <v>CLE</v>
      </c>
      <c r="R66" s="154">
        <f>IFERROR(INDEX(TableWRCalcPts[BYE],MATCH(TableWRVORP[[#This Row],[RK]],TableWRCalcPts[RK],0)),"")</f>
        <v>11</v>
      </c>
      <c r="S66" s="155">
        <f>IFERROR(INDEX(TableWRCalcPts[Custom],MATCH(TableWRVORP[[#This Row],[RK]],TableWRCalcPts[RK],0)),"")</f>
        <v>100.10786563008</v>
      </c>
      <c r="T66" s="156">
        <f>(IFERROR((TableWRVORP[[#This Row],[FPS]]-INDEX(TableWRVORP[FPS],MATCH(WRVORPCalc,TableWRVORP[RK],0))),""))</f>
        <v>9.8236802397139371</v>
      </c>
      <c r="V66" s="58">
        <v>65</v>
      </c>
      <c r="W66" s="154" t="str">
        <f>IFERROR(INDEX(TableTECalcPts[PLAYER],MATCH(TableTEVORP[[#This Row],[RK]],TableTECalcPts[RK],0)),"")</f>
        <v>Drew Ogletree</v>
      </c>
      <c r="X66" s="154" t="str">
        <f>IFERROR(INDEX(TableTECalcPts[TM],MATCH(TableTEVORP[[#This Row],[RK]],TableTECalcPts[RK],0)),"")</f>
        <v>IND</v>
      </c>
      <c r="Y66" s="154">
        <f>IFERROR(INDEX(TableTECalcPts[BYE],MATCH(TableTEVORP[[#This Row],[RK]],TableTECalcPts[RK],0)),"")</f>
        <v>13</v>
      </c>
      <c r="Z66" s="155">
        <f>IFERROR(INDEX(TableTECalcPts[Custom],MATCH(TableTEVORP[[#This Row],[RK]],TableTECalcPts[RK],0)),"")</f>
        <v>17.215533176470593</v>
      </c>
      <c r="AA66" s="156">
        <f>IFERROR((TableTEVORP[[#This Row],[FPS]]-INDEX(TableTEVORP[FPS],MATCH(TEVORPCalc,TableTEVORP[RK],0))),"")</f>
        <v>-60.670260799771093</v>
      </c>
      <c r="AF66" s="58" t="s">
        <v>147</v>
      </c>
      <c r="AG66" s="58">
        <v>25</v>
      </c>
      <c r="AH66" s="100">
        <f>RANK(TableOverallMaster[[#This Row],[VORP]],TableOverallMaster[VORP])+COUNTIF($AM$2:AM66,AM66)-1</f>
        <v>95</v>
      </c>
      <c r="AI66" s="157" t="str">
        <f>IFERROR(INDEX(TableRBVORP[RUNNING BACK],MATCH(TableOverallMaster[[#This Row],[RK]],TableRBVORP[RK],0)),"")</f>
        <v>Jadarian Price</v>
      </c>
      <c r="AJ66" s="157" t="str">
        <f t="shared" ref="AJ66:AJ129" si="1">CONCATENATE(AF66,AG66)</f>
        <v>RB25</v>
      </c>
      <c r="AK66" s="157">
        <f>IFERROR(INDEX(TableRBVORP[BYE],MATCH(TableOverallMaster[[#This Row],[RK]],TableRBVORP[RK],0)),"")</f>
        <v>11</v>
      </c>
      <c r="AL66" s="158">
        <f>IFERROR(INDEX(TableRBVORP[FPS],MATCH(TableOverallMaster[[#This Row],[RK]],TableRBVORP[RK],0)),"")</f>
        <v>182.32508966027049</v>
      </c>
      <c r="AM66" s="159">
        <f>IFERROR(INDEX(TableRBVORP[VORP],MATCH(TableOverallMaster[[#This Row],[RK]],TableRBVORP[RK],0)),"")</f>
        <v>62.653800343394494</v>
      </c>
      <c r="AO66" s="58">
        <v>65</v>
      </c>
      <c r="AP66" s="160" t="str">
        <f>IFERROR(INDEX(TableOverallMaster[OVERALL PLAYER],MATCH(TableOverallRank[[#This Row],[RK]],TableOverallMaster[OVR RK],0)),"")</f>
        <v>Tyler Warren</v>
      </c>
      <c r="AQ66" s="161" t="str">
        <f>IFERROR(INDEX(TableOverallMaster[POS RK],MATCH(TableOverallRank[[#This Row],[OVERALL PLAYER]],TableOverallMaster[OVERALL PLAYER],0)),"")</f>
        <v>TE4</v>
      </c>
      <c r="AR66" s="162">
        <f>IFERROR(INDEX(TableOverallMaster[BYE],MATCH(TableOverallRank[[#This Row],[OVERALL PLAYER]],TableOverallMaster[OVERALL PLAYER],0)),"")</f>
        <v>13</v>
      </c>
      <c r="AS66" s="161">
        <f>IFERROR(INDEX(TableOverallMaster[Custom],MATCH(TableOverallRank[[#This Row],[OVERALL PLAYER]],TableOverallMaster[OVERALL PLAYER],0)),"")</f>
        <v>168.31977546975355</v>
      </c>
      <c r="AT66" s="163">
        <f>IFERROR(INDEX(TableOverallMaster[VORP],MATCH(TableOverallRank[[#This Row],[OVERALL PLAYER]],TableOverallMaster[OVERALL PLAYER],0)),"")</f>
        <v>90.433981493511865</v>
      </c>
      <c r="AV66" s="58">
        <v>65</v>
      </c>
      <c r="AW66" s="164" t="str">
        <f>IFERROR(INDEX(TableWRTECalcPts[PLAYER],MATCH(TableWRTERank[[#This Row],[RK]],TableWRTECalcPts[RK],0)),"")</f>
        <v>Romeo Doubs</v>
      </c>
      <c r="AX66" s="164" t="str">
        <f>IFERROR(INDEX(TableWRTECalcPts[POS RK],MATCH(TableWRTERank[[#This Row],[WR and TE COMBINED]],TableWRTECalcPts[PLAYER],0)),"")</f>
        <v>WR52</v>
      </c>
      <c r="AY66" s="164">
        <f>IFERROR(INDEX(TableWRTECalcPts[BYE],MATCH(TableWRTERank[[#This Row],[RK]],TableWRTECalcPts[RK],0)),"")</f>
        <v>11</v>
      </c>
      <c r="AZ66" s="165">
        <f>IFERROR(INDEX(TableWRTECalcPts[Custom],MATCH(TableWRTERank[[#This Row],[RK]],TableWRTECalcPts[RK],0)),"")</f>
        <v>131.55279041196593</v>
      </c>
      <c r="BA66" s="166">
        <f>IFERROR((TableWRTERank[[#This Row],[FPS]]-INDEX(TableWRTERank[FPS],MATCH(WRTEVORPCalc,TableWRTERank[RK],0))),"")</f>
        <v>-9.6835811703257662</v>
      </c>
      <c r="BC66" s="58" t="s">
        <v>148</v>
      </c>
    </row>
    <row r="67" spans="1:55" x14ac:dyDescent="0.25">
      <c r="A67" s="58">
        <v>66</v>
      </c>
      <c r="B67" s="154" t="str">
        <f>IFERROR(INDEX(TableQBCalcPts[PLAYER],MATCH(TableQBVORP[[#This Row],[RK]],TableQBCalcPts[RK],0)),"")</f>
        <v>Kyle Allen</v>
      </c>
      <c r="C67" s="154" t="str">
        <f>IFERROR(INDEX(TableQBCalcPts[TM],MATCH(TableQBVORP[[#This Row],[RK]],TableQBCalcPts[RK],0)),"")</f>
        <v>BUF</v>
      </c>
      <c r="D67" s="154">
        <f>IFERROR(INDEX(TableQBCalcPts[BYE],MATCH(TableQBVORP[[#This Row],[RK]],TableQBCalcPts[RK],0)),"")</f>
        <v>7</v>
      </c>
      <c r="E67" s="155">
        <f>IFERROR(INDEX(TableQBCalcPts[Custom],MATCH(TableQBVORP[[#This Row],[RK]],TableQBCalcPts[RK],0)),"")</f>
        <v>2.685185286278994</v>
      </c>
      <c r="F67" s="156">
        <f>(IFERROR((TableQBVORP[[#This Row],[FPS]]-INDEX(TableQBVORP[FPS],MATCH(QBVORPCalc,TableQBVORP[RK],0))),""))+(TableRBVORP[[#This Row],[VORP]]*0.45)</f>
        <v>-355.12812650229876</v>
      </c>
      <c r="H67" s="58">
        <v>66</v>
      </c>
      <c r="I67" s="154" t="str">
        <f>IFERROR(INDEX(TableRBCalcPts[PLAYER],MATCH(TableRBVORP[[#This Row],[RK]],TableRBCalcPts[RK],0)),"")</f>
        <v>Jonah Coleman</v>
      </c>
      <c r="J67" s="154" t="str">
        <f>IFERROR(INDEX(TableRBCalcPts[TM],MATCH(TableRBVORP[[#This Row],[RK]],TableRBCalcPts[RK],0)),"")</f>
        <v>DEN</v>
      </c>
      <c r="K67" s="154">
        <f>IFERROR(INDEX(TableRBCalcPts[BYE],MATCH(TableRBVORP[[#This Row],[RK]],TableRBCalcPts[RK],0)),"")</f>
        <v>10</v>
      </c>
      <c r="L67" s="155">
        <f>IFERROR(INDEX(TableRBCalcPts[Custom],MATCH(TableRBVORP[[#This Row],[RK]],TableRBCalcPts[RK],0)),"")</f>
        <v>47.585302106049355</v>
      </c>
      <c r="M67" s="156">
        <f>(IFERROR((TableRBVORP[[#This Row],[FPS]]-INDEX(TableRBVORP[FPS],MATCH(RBVORPCalc,TableRBVORP[RK],0))),""))*0.8</f>
        <v>-45.138029699982418</v>
      </c>
      <c r="O67" s="58">
        <v>66</v>
      </c>
      <c r="P67" s="154" t="str">
        <f>IFERROR(INDEX(TableWRCalcPts[PLAYER],MATCH(TableWRVORP[[#This Row],[RK]],TableWRCalcPts[RK],0)),"")</f>
        <v>KC Concepcion</v>
      </c>
      <c r="Q67" s="154" t="str">
        <f>IFERROR(INDEX(TableWRCalcPts[TM],MATCH(TableWRVORP[[#This Row],[RK]],TableWRCalcPts[RK],0)),"")</f>
        <v>CLE</v>
      </c>
      <c r="R67" s="154">
        <f>IFERROR(INDEX(TableWRCalcPts[BYE],MATCH(TableWRVORP[[#This Row],[RK]],TableWRCalcPts[RK],0)),"")</f>
        <v>11</v>
      </c>
      <c r="S67" s="155">
        <f>IFERROR(INDEX(TableWRCalcPts[Custom],MATCH(TableWRVORP[[#This Row],[RK]],TableWRCalcPts[RK],0)),"")</f>
        <v>99.98152645746832</v>
      </c>
      <c r="T67" s="156">
        <f>(IFERROR((TableWRVORP[[#This Row],[FPS]]-INDEX(TableWRVORP[FPS],MATCH(WRVORPCalc,TableWRVORP[RK],0))),""))</f>
        <v>9.6973410671022577</v>
      </c>
      <c r="V67" s="58">
        <v>66</v>
      </c>
      <c r="W67" s="154" t="str">
        <f>IFERROR(INDEX(TableTECalcPts[PLAYER],MATCH(TableTEVORP[[#This Row],[RK]],TableTECalcPts[RK],0)),"")</f>
        <v>Charlie Kolar</v>
      </c>
      <c r="X67" s="154" t="str">
        <f>IFERROR(INDEX(TableTECalcPts[TM],MATCH(TableTEVORP[[#This Row],[RK]],TableTECalcPts[RK],0)),"")</f>
        <v>LAC</v>
      </c>
      <c r="Y67" s="154">
        <f>IFERROR(INDEX(TableTECalcPts[BYE],MATCH(TableTEVORP[[#This Row],[RK]],TableTECalcPts[RK],0)),"")</f>
        <v>7</v>
      </c>
      <c r="Z67" s="155">
        <f>IFERROR(INDEX(TableTECalcPts[Custom],MATCH(TableTEVORP[[#This Row],[RK]],TableTECalcPts[RK],0)),"")</f>
        <v>14.857653393338307</v>
      </c>
      <c r="AA67" s="156">
        <f>IFERROR((TableTEVORP[[#This Row],[FPS]]-INDEX(TableTEVORP[FPS],MATCH(TEVORPCalc,TableTEVORP[RK],0))),"")</f>
        <v>-63.028140582903376</v>
      </c>
      <c r="AF67" s="58" t="s">
        <v>147</v>
      </c>
      <c r="AG67" s="58">
        <v>26</v>
      </c>
      <c r="AH67" s="100">
        <f>RANK(TableOverallMaster[[#This Row],[VORP]],TableOverallMaster[VORP])+COUNTIF($AM$2:AM67,AM67)-1</f>
        <v>96</v>
      </c>
      <c r="AI67" s="157" t="str">
        <f>IFERROR(INDEX(TableRBVORP[RUNNING BACK],MATCH(TableOverallMaster[[#This Row],[RK]],TableRBVORP[RK],0)),"")</f>
        <v>Kenneth Gainwell</v>
      </c>
      <c r="AJ67" s="157" t="str">
        <f t="shared" si="1"/>
        <v>RB26</v>
      </c>
      <c r="AK67" s="157">
        <f>IFERROR(INDEX(TableRBVORP[BYE],MATCH(TableOverallMaster[[#This Row],[RK]],TableRBVORP[RK],0)),"")</f>
        <v>10</v>
      </c>
      <c r="AL67" s="158">
        <f>IFERROR(INDEX(TableRBVORP[FPS],MATCH(TableOverallMaster[[#This Row],[RK]],TableRBVORP[RK],0)),"")</f>
        <v>181.82786219161196</v>
      </c>
      <c r="AM67" s="159">
        <f>IFERROR(INDEX(TableRBVORP[VORP],MATCH(TableOverallMaster[[#This Row],[RK]],TableRBVORP[RK],0)),"")</f>
        <v>62.256018368467664</v>
      </c>
      <c r="AO67" s="58">
        <v>66</v>
      </c>
      <c r="AP67" s="160" t="str">
        <f>IFERROR(INDEX(TableOverallMaster[OVERALL PLAYER],MATCH(TableOverallRank[[#This Row],[RK]],TableOverallMaster[OVR RK],0)),"")</f>
        <v>Christian Watson</v>
      </c>
      <c r="AQ67" s="161" t="str">
        <f>IFERROR(INDEX(TableOverallMaster[POS RK],MATCH(TableOverallRank[[#This Row],[OVERALL PLAYER]],TableOverallMaster[OVERALL PLAYER],0)),"")</f>
        <v>WR29</v>
      </c>
      <c r="AR67" s="162">
        <f>IFERROR(INDEX(TableOverallMaster[BYE],MATCH(TableOverallRank[[#This Row],[OVERALL PLAYER]],TableOverallMaster[OVERALL PLAYER],0)),"")</f>
        <v>11</v>
      </c>
      <c r="AS67" s="161">
        <f>IFERROR(INDEX(TableOverallMaster[Custom],MATCH(TableOverallRank[[#This Row],[OVERALL PLAYER]],TableOverallMaster[OVERALL PLAYER],0)),"")</f>
        <v>180.53046356058982</v>
      </c>
      <c r="AT67" s="163">
        <f>IFERROR(INDEX(TableOverallMaster[VORP],MATCH(TableOverallRank[[#This Row],[OVERALL PLAYER]],TableOverallMaster[OVERALL PLAYER],0)),"")</f>
        <v>90.246278170223761</v>
      </c>
      <c r="AV67" s="58">
        <v>66</v>
      </c>
      <c r="AW67" s="164" t="str">
        <f>IFERROR(INDEX(TableWRTECalcPts[PLAYER],MATCH(TableWRTERank[[#This Row],[RK]],TableWRTECalcPts[RK],0)),"")</f>
        <v>Omar Cooper</v>
      </c>
      <c r="AX67" s="164" t="str">
        <f>IFERROR(INDEX(TableWRTECalcPts[POS RK],MATCH(TableWRTERank[[#This Row],[WR and TE COMBINED]],TableWRTECalcPts[PLAYER],0)),"")</f>
        <v>WR53</v>
      </c>
      <c r="AY67" s="164">
        <f>IFERROR(INDEX(TableWRTECalcPts[BYE],MATCH(TableWRTERank[[#This Row],[RK]],TableWRTECalcPts[RK],0)),"")</f>
        <v>13</v>
      </c>
      <c r="AZ67" s="165">
        <f>IFERROR(INDEX(TableWRTECalcPts[Custom],MATCH(TableWRTERank[[#This Row],[RK]],TableWRTECalcPts[RK],0)),"")</f>
        <v>131.08678629872901</v>
      </c>
      <c r="BA67" s="166">
        <f>IFERROR((TableWRTERank[[#This Row],[FPS]]-INDEX(TableWRTERank[FPS],MATCH(WRTEVORPCalc,TableWRTERank[RK],0))),"")</f>
        <v>-10.149585283562686</v>
      </c>
      <c r="BC67" s="58" t="s">
        <v>148</v>
      </c>
    </row>
    <row r="68" spans="1:55" x14ac:dyDescent="0.25">
      <c r="A68" s="58">
        <v>67</v>
      </c>
      <c r="B68" s="154" t="str">
        <f>IFERROR(INDEX(TableQBCalcPts[PLAYER],MATCH(TableQBVORP[[#This Row],[RK]],TableQBCalcPts[RK],0)),"")</f>
        <v>Tanner McKee</v>
      </c>
      <c r="C68" s="154" t="str">
        <f>IFERROR(INDEX(TableQBCalcPts[TM],MATCH(TableQBVORP[[#This Row],[RK]],TableQBCalcPts[RK],0)),"")</f>
        <v>PHI</v>
      </c>
      <c r="D68" s="154">
        <f>IFERROR(INDEX(TableQBCalcPts[BYE],MATCH(TableQBVORP[[#This Row],[RK]],TableQBCalcPts[RK],0)),"")</f>
        <v>10</v>
      </c>
      <c r="E68" s="155">
        <f>IFERROR(INDEX(TableQBCalcPts[Custom],MATCH(TableQBVORP[[#This Row],[RK]],TableQBCalcPts[RK],0)),"")</f>
        <v>2.6730286243949752</v>
      </c>
      <c r="F68" s="156">
        <f>(IFERROR((TableQBVORP[[#This Row],[FPS]]-INDEX(TableQBVORP[FPS],MATCH(QBVORPCalc,TableQBVORP[RK],0))),""))+(TableRBVORP[[#This Row],[VORP]]*0.45)</f>
        <v>-355.61463899397319</v>
      </c>
      <c r="H68" s="58">
        <v>67</v>
      </c>
      <c r="I68" s="154" t="str">
        <f>IFERROR(INDEX(TableRBCalcPts[PLAYER],MATCH(TableRBVORP[[#This Row],[RK]],TableRBCalcPts[RK],0)),"")</f>
        <v>Jaydon Blue</v>
      </c>
      <c r="J68" s="154" t="str">
        <f>IFERROR(INDEX(TableRBCalcPts[TM],MATCH(TableRBVORP[[#This Row],[RK]],TableRBCalcPts[RK],0)),"")</f>
        <v>DAL</v>
      </c>
      <c r="K68" s="154">
        <f>IFERROR(INDEX(TableRBCalcPts[BYE],MATCH(TableRBVORP[[#This Row],[RK]],TableRBCalcPts[RK],0)),"")</f>
        <v>14</v>
      </c>
      <c r="L68" s="155">
        <f>IFERROR(INDEX(TableRBCalcPts[Custom],MATCH(TableRBVORP[[#This Row],[RK]],TableRBCalcPts[RK],0)),"")</f>
        <v>46.267647023298039</v>
      </c>
      <c r="M68" s="156">
        <f>(IFERROR((TableRBVORP[[#This Row],[FPS]]-INDEX(TableRBVORP[FPS],MATCH(RBVORPCalc,TableRBVORP[RK],0))),""))*0.8</f>
        <v>-46.192153766183473</v>
      </c>
      <c r="O68" s="58">
        <v>67</v>
      </c>
      <c r="P68" s="154" t="str">
        <f>IFERROR(INDEX(TableWRCalcPts[PLAYER],MATCH(TableWRVORP[[#This Row],[RK]],TableWRCalcPts[RK],0)),"")</f>
        <v>Jalen Tolbert</v>
      </c>
      <c r="Q68" s="154" t="str">
        <f>IFERROR(INDEX(TableWRCalcPts[TM],MATCH(TableWRVORP[[#This Row],[RK]],TableWRCalcPts[RK],0)),"")</f>
        <v>MIA</v>
      </c>
      <c r="R68" s="154">
        <f>IFERROR(INDEX(TableWRCalcPts[BYE],MATCH(TableWRVORP[[#This Row],[RK]],TableWRCalcPts[RK],0)),"")</f>
        <v>6</v>
      </c>
      <c r="S68" s="155">
        <f>IFERROR(INDEX(TableWRCalcPts[Custom],MATCH(TableWRVORP[[#This Row],[RK]],TableWRCalcPts[RK],0)),"")</f>
        <v>99.819665152542697</v>
      </c>
      <c r="T68" s="156">
        <f>(IFERROR((TableWRVORP[[#This Row],[FPS]]-INDEX(TableWRVORP[FPS],MATCH(WRVORPCalc,TableWRVORP[RK],0))),""))</f>
        <v>9.5354797621766352</v>
      </c>
      <c r="V68" s="58">
        <v>67</v>
      </c>
      <c r="W68" s="154" t="str">
        <f>IFERROR(INDEX(TableTECalcPts[PLAYER],MATCH(TableTEVORP[[#This Row],[RK]],TableTECalcPts[RK],0)),"")</f>
        <v>Oscar Delp</v>
      </c>
      <c r="X68" s="154" t="str">
        <f>IFERROR(INDEX(TableTECalcPts[TM],MATCH(TableTEVORP[[#This Row],[RK]],TableTECalcPts[RK],0)),"")</f>
        <v>NO</v>
      </c>
      <c r="Y68" s="154">
        <f>IFERROR(INDEX(TableTECalcPts[BYE],MATCH(TableTEVORP[[#This Row],[RK]],TableTECalcPts[RK],0)),"")</f>
        <v>8</v>
      </c>
      <c r="Z68" s="155">
        <f>IFERROR(INDEX(TableTECalcPts[Custom],MATCH(TableTEVORP[[#This Row],[RK]],TableTECalcPts[RK],0)),"")</f>
        <v>13.780328907294518</v>
      </c>
      <c r="AA68" s="156">
        <f>IFERROR((TableTEVORP[[#This Row],[FPS]]-INDEX(TableTEVORP[FPS],MATCH(TEVORPCalc,TableTEVORP[RK],0))),"")</f>
        <v>-64.105465068947169</v>
      </c>
      <c r="AF68" s="58" t="s">
        <v>147</v>
      </c>
      <c r="AG68" s="58">
        <v>27</v>
      </c>
      <c r="AH68" s="100">
        <f>RANK(TableOverallMaster[[#This Row],[VORP]],TableOverallMaster[VORP])+COUNTIF($AM$2:AM68,AM68)-1</f>
        <v>99</v>
      </c>
      <c r="AI68" s="157" t="str">
        <f>IFERROR(INDEX(TableRBVORP[RUNNING BACK],MATCH(TableOverallMaster[[#This Row],[RK]],TableRBVORP[RK],0)),"")</f>
        <v>Tony Pollard</v>
      </c>
      <c r="AJ68" s="157" t="str">
        <f t="shared" si="1"/>
        <v>RB27</v>
      </c>
      <c r="AK68" s="157">
        <f>IFERROR(INDEX(TableRBVORP[BYE],MATCH(TableOverallMaster[[#This Row],[RK]],TableRBVORP[RK],0)),"")</f>
        <v>9</v>
      </c>
      <c r="AL68" s="158">
        <f>IFERROR(INDEX(TableRBVORP[FPS],MATCH(TableOverallMaster[[#This Row],[RK]],TableRBVORP[RK],0)),"")</f>
        <v>181.12993898194946</v>
      </c>
      <c r="AM68" s="159">
        <f>IFERROR(INDEX(TableRBVORP[VORP],MATCH(TableOverallMaster[[#This Row],[RK]],TableRBVORP[RK],0)),"")</f>
        <v>61.697679800737674</v>
      </c>
      <c r="AO68" s="58">
        <v>67</v>
      </c>
      <c r="AP68" s="160" t="str">
        <f>IFERROR(INDEX(TableOverallMaster[OVERALL PLAYER],MATCH(TableOverallRank[[#This Row],[RK]],TableOverallMaster[OVR RK],0)),"")</f>
        <v>Jeremiyah Love</v>
      </c>
      <c r="AQ68" s="161" t="str">
        <f>IFERROR(INDEX(TableOverallMaster[POS RK],MATCH(TableOverallRank[[#This Row],[OVERALL PLAYER]],TableOverallMaster[OVERALL PLAYER],0)),"")</f>
        <v>RB18</v>
      </c>
      <c r="AR68" s="162">
        <f>IFERROR(INDEX(TableOverallMaster[BYE],MATCH(TableOverallRank[[#This Row],[OVERALL PLAYER]],TableOverallMaster[OVERALL PLAYER],0)),"")</f>
        <v>14</v>
      </c>
      <c r="AS68" s="161">
        <f>IFERROR(INDEX(TableOverallMaster[Custom],MATCH(TableOverallRank[[#This Row],[OVERALL PLAYER]],TableOverallMaster[OVERALL PLAYER],0)),"")</f>
        <v>214.72193089157778</v>
      </c>
      <c r="AT68" s="163">
        <f>IFERROR(INDEX(TableOverallMaster[VORP],MATCH(TableOverallRank[[#This Row],[OVERALL PLAYER]],TableOverallMaster[OVERALL PLAYER],0)),"")</f>
        <v>88.571273328440327</v>
      </c>
      <c r="AV68" s="58">
        <v>67</v>
      </c>
      <c r="AW68" s="164" t="str">
        <f>IFERROR(INDEX(TableWRTECalcPts[PLAYER],MATCH(TableWRTERank[[#This Row],[RK]],TableWRTECalcPts[RK],0)),"")</f>
        <v>Mark Andrews</v>
      </c>
      <c r="AX68" s="164" t="str">
        <f>IFERROR(INDEX(TableWRTECalcPts[POS RK],MATCH(TableWRTERank[[#This Row],[WR and TE COMBINED]],TableWRTECalcPts[PLAYER],0)),"")</f>
        <v>TE14</v>
      </c>
      <c r="AY68" s="164">
        <f>IFERROR(INDEX(TableWRTECalcPts[BYE],MATCH(TableWRTERank[[#This Row],[RK]],TableWRTECalcPts[RK],0)),"")</f>
        <v>13</v>
      </c>
      <c r="AZ68" s="165">
        <f>IFERROR(INDEX(TableWRTECalcPts[Custom],MATCH(TableWRTERank[[#This Row],[RK]],TableWRTECalcPts[RK],0)),"")</f>
        <v>128.78263794049053</v>
      </c>
      <c r="BA68" s="166">
        <f>IFERROR((TableWRTERank[[#This Row],[FPS]]-INDEX(TableWRTERank[FPS],MATCH(WRTEVORPCalc,TableWRTERank[RK],0))),"")</f>
        <v>-12.453733641801165</v>
      </c>
      <c r="BC68" s="58" t="s">
        <v>148</v>
      </c>
    </row>
    <row r="69" spans="1:55" x14ac:dyDescent="0.25">
      <c r="A69" s="58">
        <v>68</v>
      </c>
      <c r="B69" s="154" t="str">
        <f>IFERROR(INDEX(TableQBCalcPts[PLAYER],MATCH(TableQBVORP[[#This Row],[RK]],TableQBCalcPts[RK],0)),"")</f>
        <v>Zach Wilson</v>
      </c>
      <c r="C69" s="154" t="str">
        <f>IFERROR(INDEX(TableQBCalcPts[TM],MATCH(TableQBVORP[[#This Row],[RK]],TableQBCalcPts[RK],0)),"")</f>
        <v>NO</v>
      </c>
      <c r="D69" s="154">
        <f>IFERROR(INDEX(TableQBCalcPts[BYE],MATCH(TableQBVORP[[#This Row],[RK]],TableQBCalcPts[RK],0)),"")</f>
        <v>8</v>
      </c>
      <c r="E69" s="155">
        <f>IFERROR(INDEX(TableQBCalcPts[Custom],MATCH(TableQBVORP[[#This Row],[RK]],TableQBCalcPts[RK],0)),"")</f>
        <v>0</v>
      </c>
      <c r="F69" s="156">
        <f>(IFERROR((TableQBVORP[[#This Row],[FPS]]-INDEX(TableQBVORP[FPS],MATCH(QBVORPCalc,TableQBVORP[RK],0))),""))+(TableRBVORP[[#This Row],[VORP]]*0.45)</f>
        <v>-359.18707351720366</v>
      </c>
      <c r="H69" s="58">
        <v>68</v>
      </c>
      <c r="I69" s="154" t="str">
        <f>IFERROR(INDEX(TableRBCalcPts[PLAYER],MATCH(TableRBVORP[[#This Row],[RK]],TableRBCalcPts[RK],0)),"")</f>
        <v>Kaelon Black</v>
      </c>
      <c r="J69" s="154" t="str">
        <f>IFERROR(INDEX(TableRBCalcPts[TM],MATCH(TableRBVORP[[#This Row],[RK]],TableRBCalcPts[RK],0)),"")</f>
        <v>SF</v>
      </c>
      <c r="K69" s="154">
        <f>IFERROR(INDEX(TableRBCalcPts[BYE],MATCH(TableRBVORP[[#This Row],[RK]],TableRBCalcPts[RK],0)),"")</f>
        <v>8</v>
      </c>
      <c r="L69" s="155">
        <f>IFERROR(INDEX(TableRBCalcPts[Custom],MATCH(TableRBVORP[[#This Row],[RK]],TableRBCalcPts[RK],0)),"")</f>
        <v>43.76929730431057</v>
      </c>
      <c r="M69" s="156">
        <f>(IFERROR((TableRBVORP[[#This Row],[FPS]]-INDEX(TableRBVORP[FPS],MATCH(RBVORPCalc,TableRBVORP[RK],0))),""))*0.8</f>
        <v>-48.190833541373451</v>
      </c>
      <c r="O69" s="58">
        <v>68</v>
      </c>
      <c r="P69" s="154" t="str">
        <f>IFERROR(INDEX(TableWRCalcPts[PLAYER],MATCH(TableWRVORP[[#This Row],[RK]],TableWRCalcPts[RK],0)),"")</f>
        <v>Caleb Douglas</v>
      </c>
      <c r="Q69" s="154" t="str">
        <f>IFERROR(INDEX(TableWRCalcPts[TM],MATCH(TableWRVORP[[#This Row],[RK]],TableWRCalcPts[RK],0)),"")</f>
        <v>MIA</v>
      </c>
      <c r="R69" s="154">
        <f>IFERROR(INDEX(TableWRCalcPts[BYE],MATCH(TableWRVORP[[#This Row],[RK]],TableWRCalcPts[RK],0)),"")</f>
        <v>6</v>
      </c>
      <c r="S69" s="155">
        <f>IFERROR(INDEX(TableWRCalcPts[Custom],MATCH(TableWRVORP[[#This Row],[RK]],TableWRCalcPts[RK],0)),"")</f>
        <v>95.519069823491961</v>
      </c>
      <c r="T69" s="156">
        <f>(IFERROR((TableWRVORP[[#This Row],[FPS]]-INDEX(TableWRVORP[FPS],MATCH(WRVORPCalc,TableWRVORP[RK],0))),""))</f>
        <v>5.2348844331258988</v>
      </c>
      <c r="V69" s="58">
        <v>68</v>
      </c>
      <c r="W69" s="154" t="str">
        <f>IFERROR(INDEX(TableTECalcPts[PLAYER],MATCH(TableTEVORP[[#This Row],[RK]],TableTECalcPts[RK],0)),"")</f>
        <v>Ben Sims</v>
      </c>
      <c r="X69" s="154" t="str">
        <f>IFERROR(INDEX(TableTECalcPts[TM],MATCH(TableTEVORP[[#This Row],[RK]],TableTECalcPts[RK],0)),"")</f>
        <v>MIA</v>
      </c>
      <c r="Y69" s="154">
        <f>IFERROR(INDEX(TableTECalcPts[BYE],MATCH(TableTEVORP[[#This Row],[RK]],TableTECalcPts[RK],0)),"")</f>
        <v>6</v>
      </c>
      <c r="Z69" s="155">
        <f>IFERROR(INDEX(TableTECalcPts[Custom],MATCH(TableTEVORP[[#This Row],[RK]],TableTECalcPts[RK],0)),"")</f>
        <v>12.296243042905495</v>
      </c>
      <c r="AA69" s="156">
        <f>IFERROR((TableTEVORP[[#This Row],[FPS]]-INDEX(TableTEVORP[FPS],MATCH(TEVORPCalc,TableTEVORP[RK],0))),"")</f>
        <v>-65.589550933336199</v>
      </c>
      <c r="AF69" s="58" t="s">
        <v>147</v>
      </c>
      <c r="AG69" s="58">
        <v>28</v>
      </c>
      <c r="AH69" s="100">
        <f>RANK(TableOverallMaster[[#This Row],[VORP]],TableOverallMaster[VORP])+COUNTIF($AM$2:AM69,AM69)-1</f>
        <v>100</v>
      </c>
      <c r="AI69" s="157" t="str">
        <f>IFERROR(INDEX(TableRBVORP[RUNNING BACK],MATCH(TableOverallMaster[[#This Row],[RK]],TableRBVORP[RK],0)),"")</f>
        <v>D'Andre Swift</v>
      </c>
      <c r="AJ69" s="157" t="str">
        <f t="shared" si="1"/>
        <v>RB28</v>
      </c>
      <c r="AK69" s="157">
        <f>IFERROR(INDEX(TableRBVORP[BYE],MATCH(TableOverallMaster[[#This Row],[RK]],TableRBVORP[RK],0)),"")</f>
        <v>10</v>
      </c>
      <c r="AL69" s="158">
        <f>IFERROR(INDEX(TableRBVORP[FPS],MATCH(TableOverallMaster[[#This Row],[RK]],TableRBVORP[RK],0)),"")</f>
        <v>180.0053884429251</v>
      </c>
      <c r="AM69" s="159">
        <f>IFERROR(INDEX(TableRBVORP[VORP],MATCH(TableOverallMaster[[#This Row],[RK]],TableRBVORP[RK],0)),"")</f>
        <v>60.798039369518179</v>
      </c>
      <c r="AO69" s="58">
        <v>68</v>
      </c>
      <c r="AP69" s="160" t="str">
        <f>IFERROR(INDEX(TableOverallMaster[OVERALL PLAYER],MATCH(TableOverallRank[[#This Row],[RK]],TableOverallMaster[OVR RK],0)),"")</f>
        <v>Baker Mayfield</v>
      </c>
      <c r="AQ69" s="161" t="str">
        <f>IFERROR(INDEX(TableOverallMaster[POS RK],MATCH(TableOverallRank[[#This Row],[OVERALL PLAYER]],TableOverallMaster[OVERALL PLAYER],0)),"")</f>
        <v>QB17</v>
      </c>
      <c r="AR69" s="162">
        <f>IFERROR(INDEX(TableOverallMaster[BYE],MATCH(TableOverallRank[[#This Row],[OVERALL PLAYER]],TableOverallMaster[OVERALL PLAYER],0)),"")</f>
        <v>10</v>
      </c>
      <c r="AS69" s="161">
        <f>IFERROR(INDEX(TableOverallMaster[Custom],MATCH(TableOverallRank[[#This Row],[OVERALL PLAYER]],TableOverallMaster[OVERALL PLAYER],0)),"")</f>
        <v>384.49518701509407</v>
      </c>
      <c r="AT69" s="163">
        <f>IFERROR(INDEX(TableOverallMaster[VORP],MATCH(TableOverallRank[[#This Row],[OVERALL PLAYER]],TableOverallMaster[OVERALL PLAYER],0)),"")</f>
        <v>87.87850235981702</v>
      </c>
      <c r="AV69" s="58">
        <v>68</v>
      </c>
      <c r="AW69" s="164" t="str">
        <f>IFERROR(INDEX(TableWRTECalcPts[PLAYER],MATCH(TableWRTERank[[#This Row],[RK]],TableWRTECalcPts[RK],0)),"")</f>
        <v>Khalil Shakir</v>
      </c>
      <c r="AX69" s="164" t="str">
        <f>IFERROR(INDEX(TableWRTECalcPts[POS RK],MATCH(TableWRTERank[[#This Row],[WR and TE COMBINED]],TableWRTECalcPts[PLAYER],0)),"")</f>
        <v>WR54</v>
      </c>
      <c r="AY69" s="164">
        <f>IFERROR(INDEX(TableWRTECalcPts[BYE],MATCH(TableWRTERank[[#This Row],[RK]],TableWRTECalcPts[RK],0)),"")</f>
        <v>7</v>
      </c>
      <c r="AZ69" s="165">
        <f>IFERROR(INDEX(TableWRTECalcPts[Custom],MATCH(TableWRTERank[[#This Row],[RK]],TableWRTECalcPts[RK],0)),"")</f>
        <v>125.25541451841632</v>
      </c>
      <c r="BA69" s="166">
        <f>IFERROR((TableWRTERank[[#This Row],[FPS]]-INDEX(TableWRTERank[FPS],MATCH(WRTEVORPCalc,TableWRTERank[RK],0))),"")</f>
        <v>-15.98095706387538</v>
      </c>
      <c r="BC69" s="58" t="s">
        <v>148</v>
      </c>
    </row>
    <row r="70" spans="1:55" x14ac:dyDescent="0.25">
      <c r="A70" s="58">
        <v>69</v>
      </c>
      <c r="B70" s="154" t="str">
        <f>IFERROR(INDEX(TableQBCalcPts[PLAYER],MATCH(TableQBVORP[[#This Row],[RK]],TableQBCalcPts[RK],0)),"")</f>
        <v>Drew Allar</v>
      </c>
      <c r="C70" s="154" t="str">
        <f>IFERROR(INDEX(TableQBCalcPts[TM],MATCH(TableQBVORP[[#This Row],[RK]],TableQBCalcPts[RK],0)),"")</f>
        <v>PIT</v>
      </c>
      <c r="D70" s="154">
        <f>IFERROR(INDEX(TableQBCalcPts[BYE],MATCH(TableQBVORP[[#This Row],[RK]],TableQBCalcPts[RK],0)),"")</f>
        <v>9</v>
      </c>
      <c r="E70" s="155">
        <f>IFERROR(INDEX(TableQBCalcPts[Custom],MATCH(TableQBVORP[[#This Row],[RK]],TableQBCalcPts[RK],0)),"")</f>
        <v>0</v>
      </c>
      <c r="F70" s="156">
        <f>(IFERROR((TableQBVORP[[#This Row],[FPS]]-INDEX(TableQBVORP[FPS],MATCH(QBVORPCalc,TableQBVORP[RK],0))),""))+(TableRBVORP[[#This Row],[VORP]]*0.45)</f>
        <v>-359.93819537884633</v>
      </c>
      <c r="H70" s="58">
        <v>69</v>
      </c>
      <c r="I70" s="154" t="str">
        <f>IFERROR(INDEX(TableRBCalcPts[PLAYER],MATCH(TableRBVORP[[#This Row],[RK]],TableRBCalcPts[RK],0)),"")</f>
        <v>Demond Claiborne</v>
      </c>
      <c r="J70" s="154" t="str">
        <f>IFERROR(INDEX(TableRBCalcPts[TM],MATCH(TableRBVORP[[#This Row],[RK]],TableRBCalcPts[RK],0)),"")</f>
        <v>MIN</v>
      </c>
      <c r="K70" s="154">
        <f>IFERROR(INDEX(TableRBCalcPts[BYE],MATCH(TableRBVORP[[#This Row],[RK]],TableRBCalcPts[RK],0)),"")</f>
        <v>6</v>
      </c>
      <c r="L70" s="155">
        <f>IFERROR(INDEX(TableRBCalcPts[Custom],MATCH(TableRBVORP[[#This Row],[RK]],TableRBCalcPts[RK],0)),"")</f>
        <v>41.682847688636514</v>
      </c>
      <c r="M70" s="156">
        <f>(IFERROR((TableRBVORP[[#This Row],[FPS]]-INDEX(TableRBVORP[FPS],MATCH(RBVORPCalc,TableRBVORP[RK],0))),""))*0.8</f>
        <v>-49.859993233912689</v>
      </c>
      <c r="O70" s="58">
        <v>69</v>
      </c>
      <c r="P70" s="154" t="str">
        <f>IFERROR(INDEX(TableWRCalcPts[PLAYER],MATCH(TableWRVORP[[#This Row],[RK]],TableWRCalcPts[RK],0)),"")</f>
        <v>Jerry Jeudy</v>
      </c>
      <c r="Q70" s="154" t="str">
        <f>IFERROR(INDEX(TableWRCalcPts[TM],MATCH(TableWRVORP[[#This Row],[RK]],TableWRCalcPts[RK],0)),"")</f>
        <v>CLE</v>
      </c>
      <c r="R70" s="154">
        <f>IFERROR(INDEX(TableWRCalcPts[BYE],MATCH(TableWRVORP[[#This Row],[RK]],TableWRCalcPts[RK],0)),"")</f>
        <v>11</v>
      </c>
      <c r="S70" s="155">
        <f>IFERROR(INDEX(TableWRCalcPts[Custom],MATCH(TableWRVORP[[#This Row],[RK]],TableWRCalcPts[RK],0)),"")</f>
        <v>95.245616587967987</v>
      </c>
      <c r="T70" s="156">
        <f>(IFERROR((TableWRVORP[[#This Row],[FPS]]-INDEX(TableWRVORP[FPS],MATCH(WRVORPCalc,TableWRVORP[RK],0))),""))</f>
        <v>4.9614311976019252</v>
      </c>
      <c r="V70" s="58">
        <v>69</v>
      </c>
      <c r="W70" s="154" t="str">
        <f>IFERROR(INDEX(TableTECalcPts[PLAYER],MATCH(TableTEVORP[[#This Row],[RK]],TableTECalcPts[RK],0)),"")</f>
        <v>Payne Durham</v>
      </c>
      <c r="X70" s="154" t="str">
        <f>IFERROR(INDEX(TableTECalcPts[TM],MATCH(TableTEVORP[[#This Row],[RK]],TableTECalcPts[RK],0)),"")</f>
        <v>TB</v>
      </c>
      <c r="Y70" s="154">
        <f>IFERROR(INDEX(TableTECalcPts[BYE],MATCH(TableTEVORP[[#This Row],[RK]],TableTECalcPts[RK],0)),"")</f>
        <v>10</v>
      </c>
      <c r="Z70" s="155">
        <f>IFERROR(INDEX(TableTECalcPts[Custom],MATCH(TableTEVORP[[#This Row],[RK]],TableTECalcPts[RK],0)),"")</f>
        <v>11.544060613315855</v>
      </c>
      <c r="AA70" s="156">
        <f>IFERROR((TableTEVORP[[#This Row],[FPS]]-INDEX(TableTEVORP[FPS],MATCH(TEVORPCalc,TableTEVORP[RK],0))),"")</f>
        <v>-66.341733362925837</v>
      </c>
      <c r="AF70" s="58" t="s">
        <v>147</v>
      </c>
      <c r="AG70" s="58">
        <v>29</v>
      </c>
      <c r="AH70" s="100">
        <f>RANK(TableOverallMaster[[#This Row],[VORP]],TableOverallMaster[VORP])+COUNTIF($AM$2:AM70,AM70)-1</f>
        <v>110</v>
      </c>
      <c r="AI70" s="157" t="str">
        <f>IFERROR(INDEX(TableRBVORP[RUNNING BACK],MATCH(TableOverallMaster[[#This Row],[RK]],TableRBVORP[RK],0)),"")</f>
        <v>Bucky Irving</v>
      </c>
      <c r="AJ70" s="157" t="str">
        <f t="shared" si="1"/>
        <v>RB29</v>
      </c>
      <c r="AK70" s="157">
        <f>IFERROR(INDEX(TableRBVORP[BYE],MATCH(TableOverallMaster[[#This Row],[RK]],TableRBVORP[RK],0)),"")</f>
        <v>10</v>
      </c>
      <c r="AL70" s="158">
        <f>IFERROR(INDEX(TableRBVORP[FPS],MATCH(TableOverallMaster[[#This Row],[RK]],TableRBVORP[RK],0)),"")</f>
        <v>171.20211567868358</v>
      </c>
      <c r="AM70" s="159">
        <f>IFERROR(INDEX(TableRBVORP[VORP],MATCH(TableOverallMaster[[#This Row],[RK]],TableRBVORP[RK],0)),"")</f>
        <v>53.755421158124967</v>
      </c>
      <c r="AO70" s="58">
        <v>69</v>
      </c>
      <c r="AP70" s="160" t="str">
        <f>IFERROR(INDEX(TableOverallMaster[OVERALL PLAYER],MATCH(TableOverallRank[[#This Row],[RK]],TableOverallMaster[OVR RK],0)),"")</f>
        <v>Rome Odunze</v>
      </c>
      <c r="AQ70" s="161" t="str">
        <f>IFERROR(INDEX(TableOverallMaster[POS RK],MATCH(TableOverallRank[[#This Row],[OVERALL PLAYER]],TableOverallMaster[OVERALL PLAYER],0)),"")</f>
        <v>WR30</v>
      </c>
      <c r="AR70" s="162">
        <f>IFERROR(INDEX(TableOverallMaster[BYE],MATCH(TableOverallRank[[#This Row],[OVERALL PLAYER]],TableOverallMaster[OVERALL PLAYER],0)),"")</f>
        <v>10</v>
      </c>
      <c r="AS70" s="161">
        <f>IFERROR(INDEX(TableOverallMaster[Custom],MATCH(TableOverallRank[[#This Row],[OVERALL PLAYER]],TableOverallMaster[OVERALL PLAYER],0)),"")</f>
        <v>174.03183456362797</v>
      </c>
      <c r="AT70" s="163">
        <f>IFERROR(INDEX(TableOverallMaster[VORP],MATCH(TableOverallRank[[#This Row],[OVERALL PLAYER]],TableOverallMaster[OVERALL PLAYER],0)),"")</f>
        <v>83.747649173261905</v>
      </c>
      <c r="AV70" s="58">
        <v>69</v>
      </c>
      <c r="AW70" s="164" t="str">
        <f>IFERROR(INDEX(TableWRTECalcPts[PLAYER],MATCH(TableWRTERank[[#This Row],[RK]],TableWRTECalcPts[RK],0)),"")</f>
        <v>T.J. Hockenson</v>
      </c>
      <c r="AX70" s="164" t="str">
        <f>IFERROR(INDEX(TableWRTECalcPts[POS RK],MATCH(TableWRTERank[[#This Row],[WR and TE COMBINED]],TableWRTECalcPts[PLAYER],0)),"")</f>
        <v>TE15</v>
      </c>
      <c r="AY70" s="164">
        <f>IFERROR(INDEX(TableWRTECalcPts[BYE],MATCH(TableWRTERank[[#This Row],[RK]],TableWRTECalcPts[RK],0)),"")</f>
        <v>6</v>
      </c>
      <c r="AZ70" s="165">
        <f>IFERROR(INDEX(TableWRTECalcPts[Custom],MATCH(TableWRTERank[[#This Row],[RK]],TableWRTECalcPts[RK],0)),"")</f>
        <v>122.26222914582712</v>
      </c>
      <c r="BA70" s="166">
        <f>IFERROR((TableWRTERank[[#This Row],[FPS]]-INDEX(TableWRTERank[FPS],MATCH(WRTEVORPCalc,TableWRTERank[RK],0))),"")</f>
        <v>-18.974142436464575</v>
      </c>
      <c r="BC70" s="58" t="s">
        <v>148</v>
      </c>
    </row>
    <row r="71" spans="1:55" x14ac:dyDescent="0.25">
      <c r="A71" s="58">
        <v>70</v>
      </c>
      <c r="B71" s="154" t="str">
        <f>IFERROR(INDEX(TableQBCalcPts[PLAYER],MATCH(TableQBVORP[[#This Row],[RK]],TableQBCalcPts[RK],0)),"")</f>
        <v/>
      </c>
      <c r="C71" s="154" t="str">
        <f>IFERROR(INDEX(TableQBCalcPts[TM],MATCH(TableQBVORP[[#This Row],[RK]],TableQBCalcPts[RK],0)),"")</f>
        <v/>
      </c>
      <c r="D71" s="154" t="str">
        <f>IFERROR(INDEX(TableQBCalcPts[BYE],MATCH(TableQBVORP[[#This Row],[RK]],TableQBCalcPts[RK],0)),"")</f>
        <v/>
      </c>
      <c r="E71" s="155" t="str">
        <f>IFERROR(INDEX(TableQBCalcPts[Custom],MATCH(TableQBVORP[[#This Row],[RK]],TableQBCalcPts[RK],0)),"")</f>
        <v/>
      </c>
      <c r="F71" s="156" t="e">
        <f>(IFERROR((TableQBVORP[[#This Row],[FPS]]-INDEX(TableQBVORP[FPS],MATCH(QBVORPCalc,TableQBVORP[RK],0))),""))+(TableRBVORP[[#This Row],[VORP]]*0.45)</f>
        <v>#VALUE!</v>
      </c>
      <c r="H71" s="58">
        <v>70</v>
      </c>
      <c r="I71" s="154" t="str">
        <f>IFERROR(INDEX(TableRBCalcPts[PLAYER],MATCH(TableRBVORP[[#This Row],[RK]],TableRBCalcPts[RK],0)),"")</f>
        <v>Sean Tucker</v>
      </c>
      <c r="J71" s="154" t="str">
        <f>IFERROR(INDEX(TableRBCalcPts[TM],MATCH(TableRBVORP[[#This Row],[RK]],TableRBCalcPts[RK],0)),"")</f>
        <v>TB</v>
      </c>
      <c r="K71" s="154">
        <f>IFERROR(INDEX(TableRBCalcPts[BYE],MATCH(TableRBVORP[[#This Row],[RK]],TableRBCalcPts[RK],0)),"")</f>
        <v>10</v>
      </c>
      <c r="L71" s="155">
        <f>IFERROR(INDEX(TableRBCalcPts[Custom],MATCH(TableRBVORP[[#This Row],[RK]],TableRBCalcPts[RK],0)),"")</f>
        <v>39.186673354115001</v>
      </c>
      <c r="M71" s="156">
        <f>(IFERROR((TableRBVORP[[#This Row],[FPS]]-INDEX(TableRBVORP[FPS],MATCH(RBVORPCalc,TableRBVORP[RK],0))),""))*0.8</f>
        <v>-51.8569327015299</v>
      </c>
      <c r="O71" s="58">
        <v>70</v>
      </c>
      <c r="P71" s="154" t="str">
        <f>IFERROR(INDEX(TableWRCalcPts[PLAYER],MATCH(TableWRVORP[[#This Row],[RK]],TableWRCalcPts[RK],0)),"")</f>
        <v>Tre Tucker</v>
      </c>
      <c r="Q71" s="154" t="str">
        <f>IFERROR(INDEX(TableWRCalcPts[TM],MATCH(TableWRVORP[[#This Row],[RK]],TableWRCalcPts[RK],0)),"")</f>
        <v>LV</v>
      </c>
      <c r="R71" s="154">
        <f>IFERROR(INDEX(TableWRCalcPts[BYE],MATCH(TableWRVORP[[#This Row],[RK]],TableWRCalcPts[RK],0)),"")</f>
        <v>13</v>
      </c>
      <c r="S71" s="155">
        <f>IFERROR(INDEX(TableWRCalcPts[Custom],MATCH(TableWRVORP[[#This Row],[RK]],TableWRCalcPts[RK],0)),"")</f>
        <v>92.360874869434014</v>
      </c>
      <c r="T71" s="156">
        <f>(IFERROR((TableWRVORP[[#This Row],[FPS]]-INDEX(TableWRVORP[FPS],MATCH(WRVORPCalc,TableWRVORP[RK],0))),""))</f>
        <v>2.0766894790679515</v>
      </c>
      <c r="V71" s="58">
        <v>70</v>
      </c>
      <c r="W71" s="154" t="str">
        <f>IFERROR(INDEX(TableTECalcPts[PLAYER],MATCH(TableTEVORP[[#This Row],[RK]],TableTECalcPts[RK],0)),"")</f>
        <v>Mo Alie-Cox</v>
      </c>
      <c r="X71" s="154" t="str">
        <f>IFERROR(INDEX(TableTECalcPts[TM],MATCH(TableTEVORP[[#This Row],[RK]],TableTECalcPts[RK],0)),"")</f>
        <v>IND</v>
      </c>
      <c r="Y71" s="154">
        <f>IFERROR(INDEX(TableTECalcPts[BYE],MATCH(TableTEVORP[[#This Row],[RK]],TableTECalcPts[RK],0)),"")</f>
        <v>13</v>
      </c>
      <c r="Z71" s="155">
        <f>IFERROR(INDEX(TableTECalcPts[Custom],MATCH(TableTEVORP[[#This Row],[RK]],TableTECalcPts[RK],0)),"")</f>
        <v>10.186703597056001</v>
      </c>
      <c r="AA71" s="156">
        <f>IFERROR((TableTEVORP[[#This Row],[FPS]]-INDEX(TableTEVORP[FPS],MATCH(TEVORPCalc,TableTEVORP[RK],0))),"")</f>
        <v>-67.699090379185691</v>
      </c>
      <c r="AF71" s="58" t="s">
        <v>147</v>
      </c>
      <c r="AG71" s="58">
        <v>30</v>
      </c>
      <c r="AH71" s="100">
        <f>RANK(TableOverallMaster[[#This Row],[VORP]],TableOverallMaster[VORP])+COUNTIF($AM$2:AM71,AM71)-1</f>
        <v>112</v>
      </c>
      <c r="AI71" s="157" t="str">
        <f>IFERROR(INDEX(TableRBVORP[RUNNING BACK],MATCH(TableOverallMaster[[#This Row],[RK]],TableRBVORP[RK],0)),"")</f>
        <v>Chuba Hubbard</v>
      </c>
      <c r="AJ71" s="157" t="str">
        <f t="shared" si="1"/>
        <v>RB30</v>
      </c>
      <c r="AK71" s="157">
        <f>IFERROR(INDEX(TableRBVORP[BYE],MATCH(TableOverallMaster[[#This Row],[RK]],TableRBVORP[RK],0)),"")</f>
        <v>5</v>
      </c>
      <c r="AL71" s="158">
        <f>IFERROR(INDEX(TableRBVORP[FPS],MATCH(TableOverallMaster[[#This Row],[RK]],TableRBVORP[RK],0)),"")</f>
        <v>169.64248035544395</v>
      </c>
      <c r="AM71" s="159">
        <f>IFERROR(INDEX(TableRBVORP[VORP],MATCH(TableOverallMaster[[#This Row],[RK]],TableRBVORP[RK],0)),"")</f>
        <v>52.50771289953326</v>
      </c>
      <c r="AO71" s="58">
        <v>70</v>
      </c>
      <c r="AP71" s="160" t="str">
        <f>IFERROR(INDEX(TableOverallMaster[OVERALL PLAYER],MATCH(TableOverallRank[[#This Row],[RK]],TableOverallMaster[OVR RK],0)),"")</f>
        <v>Alec Pierce</v>
      </c>
      <c r="AQ71" s="161" t="str">
        <f>IFERROR(INDEX(TableOverallMaster[POS RK],MATCH(TableOverallRank[[#This Row],[OVERALL PLAYER]],TableOverallMaster[OVERALL PLAYER],0)),"")</f>
        <v>WR31</v>
      </c>
      <c r="AR71" s="162">
        <f>IFERROR(INDEX(TableOverallMaster[BYE],MATCH(TableOverallRank[[#This Row],[OVERALL PLAYER]],TableOverallMaster[OVERALL PLAYER],0)),"")</f>
        <v>13</v>
      </c>
      <c r="AS71" s="161">
        <f>IFERROR(INDEX(TableOverallMaster[Custom],MATCH(TableOverallRank[[#This Row],[OVERALL PLAYER]],TableOverallMaster[OVERALL PLAYER],0)),"")</f>
        <v>172.58925215568158</v>
      </c>
      <c r="AT71" s="163">
        <f>IFERROR(INDEX(TableOverallMaster[VORP],MATCH(TableOverallRank[[#This Row],[OVERALL PLAYER]],TableOverallMaster[OVERALL PLAYER],0)),"")</f>
        <v>82.305066765315516</v>
      </c>
      <c r="AV71" s="58">
        <v>70</v>
      </c>
      <c r="AW71" s="164" t="str">
        <f>IFERROR(INDEX(TableWRTECalcPts[PLAYER],MATCH(TableWRTERank[[#This Row],[RK]],TableWRTECalcPts[RK],0)),"")</f>
        <v>Chig Okonkwo</v>
      </c>
      <c r="AX71" s="164" t="str">
        <f>IFERROR(INDEX(TableWRTECalcPts[POS RK],MATCH(TableWRTERank[[#This Row],[WR and TE COMBINED]],TableWRTECalcPts[PLAYER],0)),"")</f>
        <v>TE16</v>
      </c>
      <c r="AY71" s="164">
        <f>IFERROR(INDEX(TableWRTECalcPts[BYE],MATCH(TableWRTERank[[#This Row],[RK]],TableWRTECalcPts[RK],0)),"")</f>
        <v>7</v>
      </c>
      <c r="AZ71" s="165">
        <f>IFERROR(INDEX(TableWRTECalcPts[Custom],MATCH(TableWRTERank[[#This Row],[RK]],TableWRTECalcPts[RK],0)),"")</f>
        <v>121.96386463260998</v>
      </c>
      <c r="BA71" s="166">
        <f>IFERROR((TableWRTERank[[#This Row],[FPS]]-INDEX(TableWRTERank[FPS],MATCH(WRTEVORPCalc,TableWRTERank[RK],0))),"")</f>
        <v>-19.272506949681713</v>
      </c>
      <c r="BC71" s="58" t="s">
        <v>148</v>
      </c>
    </row>
    <row r="72" spans="1:55" x14ac:dyDescent="0.25">
      <c r="A72" s="58">
        <v>71</v>
      </c>
      <c r="B72" s="154" t="str">
        <f>IFERROR(INDEX(TableQBCalcPts[PLAYER],MATCH(TableQBVORP[[#This Row],[RK]],TableQBCalcPts[RK],0)),"")</f>
        <v/>
      </c>
      <c r="C72" s="154" t="str">
        <f>IFERROR(INDEX(TableQBCalcPts[TM],MATCH(TableQBVORP[[#This Row],[RK]],TableQBCalcPts[RK],0)),"")</f>
        <v/>
      </c>
      <c r="D72" s="154" t="str">
        <f>IFERROR(INDEX(TableQBCalcPts[BYE],MATCH(TableQBVORP[[#This Row],[RK]],TableQBCalcPts[RK],0)),"")</f>
        <v/>
      </c>
      <c r="E72" s="155" t="str">
        <f>IFERROR(INDEX(TableQBCalcPts[Custom],MATCH(TableQBVORP[[#This Row],[RK]],TableQBCalcPts[RK],0)),"")</f>
        <v/>
      </c>
      <c r="F72" s="156" t="e">
        <f>(IFERROR((TableQBVORP[[#This Row],[FPS]]-INDEX(TableQBVORP[FPS],MATCH(QBVORPCalc,TableQBVORP[RK],0))),""))+(TableRBVORP[[#This Row],[VORP]]*0.45)</f>
        <v>#VALUE!</v>
      </c>
      <c r="H72" s="58">
        <v>71</v>
      </c>
      <c r="I72" s="154" t="str">
        <f>IFERROR(INDEX(TableRBCalcPts[PLAYER],MATCH(TableRBVORP[[#This Row],[RK]],TableRBCalcPts[RK],0)),"")</f>
        <v>Chris Brooks</v>
      </c>
      <c r="J72" s="154" t="str">
        <f>IFERROR(INDEX(TableRBCalcPts[TM],MATCH(TableRBVORP[[#This Row],[RK]],TableRBCalcPts[RK],0)),"")</f>
        <v>GB</v>
      </c>
      <c r="K72" s="154">
        <f>IFERROR(INDEX(TableRBCalcPts[BYE],MATCH(TableRBVORP[[#This Row],[RK]],TableRBCalcPts[RK],0)),"")</f>
        <v>11</v>
      </c>
      <c r="L72" s="155">
        <f>IFERROR(INDEX(TableRBCalcPts[Custom],MATCH(TableRBVORP[[#This Row],[RK]],TableRBCalcPts[RK],0)),"")</f>
        <v>38.045966669694593</v>
      </c>
      <c r="M72" s="156">
        <f>(IFERROR((TableRBVORP[[#This Row],[FPS]]-INDEX(TableRBVORP[FPS],MATCH(RBVORPCalc,TableRBVORP[RK],0))),""))*0.8</f>
        <v>-52.769498049066229</v>
      </c>
      <c r="O72" s="58">
        <v>71</v>
      </c>
      <c r="P72" s="154" t="str">
        <f>IFERROR(INDEX(TableWRCalcPts[PLAYER],MATCH(TableWRVORP[[#This Row],[RK]],TableWRCalcPts[RK],0)),"")</f>
        <v>Germie Bernard</v>
      </c>
      <c r="Q72" s="154" t="str">
        <f>IFERROR(INDEX(TableWRCalcPts[TM],MATCH(TableWRVORP[[#This Row],[RK]],TableWRCalcPts[RK],0)),"")</f>
        <v>PIT</v>
      </c>
      <c r="R72" s="154">
        <f>IFERROR(INDEX(TableWRCalcPts[BYE],MATCH(TableWRVORP[[#This Row],[RK]],TableWRCalcPts[RK],0)),"")</f>
        <v>9</v>
      </c>
      <c r="S72" s="155">
        <f>IFERROR(INDEX(TableWRCalcPts[Custom],MATCH(TableWRVORP[[#This Row],[RK]],TableWRCalcPts[RK],0)),"")</f>
        <v>91.944125838049231</v>
      </c>
      <c r="T72" s="156">
        <f>(IFERROR((TableWRVORP[[#This Row],[FPS]]-INDEX(TableWRVORP[FPS],MATCH(WRVORPCalc,TableWRVORP[RK],0))),""))</f>
        <v>1.6599404476831694</v>
      </c>
      <c r="V72" s="58">
        <v>71</v>
      </c>
      <c r="W72" s="154" t="str">
        <f>IFERROR(INDEX(TableTECalcPts[PLAYER],MATCH(TableTEVORP[[#This Row],[RK]],TableTECalcPts[RK],0)),"")</f>
        <v>Nate Boerkircher</v>
      </c>
      <c r="X72" s="154" t="str">
        <f>IFERROR(INDEX(TableTECalcPts[TM],MATCH(TableTEVORP[[#This Row],[RK]],TableTECalcPts[RK],0)),"")</f>
        <v>JAX</v>
      </c>
      <c r="Y72" s="154">
        <f>IFERROR(INDEX(TableTECalcPts[BYE],MATCH(TableTEVORP[[#This Row],[RK]],TableTECalcPts[RK],0)),"")</f>
        <v>7</v>
      </c>
      <c r="Z72" s="155">
        <f>IFERROR(INDEX(TableTECalcPts[Custom],MATCH(TableTEVORP[[#This Row],[RK]],TableTECalcPts[RK],0)),"")</f>
        <v>10.11322995377625</v>
      </c>
      <c r="AA72" s="156">
        <f>IFERROR((TableTEVORP[[#This Row],[FPS]]-INDEX(TableTEVORP[FPS],MATCH(TEVORPCalc,TableTEVORP[RK],0))),"")</f>
        <v>-67.772564022465431</v>
      </c>
      <c r="AF72" s="58" t="s">
        <v>147</v>
      </c>
      <c r="AG72" s="58">
        <v>31</v>
      </c>
      <c r="AH72" s="100">
        <f>RANK(TableOverallMaster[[#This Row],[VORP]],TableOverallMaster[VORP])+COUNTIF($AM$2:AM72,AM72)-1</f>
        <v>114</v>
      </c>
      <c r="AI72" s="157" t="str">
        <f>IFERROR(INDEX(TableRBVORP[RUNNING BACK],MATCH(TableOverallMaster[[#This Row],[RK]],TableRBVORP[RK],0)),"")</f>
        <v>Rico Dowdle</v>
      </c>
      <c r="AJ72" s="157" t="str">
        <f t="shared" si="1"/>
        <v>RB31</v>
      </c>
      <c r="AK72" s="157">
        <f>IFERROR(INDEX(TableRBVORP[BYE],MATCH(TableOverallMaster[[#This Row],[RK]],TableRBVORP[RK],0)),"")</f>
        <v>9</v>
      </c>
      <c r="AL72" s="158">
        <f>IFERROR(INDEX(TableRBVORP[FPS],MATCH(TableOverallMaster[[#This Row],[RK]],TableRBVORP[RK],0)),"")</f>
        <v>168.56500158390702</v>
      </c>
      <c r="AM72" s="159">
        <f>IFERROR(INDEX(TableRBVORP[VORP],MATCH(TableOverallMaster[[#This Row],[RK]],TableRBVORP[RK],0)),"")</f>
        <v>51.645729882303719</v>
      </c>
      <c r="AO72" s="58">
        <v>71</v>
      </c>
      <c r="AP72" s="160" t="str">
        <f>IFERROR(INDEX(TableOverallMaster[OVERALL PLAYER],MATCH(TableOverallRank[[#This Row],[RK]],TableOverallMaster[OVR RK],0)),"")</f>
        <v>Travis Etienne</v>
      </c>
      <c r="AQ72" s="161" t="str">
        <f>IFERROR(INDEX(TableOverallMaster[POS RK],MATCH(TableOverallRank[[#This Row],[OVERALL PLAYER]],TableOverallMaster[OVERALL PLAYER],0)),"")</f>
        <v>RB19</v>
      </c>
      <c r="AR72" s="162">
        <f>IFERROR(INDEX(TableOverallMaster[BYE],MATCH(TableOverallRank[[#This Row],[OVERALL PLAYER]],TableOverallMaster[OVERALL PLAYER],0)),"")</f>
        <v>8</v>
      </c>
      <c r="AS72" s="161">
        <f>IFERROR(INDEX(TableOverallMaster[Custom],MATCH(TableOverallRank[[#This Row],[OVERALL PLAYER]],TableOverallMaster[OVERALL PLAYER],0)),"")</f>
        <v>206.70738022037409</v>
      </c>
      <c r="AT72" s="163">
        <f>IFERROR(INDEX(TableOverallMaster[VORP],MATCH(TableOverallRank[[#This Row],[OVERALL PLAYER]],TableOverallMaster[OVERALL PLAYER],0)),"")</f>
        <v>82.159632791477378</v>
      </c>
      <c r="AV72" s="58">
        <v>71</v>
      </c>
      <c r="AW72" s="164" t="str">
        <f>IFERROR(INDEX(TableWRTECalcPts[PLAYER],MATCH(TableWRTERank[[#This Row],[RK]],TableWRTECalcPts[RK],0)),"")</f>
        <v>Matthew Golden</v>
      </c>
      <c r="AX72" s="164" t="str">
        <f>IFERROR(INDEX(TableWRTECalcPts[POS RK],MATCH(TableWRTERank[[#This Row],[WR and TE COMBINED]],TableWRTECalcPts[PLAYER],0)),"")</f>
        <v>WR55</v>
      </c>
      <c r="AY72" s="164">
        <f>IFERROR(INDEX(TableWRTECalcPts[BYE],MATCH(TableWRTERank[[#This Row],[RK]],TableWRTECalcPts[RK],0)),"")</f>
        <v>11</v>
      </c>
      <c r="AZ72" s="165">
        <f>IFERROR(INDEX(TableWRTECalcPts[Custom],MATCH(TableWRTERank[[#This Row],[RK]],TableWRTECalcPts[RK],0)),"")</f>
        <v>121.76900567298148</v>
      </c>
      <c r="BA72" s="166">
        <f>IFERROR((TableWRTERank[[#This Row],[FPS]]-INDEX(TableWRTERank[FPS],MATCH(WRTEVORPCalc,TableWRTERank[RK],0))),"")</f>
        <v>-19.467365909310217</v>
      </c>
      <c r="BC72" s="58" t="s">
        <v>148</v>
      </c>
    </row>
    <row r="73" spans="1:55" x14ac:dyDescent="0.25">
      <c r="A73" s="58">
        <v>72</v>
      </c>
      <c r="B73" s="154" t="str">
        <f>IFERROR(INDEX(TableQBCalcPts[PLAYER],MATCH(TableQBVORP[[#This Row],[RK]],TableQBCalcPts[RK],0)),"")</f>
        <v/>
      </c>
      <c r="C73" s="154" t="str">
        <f>IFERROR(INDEX(TableQBCalcPts[TM],MATCH(TableQBVORP[[#This Row],[RK]],TableQBCalcPts[RK],0)),"")</f>
        <v/>
      </c>
      <c r="D73" s="154" t="str">
        <f>IFERROR(INDEX(TableQBCalcPts[BYE],MATCH(TableQBVORP[[#This Row],[RK]],TableQBCalcPts[RK],0)),"")</f>
        <v/>
      </c>
      <c r="E73" s="155" t="str">
        <f>IFERROR(INDEX(TableQBCalcPts[Custom],MATCH(TableQBVORP[[#This Row],[RK]],TableQBCalcPts[RK],0)),"")</f>
        <v/>
      </c>
      <c r="F73" s="156" t="e">
        <f>(IFERROR((TableQBVORP[[#This Row],[FPS]]-INDEX(TableQBVORP[FPS],MATCH(QBVORPCalc,TableQBVORP[RK],0))),""))+(TableRBVORP[[#This Row],[VORP]]*0.45)</f>
        <v>#VALUE!</v>
      </c>
      <c r="H73" s="58">
        <v>72</v>
      </c>
      <c r="I73" s="154" t="str">
        <f>IFERROR(INDEX(TableRBCalcPts[PLAYER],MATCH(TableRBVORP[[#This Row],[RK]],TableRBCalcPts[RK],0)),"")</f>
        <v>Zach Charbonnet</v>
      </c>
      <c r="J73" s="154" t="str">
        <f>IFERROR(INDEX(TableRBCalcPts[TM],MATCH(TableRBVORP[[#This Row],[RK]],TableRBCalcPts[RK],0)),"")</f>
        <v>SEA</v>
      </c>
      <c r="K73" s="154">
        <f>IFERROR(INDEX(TableRBCalcPts[BYE],MATCH(TableRBVORP[[#This Row],[RK]],TableRBCalcPts[RK],0)),"")</f>
        <v>11</v>
      </c>
      <c r="L73" s="155">
        <f>IFERROR(INDEX(TableRBCalcPts[Custom],MATCH(TableRBVORP[[#This Row],[RK]],TableRBCalcPts[RK],0)),"")</f>
        <v>37.480893777180206</v>
      </c>
      <c r="M73" s="156">
        <f>(IFERROR((TableRBVORP[[#This Row],[FPS]]-INDEX(TableRBVORP[FPS],MATCH(RBVORPCalc,TableRBVORP[RK],0))),""))*0.8</f>
        <v>-53.221556363077731</v>
      </c>
      <c r="O73" s="58">
        <v>72</v>
      </c>
      <c r="P73" s="154" t="str">
        <f>IFERROR(INDEX(TableWRCalcPts[PLAYER],MATCH(TableWRVORP[[#This Row],[RK]],TableWRCalcPts[RK],0)),"")</f>
        <v>Cooper Kupp</v>
      </c>
      <c r="Q73" s="154" t="str">
        <f>IFERROR(INDEX(TableWRCalcPts[TM],MATCH(TableWRVORP[[#This Row],[RK]],TableWRCalcPts[RK],0)),"")</f>
        <v>SEA</v>
      </c>
      <c r="R73" s="154">
        <f>IFERROR(INDEX(TableWRCalcPts[BYE],MATCH(TableWRVORP[[#This Row],[RK]],TableWRCalcPts[RK],0)),"")</f>
        <v>11</v>
      </c>
      <c r="S73" s="155">
        <f>IFERROR(INDEX(TableWRCalcPts[Custom],MATCH(TableWRVORP[[#This Row],[RK]],TableWRCalcPts[RK],0)),"")</f>
        <v>90.871065206669996</v>
      </c>
      <c r="T73" s="156">
        <f>(IFERROR((TableWRVORP[[#This Row],[FPS]]-INDEX(TableWRVORP[FPS],MATCH(WRVORPCalc,TableWRVORP[RK],0))),""))</f>
        <v>0.58687981630393438</v>
      </c>
      <c r="V73" s="58">
        <v>72</v>
      </c>
      <c r="W73" s="154" t="str">
        <f>IFERROR(INDEX(TableTECalcPts[PLAYER],MATCH(TableTEVORP[[#This Row],[RK]],TableTECalcPts[RK],0)),"")</f>
        <v>Sam Roush</v>
      </c>
      <c r="X73" s="154" t="str">
        <f>IFERROR(INDEX(TableTECalcPts[TM],MATCH(TableTEVORP[[#This Row],[RK]],TableTECalcPts[RK],0)),"")</f>
        <v>CHI</v>
      </c>
      <c r="Y73" s="154">
        <f>IFERROR(INDEX(TableTECalcPts[BYE],MATCH(TableTEVORP[[#This Row],[RK]],TableTECalcPts[RK],0)),"")</f>
        <v>10</v>
      </c>
      <c r="Z73" s="155">
        <f>IFERROR(INDEX(TableTECalcPts[Custom],MATCH(TableTEVORP[[#This Row],[RK]],TableTECalcPts[RK],0)),"")</f>
        <v>9.4157313959958344</v>
      </c>
      <c r="AA73" s="156">
        <f>IFERROR((TableTEVORP[[#This Row],[FPS]]-INDEX(TableTEVORP[FPS],MATCH(TEVORPCalc,TableTEVORP[RK],0))),"")</f>
        <v>-68.470062580245852</v>
      </c>
      <c r="AF73" s="58" t="s">
        <v>147</v>
      </c>
      <c r="AG73" s="58">
        <v>32</v>
      </c>
      <c r="AH73" s="100">
        <f>RANK(TableOverallMaster[[#This Row],[VORP]],TableOverallMaster[VORP])+COUNTIF($AM$2:AM73,AM73)-1</f>
        <v>117</v>
      </c>
      <c r="AI73" s="157" t="str">
        <f>IFERROR(INDEX(TableRBVORP[RUNNING BACK],MATCH(TableOverallMaster[[#This Row],[RK]],TableRBVORP[RK],0)),"")</f>
        <v>RJ Harvey</v>
      </c>
      <c r="AJ73" s="157" t="str">
        <f t="shared" si="1"/>
        <v>RB32</v>
      </c>
      <c r="AK73" s="157">
        <f>IFERROR(INDEX(TableRBVORP[BYE],MATCH(TableOverallMaster[[#This Row],[RK]],TableRBVORP[RK],0)),"")</f>
        <v>10</v>
      </c>
      <c r="AL73" s="158">
        <f>IFERROR(INDEX(TableRBVORP[FPS],MATCH(TableOverallMaster[[#This Row],[RK]],TableRBVORP[RK],0)),"")</f>
        <v>166.0785541414003</v>
      </c>
      <c r="AM73" s="159">
        <f>IFERROR(INDEX(TableRBVORP[VORP],MATCH(TableOverallMaster[[#This Row],[RK]],TableRBVORP[RK],0)),"")</f>
        <v>49.656571928298348</v>
      </c>
      <c r="AO73" s="58">
        <v>72</v>
      </c>
      <c r="AP73" s="160" t="str">
        <f>IFERROR(INDEX(TableOverallMaster[OVERALL PLAYER],MATCH(TableOverallRank[[#This Row],[RK]],TableOverallMaster[OVR RK],0)),"")</f>
        <v>Courtland Sutton</v>
      </c>
      <c r="AQ73" s="161" t="str">
        <f>IFERROR(INDEX(TableOverallMaster[POS RK],MATCH(TableOverallRank[[#This Row],[OVERALL PLAYER]],TableOverallMaster[OVERALL PLAYER],0)),"")</f>
        <v>WR32</v>
      </c>
      <c r="AR73" s="162">
        <f>IFERROR(INDEX(TableOverallMaster[BYE],MATCH(TableOverallRank[[#This Row],[OVERALL PLAYER]],TableOverallMaster[OVERALL PLAYER],0)),"")</f>
        <v>10</v>
      </c>
      <c r="AS73" s="161">
        <f>IFERROR(INDEX(TableOverallMaster[Custom],MATCH(TableOverallRank[[#This Row],[OVERALL PLAYER]],TableOverallMaster[OVERALL PLAYER],0)),"")</f>
        <v>170.42848543673475</v>
      </c>
      <c r="AT73" s="163">
        <f>IFERROR(INDEX(TableOverallMaster[VORP],MATCH(TableOverallRank[[#This Row],[OVERALL PLAYER]],TableOverallMaster[OVERALL PLAYER],0)),"")</f>
        <v>80.144300046368684</v>
      </c>
      <c r="AV73" s="58">
        <v>72</v>
      </c>
      <c r="AW73" s="164" t="str">
        <f>IFERROR(INDEX(TableWRTECalcPts[PLAYER],MATCH(TableWRTERank[[#This Row],[RK]],TableWRTECalcPts[RK],0)),"")</f>
        <v>Dalton Schultz</v>
      </c>
      <c r="AX73" s="164" t="str">
        <f>IFERROR(INDEX(TableWRTECalcPts[POS RK],MATCH(TableWRTERank[[#This Row],[WR and TE COMBINED]],TableWRTECalcPts[PLAYER],0)),"")</f>
        <v>TE17</v>
      </c>
      <c r="AY73" s="164">
        <f>IFERROR(INDEX(TableWRTECalcPts[BYE],MATCH(TableWRTERank[[#This Row],[RK]],TableWRTECalcPts[RK],0)),"")</f>
        <v>8</v>
      </c>
      <c r="AZ73" s="165">
        <f>IFERROR(INDEX(TableWRTECalcPts[Custom],MATCH(TableWRTERank[[#This Row],[RK]],TableWRTECalcPts[RK],0)),"")</f>
        <v>120.45266133204058</v>
      </c>
      <c r="BA73" s="166">
        <f>IFERROR((TableWRTERank[[#This Row],[FPS]]-INDEX(TableWRTERank[FPS],MATCH(WRTEVORPCalc,TableWRTERank[RK],0))),"")</f>
        <v>-20.783710250251119</v>
      </c>
      <c r="BC73" s="58" t="s">
        <v>148</v>
      </c>
    </row>
    <row r="74" spans="1:55" x14ac:dyDescent="0.25">
      <c r="A74" s="58">
        <v>73</v>
      </c>
      <c r="B74" s="154" t="str">
        <f>IFERROR(INDEX(TableQBCalcPts[PLAYER],MATCH(TableQBVORP[[#This Row],[RK]],TableQBCalcPts[RK],0)),"")</f>
        <v/>
      </c>
      <c r="C74" s="154" t="str">
        <f>IFERROR(INDEX(TableQBCalcPts[TM],MATCH(TableQBVORP[[#This Row],[RK]],TableQBCalcPts[RK],0)),"")</f>
        <v/>
      </c>
      <c r="D74" s="154" t="str">
        <f>IFERROR(INDEX(TableQBCalcPts[BYE],MATCH(TableQBVORP[[#This Row],[RK]],TableQBCalcPts[RK],0)),"")</f>
        <v/>
      </c>
      <c r="E74" s="155" t="str">
        <f>IFERROR(INDEX(TableQBCalcPts[Custom],MATCH(TableQBVORP[[#This Row],[RK]],TableQBCalcPts[RK],0)),"")</f>
        <v/>
      </c>
      <c r="F74" s="156" t="e">
        <f>(IFERROR((TableQBVORP[[#This Row],[FPS]]-INDEX(TableQBVORP[FPS],MATCH(QBVORPCalc,TableQBVORP[RK],0))),""))+(TableRBVORP[[#This Row],[VORP]]*0.45)</f>
        <v>#VALUE!</v>
      </c>
      <c r="H74" s="58">
        <v>73</v>
      </c>
      <c r="I74" s="154" t="str">
        <f>IFERROR(INDEX(TableRBCalcPts[PLAYER],MATCH(TableRBVORP[[#This Row],[RK]],TableRBCalcPts[RK],0)),"")</f>
        <v>Jordan James</v>
      </c>
      <c r="J74" s="154" t="str">
        <f>IFERROR(INDEX(TableRBCalcPts[TM],MATCH(TableRBVORP[[#This Row],[RK]],TableRBCalcPts[RK],0)),"")</f>
        <v>SF</v>
      </c>
      <c r="K74" s="154">
        <f>IFERROR(INDEX(TableRBCalcPts[BYE],MATCH(TableRBVORP[[#This Row],[RK]],TableRBCalcPts[RK],0)),"")</f>
        <v>8</v>
      </c>
      <c r="L74" s="155">
        <f>IFERROR(INDEX(TableRBCalcPts[Custom],MATCH(TableRBVORP[[#This Row],[RK]],TableRBCalcPts[RK],0)),"")</f>
        <v>36.135550445991981</v>
      </c>
      <c r="M74" s="156">
        <f>(IFERROR((TableRBVORP[[#This Row],[FPS]]-INDEX(TableRBVORP[FPS],MATCH(RBVORPCalc,TableRBVORP[RK],0))),""))*0.8</f>
        <v>-54.29783102802832</v>
      </c>
      <c r="O74" s="58">
        <v>73</v>
      </c>
      <c r="P74" s="154" t="str">
        <f>IFERROR(INDEX(TableWRCalcPts[PLAYER],MATCH(TableWRVORP[[#This Row],[RK]],TableWRCalcPts[RK],0)),"")</f>
        <v>Ryan Flournoy</v>
      </c>
      <c r="Q74" s="154" t="str">
        <f>IFERROR(INDEX(TableWRCalcPts[TM],MATCH(TableWRVORP[[#This Row],[RK]],TableWRCalcPts[RK],0)),"")</f>
        <v>DAL</v>
      </c>
      <c r="R74" s="154">
        <f>IFERROR(INDEX(TableWRCalcPts[BYE],MATCH(TableWRVORP[[#This Row],[RK]],TableWRCalcPts[RK],0)),"")</f>
        <v>14</v>
      </c>
      <c r="S74" s="155">
        <f>IFERROR(INDEX(TableWRCalcPts[Custom],MATCH(TableWRVORP[[#This Row],[RK]],TableWRCalcPts[RK],0)),"")</f>
        <v>90.284185390366062</v>
      </c>
      <c r="T74" s="156">
        <f>(IFERROR((TableWRVORP[[#This Row],[FPS]]-INDEX(TableWRVORP[FPS],MATCH(WRVORPCalc,TableWRVORP[RK],0))),""))</f>
        <v>0</v>
      </c>
      <c r="V74" s="58">
        <v>73</v>
      </c>
      <c r="W74" s="154" t="str">
        <f>IFERROR(INDEX(TableTECalcPts[PLAYER],MATCH(TableTEVORP[[#This Row],[RK]],TableTECalcPts[RK],0)),"")</f>
        <v>Julian Hill</v>
      </c>
      <c r="X74" s="154" t="str">
        <f>IFERROR(INDEX(TableTECalcPts[TM],MATCH(TableTEVORP[[#This Row],[RK]],TableTECalcPts[RK],0)),"")</f>
        <v>NE</v>
      </c>
      <c r="Y74" s="154">
        <f>IFERROR(INDEX(TableTECalcPts[BYE],MATCH(TableTEVORP[[#This Row],[RK]],TableTECalcPts[RK],0)),"")</f>
        <v>11</v>
      </c>
      <c r="Z74" s="155">
        <f>IFERROR(INDEX(TableTECalcPts[Custom],MATCH(TableTEVORP[[#This Row],[RK]],TableTECalcPts[RK],0)),"")</f>
        <v>9.4153772017176021</v>
      </c>
      <c r="AA74" s="156">
        <f>IFERROR((TableTEVORP[[#This Row],[FPS]]-INDEX(TableTEVORP[FPS],MATCH(TEVORPCalc,TableTEVORP[RK],0))),"")</f>
        <v>-68.470416774524082</v>
      </c>
      <c r="AF74" s="58" t="s">
        <v>147</v>
      </c>
      <c r="AG74" s="58">
        <v>33</v>
      </c>
      <c r="AH74" s="100">
        <f>RANK(TableOverallMaster[[#This Row],[VORP]],TableOverallMaster[VORP])+COUNTIF($AM$2:AM74,AM74)-1</f>
        <v>118</v>
      </c>
      <c r="AI74" s="157" t="str">
        <f>IFERROR(INDEX(TableRBVORP[RUNNING BACK],MATCH(TableOverallMaster[[#This Row],[RK]],TableRBVORP[RK],0)),"")</f>
        <v>Jaylen Warren</v>
      </c>
      <c r="AJ74" s="157" t="str">
        <f t="shared" si="1"/>
        <v>RB33</v>
      </c>
      <c r="AK74" s="157">
        <f>IFERROR(INDEX(TableRBVORP[BYE],MATCH(TableOverallMaster[[#This Row],[RK]],TableRBVORP[RK],0)),"")</f>
        <v>9</v>
      </c>
      <c r="AL74" s="158">
        <f>IFERROR(INDEX(TableRBVORP[FPS],MATCH(TableOverallMaster[[#This Row],[RK]],TableRBVORP[RK],0)),"")</f>
        <v>165.46939748922614</v>
      </c>
      <c r="AM74" s="159">
        <f>IFERROR(INDEX(TableRBVORP[VORP],MATCH(TableOverallMaster[[#This Row],[RK]],TableRBVORP[RK],0)),"")</f>
        <v>49.169246606559014</v>
      </c>
      <c r="AO74" s="58">
        <v>73</v>
      </c>
      <c r="AP74" s="160" t="str">
        <f>IFERROR(INDEX(TableOverallMaster[OVERALL PLAYER],MATCH(TableOverallRank[[#This Row],[RK]],TableOverallMaster[OVR RK],0)),"")</f>
        <v>Kyler Murray</v>
      </c>
      <c r="AQ74" s="161" t="str">
        <f>IFERROR(INDEX(TableOverallMaster[POS RK],MATCH(TableOverallRank[[#This Row],[OVERALL PLAYER]],TableOverallMaster[OVERALL PLAYER],0)),"")</f>
        <v>QB18</v>
      </c>
      <c r="AR74" s="162">
        <f>IFERROR(INDEX(TableOverallMaster[BYE],MATCH(TableOverallRank[[#This Row],[OVERALL PLAYER]],TableOverallMaster[OVERALL PLAYER],0)),"")</f>
        <v>6</v>
      </c>
      <c r="AS74" s="161">
        <f>IFERROR(INDEX(TableOverallMaster[Custom],MATCH(TableOverallRank[[#This Row],[OVERALL PLAYER]],TableOverallMaster[OVERALL PLAYER],0)),"")</f>
        <v>377.21023069187635</v>
      </c>
      <c r="AT74" s="163">
        <f>IFERROR(INDEX(TableOverallMaster[VORP],MATCH(TableOverallRank[[#This Row],[OVERALL PLAYER]],TableOverallMaster[OVERALL PLAYER],0)),"")</f>
        <v>79.566105266088897</v>
      </c>
      <c r="AV74" s="58">
        <v>73</v>
      </c>
      <c r="AW74" s="164" t="str">
        <f>IFERROR(INDEX(TableWRTECalcPts[PLAYER],MATCH(TableWRTERank[[#This Row],[RK]],TableWRTECalcPts[RK],0)),"")</f>
        <v>Hunter Henry</v>
      </c>
      <c r="AX74" s="164" t="str">
        <f>IFERROR(INDEX(TableWRTECalcPts[POS RK],MATCH(TableWRTERank[[#This Row],[WR and TE COMBINED]],TableWRTECalcPts[PLAYER],0)),"")</f>
        <v>TE18</v>
      </c>
      <c r="AY74" s="164">
        <f>IFERROR(INDEX(TableWRTECalcPts[BYE],MATCH(TableWRTERank[[#This Row],[RK]],TableWRTECalcPts[RK],0)),"")</f>
        <v>11</v>
      </c>
      <c r="AZ74" s="165">
        <f>IFERROR(INDEX(TableWRTECalcPts[Custom],MATCH(TableWRTERank[[#This Row],[RK]],TableWRTECalcPts[RK],0)),"")</f>
        <v>119.83960027840953</v>
      </c>
      <c r="BA74" s="166">
        <f>IFERROR((TableWRTERank[[#This Row],[FPS]]-INDEX(TableWRTERank[FPS],MATCH(WRTEVORPCalc,TableWRTERank[RK],0))),"")</f>
        <v>-21.396771303882161</v>
      </c>
      <c r="BC74" s="58" t="s">
        <v>148</v>
      </c>
    </row>
    <row r="75" spans="1:55" x14ac:dyDescent="0.25">
      <c r="A75" s="58">
        <v>74</v>
      </c>
      <c r="B75" s="154" t="str">
        <f>IFERROR(INDEX(TableQBCalcPts[PLAYER],MATCH(TableQBVORP[[#This Row],[RK]],TableQBCalcPts[RK],0)),"")</f>
        <v/>
      </c>
      <c r="C75" s="154" t="str">
        <f>IFERROR(INDEX(TableQBCalcPts[TM],MATCH(TableQBVORP[[#This Row],[RK]],TableQBCalcPts[RK],0)),"")</f>
        <v/>
      </c>
      <c r="D75" s="154" t="str">
        <f>IFERROR(INDEX(TableQBCalcPts[BYE],MATCH(TableQBVORP[[#This Row],[RK]],TableQBCalcPts[RK],0)),"")</f>
        <v/>
      </c>
      <c r="E75" s="155" t="str">
        <f>IFERROR(INDEX(TableQBCalcPts[Custom],MATCH(TableQBVORP[[#This Row],[RK]],TableQBCalcPts[RK],0)),"")</f>
        <v/>
      </c>
      <c r="F75" s="156" t="e">
        <f>(IFERROR((TableQBVORP[[#This Row],[FPS]]-INDEX(TableQBVORP[FPS],MATCH(QBVORPCalc,TableQBVORP[RK],0))),""))+(TableRBVORP[[#This Row],[VORP]]*0.45)</f>
        <v>#VALUE!</v>
      </c>
      <c r="H75" s="58">
        <v>74</v>
      </c>
      <c r="I75" s="154" t="str">
        <f>IFERROR(INDEX(TableRBCalcPts[PLAYER],MATCH(TableRBVORP[[#This Row],[RK]],TableRBCalcPts[RK],0)),"")</f>
        <v>Malik Davis</v>
      </c>
      <c r="J75" s="154" t="str">
        <f>IFERROR(INDEX(TableRBCalcPts[TM],MATCH(TableRBVORP[[#This Row],[RK]],TableRBCalcPts[RK],0)),"")</f>
        <v>DAL</v>
      </c>
      <c r="K75" s="154">
        <f>IFERROR(INDEX(TableRBCalcPts[BYE],MATCH(TableRBVORP[[#This Row],[RK]],TableRBCalcPts[RK],0)),"")</f>
        <v>14</v>
      </c>
      <c r="L75" s="155">
        <f>IFERROR(INDEX(TableRBCalcPts[Custom],MATCH(TableRBVORP[[#This Row],[RK]],TableRBCalcPts[RK],0)),"")</f>
        <v>35.551474799190409</v>
      </c>
      <c r="M75" s="156">
        <f>(IFERROR((TableRBVORP[[#This Row],[FPS]]-INDEX(TableRBVORP[FPS],MATCH(RBVORPCalc,TableRBVORP[RK],0))),""))*0.8</f>
        <v>-54.765091545469573</v>
      </c>
      <c r="O75" s="58">
        <v>74</v>
      </c>
      <c r="P75" s="154" t="str">
        <f>IFERROR(INDEX(TableWRCalcPts[PLAYER],MATCH(TableWRVORP[[#This Row],[RK]],TableWRCalcPts[RK],0)),"")</f>
        <v>Isaac TeSlaa</v>
      </c>
      <c r="Q75" s="154" t="str">
        <f>IFERROR(INDEX(TableWRCalcPts[TM],MATCH(TableWRVORP[[#This Row],[RK]],TableWRCalcPts[RK],0)),"")</f>
        <v>DET</v>
      </c>
      <c r="R75" s="154">
        <f>IFERROR(INDEX(TableWRCalcPts[BYE],MATCH(TableWRVORP[[#This Row],[RK]],TableWRCalcPts[RK],0)),"")</f>
        <v>6</v>
      </c>
      <c r="S75" s="155">
        <f>IFERROR(INDEX(TableWRCalcPts[Custom],MATCH(TableWRVORP[[#This Row],[RK]],TableWRCalcPts[RK],0)),"")</f>
        <v>88.820853202636783</v>
      </c>
      <c r="T75" s="156">
        <f>(IFERROR((TableWRVORP[[#This Row],[FPS]]-INDEX(TableWRVORP[FPS],MATCH(WRVORPCalc,TableWRVORP[RK],0))),""))</f>
        <v>-1.4633321877292786</v>
      </c>
      <c r="V75" s="58">
        <v>74</v>
      </c>
      <c r="W75" s="154" t="str">
        <f>IFERROR(INDEX(TableTECalcPts[PLAYER],MATCH(TableTEVORP[[#This Row],[RK]],TableTECalcPts[RK],0)),"")</f>
        <v>Jeremy Ruckert</v>
      </c>
      <c r="X75" s="154" t="str">
        <f>IFERROR(INDEX(TableTECalcPts[TM],MATCH(TableTEVORP[[#This Row],[RK]],TableTECalcPts[RK],0)),"")</f>
        <v>NYJ</v>
      </c>
      <c r="Y75" s="154">
        <f>IFERROR(INDEX(TableTECalcPts[BYE],MATCH(TableTEVORP[[#This Row],[RK]],TableTECalcPts[RK],0)),"")</f>
        <v>13</v>
      </c>
      <c r="Z75" s="155">
        <f>IFERROR(INDEX(TableTECalcPts[Custom],MATCH(TableTEVORP[[#This Row],[RK]],TableTECalcPts[RK],0)),"")</f>
        <v>9.0281802845379744</v>
      </c>
      <c r="AA75" s="156">
        <f>IFERROR((TableTEVORP[[#This Row],[FPS]]-INDEX(TableTEVORP[FPS],MATCH(TEVORPCalc,TableTEVORP[RK],0))),"")</f>
        <v>-68.857613691703705</v>
      </c>
      <c r="AF75" s="58" t="s">
        <v>147</v>
      </c>
      <c r="AG75" s="58">
        <v>34</v>
      </c>
      <c r="AH75" s="100">
        <f>RANK(TableOverallMaster[[#This Row],[VORP]],TableOverallMaster[VORP])+COUNTIF($AM$2:AM75,AM75)-1</f>
        <v>132</v>
      </c>
      <c r="AI75" s="157" t="str">
        <f>IFERROR(INDEX(TableRBVORP[RUNNING BACK],MATCH(TableOverallMaster[[#This Row],[RK]],TableRBVORP[RK],0)),"")</f>
        <v>Kyle Monangai</v>
      </c>
      <c r="AJ75" s="157" t="str">
        <f t="shared" si="1"/>
        <v>RB34</v>
      </c>
      <c r="AK75" s="157">
        <f>IFERROR(INDEX(TableRBVORP[BYE],MATCH(TableOverallMaster[[#This Row],[RK]],TableRBVORP[RK],0)),"")</f>
        <v>10</v>
      </c>
      <c r="AL75" s="158">
        <f>IFERROR(INDEX(TableRBVORP[FPS],MATCH(TableOverallMaster[[#This Row],[RK]],TableRBVORP[RK],0)),"")</f>
        <v>147.64126343894941</v>
      </c>
      <c r="AM75" s="159">
        <f>IFERROR(INDEX(TableRBVORP[VORP],MATCH(TableOverallMaster[[#This Row],[RK]],TableRBVORP[RK],0)),"")</f>
        <v>34.906739366337625</v>
      </c>
      <c r="AO75" s="58">
        <v>74</v>
      </c>
      <c r="AP75" s="160" t="str">
        <f>IFERROR(INDEX(TableOverallMaster[OVERALL PLAYER],MATCH(TableOverallRank[[#This Row],[RK]],TableOverallMaster[OVR RK],0)),"")</f>
        <v>Makai Lemon</v>
      </c>
      <c r="AQ75" s="161" t="str">
        <f>IFERROR(INDEX(TableOverallMaster[POS RK],MATCH(TableOverallRank[[#This Row],[OVERALL PLAYER]],TableOverallMaster[OVERALL PLAYER],0)),"")</f>
        <v>WR33</v>
      </c>
      <c r="AR75" s="162">
        <f>IFERROR(INDEX(TableOverallMaster[BYE],MATCH(TableOverallRank[[#This Row],[OVERALL PLAYER]],TableOverallMaster[OVERALL PLAYER],0)),"")</f>
        <v>10</v>
      </c>
      <c r="AS75" s="161">
        <f>IFERROR(INDEX(TableOverallMaster[Custom],MATCH(TableOverallRank[[#This Row],[OVERALL PLAYER]],TableOverallMaster[OVERALL PLAYER],0)),"")</f>
        <v>169.40745113120846</v>
      </c>
      <c r="AT75" s="163">
        <f>IFERROR(INDEX(TableOverallMaster[VORP],MATCH(TableOverallRank[[#This Row],[OVERALL PLAYER]],TableOverallMaster[OVERALL PLAYER],0)),"")</f>
        <v>79.123265740842399</v>
      </c>
      <c r="AV75" s="58">
        <v>74</v>
      </c>
      <c r="AW75" s="164" t="str">
        <f>IFERROR(INDEX(TableWRTECalcPts[PLAYER],MATCH(TableWRTERank[[#This Row],[RK]],TableWRTECalcPts[RK],0)),"")</f>
        <v>Rashid Shaheed</v>
      </c>
      <c r="AX75" s="164" t="str">
        <f>IFERROR(INDEX(TableWRTECalcPts[POS RK],MATCH(TableWRTERank[[#This Row],[WR and TE COMBINED]],TableWRTECalcPts[PLAYER],0)),"")</f>
        <v>WR56</v>
      </c>
      <c r="AY75" s="164">
        <f>IFERROR(INDEX(TableWRTECalcPts[BYE],MATCH(TableWRTERank[[#This Row],[RK]],TableWRTECalcPts[RK],0)),"")</f>
        <v>11</v>
      </c>
      <c r="AZ75" s="165">
        <f>IFERROR(INDEX(TableWRTECalcPts[Custom],MATCH(TableWRTERank[[#This Row],[RK]],TableWRTECalcPts[RK],0)),"")</f>
        <v>119.41105593447746</v>
      </c>
      <c r="BA75" s="166">
        <f>IFERROR((TableWRTERank[[#This Row],[FPS]]-INDEX(TableWRTERank[FPS],MATCH(WRTEVORPCalc,TableWRTERank[RK],0))),"")</f>
        <v>-21.825315647814236</v>
      </c>
      <c r="BC75" s="58" t="s">
        <v>148</v>
      </c>
    </row>
    <row r="76" spans="1:55" x14ac:dyDescent="0.25">
      <c r="A76" s="58">
        <v>75</v>
      </c>
      <c r="B76" s="154" t="str">
        <f>IFERROR(INDEX(TableQBCalcPts[PLAYER],MATCH(TableQBVORP[[#This Row],[RK]],TableQBCalcPts[RK],0)),"")</f>
        <v/>
      </c>
      <c r="C76" s="154" t="str">
        <f>IFERROR(INDEX(TableQBCalcPts[TM],MATCH(TableQBVORP[[#This Row],[RK]],TableQBCalcPts[RK],0)),"")</f>
        <v/>
      </c>
      <c r="D76" s="154" t="str">
        <f>IFERROR(INDEX(TableQBCalcPts[BYE],MATCH(TableQBVORP[[#This Row],[RK]],TableQBCalcPts[RK],0)),"")</f>
        <v/>
      </c>
      <c r="E76" s="155" t="str">
        <f>IFERROR(INDEX(TableQBCalcPts[Custom],MATCH(TableQBVORP[[#This Row],[RK]],TableQBCalcPts[RK],0)),"")</f>
        <v/>
      </c>
      <c r="F76" s="156" t="e">
        <f>(IFERROR((TableQBVORP[[#This Row],[FPS]]-INDEX(TableQBVORP[FPS],MATCH(QBVORPCalc,TableQBVORP[RK],0))),""))+(TableRBVORP[[#This Row],[VORP]]*0.45)</f>
        <v>#VALUE!</v>
      </c>
      <c r="H76" s="58">
        <v>75</v>
      </c>
      <c r="I76" s="154" t="str">
        <f>IFERROR(INDEX(TableRBCalcPts[PLAYER],MATCH(TableRBVORP[[#This Row],[RK]],TableRBCalcPts[RK],0)),"")</f>
        <v>Trey Benson</v>
      </c>
      <c r="J76" s="154" t="str">
        <f>IFERROR(INDEX(TableRBCalcPts[TM],MATCH(TableRBVORP[[#This Row],[RK]],TableRBCalcPts[RK],0)),"")</f>
        <v>ARI</v>
      </c>
      <c r="K76" s="154">
        <f>IFERROR(INDEX(TableRBCalcPts[BYE],MATCH(TableRBVORP[[#This Row],[RK]],TableRBCalcPts[RK],0)),"")</f>
        <v>14</v>
      </c>
      <c r="L76" s="155">
        <f>IFERROR(INDEX(TableRBCalcPts[Custom],MATCH(TableRBVORP[[#This Row],[RK]],TableRBCalcPts[RK],0)),"")</f>
        <v>35.444868379199995</v>
      </c>
      <c r="M76" s="156">
        <f>(IFERROR((TableRBVORP[[#This Row],[FPS]]-INDEX(TableRBVORP[FPS],MATCH(RBVORPCalc,TableRBVORP[RK],0))),""))*0.8</f>
        <v>-54.850376681461903</v>
      </c>
      <c r="O76" s="58">
        <v>75</v>
      </c>
      <c r="P76" s="154" t="str">
        <f>IFERROR(INDEX(TableWRCalcPts[PLAYER],MATCH(TableWRVORP[[#This Row],[RK]],TableWRCalcPts[RK],0)),"")</f>
        <v>Rashod Bateman</v>
      </c>
      <c r="Q76" s="154" t="str">
        <f>IFERROR(INDEX(TableWRCalcPts[TM],MATCH(TableWRVORP[[#This Row],[RK]],TableWRCalcPts[RK],0)),"")</f>
        <v>BAL</v>
      </c>
      <c r="R76" s="154">
        <f>IFERROR(INDEX(TableWRCalcPts[BYE],MATCH(TableWRVORP[[#This Row],[RK]],TableWRCalcPts[RK],0)),"")</f>
        <v>13</v>
      </c>
      <c r="S76" s="155">
        <f>IFERROR(INDEX(TableWRCalcPts[Custom],MATCH(TableWRVORP[[#This Row],[RK]],TableWRCalcPts[RK],0)),"")</f>
        <v>88.222170607161729</v>
      </c>
      <c r="T76" s="156">
        <f>(IFERROR((TableWRVORP[[#This Row],[FPS]]-INDEX(TableWRVORP[FPS],MATCH(WRVORPCalc,TableWRVORP[RK],0))),""))</f>
        <v>-2.062014783204333</v>
      </c>
      <c r="V76" s="58">
        <v>75</v>
      </c>
      <c r="W76" s="154" t="str">
        <f>IFERROR(INDEX(TableTECalcPts[PLAYER],MATCH(TableTEVORP[[#This Row],[RK]],TableTECalcPts[RK],0)),"")</f>
        <v>Jared Wiley</v>
      </c>
      <c r="X76" s="154" t="str">
        <f>IFERROR(INDEX(TableTECalcPts[TM],MATCH(TableTEVORP[[#This Row],[RK]],TableTECalcPts[RK],0)),"")</f>
        <v>KC</v>
      </c>
      <c r="Y76" s="154">
        <f>IFERROR(INDEX(TableTECalcPts[BYE],MATCH(TableTEVORP[[#This Row],[RK]],TableTECalcPts[RK],0)),"")</f>
        <v>5</v>
      </c>
      <c r="Z76" s="155">
        <f>IFERROR(INDEX(TableTECalcPts[Custom],MATCH(TableTEVORP[[#This Row],[RK]],TableTECalcPts[RK],0)),"")</f>
        <v>7.7326866388358848</v>
      </c>
      <c r="AA76" s="156">
        <f>IFERROR((TableTEVORP[[#This Row],[FPS]]-INDEX(TableTEVORP[FPS],MATCH(TEVORPCalc,TableTEVORP[RK],0))),"")</f>
        <v>-70.1531073374058</v>
      </c>
      <c r="AF76" s="58" t="s">
        <v>147</v>
      </c>
      <c r="AG76" s="58">
        <v>35</v>
      </c>
      <c r="AH76" s="100">
        <f>RANK(TableOverallMaster[[#This Row],[VORP]],TableOverallMaster[VORP])+COUNTIF($AM$2:AM76,AM76)-1</f>
        <v>139</v>
      </c>
      <c r="AI76" s="157" t="str">
        <f>IFERROR(INDEX(TableRBVORP[RUNNING BACK],MATCH(TableOverallMaster[[#This Row],[RK]],TableRBVORP[RK],0)),"")</f>
        <v>Jordan Mason</v>
      </c>
      <c r="AJ76" s="157" t="str">
        <f t="shared" si="1"/>
        <v>RB35</v>
      </c>
      <c r="AK76" s="157">
        <f>IFERROR(INDEX(TableRBVORP[BYE],MATCH(TableOverallMaster[[#This Row],[RK]],TableRBVORP[RK],0)),"")</f>
        <v>6</v>
      </c>
      <c r="AL76" s="158">
        <f>IFERROR(INDEX(TableRBVORP[FPS],MATCH(TableOverallMaster[[#This Row],[RK]],TableRBVORP[RK],0)),"")</f>
        <v>132.30675892592791</v>
      </c>
      <c r="AM76" s="159">
        <f>IFERROR(INDEX(TableRBVORP[VORP],MATCH(TableOverallMaster[[#This Row],[RK]],TableRBVORP[RK],0)),"")</f>
        <v>22.639135755920428</v>
      </c>
      <c r="AO76" s="58">
        <v>75</v>
      </c>
      <c r="AP76" s="160" t="str">
        <f>IFERROR(INDEX(TableOverallMaster[OVERALL PLAYER],MATCH(TableOverallRank[[#This Row],[RK]],TableOverallMaster[OVR RK],0)),"")</f>
        <v>Jordan Addison</v>
      </c>
      <c r="AQ76" s="161" t="str">
        <f>IFERROR(INDEX(TableOverallMaster[POS RK],MATCH(TableOverallRank[[#This Row],[OVERALL PLAYER]],TableOverallMaster[OVERALL PLAYER],0)),"")</f>
        <v>WR34</v>
      </c>
      <c r="AR76" s="162">
        <f>IFERROR(INDEX(TableOverallMaster[BYE],MATCH(TableOverallRank[[#This Row],[OVERALL PLAYER]],TableOverallMaster[OVERALL PLAYER],0)),"")</f>
        <v>6</v>
      </c>
      <c r="AS76" s="161">
        <f>IFERROR(INDEX(TableOverallMaster[Custom],MATCH(TableOverallRank[[#This Row],[OVERALL PLAYER]],TableOverallMaster[OVERALL PLAYER],0)),"")</f>
        <v>168.53891277683735</v>
      </c>
      <c r="AT76" s="163">
        <f>IFERROR(INDEX(TableOverallMaster[VORP],MATCH(TableOverallRank[[#This Row],[OVERALL PLAYER]],TableOverallMaster[OVERALL PLAYER],0)),"")</f>
        <v>78.254727386471288</v>
      </c>
      <c r="AV76" s="58">
        <v>75</v>
      </c>
      <c r="AW76" s="164" t="str">
        <f>IFERROR(INDEX(TableWRTECalcPts[PLAYER],MATCH(TableWRTERank[[#This Row],[RK]],TableWRTECalcPts[RK],0)),"")</f>
        <v>Dallas Goedert</v>
      </c>
      <c r="AX76" s="164" t="str">
        <f>IFERROR(INDEX(TableWRTECalcPts[POS RK],MATCH(TableWRTERank[[#This Row],[WR and TE COMBINED]],TableWRTECalcPts[PLAYER],0)),"")</f>
        <v>TE19</v>
      </c>
      <c r="AY76" s="164">
        <f>IFERROR(INDEX(TableWRTECalcPts[BYE],MATCH(TableWRTERank[[#This Row],[RK]],TableWRTECalcPts[RK],0)),"")</f>
        <v>10</v>
      </c>
      <c r="AZ76" s="165">
        <f>IFERROR(INDEX(TableWRTECalcPts[Custom],MATCH(TableWRTERank[[#This Row],[RK]],TableWRTECalcPts[RK],0)),"")</f>
        <v>114.12704445993541</v>
      </c>
      <c r="BA76" s="166">
        <f>IFERROR((TableWRTERank[[#This Row],[FPS]]-INDEX(TableWRTERank[FPS],MATCH(WRTEVORPCalc,TableWRTERank[RK],0))),"")</f>
        <v>-27.109327122356291</v>
      </c>
      <c r="BC76" s="58" t="s">
        <v>148</v>
      </c>
    </row>
    <row r="77" spans="1:55" x14ac:dyDescent="0.25">
      <c r="A77" s="58">
        <v>76</v>
      </c>
      <c r="B77" s="154" t="str">
        <f>IFERROR(INDEX(TableQBCalcPts[PLAYER],MATCH(TableQBVORP[[#This Row],[RK]],TableQBCalcPts[RK],0)),"")</f>
        <v/>
      </c>
      <c r="C77" s="154" t="str">
        <f>IFERROR(INDEX(TableQBCalcPts[TM],MATCH(TableQBVORP[[#This Row],[RK]],TableQBCalcPts[RK],0)),"")</f>
        <v/>
      </c>
      <c r="D77" s="154" t="str">
        <f>IFERROR(INDEX(TableQBCalcPts[BYE],MATCH(TableQBVORP[[#This Row],[RK]],TableQBCalcPts[RK],0)),"")</f>
        <v/>
      </c>
      <c r="E77" s="155" t="str">
        <f>IFERROR(INDEX(TableQBCalcPts[Custom],MATCH(TableQBVORP[[#This Row],[RK]],TableQBCalcPts[RK],0)),"")</f>
        <v/>
      </c>
      <c r="F77" s="156" t="e">
        <f>(IFERROR((TableQBVORP[[#This Row],[FPS]]-INDEX(TableQBVORP[FPS],MATCH(QBVORPCalc,TableQBVORP[RK],0))),""))+(TableRBVORP[[#This Row],[VORP]]*0.45)</f>
        <v>#VALUE!</v>
      </c>
      <c r="H77" s="58">
        <v>76</v>
      </c>
      <c r="I77" s="154" t="str">
        <f>IFERROR(INDEX(TableRBCalcPts[PLAYER],MATCH(TableRBVORP[[#This Row],[RK]],TableRBCalcPts[RK],0)),"")</f>
        <v>Kimani Vidal</v>
      </c>
      <c r="J77" s="154" t="str">
        <f>IFERROR(INDEX(TableRBCalcPts[TM],MATCH(TableRBVORP[[#This Row],[RK]],TableRBCalcPts[RK],0)),"")</f>
        <v>LAC</v>
      </c>
      <c r="K77" s="154">
        <f>IFERROR(INDEX(TableRBCalcPts[BYE],MATCH(TableRBVORP[[#This Row],[RK]],TableRBCalcPts[RK],0)),"")</f>
        <v>7</v>
      </c>
      <c r="L77" s="155">
        <f>IFERROR(INDEX(TableRBCalcPts[Custom],MATCH(TableRBVORP[[#This Row],[RK]],TableRBCalcPts[RK],0)),"")</f>
        <v>33.511478500499997</v>
      </c>
      <c r="M77" s="156">
        <f>(IFERROR((TableRBVORP[[#This Row],[FPS]]-INDEX(TableRBVORP[FPS],MATCH(RBVORPCalc,TableRBVORP[RK],0))),""))*0.8</f>
        <v>-56.397088584421908</v>
      </c>
      <c r="O77" s="58">
        <v>76</v>
      </c>
      <c r="P77" s="154" t="str">
        <f>IFERROR(INDEX(TableWRCalcPts[PLAYER],MATCH(TableWRVORP[[#This Row],[RK]],TableWRCalcPts[RK],0)),"")</f>
        <v>Jauan Jennings</v>
      </c>
      <c r="Q77" s="154" t="str">
        <f>IFERROR(INDEX(TableWRCalcPts[TM],MATCH(TableWRVORP[[#This Row],[RK]],TableWRCalcPts[RK],0)),"")</f>
        <v>MIN</v>
      </c>
      <c r="R77" s="154">
        <f>IFERROR(INDEX(TableWRCalcPts[BYE],MATCH(TableWRVORP[[#This Row],[RK]],TableWRCalcPts[RK],0)),"")</f>
        <v>6</v>
      </c>
      <c r="S77" s="155">
        <f>IFERROR(INDEX(TableWRCalcPts[Custom],MATCH(TableWRVORP[[#This Row],[RK]],TableWRCalcPts[RK],0)),"")</f>
        <v>82.789156047990502</v>
      </c>
      <c r="T77" s="156">
        <f>(IFERROR((TableWRVORP[[#This Row],[FPS]]-INDEX(TableWRVORP[FPS],MATCH(WRVORPCalc,TableWRVORP[RK],0))),""))</f>
        <v>-7.4950293423755596</v>
      </c>
      <c r="V77" s="58">
        <v>76</v>
      </c>
      <c r="W77" s="154" t="str">
        <f>IFERROR(INDEX(TableTECalcPts[PLAYER],MATCH(TableTEVORP[[#This Row],[RK]],TableTECalcPts[RK],0)),"")</f>
        <v>Foster Moreau</v>
      </c>
      <c r="X77" s="154" t="str">
        <f>IFERROR(INDEX(TableTECalcPts[TM],MATCH(TableTEVORP[[#This Row],[RK]],TableTECalcPts[RK],0)),"")</f>
        <v>HOU</v>
      </c>
      <c r="Y77" s="154">
        <f>IFERROR(INDEX(TableTECalcPts[BYE],MATCH(TableTEVORP[[#This Row],[RK]],TableTECalcPts[RK],0)),"")</f>
        <v>8</v>
      </c>
      <c r="Z77" s="155">
        <f>IFERROR(INDEX(TableTECalcPts[Custom],MATCH(TableTEVORP[[#This Row],[RK]],TableTECalcPts[RK],0)),"")</f>
        <v>7.3582274793798348</v>
      </c>
      <c r="AA77" s="156">
        <f>IFERROR((TableTEVORP[[#This Row],[FPS]]-INDEX(TableTEVORP[FPS],MATCH(TEVORPCalc,TableTEVORP[RK],0))),"")</f>
        <v>-70.527566496861851</v>
      </c>
      <c r="AF77" s="58" t="s">
        <v>147</v>
      </c>
      <c r="AG77" s="58">
        <v>36</v>
      </c>
      <c r="AH77" s="100">
        <f>RANK(TableOverallMaster[[#This Row],[VORP]],TableOverallMaster[VORP])+COUNTIF($AM$2:AM77,AM77)-1</f>
        <v>140</v>
      </c>
      <c r="AI77" s="157" t="str">
        <f>IFERROR(INDEX(TableRBVORP[RUNNING BACK],MATCH(TableOverallMaster[[#This Row],[RK]],TableRBVORP[RK],0)),"")</f>
        <v>Blake Corum</v>
      </c>
      <c r="AJ77" s="157" t="str">
        <f t="shared" si="1"/>
        <v>RB36</v>
      </c>
      <c r="AK77" s="157">
        <f>IFERROR(INDEX(TableRBVORP[BYE],MATCH(TableOverallMaster[[#This Row],[RK]],TableRBVORP[RK],0)),"")</f>
        <v>11</v>
      </c>
      <c r="AL77" s="158">
        <f>IFERROR(INDEX(TableRBVORP[FPS],MATCH(TableOverallMaster[[#This Row],[RK]],TableRBVORP[RK],0)),"")</f>
        <v>132.20471392634317</v>
      </c>
      <c r="AM77" s="159">
        <f>IFERROR(INDEX(TableRBVORP[VORP],MATCH(TableOverallMaster[[#This Row],[RK]],TableRBVORP[RK],0)),"")</f>
        <v>22.557499756252639</v>
      </c>
      <c r="AO77" s="58">
        <v>76</v>
      </c>
      <c r="AP77" s="160" t="str">
        <f>IFERROR(INDEX(TableOverallMaster[OVERALL PLAYER],MATCH(TableOverallRank[[#This Row],[RK]],TableOverallMaster[OVR RK],0)),"")</f>
        <v>Sam LaPorta</v>
      </c>
      <c r="AQ77" s="161" t="str">
        <f>IFERROR(INDEX(TableOverallMaster[POS RK],MATCH(TableOverallRank[[#This Row],[OVERALL PLAYER]],TableOverallMaster[OVERALL PLAYER],0)),"")</f>
        <v>TE5</v>
      </c>
      <c r="AR77" s="162">
        <f>IFERROR(INDEX(TableOverallMaster[BYE],MATCH(TableOverallRank[[#This Row],[OVERALL PLAYER]],TableOverallMaster[OVERALL PLAYER],0)),"")</f>
        <v>6</v>
      </c>
      <c r="AS77" s="161">
        <f>IFERROR(INDEX(TableOverallMaster[Custom],MATCH(TableOverallRank[[#This Row],[OVERALL PLAYER]],TableOverallMaster[OVERALL PLAYER],0)),"")</f>
        <v>155.89636881295675</v>
      </c>
      <c r="AT77" s="163">
        <f>IFERROR(INDEX(TableOverallMaster[VORP],MATCH(TableOverallRank[[#This Row],[OVERALL PLAYER]],TableOverallMaster[OVERALL PLAYER],0)),"")</f>
        <v>78.010574836715065</v>
      </c>
      <c r="AV77" s="58">
        <v>76</v>
      </c>
      <c r="AW77" s="164" t="str">
        <f>IFERROR(INDEX(TableWRTECalcPts[PLAYER],MATCH(TableWRTERank[[#This Row],[RK]],TableWRTECalcPts[RK],0)),"")</f>
        <v>Greg Dulcich</v>
      </c>
      <c r="AX77" s="164" t="str">
        <f>IFERROR(INDEX(TableWRTECalcPts[POS RK],MATCH(TableWRTERank[[#This Row],[WR and TE COMBINED]],TableWRTECalcPts[PLAYER],0)),"")</f>
        <v>TE20</v>
      </c>
      <c r="AY77" s="164">
        <f>IFERROR(INDEX(TableWRTECalcPts[BYE],MATCH(TableWRTERank[[#This Row],[RK]],TableWRTECalcPts[RK],0)),"")</f>
        <v>6</v>
      </c>
      <c r="AZ77" s="165">
        <f>IFERROR(INDEX(TableWRTECalcPts[Custom],MATCH(TableWRTERank[[#This Row],[RK]],TableWRTECalcPts[RK],0)),"")</f>
        <v>110.66370102094356</v>
      </c>
      <c r="BA77" s="166">
        <f>IFERROR((TableWRTERank[[#This Row],[FPS]]-INDEX(TableWRTERank[FPS],MATCH(WRTEVORPCalc,TableWRTERank[RK],0))),"")</f>
        <v>-30.572670561348133</v>
      </c>
      <c r="BC77" s="58" t="s">
        <v>148</v>
      </c>
    </row>
    <row r="78" spans="1:55" x14ac:dyDescent="0.25">
      <c r="A78" s="58">
        <v>77</v>
      </c>
      <c r="B78" s="154" t="str">
        <f>IFERROR(INDEX(TableQBCalcPts[PLAYER],MATCH(TableQBVORP[[#This Row],[RK]],TableQBCalcPts[RK],0)),"")</f>
        <v/>
      </c>
      <c r="C78" s="154" t="str">
        <f>IFERROR(INDEX(TableQBCalcPts[TM],MATCH(TableQBVORP[[#This Row],[RK]],TableQBCalcPts[RK],0)),"")</f>
        <v/>
      </c>
      <c r="D78" s="154" t="str">
        <f>IFERROR(INDEX(TableQBCalcPts[BYE],MATCH(TableQBVORP[[#This Row],[RK]],TableQBCalcPts[RK],0)),"")</f>
        <v/>
      </c>
      <c r="E78" s="155" t="str">
        <f>IFERROR(INDEX(TableQBCalcPts[Custom],MATCH(TableQBVORP[[#This Row],[RK]],TableQBCalcPts[RK],0)),"")</f>
        <v/>
      </c>
      <c r="F78" s="156" t="e">
        <f>(IFERROR((TableQBVORP[[#This Row],[FPS]]-INDEX(TableQBVORP[FPS],MATCH(QBVORPCalc,TableQBVORP[RK],0))),""))+(TableRBVORP[[#This Row],[VORP]]*0.45)</f>
        <v>#VALUE!</v>
      </c>
      <c r="H78" s="58">
        <v>77</v>
      </c>
      <c r="I78" s="154" t="str">
        <f>IFERROR(INDEX(TableRBCalcPts[PLAYER],MATCH(TableRBVORP[[#This Row],[RK]],TableRBCalcPts[RK],0)),"")</f>
        <v>Jaylen Wright</v>
      </c>
      <c r="J78" s="154" t="str">
        <f>IFERROR(INDEX(TableRBCalcPts[TM],MATCH(TableRBVORP[[#This Row],[RK]],TableRBCalcPts[RK],0)),"")</f>
        <v>MIA</v>
      </c>
      <c r="K78" s="154">
        <f>IFERROR(INDEX(TableRBCalcPts[BYE],MATCH(TableRBVORP[[#This Row],[RK]],TableRBCalcPts[RK],0)),"")</f>
        <v>6</v>
      </c>
      <c r="L78" s="155">
        <f>IFERROR(INDEX(TableRBCalcPts[Custom],MATCH(TableRBVORP[[#This Row],[RK]],TableRBCalcPts[RK],0)),"")</f>
        <v>28.488157787613616</v>
      </c>
      <c r="M78" s="156">
        <f>(IFERROR((TableRBVORP[[#This Row],[FPS]]-INDEX(TableRBVORP[FPS],MATCH(RBVORPCalc,TableRBVORP[RK],0))),""))*0.8</f>
        <v>-60.415745154731013</v>
      </c>
      <c r="O78" s="58">
        <v>77</v>
      </c>
      <c r="P78" s="154" t="str">
        <f>IFERROR(INDEX(TableWRCalcPts[PLAYER],MATCH(TableWRVORP[[#This Row],[RK]],TableWRCalcPts[RK],0)),"")</f>
        <v>Darnell Mooney</v>
      </c>
      <c r="Q78" s="154" t="str">
        <f>IFERROR(INDEX(TableWRCalcPts[TM],MATCH(TableWRVORP[[#This Row],[RK]],TableWRCalcPts[RK],0)),"")</f>
        <v>NYG</v>
      </c>
      <c r="R78" s="154">
        <f>IFERROR(INDEX(TableWRCalcPts[BYE],MATCH(TableWRVORP[[#This Row],[RK]],TableWRCalcPts[RK],0)),"")</f>
        <v>8</v>
      </c>
      <c r="S78" s="155">
        <f>IFERROR(INDEX(TableWRCalcPts[Custom],MATCH(TableWRVORP[[#This Row],[RK]],TableWRCalcPts[RK],0)),"")</f>
        <v>80.506540304927114</v>
      </c>
      <c r="T78" s="156">
        <f>(IFERROR((TableWRVORP[[#This Row],[FPS]]-INDEX(TableWRVORP[FPS],MATCH(WRVORPCalc,TableWRVORP[RK],0))),""))</f>
        <v>-9.7776450854389481</v>
      </c>
      <c r="V78" s="58">
        <v>77</v>
      </c>
      <c r="W78" s="154" t="str">
        <f>IFERROR(INDEX(TableTECalcPts[PLAYER],MATCH(TableTEVORP[[#This Row],[RK]],TableTECalcPts[RK],0)),"")</f>
        <v>Charlie Woerner</v>
      </c>
      <c r="X78" s="154" t="str">
        <f>IFERROR(INDEX(TableTECalcPts[TM],MATCH(TableTEVORP[[#This Row],[RK]],TableTECalcPts[RK],0)),"")</f>
        <v>ATL</v>
      </c>
      <c r="Y78" s="154">
        <f>IFERROR(INDEX(TableTECalcPts[BYE],MATCH(TableTEVORP[[#This Row],[RK]],TableTECalcPts[RK],0)),"")</f>
        <v>11</v>
      </c>
      <c r="Z78" s="155">
        <f>IFERROR(INDEX(TableTECalcPts[Custom],MATCH(TableTEVORP[[#This Row],[RK]],TableTECalcPts[RK],0)),"")</f>
        <v>6.9441723627850118</v>
      </c>
      <c r="AA78" s="156">
        <f>IFERROR((TableTEVORP[[#This Row],[FPS]]-INDEX(TableTEVORP[FPS],MATCH(TEVORPCalc,TableTEVORP[RK],0))),"")</f>
        <v>-70.941621613456675</v>
      </c>
      <c r="AF78" s="58" t="s">
        <v>147</v>
      </c>
      <c r="AG78" s="58">
        <v>37</v>
      </c>
      <c r="AH78" s="100">
        <f>RANK(TableOverallMaster[[#This Row],[VORP]],TableOverallMaster[VORP])+COUNTIF($AM$2:AM78,AM78)-1</f>
        <v>142</v>
      </c>
      <c r="AI78" s="157" t="str">
        <f>IFERROR(INDEX(TableRBVORP[RUNNING BACK],MATCH(TableOverallMaster[[#This Row],[RK]],TableRBVORP[RK],0)),"")</f>
        <v>Aaron Jones</v>
      </c>
      <c r="AJ78" s="157" t="str">
        <f t="shared" si="1"/>
        <v>RB37</v>
      </c>
      <c r="AK78" s="157">
        <f>IFERROR(INDEX(TableRBVORP[BYE],MATCH(TableOverallMaster[[#This Row],[RK]],TableRBVORP[RK],0)),"")</f>
        <v>6</v>
      </c>
      <c r="AL78" s="158">
        <f>IFERROR(INDEX(TableRBVORP[FPS],MATCH(TableOverallMaster[[#This Row],[RK]],TableRBVORP[RK],0)),"")</f>
        <v>130.92158640534046</v>
      </c>
      <c r="AM78" s="159">
        <f>IFERROR(INDEX(TableRBVORP[VORP],MATCH(TableOverallMaster[[#This Row],[RK]],TableRBVORP[RK],0)),"")</f>
        <v>21.53099773945047</v>
      </c>
      <c r="AO78" s="58">
        <v>77</v>
      </c>
      <c r="AP78" s="160" t="str">
        <f>IFERROR(INDEX(TableOverallMaster[OVERALL PLAYER],MATCH(TableOverallRank[[#This Row],[RK]],TableOverallMaster[OVR RK],0)),"")</f>
        <v>George Kittle</v>
      </c>
      <c r="AQ78" s="161" t="str">
        <f>IFERROR(INDEX(TableOverallMaster[POS RK],MATCH(TableOverallRank[[#This Row],[OVERALL PLAYER]],TableOverallMaster[OVERALL PLAYER],0)),"")</f>
        <v>TE6</v>
      </c>
      <c r="AR78" s="162">
        <f>IFERROR(INDEX(TableOverallMaster[BYE],MATCH(TableOverallRank[[#This Row],[OVERALL PLAYER]],TableOverallMaster[OVERALL PLAYER],0)),"")</f>
        <v>8</v>
      </c>
      <c r="AS78" s="161">
        <f>IFERROR(INDEX(TableOverallMaster[Custom],MATCH(TableOverallRank[[#This Row],[OVERALL PLAYER]],TableOverallMaster[OVERALL PLAYER],0)),"")</f>
        <v>155.06993486799362</v>
      </c>
      <c r="AT78" s="163">
        <f>IFERROR(INDEX(TableOverallMaster[VORP],MATCH(TableOverallRank[[#This Row],[OVERALL PLAYER]],TableOverallMaster[OVERALL PLAYER],0)),"")</f>
        <v>77.184140891751937</v>
      </c>
      <c r="AV78" s="58">
        <v>77</v>
      </c>
      <c r="AW78" s="164" t="str">
        <f>IFERROR(INDEX(TableWRTECalcPts[PLAYER],MATCH(TableWRTERank[[#This Row],[RK]],TableWRTECalcPts[RK],0)),"")</f>
        <v>Pat Freiermuth</v>
      </c>
      <c r="AX78" s="164" t="str">
        <f>IFERROR(INDEX(TableWRTECalcPts[POS RK],MATCH(TableWRTERank[[#This Row],[WR and TE COMBINED]],TableWRTECalcPts[PLAYER],0)),"")</f>
        <v>TE21</v>
      </c>
      <c r="AY78" s="164">
        <f>IFERROR(INDEX(TableWRTECalcPts[BYE],MATCH(TableWRTERank[[#This Row],[RK]],TableWRTECalcPts[RK],0)),"")</f>
        <v>9</v>
      </c>
      <c r="AZ78" s="165">
        <f>IFERROR(INDEX(TableWRTECalcPts[Custom],MATCH(TableWRTERank[[#This Row],[RK]],TableWRTECalcPts[RK],0)),"")</f>
        <v>109.06915797030996</v>
      </c>
      <c r="BA78" s="166">
        <f>IFERROR((TableWRTERank[[#This Row],[FPS]]-INDEX(TableWRTERank[FPS],MATCH(WRTEVORPCalc,TableWRTERank[RK],0))),"")</f>
        <v>-32.167213611981737</v>
      </c>
      <c r="BC78" s="58" t="s">
        <v>148</v>
      </c>
    </row>
    <row r="79" spans="1:55" x14ac:dyDescent="0.25">
      <c r="A79" s="58">
        <v>78</v>
      </c>
      <c r="B79" s="154" t="str">
        <f>IFERROR(INDEX(TableQBCalcPts[PLAYER],MATCH(TableQBVORP[[#This Row],[RK]],TableQBCalcPts[RK],0)),"")</f>
        <v/>
      </c>
      <c r="C79" s="154" t="str">
        <f>IFERROR(INDEX(TableQBCalcPts[TM],MATCH(TableQBVORP[[#This Row],[RK]],TableQBCalcPts[RK],0)),"")</f>
        <v/>
      </c>
      <c r="D79" s="154" t="str">
        <f>IFERROR(INDEX(TableQBCalcPts[BYE],MATCH(TableQBVORP[[#This Row],[RK]],TableQBCalcPts[RK],0)),"")</f>
        <v/>
      </c>
      <c r="E79" s="155" t="str">
        <f>IFERROR(INDEX(TableQBCalcPts[Custom],MATCH(TableQBVORP[[#This Row],[RK]],TableQBCalcPts[RK],0)),"")</f>
        <v/>
      </c>
      <c r="F79" s="156" t="e">
        <f>(IFERROR((TableQBVORP[[#This Row],[FPS]]-INDEX(TableQBVORP[FPS],MATCH(QBVORPCalc,TableQBVORP[RK],0))),""))+(TableRBVORP[[#This Row],[VORP]]*0.45)</f>
        <v>#VALUE!</v>
      </c>
      <c r="H79" s="58">
        <v>78</v>
      </c>
      <c r="I79" s="154" t="str">
        <f>IFERROR(INDEX(TableRBCalcPts[PLAYER],MATCH(TableRBVORP[[#This Row],[RK]],TableRBCalcPts[RK],0)),"")</f>
        <v>Seth McGowan</v>
      </c>
      <c r="J79" s="154" t="str">
        <f>IFERROR(INDEX(TableRBCalcPts[TM],MATCH(TableRBVORP[[#This Row],[RK]],TableRBCalcPts[RK],0)),"")</f>
        <v>IND</v>
      </c>
      <c r="K79" s="154">
        <f>IFERROR(INDEX(TableRBCalcPts[BYE],MATCH(TableRBVORP[[#This Row],[RK]],TableRBCalcPts[RK],0)),"")</f>
        <v>13</v>
      </c>
      <c r="L79" s="155">
        <f>IFERROR(INDEX(TableRBCalcPts[Custom],MATCH(TableRBVORP[[#This Row],[RK]],TableRBCalcPts[RK],0)),"")</f>
        <v>28.320244486467573</v>
      </c>
      <c r="M79" s="156">
        <f>(IFERROR((TableRBVORP[[#This Row],[FPS]]-INDEX(TableRBVORP[FPS],MATCH(RBVORPCalc,TableRBVORP[RK],0))),""))*0.8</f>
        <v>-60.550075795647842</v>
      </c>
      <c r="O79" s="58">
        <v>78</v>
      </c>
      <c r="P79" s="154" t="str">
        <f>IFERROR(INDEX(TableWRCalcPts[PLAYER],MATCH(TableWRVORP[[#This Row],[RK]],TableWRCalcPts[RK],0)),"")</f>
        <v>Malik Washington</v>
      </c>
      <c r="Q79" s="154" t="str">
        <f>IFERROR(INDEX(TableWRCalcPts[TM],MATCH(TableWRVORP[[#This Row],[RK]],TableWRCalcPts[RK],0)),"")</f>
        <v>MIA</v>
      </c>
      <c r="R79" s="154">
        <f>IFERROR(INDEX(TableWRCalcPts[BYE],MATCH(TableWRVORP[[#This Row],[RK]],TableWRCalcPts[RK],0)),"")</f>
        <v>6</v>
      </c>
      <c r="S79" s="155">
        <f>IFERROR(INDEX(TableWRCalcPts[Custom],MATCH(TableWRVORP[[#This Row],[RK]],TableWRCalcPts[RK],0)),"")</f>
        <v>80.337995544473287</v>
      </c>
      <c r="T79" s="156">
        <f>(IFERROR((TableWRVORP[[#This Row],[FPS]]-INDEX(TableWRVORP[FPS],MATCH(WRVORPCalc,TableWRVORP[RK],0))),""))</f>
        <v>-9.9461898458927749</v>
      </c>
      <c r="V79" s="58">
        <v>78</v>
      </c>
      <c r="W79" s="154" t="str">
        <f>IFERROR(INDEX(TableTECalcPts[PLAYER],MATCH(TableTEVORP[[#This Row],[RK]],TableTECalcPts[RK],0)),"")</f>
        <v>Michael Trigg</v>
      </c>
      <c r="X79" s="154" t="str">
        <f>IFERROR(INDEX(TableTECalcPts[TM],MATCH(TableTEVORP[[#This Row],[RK]],TableTECalcPts[RK],0)),"")</f>
        <v>DAL</v>
      </c>
      <c r="Y79" s="154">
        <f>IFERROR(INDEX(TableTECalcPts[BYE],MATCH(TableTEVORP[[#This Row],[RK]],TableTECalcPts[RK],0)),"")</f>
        <v>14</v>
      </c>
      <c r="Z79" s="155">
        <f>IFERROR(INDEX(TableTECalcPts[Custom],MATCH(TableTEVORP[[#This Row],[RK]],TableTECalcPts[RK],0)),"")</f>
        <v>5.4358435993400001</v>
      </c>
      <c r="AA79" s="156">
        <f>IFERROR((TableTEVORP[[#This Row],[FPS]]-INDEX(TableTEVORP[FPS],MATCH(TEVORPCalc,TableTEVORP[RK],0))),"")</f>
        <v>-72.449950376901683</v>
      </c>
      <c r="AF79" s="58" t="s">
        <v>147</v>
      </c>
      <c r="AG79" s="58">
        <v>38</v>
      </c>
      <c r="AH79" s="100">
        <f>RANK(TableOverallMaster[[#This Row],[VORP]],TableOverallMaster[VORP])+COUNTIF($AM$2:AM79,AM79)-1</f>
        <v>145</v>
      </c>
      <c r="AI79" s="157" t="str">
        <f>IFERROR(INDEX(TableRBVORP[RUNNING BACK],MATCH(TableOverallMaster[[#This Row],[RK]],TableRBVORP[RK],0)),"")</f>
        <v>Jonathon Brooks</v>
      </c>
      <c r="AJ79" s="157" t="str">
        <f t="shared" si="1"/>
        <v>RB38</v>
      </c>
      <c r="AK79" s="157">
        <f>IFERROR(INDEX(TableRBVORP[BYE],MATCH(TableOverallMaster[[#This Row],[RK]],TableRBVORP[RK],0)),"")</f>
        <v>5</v>
      </c>
      <c r="AL79" s="158">
        <f>IFERROR(INDEX(TableRBVORP[FPS],MATCH(TableOverallMaster[[#This Row],[RK]],TableRBVORP[RK],0)),"")</f>
        <v>126.32116015930738</v>
      </c>
      <c r="AM79" s="159">
        <f>IFERROR(INDEX(TableRBVORP[VORP],MATCH(TableOverallMaster[[#This Row],[RK]],TableRBVORP[RK],0)),"")</f>
        <v>17.850656742624007</v>
      </c>
      <c r="AO79" s="58">
        <v>78</v>
      </c>
      <c r="AP79" s="160" t="str">
        <f>IFERROR(INDEX(TableOverallMaster[OVERALL PLAYER],MATCH(TableOverallRank[[#This Row],[RK]],TableOverallMaster[OVR RK],0)),"")</f>
        <v>Harold Fannin</v>
      </c>
      <c r="AQ79" s="161" t="str">
        <f>IFERROR(INDEX(TableOverallMaster[POS RK],MATCH(TableOverallRank[[#This Row],[OVERALL PLAYER]],TableOverallMaster[OVERALL PLAYER],0)),"")</f>
        <v>TE7</v>
      </c>
      <c r="AR79" s="162">
        <f>IFERROR(INDEX(TableOverallMaster[BYE],MATCH(TableOverallRank[[#This Row],[OVERALL PLAYER]],TableOverallMaster[OVERALL PLAYER],0)),"")</f>
        <v>11</v>
      </c>
      <c r="AS79" s="161">
        <f>IFERROR(INDEX(TableOverallMaster[Custom],MATCH(TableOverallRank[[#This Row],[OVERALL PLAYER]],TableOverallMaster[OVERALL PLAYER],0)),"")</f>
        <v>154.01102933720159</v>
      </c>
      <c r="AT79" s="163">
        <f>IFERROR(INDEX(TableOverallMaster[VORP],MATCH(TableOverallRank[[#This Row],[OVERALL PLAYER]],TableOverallMaster[OVERALL PLAYER],0)),"")</f>
        <v>76.125235360959906</v>
      </c>
      <c r="AV79" s="58">
        <v>78</v>
      </c>
      <c r="AW79" s="164" t="str">
        <f>IFERROR(INDEX(TableWRTECalcPts[PLAYER],MATCH(TableWRTERank[[#This Row],[RK]],TableWRTECalcPts[RK],0)),"")</f>
        <v>Jalen McMillan</v>
      </c>
      <c r="AX79" s="164" t="str">
        <f>IFERROR(INDEX(TableWRTECalcPts[POS RK],MATCH(TableWRTERank[[#This Row],[WR and TE COMBINED]],TableWRTECalcPts[PLAYER],0)),"")</f>
        <v>WR57</v>
      </c>
      <c r="AY79" s="164">
        <f>IFERROR(INDEX(TableWRTECalcPts[BYE],MATCH(TableWRTERank[[#This Row],[RK]],TableWRTECalcPts[RK],0)),"")</f>
        <v>10</v>
      </c>
      <c r="AZ79" s="165">
        <f>IFERROR(INDEX(TableWRTECalcPts[Custom],MATCH(TableWRTERank[[#This Row],[RK]],TableWRTECalcPts[RK],0)),"")</f>
        <v>108.1071908674808</v>
      </c>
      <c r="BA79" s="166">
        <f>IFERROR((TableWRTERank[[#This Row],[FPS]]-INDEX(TableWRTERank[FPS],MATCH(WRTEVORPCalc,TableWRTERank[RK],0))),"")</f>
        <v>-33.1291807148109</v>
      </c>
      <c r="BC79" s="58" t="s">
        <v>148</v>
      </c>
    </row>
    <row r="80" spans="1:55" x14ac:dyDescent="0.25">
      <c r="A80" s="58">
        <v>79</v>
      </c>
      <c r="B80" s="154" t="str">
        <f>IFERROR(INDEX(TableQBCalcPts[PLAYER],MATCH(TableQBVORP[[#This Row],[RK]],TableQBCalcPts[RK],0)),"")</f>
        <v/>
      </c>
      <c r="C80" s="154" t="str">
        <f>IFERROR(INDEX(TableQBCalcPts[TM],MATCH(TableQBVORP[[#This Row],[RK]],TableQBCalcPts[RK],0)),"")</f>
        <v/>
      </c>
      <c r="D80" s="154" t="str">
        <f>IFERROR(INDEX(TableQBCalcPts[BYE],MATCH(TableQBVORP[[#This Row],[RK]],TableQBCalcPts[RK],0)),"")</f>
        <v/>
      </c>
      <c r="E80" s="155" t="str">
        <f>IFERROR(INDEX(TableQBCalcPts[Custom],MATCH(TableQBVORP[[#This Row],[RK]],TableQBCalcPts[RK],0)),"")</f>
        <v/>
      </c>
      <c r="F80" s="156" t="e">
        <f>(IFERROR((TableQBVORP[[#This Row],[FPS]]-INDEX(TableQBVORP[FPS],MATCH(QBVORPCalc,TableQBVORP[RK],0))),""))+(TableRBVORP[[#This Row],[VORP]]*0.45)</f>
        <v>#VALUE!</v>
      </c>
      <c r="H80" s="58">
        <v>79</v>
      </c>
      <c r="I80" s="154" t="str">
        <f>IFERROR(INDEX(TableRBCalcPts[PLAYER],MATCH(TableRBVORP[[#This Row],[RK]],TableRBCalcPts[RK],0)),"")</f>
        <v>Isaiah Davis</v>
      </c>
      <c r="J80" s="154" t="str">
        <f>IFERROR(INDEX(TableRBCalcPts[TM],MATCH(TableRBVORP[[#This Row],[RK]],TableRBCalcPts[RK],0)),"")</f>
        <v>NYJ</v>
      </c>
      <c r="K80" s="154">
        <f>IFERROR(INDEX(TableRBCalcPts[BYE],MATCH(TableRBVORP[[#This Row],[RK]],TableRBCalcPts[RK],0)),"")</f>
        <v>13</v>
      </c>
      <c r="L80" s="155">
        <f>IFERROR(INDEX(TableRBCalcPts[Custom],MATCH(TableRBVORP[[#This Row],[RK]],TableRBCalcPts[RK],0)),"")</f>
        <v>27.570308632263728</v>
      </c>
      <c r="M80" s="156">
        <f>(IFERROR((TableRBVORP[[#This Row],[FPS]]-INDEX(TableRBVORP[FPS],MATCH(RBVORPCalc,TableRBVORP[RK],0))),""))*0.8</f>
        <v>-61.150024479010916</v>
      </c>
      <c r="O80" s="58">
        <v>79</v>
      </c>
      <c r="P80" s="154" t="str">
        <f>IFERROR(INDEX(TableWRCalcPts[PLAYER],MATCH(TableWRVORP[[#This Row],[RK]],TableWRCalcPts[RK],0)),"")</f>
        <v>Jaylin Noel</v>
      </c>
      <c r="Q80" s="154" t="str">
        <f>IFERROR(INDEX(TableWRCalcPts[TM],MATCH(TableWRVORP[[#This Row],[RK]],TableWRCalcPts[RK],0)),"")</f>
        <v>HOU</v>
      </c>
      <c r="R80" s="154">
        <f>IFERROR(INDEX(TableWRCalcPts[BYE],MATCH(TableWRVORP[[#This Row],[RK]],TableWRCalcPts[RK],0)),"")</f>
        <v>8</v>
      </c>
      <c r="S80" s="155">
        <f>IFERROR(INDEX(TableWRCalcPts[Custom],MATCH(TableWRVORP[[#This Row],[RK]],TableWRCalcPts[RK],0)),"")</f>
        <v>74.661111555857417</v>
      </c>
      <c r="T80" s="156">
        <f>(IFERROR((TableWRVORP[[#This Row],[FPS]]-INDEX(TableWRVORP[FPS],MATCH(WRVORPCalc,TableWRVORP[RK],0))),""))</f>
        <v>-15.623073834508645</v>
      </c>
      <c r="V80" s="58">
        <v>79</v>
      </c>
      <c r="W80" s="154" t="str">
        <f>IFERROR(INDEX(TableTECalcPts[PLAYER],MATCH(TableTEVORP[[#This Row],[RK]],TableTECalcPts[RK],0)),"")</f>
        <v>Joe Royer</v>
      </c>
      <c r="X80" s="154" t="str">
        <f>IFERROR(INDEX(TableTECalcPts[TM],MATCH(TableTEVORP[[#This Row],[RK]],TableTECalcPts[RK],0)),"")</f>
        <v>CLE</v>
      </c>
      <c r="Y80" s="154">
        <f>IFERROR(INDEX(TableTECalcPts[BYE],MATCH(TableTEVORP[[#This Row],[RK]],TableTECalcPts[RK],0)),"")</f>
        <v>11</v>
      </c>
      <c r="Z80" s="155">
        <f>IFERROR(INDEX(TableTECalcPts[Custom],MATCH(TableTEVORP[[#This Row],[RK]],TableTECalcPts[RK],0)),"")</f>
        <v>5.3156238957660626</v>
      </c>
      <c r="AA80" s="156">
        <f>IFERROR((TableTEVORP[[#This Row],[FPS]]-INDEX(TableTEVORP[FPS],MATCH(TEVORPCalc,TableTEVORP[RK],0))),"")</f>
        <v>-72.57017008047562</v>
      </c>
      <c r="AF80" s="58" t="s">
        <v>147</v>
      </c>
      <c r="AG80" s="58">
        <v>39</v>
      </c>
      <c r="AH80" s="100">
        <f>RANK(TableOverallMaster[[#This Row],[VORP]],TableOverallMaster[VORP])+COUNTIF($AM$2:AM80,AM80)-1</f>
        <v>147</v>
      </c>
      <c r="AI80" s="157" t="str">
        <f>IFERROR(INDEX(TableRBVORP[RUNNING BACK],MATCH(TableOverallMaster[[#This Row],[RK]],TableRBVORP[RK],0)),"")</f>
        <v>Rachaad White</v>
      </c>
      <c r="AJ80" s="157" t="str">
        <f t="shared" si="1"/>
        <v>RB39</v>
      </c>
      <c r="AK80" s="157">
        <f>IFERROR(INDEX(TableRBVORP[BYE],MATCH(TableOverallMaster[[#This Row],[RK]],TableRBVORP[RK],0)),"")</f>
        <v>7</v>
      </c>
      <c r="AL80" s="158">
        <f>IFERROR(INDEX(TableRBVORP[FPS],MATCH(TableOverallMaster[[#This Row],[RK]],TableRBVORP[RK],0)),"")</f>
        <v>124.03637026247482</v>
      </c>
      <c r="AM80" s="159">
        <f>IFERROR(INDEX(TableRBVORP[VORP],MATCH(TableOverallMaster[[#This Row],[RK]],TableRBVORP[RK],0)),"")</f>
        <v>16.022824825157954</v>
      </c>
      <c r="AO80" s="58">
        <v>79</v>
      </c>
      <c r="AP80" s="160" t="str">
        <f>IFERROR(INDEX(TableOverallMaster[OVERALL PLAYER],MATCH(TableOverallRank[[#This Row],[RK]],TableOverallMaster[OVR RK],0)),"")</f>
        <v>Bhayshul Tuten</v>
      </c>
      <c r="AQ80" s="161" t="str">
        <f>IFERROR(INDEX(TableOverallMaster[POS RK],MATCH(TableOverallRank[[#This Row],[OVERALL PLAYER]],TableOverallMaster[OVERALL PLAYER],0)),"")</f>
        <v>RB20</v>
      </c>
      <c r="AR80" s="162">
        <f>IFERROR(INDEX(TableOverallMaster[BYE],MATCH(TableOverallRank[[#This Row],[OVERALL PLAYER]],TableOverallMaster[OVERALL PLAYER],0)),"")</f>
        <v>7</v>
      </c>
      <c r="AS80" s="161">
        <f>IFERROR(INDEX(TableOverallMaster[Custom],MATCH(TableOverallRank[[#This Row],[OVERALL PLAYER]],TableOverallMaster[OVERALL PLAYER],0)),"")</f>
        <v>199.12984589076595</v>
      </c>
      <c r="AT80" s="163">
        <f>IFERROR(INDEX(TableOverallMaster[VORP],MATCH(TableOverallRank[[#This Row],[OVERALL PLAYER]],TableOverallMaster[OVERALL PLAYER],0)),"")</f>
        <v>76.097605327790859</v>
      </c>
      <c r="AV80" s="58">
        <v>79</v>
      </c>
      <c r="AW80" s="164" t="str">
        <f>IFERROR(INDEX(TableWRTECalcPts[PLAYER],MATCH(TableWRTERank[[#This Row],[RK]],TableWRTECalcPts[RK],0)),"")</f>
        <v>Tyquan Thornton</v>
      </c>
      <c r="AX80" s="164" t="str">
        <f>IFERROR(INDEX(TableWRTECalcPts[POS RK],MATCH(TableWRTERank[[#This Row],[WR and TE COMBINED]],TableWRTECalcPts[PLAYER],0)),"")</f>
        <v>WR58</v>
      </c>
      <c r="AY80" s="164">
        <f>IFERROR(INDEX(TableWRTECalcPts[BYE],MATCH(TableWRTERank[[#This Row],[RK]],TableWRTECalcPts[RK],0)),"")</f>
        <v>5</v>
      </c>
      <c r="AZ80" s="165">
        <f>IFERROR(INDEX(TableWRTECalcPts[Custom],MATCH(TableWRTERank[[#This Row],[RK]],TableWRTECalcPts[RK],0)),"")</f>
        <v>105.42376555000021</v>
      </c>
      <c r="BA80" s="166">
        <f>IFERROR((TableWRTERank[[#This Row],[FPS]]-INDEX(TableWRTERank[FPS],MATCH(WRTEVORPCalc,TableWRTERank[RK],0))),"")</f>
        <v>-35.812606032291484</v>
      </c>
      <c r="BC80" s="58" t="s">
        <v>148</v>
      </c>
    </row>
    <row r="81" spans="1:55" x14ac:dyDescent="0.25">
      <c r="A81" s="58">
        <v>80</v>
      </c>
      <c r="B81" s="154" t="str">
        <f>IFERROR(INDEX(TableQBCalcPts[PLAYER],MATCH(TableQBVORP[[#This Row],[RK]],TableQBCalcPts[RK],0)),"")</f>
        <v/>
      </c>
      <c r="C81" s="154" t="str">
        <f>IFERROR(INDEX(TableQBCalcPts[TM],MATCH(TableQBVORP[[#This Row],[RK]],TableQBCalcPts[RK],0)),"")</f>
        <v/>
      </c>
      <c r="D81" s="154" t="str">
        <f>IFERROR(INDEX(TableQBCalcPts[BYE],MATCH(TableQBVORP[[#This Row],[RK]],TableQBCalcPts[RK],0)),"")</f>
        <v/>
      </c>
      <c r="E81" s="155" t="str">
        <f>IFERROR(INDEX(TableQBCalcPts[Custom],MATCH(TableQBVORP[[#This Row],[RK]],TableQBCalcPts[RK],0)),"")</f>
        <v/>
      </c>
      <c r="F81" s="156" t="e">
        <f>(IFERROR((TableQBVORP[[#This Row],[FPS]]-INDEX(TableQBVORP[FPS],MATCH(QBVORPCalc,TableQBVORP[RK],0))),""))+(TableRBVORP[[#This Row],[VORP]]*0.45)</f>
        <v>#VALUE!</v>
      </c>
      <c r="H81" s="58">
        <v>80</v>
      </c>
      <c r="I81" s="154" t="str">
        <f>IFERROR(INDEX(TableRBCalcPts[PLAYER],MATCH(TableRBVORP[[#This Row],[RK]],TableRBCalcPts[RK],0)),"")</f>
        <v>LeQuint Allen</v>
      </c>
      <c r="J81" s="154" t="str">
        <f>IFERROR(INDEX(TableRBCalcPts[TM],MATCH(TableRBVORP[[#This Row],[RK]],TableRBCalcPts[RK],0)),"")</f>
        <v>JAX</v>
      </c>
      <c r="K81" s="154">
        <f>IFERROR(INDEX(TableRBCalcPts[BYE],MATCH(TableRBVORP[[#This Row],[RK]],TableRBCalcPts[RK],0)),"")</f>
        <v>7</v>
      </c>
      <c r="L81" s="155">
        <f>IFERROR(INDEX(TableRBCalcPts[Custom],MATCH(TableRBVORP[[#This Row],[RK]],TableRBCalcPts[RK],0)),"")</f>
        <v>26.449989953767805</v>
      </c>
      <c r="M81" s="156">
        <f>(IFERROR((TableRBVORP[[#This Row],[FPS]]-INDEX(TableRBVORP[FPS],MATCH(RBVORPCalc,TableRBVORP[RK],0))),""))*0.8</f>
        <v>-62.046279421807668</v>
      </c>
      <c r="O81" s="58">
        <v>80</v>
      </c>
      <c r="P81" s="154" t="str">
        <f>IFERROR(INDEX(TableWRCalcPts[PLAYER],MATCH(TableWRVORP[[#This Row],[RK]],TableWRCalcPts[RK],0)),"")</f>
        <v>Zachariah Branch</v>
      </c>
      <c r="Q81" s="154" t="str">
        <f>IFERROR(INDEX(TableWRCalcPts[TM],MATCH(TableWRVORP[[#This Row],[RK]],TableWRCalcPts[RK],0)),"")</f>
        <v>ATL</v>
      </c>
      <c r="R81" s="154">
        <f>IFERROR(INDEX(TableWRCalcPts[BYE],MATCH(TableWRVORP[[#This Row],[RK]],TableWRCalcPts[RK],0)),"")</f>
        <v>11</v>
      </c>
      <c r="S81" s="155">
        <f>IFERROR(INDEX(TableWRCalcPts[Custom],MATCH(TableWRVORP[[#This Row],[RK]],TableWRCalcPts[RK],0)),"")</f>
        <v>72.524694531828018</v>
      </c>
      <c r="T81" s="156">
        <f>(IFERROR((TableWRVORP[[#This Row],[FPS]]-INDEX(TableWRVORP[FPS],MATCH(WRVORPCalc,TableWRVORP[RK],0))),""))</f>
        <v>-17.759490858538044</v>
      </c>
      <c r="V81" s="58">
        <v>80</v>
      </c>
      <c r="W81" s="154" t="str">
        <f>IFERROR(INDEX(TableTECalcPts[PLAYER],MATCH(TableTEVORP[[#This Row],[RK]],TableTECalcPts[RK],0)),"")</f>
        <v>Tyler Conklin</v>
      </c>
      <c r="X81" s="154" t="str">
        <f>IFERROR(INDEX(TableTECalcPts[TM],MATCH(TableTEVORP[[#This Row],[RK]],TableTECalcPts[RK],0)),"")</f>
        <v>DET</v>
      </c>
      <c r="Y81" s="154">
        <f>IFERROR(INDEX(TableTECalcPts[BYE],MATCH(TableTEVORP[[#This Row],[RK]],TableTECalcPts[RK],0)),"")</f>
        <v>6</v>
      </c>
      <c r="Z81" s="155">
        <f>IFERROR(INDEX(TableTECalcPts[Custom],MATCH(TableTEVORP[[#This Row],[RK]],TableTECalcPts[RK],0)),"")</f>
        <v>3.6983102392319984</v>
      </c>
      <c r="AA81" s="156">
        <f>IFERROR((TableTEVORP[[#This Row],[FPS]]-INDEX(TableTEVORP[FPS],MATCH(TEVORPCalc,TableTEVORP[RK],0))),"")</f>
        <v>-74.187483737009686</v>
      </c>
      <c r="AF81" s="58" t="s">
        <v>147</v>
      </c>
      <c r="AG81" s="58">
        <v>40</v>
      </c>
      <c r="AH81" s="100">
        <f>RANK(TableOverallMaster[[#This Row],[VORP]],TableOverallMaster[VORP])+COUNTIF($AM$2:AM81,AM81)-1</f>
        <v>148</v>
      </c>
      <c r="AI81" s="157" t="str">
        <f>IFERROR(INDEX(TableRBVORP[RUNNING BACK],MATCH(TableOverallMaster[[#This Row],[RK]],TableRBVORP[RK],0)),"")</f>
        <v>Jacory Croskey-Merritt</v>
      </c>
      <c r="AJ81" s="157" t="str">
        <f t="shared" si="1"/>
        <v>RB40</v>
      </c>
      <c r="AK81" s="157">
        <f>IFERROR(INDEX(TableRBVORP[BYE],MATCH(TableOverallMaster[[#This Row],[RK]],TableRBVORP[RK],0)),"")</f>
        <v>7</v>
      </c>
      <c r="AL81" s="158">
        <f>IFERROR(INDEX(TableRBVORP[FPS],MATCH(TableOverallMaster[[#This Row],[RK]],TableRBVORP[RK],0)),"")</f>
        <v>123.7224200487051</v>
      </c>
      <c r="AM81" s="159">
        <f>IFERROR(INDEX(TableRBVORP[VORP],MATCH(TableOverallMaster[[#This Row],[RK]],TableRBVORP[RK],0)),"")</f>
        <v>15.771664654142183</v>
      </c>
      <c r="AO81" s="58">
        <v>80</v>
      </c>
      <c r="AP81" s="160" t="str">
        <f>IFERROR(INDEX(TableOverallMaster[OVERALL PLAYER],MATCH(TableOverallRank[[#This Row],[RK]],TableOverallMaster[OVR RK],0)),"")</f>
        <v>Tucker Kraft</v>
      </c>
      <c r="AQ81" s="161" t="str">
        <f>IFERROR(INDEX(TableOverallMaster[POS RK],MATCH(TableOverallRank[[#This Row],[OVERALL PLAYER]],TableOverallMaster[OVERALL PLAYER],0)),"")</f>
        <v>TE8</v>
      </c>
      <c r="AR81" s="162">
        <f>IFERROR(INDEX(TableOverallMaster[BYE],MATCH(TableOverallRank[[#This Row],[OVERALL PLAYER]],TableOverallMaster[OVERALL PLAYER],0)),"")</f>
        <v>11</v>
      </c>
      <c r="AS81" s="161">
        <f>IFERROR(INDEX(TableOverallMaster[Custom],MATCH(TableOverallRank[[#This Row],[OVERALL PLAYER]],TableOverallMaster[OVERALL PLAYER],0)),"")</f>
        <v>153.12367420756547</v>
      </c>
      <c r="AT81" s="163">
        <f>IFERROR(INDEX(TableOverallMaster[VORP],MATCH(TableOverallRank[[#This Row],[OVERALL PLAYER]],TableOverallMaster[OVERALL PLAYER],0)),"")</f>
        <v>75.237880231323786</v>
      </c>
      <c r="AV81" s="58">
        <v>80</v>
      </c>
      <c r="AW81" s="164" t="str">
        <f>IFERROR(INDEX(TableWRTECalcPts[PLAYER],MATCH(TableWRTERank[[#This Row],[RK]],TableWRTECalcPts[RK],0)),"")</f>
        <v>Calvin Ridley</v>
      </c>
      <c r="AX81" s="164" t="str">
        <f>IFERROR(INDEX(TableWRTECalcPts[POS RK],MATCH(TableWRTERank[[#This Row],[WR and TE COMBINED]],TableWRTECalcPts[PLAYER],0)),"")</f>
        <v>WR59</v>
      </c>
      <c r="AY81" s="164">
        <f>IFERROR(INDEX(TableWRTECalcPts[BYE],MATCH(TableWRTERank[[#This Row],[RK]],TableWRTECalcPts[RK],0)),"")</f>
        <v>9</v>
      </c>
      <c r="AZ81" s="165">
        <f>IFERROR(INDEX(TableWRTECalcPts[Custom],MATCH(TableWRTERank[[#This Row],[RK]],TableWRTECalcPts[RK],0)),"")</f>
        <v>105.40024930600705</v>
      </c>
      <c r="BA81" s="166">
        <f>IFERROR((TableWRTERank[[#This Row],[FPS]]-INDEX(TableWRTERank[FPS],MATCH(WRTEVORPCalc,TableWRTERank[RK],0))),"")</f>
        <v>-35.836122276284641</v>
      </c>
      <c r="BC81" s="58" t="s">
        <v>148</v>
      </c>
    </row>
    <row r="82" spans="1:55" x14ac:dyDescent="0.25">
      <c r="A82" s="58">
        <v>81</v>
      </c>
      <c r="B82" s="154" t="str">
        <f>IFERROR(INDEX(TableQBCalcPts[PLAYER],MATCH(TableQBVORP[[#This Row],[RK]],TableQBCalcPts[RK],0)),"")</f>
        <v/>
      </c>
      <c r="C82" s="154" t="str">
        <f>IFERROR(INDEX(TableQBCalcPts[TM],MATCH(TableQBVORP[[#This Row],[RK]],TableQBCalcPts[RK],0)),"")</f>
        <v/>
      </c>
      <c r="D82" s="154" t="str">
        <f>IFERROR(INDEX(TableQBCalcPts[BYE],MATCH(TableQBVORP[[#This Row],[RK]],TableQBCalcPts[RK],0)),"")</f>
        <v/>
      </c>
      <c r="E82" s="155" t="str">
        <f>IFERROR(INDEX(TableQBCalcPts[Custom],MATCH(TableQBVORP[[#This Row],[RK]],TableQBCalcPts[RK],0)),"")</f>
        <v/>
      </c>
      <c r="F82" s="156" t="e">
        <f>(IFERROR((TableQBVORP[[#This Row],[FPS]]-INDEX(TableQBVORP[FPS],MATCH(QBVORPCalc,TableQBVORP[RK],0))),""))+(TableRBVORP[[#This Row],[VORP]]*0.45)</f>
        <v>#VALUE!</v>
      </c>
      <c r="H82" s="58">
        <v>81</v>
      </c>
      <c r="I82" s="154" t="str">
        <f>IFERROR(INDEX(TableRBCalcPts[PLAYER],MATCH(TableRBVORP[[#This Row],[RK]],TableRBCalcPts[RK],0)),"")</f>
        <v>Rasheen Ali</v>
      </c>
      <c r="J82" s="154" t="str">
        <f>IFERROR(INDEX(TableRBCalcPts[TM],MATCH(TableRBVORP[[#This Row],[RK]],TableRBCalcPts[RK],0)),"")</f>
        <v>BAL</v>
      </c>
      <c r="K82" s="154">
        <f>IFERROR(INDEX(TableRBCalcPts[BYE],MATCH(TableRBVORP[[#This Row],[RK]],TableRBCalcPts[RK],0)),"")</f>
        <v>13</v>
      </c>
      <c r="L82" s="155">
        <f>IFERROR(INDEX(TableRBCalcPts[Custom],MATCH(TableRBVORP[[#This Row],[RK]],TableRBCalcPts[RK],0)),"")</f>
        <v>25.033389440736602</v>
      </c>
      <c r="M82" s="156">
        <f>(IFERROR((TableRBVORP[[#This Row],[FPS]]-INDEX(TableRBVORP[FPS],MATCH(RBVORPCalc,TableRBVORP[RK],0))),""))*0.8</f>
        <v>-63.179559832232627</v>
      </c>
      <c r="O82" s="58">
        <v>81</v>
      </c>
      <c r="P82" s="154" t="str">
        <f>IFERROR(INDEX(TableWRCalcPts[PLAYER],MATCH(TableWRVORP[[#This Row],[RK]],TableWRCalcPts[RK],0)),"")</f>
        <v>Tank Dell</v>
      </c>
      <c r="Q82" s="154" t="str">
        <f>IFERROR(INDEX(TableWRCalcPts[TM],MATCH(TableWRVORP[[#This Row],[RK]],TableWRCalcPts[RK],0)),"")</f>
        <v>HOU</v>
      </c>
      <c r="R82" s="154">
        <f>IFERROR(INDEX(TableWRCalcPts[BYE],MATCH(TableWRVORP[[#This Row],[RK]],TableWRCalcPts[RK],0)),"")</f>
        <v>8</v>
      </c>
      <c r="S82" s="155">
        <f>IFERROR(INDEX(TableWRCalcPts[Custom],MATCH(TableWRVORP[[#This Row],[RK]],TableWRCalcPts[RK],0)),"")</f>
        <v>69.155467284078</v>
      </c>
      <c r="T82" s="156">
        <f>(IFERROR((TableWRVORP[[#This Row],[FPS]]-INDEX(TableWRVORP[FPS],MATCH(WRVORPCalc,TableWRVORP[RK],0))),""))</f>
        <v>-21.128718106288062</v>
      </c>
      <c r="V82" s="58">
        <v>81</v>
      </c>
      <c r="W82" s="154" t="str">
        <f>IFERROR(INDEX(TableTECalcPts[PLAYER],MATCH(TableTEVORP[[#This Row],[RK]],TableTECalcPts[RK],0)),"")</f>
        <v>Tip Reiman</v>
      </c>
      <c r="X82" s="154" t="str">
        <f>IFERROR(INDEX(TableTECalcPts[TM],MATCH(TableTEVORP[[#This Row],[RK]],TableTECalcPts[RK],0)),"")</f>
        <v>ARI</v>
      </c>
      <c r="Y82" s="154">
        <f>IFERROR(INDEX(TableTECalcPts[BYE],MATCH(TableTEVORP[[#This Row],[RK]],TableTECalcPts[RK],0)),"")</f>
        <v>14</v>
      </c>
      <c r="Z82" s="155">
        <f>IFERROR(INDEX(TableTECalcPts[Custom],MATCH(TableTEVORP[[#This Row],[RK]],TableTECalcPts[RK],0)),"")</f>
        <v>3.1609387125002493</v>
      </c>
      <c r="AA82" s="156">
        <f>IFERROR((TableTEVORP[[#This Row],[FPS]]-INDEX(TableTEVORP[FPS],MATCH(TEVORPCalc,TableTEVORP[RK],0))),"")</f>
        <v>-74.724855263741432</v>
      </c>
      <c r="AF82" s="58" t="s">
        <v>147</v>
      </c>
      <c r="AG82" s="58">
        <v>41</v>
      </c>
      <c r="AH82" s="100">
        <f>RANK(TableOverallMaster[[#This Row],[VORP]],TableOverallMaster[VORP])+COUNTIF($AM$2:AM82,AM82)-1</f>
        <v>152</v>
      </c>
      <c r="AI82" s="157" t="str">
        <f>IFERROR(INDEX(TableRBVORP[RUNNING BACK],MATCH(TableOverallMaster[[#This Row],[RK]],TableRBVORP[RK],0)),"")</f>
        <v>J.K. Dobbins</v>
      </c>
      <c r="AJ82" s="157" t="str">
        <f t="shared" si="1"/>
        <v>RB41</v>
      </c>
      <c r="AK82" s="157">
        <f>IFERROR(INDEX(TableRBVORP[BYE],MATCH(TableOverallMaster[[#This Row],[RK]],TableRBVORP[RK],0)),"")</f>
        <v>10</v>
      </c>
      <c r="AL82" s="158">
        <f>IFERROR(INDEX(TableRBVORP[FPS],MATCH(TableOverallMaster[[#This Row],[RK]],TableRBVORP[RK],0)),"")</f>
        <v>120.33039587802907</v>
      </c>
      <c r="AM82" s="159">
        <f>IFERROR(INDEX(TableRBVORP[VORP],MATCH(TableOverallMaster[[#This Row],[RK]],TableRBVORP[RK],0)),"")</f>
        <v>13.058045317601353</v>
      </c>
      <c r="AO82" s="58">
        <v>81</v>
      </c>
      <c r="AP82" s="160" t="str">
        <f>IFERROR(INDEX(TableOverallMaster[OVERALL PLAYER],MATCH(TableOverallRank[[#This Row],[RK]],TableOverallMaster[OVR RK],0)),"")</f>
        <v>Jordan Love</v>
      </c>
      <c r="AQ82" s="161" t="str">
        <f>IFERROR(INDEX(TableOverallMaster[POS RK],MATCH(TableOverallRank[[#This Row],[OVERALL PLAYER]],TableOverallMaster[OVERALL PLAYER],0)),"")</f>
        <v>QB19</v>
      </c>
      <c r="AR82" s="162">
        <f>IFERROR(INDEX(TableOverallMaster[BYE],MATCH(TableOverallRank[[#This Row],[OVERALL PLAYER]],TableOverallMaster[OVERALL PLAYER],0)),"")</f>
        <v>11</v>
      </c>
      <c r="AS82" s="161">
        <f>IFERROR(INDEX(TableOverallMaster[Custom],MATCH(TableOverallRank[[#This Row],[OVERALL PLAYER]],TableOverallMaster[OVERALL PLAYER],0)),"")</f>
        <v>374.83660990818674</v>
      </c>
      <c r="AT82" s="163">
        <f>IFERROR(INDEX(TableOverallMaster[VORP],MATCH(TableOverallRank[[#This Row],[OVERALL PLAYER]],TableOverallMaster[OVERALL PLAYER],0)),"")</f>
        <v>74.307246240765963</v>
      </c>
      <c r="AV82" s="58">
        <v>81</v>
      </c>
      <c r="AW82" s="164" t="str">
        <f>IFERROR(INDEX(TableWRTECalcPts[PLAYER],MATCH(TableWRTERank[[#This Row],[RK]],TableWRTECalcPts[RK],0)),"")</f>
        <v>Antonio Williams</v>
      </c>
      <c r="AX82" s="164" t="str">
        <f>IFERROR(INDEX(TableWRTECalcPts[POS RK],MATCH(TableWRTERank[[#This Row],[WR and TE COMBINED]],TableWRTECalcPts[PLAYER],0)),"")</f>
        <v>WR60</v>
      </c>
      <c r="AY82" s="164">
        <f>IFERROR(INDEX(TableWRTECalcPts[BYE],MATCH(TableWRTERank[[#This Row],[RK]],TableWRTECalcPts[RK],0)),"")</f>
        <v>7</v>
      </c>
      <c r="AZ82" s="165">
        <f>IFERROR(INDEX(TableWRTECalcPts[Custom],MATCH(TableWRTERank[[#This Row],[RK]],TableWRTECalcPts[RK],0)),"")</f>
        <v>103.72050015538173</v>
      </c>
      <c r="BA82" s="166">
        <f>IFERROR((TableWRTERank[[#This Row],[FPS]]-INDEX(TableWRTERank[FPS],MATCH(WRTEVORPCalc,TableWRTERank[RK],0))),"")</f>
        <v>-37.515871426909968</v>
      </c>
      <c r="BC82" s="58" t="s">
        <v>148</v>
      </c>
    </row>
    <row r="83" spans="1:55" x14ac:dyDescent="0.25">
      <c r="A83" s="58">
        <v>82</v>
      </c>
      <c r="B83" s="154" t="str">
        <f>IFERROR(INDEX(TableQBCalcPts[PLAYER],MATCH(TableQBVORP[[#This Row],[RK]],TableQBCalcPts[RK],0)),"")</f>
        <v/>
      </c>
      <c r="C83" s="154" t="str">
        <f>IFERROR(INDEX(TableQBCalcPts[TM],MATCH(TableQBVORP[[#This Row],[RK]],TableQBCalcPts[RK],0)),"")</f>
        <v/>
      </c>
      <c r="D83" s="154" t="str">
        <f>IFERROR(INDEX(TableQBCalcPts[BYE],MATCH(TableQBVORP[[#This Row],[RK]],TableQBCalcPts[RK],0)),"")</f>
        <v/>
      </c>
      <c r="E83" s="155" t="str">
        <f>IFERROR(INDEX(TableQBCalcPts[Custom],MATCH(TableQBVORP[[#This Row],[RK]],TableQBCalcPts[RK],0)),"")</f>
        <v/>
      </c>
      <c r="F83" s="156" t="e">
        <f>(IFERROR((TableQBVORP[[#This Row],[FPS]]-INDEX(TableQBVORP[FPS],MATCH(QBVORPCalc,TableQBVORP[RK],0))),""))+(TableRBVORP[[#This Row],[VORP]]*0.45)</f>
        <v>#VALUE!</v>
      </c>
      <c r="H83" s="58">
        <v>82</v>
      </c>
      <c r="I83" s="154" t="str">
        <f>IFERROR(INDEX(TableRBCalcPts[PLAYER],MATCH(TableRBVORP[[#This Row],[RK]],TableRBCalcPts[RK],0)),"")</f>
        <v>Raheim Sanders</v>
      </c>
      <c r="J83" s="154" t="str">
        <f>IFERROR(INDEX(TableRBCalcPts[TM],MATCH(TableRBVORP[[#This Row],[RK]],TableRBCalcPts[RK],0)),"")</f>
        <v>CLE</v>
      </c>
      <c r="K83" s="154">
        <f>IFERROR(INDEX(TableRBCalcPts[BYE],MATCH(TableRBVORP[[#This Row],[RK]],TableRBCalcPts[RK],0)),"")</f>
        <v>11</v>
      </c>
      <c r="L83" s="155">
        <f>IFERROR(INDEX(TableRBCalcPts[Custom],MATCH(TableRBVORP[[#This Row],[RK]],TableRBCalcPts[RK],0)),"")</f>
        <v>24.411917979477352</v>
      </c>
      <c r="M83" s="156">
        <f>(IFERROR((TableRBVORP[[#This Row],[FPS]]-INDEX(TableRBVORP[FPS],MATCH(RBVORPCalc,TableRBVORP[RK],0))),""))*0.8</f>
        <v>-63.676737001240021</v>
      </c>
      <c r="O83" s="58">
        <v>82</v>
      </c>
      <c r="P83" s="154" t="str">
        <f>IFERROR(INDEX(TableWRCalcPts[PLAYER],MATCH(TableWRVORP[[#This Row],[RK]],TableWRCalcPts[RK],0)),"")</f>
        <v>Nick Westbrook-Ikhine</v>
      </c>
      <c r="Q83" s="154" t="str">
        <f>IFERROR(INDEX(TableWRCalcPts[TM],MATCH(TableWRVORP[[#This Row],[RK]],TableWRCalcPts[RK],0)),"")</f>
        <v>IND</v>
      </c>
      <c r="R83" s="154">
        <f>IFERROR(INDEX(TableWRCalcPts[BYE],MATCH(TableWRVORP[[#This Row],[RK]],TableWRCalcPts[RK],0)),"")</f>
        <v>13</v>
      </c>
      <c r="S83" s="155">
        <f>IFERROR(INDEX(TableWRCalcPts[Custom],MATCH(TableWRVORP[[#This Row],[RK]],TableWRCalcPts[RK],0)),"")</f>
        <v>68.744066857804796</v>
      </c>
      <c r="T83" s="156">
        <f>(IFERROR((TableWRVORP[[#This Row],[FPS]]-INDEX(TableWRVORP[FPS],MATCH(WRVORPCalc,TableWRVORP[RK],0))),""))</f>
        <v>-21.540118532561266</v>
      </c>
      <c r="V83" s="58">
        <v>82</v>
      </c>
      <c r="W83" s="154" t="str">
        <f>IFERROR(INDEX(TableTECalcPts[PLAYER],MATCH(TableTEVORP[[#This Row],[RK]],TableTECalcPts[RK],0)),"")</f>
        <v>Thomas Fidone</v>
      </c>
      <c r="X83" s="154" t="str">
        <f>IFERROR(INDEX(TableTECalcPts[TM],MATCH(TableTEVORP[[#This Row],[RK]],TableTECalcPts[RK],0)),"")</f>
        <v>NYG</v>
      </c>
      <c r="Y83" s="154">
        <f>IFERROR(INDEX(TableTECalcPts[BYE],MATCH(TableTEVORP[[#This Row],[RK]],TableTECalcPts[RK],0)),"")</f>
        <v>8</v>
      </c>
      <c r="Z83" s="155">
        <f>IFERROR(INDEX(TableTECalcPts[Custom],MATCH(TableTEVORP[[#This Row],[RK]],TableTECalcPts[RK],0)),"")</f>
        <v>2.8762172109034005</v>
      </c>
      <c r="AA83" s="156">
        <f>IFERROR((TableTEVORP[[#This Row],[FPS]]-INDEX(TableTEVORP[FPS],MATCH(TEVORPCalc,TableTEVORP[RK],0))),"")</f>
        <v>-75.009576765338281</v>
      </c>
      <c r="AF83" s="58" t="s">
        <v>147</v>
      </c>
      <c r="AG83" s="58">
        <v>42</v>
      </c>
      <c r="AH83" s="100">
        <f>RANK(TableOverallMaster[[#This Row],[VORP]],TableOverallMaster[VORP])+COUNTIF($AM$2:AM83,AM83)-1</f>
        <v>164</v>
      </c>
      <c r="AI83" s="157" t="str">
        <f>IFERROR(INDEX(TableRBVORP[RUNNING BACK],MATCH(TableOverallMaster[[#This Row],[RK]],TableRBVORP[RK],0)),"")</f>
        <v>Emanuel Wilson</v>
      </c>
      <c r="AJ83" s="157" t="str">
        <f t="shared" si="1"/>
        <v>RB42</v>
      </c>
      <c r="AK83" s="157">
        <f>IFERROR(INDEX(TableRBVORP[BYE],MATCH(TableOverallMaster[[#This Row],[RK]],TableRBVORP[RK],0)),"")</f>
        <v>11</v>
      </c>
      <c r="AL83" s="158">
        <f>IFERROR(INDEX(TableRBVORP[FPS],MATCH(TableOverallMaster[[#This Row],[RK]],TableRBVORP[RK],0)),"")</f>
        <v>113.57008395871891</v>
      </c>
      <c r="AM83" s="159">
        <f>IFERROR(INDEX(TableRBVORP[VORP],MATCH(TableOverallMaster[[#This Row],[RK]],TableRBVORP[RK],0)),"")</f>
        <v>7.6497957821532285</v>
      </c>
      <c r="AO83" s="58">
        <v>82</v>
      </c>
      <c r="AP83" s="160" t="str">
        <f>IFERROR(INDEX(TableOverallMaster[OVERALL PLAYER],MATCH(TableOverallRank[[#This Row],[RK]],TableOverallMaster[OVR RK],0)),"")</f>
        <v>Quentin Johnston</v>
      </c>
      <c r="AQ83" s="161" t="str">
        <f>IFERROR(INDEX(TableOverallMaster[POS RK],MATCH(TableOverallRank[[#This Row],[OVERALL PLAYER]],TableOverallMaster[OVERALL PLAYER],0)),"")</f>
        <v>WR35</v>
      </c>
      <c r="AR83" s="162">
        <f>IFERROR(INDEX(TableOverallMaster[BYE],MATCH(TableOverallRank[[#This Row],[OVERALL PLAYER]],TableOverallMaster[OVERALL PLAYER],0)),"")</f>
        <v>7</v>
      </c>
      <c r="AS83" s="161">
        <f>IFERROR(INDEX(TableOverallMaster[Custom],MATCH(TableOverallRank[[#This Row],[OVERALL PLAYER]],TableOverallMaster[OVERALL PLAYER],0)),"")</f>
        <v>164.51076219862676</v>
      </c>
      <c r="AT83" s="163">
        <f>IFERROR(INDEX(TableOverallMaster[VORP],MATCH(TableOverallRank[[#This Row],[OVERALL PLAYER]],TableOverallMaster[OVERALL PLAYER],0)),"")</f>
        <v>74.226576808260702</v>
      </c>
      <c r="AV83" s="58">
        <v>82</v>
      </c>
      <c r="AW83" s="164" t="str">
        <f>IFERROR(INDEX(TableWRTECalcPts[PLAYER],MATCH(TableWRTERank[[#This Row],[RK]],TableWRTECalcPts[RK],0)),"")</f>
        <v>Jalen Nailor</v>
      </c>
      <c r="AX83" s="164" t="str">
        <f>IFERROR(INDEX(TableWRTECalcPts[POS RK],MATCH(TableWRTERank[[#This Row],[WR and TE COMBINED]],TableWRTECalcPts[PLAYER],0)),"")</f>
        <v>WR61</v>
      </c>
      <c r="AY83" s="164">
        <f>IFERROR(INDEX(TableWRTECalcPts[BYE],MATCH(TableWRTERank[[#This Row],[RK]],TableWRTECalcPts[RK],0)),"")</f>
        <v>13</v>
      </c>
      <c r="AZ83" s="165">
        <f>IFERROR(INDEX(TableWRTECalcPts[Custom],MATCH(TableWRTERank[[#This Row],[RK]],TableWRTECalcPts[RK],0)),"")</f>
        <v>103.21973275557887</v>
      </c>
      <c r="BA83" s="166">
        <f>IFERROR((TableWRTERank[[#This Row],[FPS]]-INDEX(TableWRTERank[FPS],MATCH(WRTEVORPCalc,TableWRTERank[RK],0))),"")</f>
        <v>-38.016638826712821</v>
      </c>
      <c r="BC83" s="58" t="s">
        <v>148</v>
      </c>
    </row>
    <row r="84" spans="1:55" x14ac:dyDescent="0.25">
      <c r="A84" s="58">
        <v>83</v>
      </c>
      <c r="B84" s="154" t="str">
        <f>IFERROR(INDEX(TableQBCalcPts[PLAYER],MATCH(TableQBVORP[[#This Row],[RK]],TableQBCalcPts[RK],0)),"")</f>
        <v/>
      </c>
      <c r="C84" s="154" t="str">
        <f>IFERROR(INDEX(TableQBCalcPts[TM],MATCH(TableQBVORP[[#This Row],[RK]],TableQBCalcPts[RK],0)),"")</f>
        <v/>
      </c>
      <c r="D84" s="154" t="str">
        <f>IFERROR(INDEX(TableQBCalcPts[BYE],MATCH(TableQBVORP[[#This Row],[RK]],TableQBCalcPts[RK],0)),"")</f>
        <v/>
      </c>
      <c r="E84" s="155" t="str">
        <f>IFERROR(INDEX(TableQBCalcPts[Custom],MATCH(TableQBVORP[[#This Row],[RK]],TableQBCalcPts[RK],0)),"")</f>
        <v/>
      </c>
      <c r="F84" s="156" t="e">
        <f>(IFERROR((TableQBVORP[[#This Row],[FPS]]-INDEX(TableQBVORP[FPS],MATCH(QBVORPCalc,TableQBVORP[RK],0))),""))+(TableRBVORP[[#This Row],[VORP]]*0.45)</f>
        <v>#VALUE!</v>
      </c>
      <c r="H84" s="58">
        <v>83</v>
      </c>
      <c r="I84" s="154" t="str">
        <f>IFERROR(INDEX(TableRBCalcPts[PLAYER],MATCH(TableRBVORP[[#This Row],[RK]],TableRBCalcPts[RK],0)),"")</f>
        <v>Isaac Guerendo</v>
      </c>
      <c r="J84" s="154" t="str">
        <f>IFERROR(INDEX(TableRBCalcPts[TM],MATCH(TableRBVORP[[#This Row],[RK]],TableRBCalcPts[RK],0)),"")</f>
        <v>SF</v>
      </c>
      <c r="K84" s="154">
        <f>IFERROR(INDEX(TableRBCalcPts[BYE],MATCH(TableRBVORP[[#This Row],[RK]],TableRBCalcPts[RK],0)),"")</f>
        <v>8</v>
      </c>
      <c r="L84" s="155">
        <f>IFERROR(INDEX(TableRBCalcPts[Custom],MATCH(TableRBVORP[[#This Row],[RK]],TableRBCalcPts[RK],0)),"")</f>
        <v>23.5249336472157</v>
      </c>
      <c r="M84" s="156">
        <f>(IFERROR((TableRBVORP[[#This Row],[FPS]]-INDEX(TableRBVORP[FPS],MATCH(RBVORPCalc,TableRBVORP[RK],0))),""))*0.8</f>
        <v>-64.386324467049334</v>
      </c>
      <c r="O84" s="58">
        <v>83</v>
      </c>
      <c r="P84" s="154" t="str">
        <f>IFERROR(INDEX(TableWRCalcPts[PLAYER],MATCH(TableWRVORP[[#This Row],[RK]],TableWRCalcPts[RK],0)),"")</f>
        <v>Elijah Sarratt</v>
      </c>
      <c r="Q84" s="154" t="str">
        <f>IFERROR(INDEX(TableWRCalcPts[TM],MATCH(TableWRVORP[[#This Row],[RK]],TableWRCalcPts[RK],0)),"")</f>
        <v>BAL</v>
      </c>
      <c r="R84" s="154">
        <f>IFERROR(INDEX(TableWRCalcPts[BYE],MATCH(TableWRVORP[[#This Row],[RK]],TableWRCalcPts[RK],0)),"")</f>
        <v>13</v>
      </c>
      <c r="S84" s="155">
        <f>IFERROR(INDEX(TableWRCalcPts[Custom],MATCH(TableWRVORP[[#This Row],[RK]],TableWRCalcPts[RK],0)),"")</f>
        <v>64.331268238132509</v>
      </c>
      <c r="T84" s="156">
        <f>(IFERROR((TableWRVORP[[#This Row],[FPS]]-INDEX(TableWRVORP[FPS],MATCH(WRVORPCalc,TableWRVORP[RK],0))),""))</f>
        <v>-25.952917152233553</v>
      </c>
      <c r="V84" s="58">
        <v>83</v>
      </c>
      <c r="W84" s="154" t="str">
        <f>IFERROR(INDEX(TableTECalcPts[PLAYER],MATCH(TableTEVORP[[#This Row],[RK]],TableTECalcPts[RK],0)),"")</f>
        <v>Ben Yurosek</v>
      </c>
      <c r="X84" s="154" t="str">
        <f>IFERROR(INDEX(TableTECalcPts[TM],MATCH(TableTEVORP[[#This Row],[RK]],TableTECalcPts[RK],0)),"")</f>
        <v>MIN</v>
      </c>
      <c r="Y84" s="154">
        <f>IFERROR(INDEX(TableTECalcPts[BYE],MATCH(TableTEVORP[[#This Row],[RK]],TableTECalcPts[RK],0)),"")</f>
        <v>6</v>
      </c>
      <c r="Z84" s="155">
        <f>IFERROR(INDEX(TableTECalcPts[Custom],MATCH(TableTEVORP[[#This Row],[RK]],TableTECalcPts[RK],0)),"")</f>
        <v>2.8280353109866665</v>
      </c>
      <c r="AA84" s="156">
        <f>IFERROR((TableTEVORP[[#This Row],[FPS]]-INDEX(TableTEVORP[FPS],MATCH(TEVORPCalc,TableTEVORP[RK],0))),"")</f>
        <v>-75.057758665255022</v>
      </c>
      <c r="AF84" s="58" t="s">
        <v>147</v>
      </c>
      <c r="AG84" s="58">
        <v>43</v>
      </c>
      <c r="AH84" s="100">
        <f>RANK(TableOverallMaster[[#This Row],[VORP]],TableOverallMaster[VORP])+COUNTIF($AM$2:AM84,AM84)-1</f>
        <v>169</v>
      </c>
      <c r="AI84" s="157" t="str">
        <f>IFERROR(INDEX(TableRBVORP[RUNNING BACK],MATCH(TableOverallMaster[[#This Row],[RK]],TableRBVORP[RK],0)),"")</f>
        <v>Isiah Pacheco</v>
      </c>
      <c r="AJ84" s="157" t="str">
        <f t="shared" si="1"/>
        <v>RB43</v>
      </c>
      <c r="AK84" s="157">
        <f>IFERROR(INDEX(TableRBVORP[BYE],MATCH(TableOverallMaster[[#This Row],[RK]],TableRBVORP[RK],0)),"")</f>
        <v>6</v>
      </c>
      <c r="AL84" s="158">
        <f>IFERROR(INDEX(TableRBVORP[FPS],MATCH(TableOverallMaster[[#This Row],[RK]],TableRBVORP[RK],0)),"")</f>
        <v>106.43067468233848</v>
      </c>
      <c r="AM84" s="159">
        <f>IFERROR(INDEX(TableRBVORP[VORP],MATCH(TableOverallMaster[[#This Row],[RK]],TableRBVORP[RK],0)),"")</f>
        <v>1.9382683610488813</v>
      </c>
      <c r="AO84" s="58">
        <v>83</v>
      </c>
      <c r="AP84" s="160" t="str">
        <f>IFERROR(INDEX(TableOverallMaster[OVERALL PLAYER],MATCH(TableOverallRank[[#This Row],[RK]],TableOverallMaster[OVR RK],0)),"")</f>
        <v>Jordyn Tyson</v>
      </c>
      <c r="AQ84" s="161" t="str">
        <f>IFERROR(INDEX(TableOverallMaster[POS RK],MATCH(TableOverallRank[[#This Row],[OVERALL PLAYER]],TableOverallMaster[OVERALL PLAYER],0)),"")</f>
        <v>WR36</v>
      </c>
      <c r="AR84" s="162">
        <f>IFERROR(INDEX(TableOverallMaster[BYE],MATCH(TableOverallRank[[#This Row],[OVERALL PLAYER]],TableOverallMaster[OVERALL PLAYER],0)),"")</f>
        <v>8</v>
      </c>
      <c r="AS84" s="161">
        <f>IFERROR(INDEX(TableOverallMaster[Custom],MATCH(TableOverallRank[[#This Row],[OVERALL PLAYER]],TableOverallMaster[OVERALL PLAYER],0)),"")</f>
        <v>163.96882825838594</v>
      </c>
      <c r="AT84" s="163">
        <f>IFERROR(INDEX(TableOverallMaster[VORP],MATCH(TableOverallRank[[#This Row],[OVERALL PLAYER]],TableOverallMaster[OVERALL PLAYER],0)),"")</f>
        <v>73.684642868019878</v>
      </c>
      <c r="AV84" s="58">
        <v>83</v>
      </c>
      <c r="AW84" s="164" t="str">
        <f>IFERROR(INDEX(TableWRTECalcPts[PLAYER],MATCH(TableWRTERank[[#This Row],[RK]],TableWRTECalcPts[RK],0)),"")</f>
        <v>Adonai Mitchell</v>
      </c>
      <c r="AX84" s="164" t="str">
        <f>IFERROR(INDEX(TableWRTECalcPts[POS RK],MATCH(TableWRTERank[[#This Row],[WR and TE COMBINED]],TableWRTECalcPts[PLAYER],0)),"")</f>
        <v>WR62</v>
      </c>
      <c r="AY84" s="164">
        <f>IFERROR(INDEX(TableWRTECalcPts[BYE],MATCH(TableWRTERank[[#This Row],[RK]],TableWRTECalcPts[RK],0)),"")</f>
        <v>13</v>
      </c>
      <c r="AZ84" s="165">
        <f>IFERROR(INDEX(TableWRTECalcPts[Custom],MATCH(TableWRTERank[[#This Row],[RK]],TableWRTECalcPts[RK],0)),"")</f>
        <v>101.89531015054624</v>
      </c>
      <c r="BA84" s="166">
        <f>IFERROR((TableWRTERank[[#This Row],[FPS]]-INDEX(TableWRTERank[FPS],MATCH(WRTEVORPCalc,TableWRTERank[RK],0))),"")</f>
        <v>-39.341061431745459</v>
      </c>
      <c r="BC84" s="58" t="s">
        <v>148</v>
      </c>
    </row>
    <row r="85" spans="1:55" x14ac:dyDescent="0.25">
      <c r="A85" s="58">
        <v>84</v>
      </c>
      <c r="B85" s="154" t="str">
        <f>IFERROR(INDEX(TableQBCalcPts[PLAYER],MATCH(TableQBVORP[[#This Row],[RK]],TableQBCalcPts[RK],0)),"")</f>
        <v/>
      </c>
      <c r="C85" s="154" t="str">
        <f>IFERROR(INDEX(TableQBCalcPts[TM],MATCH(TableQBVORP[[#This Row],[RK]],TableQBCalcPts[RK],0)),"")</f>
        <v/>
      </c>
      <c r="D85" s="154" t="str">
        <f>IFERROR(INDEX(TableQBCalcPts[BYE],MATCH(TableQBVORP[[#This Row],[RK]],TableQBCalcPts[RK],0)),"")</f>
        <v/>
      </c>
      <c r="E85" s="155" t="str">
        <f>IFERROR(INDEX(TableQBCalcPts[Custom],MATCH(TableQBVORP[[#This Row],[RK]],TableQBCalcPts[RK],0)),"")</f>
        <v/>
      </c>
      <c r="F85" s="156" t="e">
        <f>(IFERROR((TableQBVORP[[#This Row],[FPS]]-INDEX(TableQBVORP[FPS],MATCH(QBVORPCalc,TableQBVORP[RK],0))),""))+(TableRBVORP[[#This Row],[VORP]]*0.45)</f>
        <v>#VALUE!</v>
      </c>
      <c r="H85" s="58">
        <v>84</v>
      </c>
      <c r="I85" s="154" t="str">
        <f>IFERROR(INDEX(TableRBCalcPts[PLAYER],MATCH(TableRBVORP[[#This Row],[RK]],TableRBCalcPts[RK],0)),"")</f>
        <v>Kendre Miller</v>
      </c>
      <c r="J85" s="154" t="str">
        <f>IFERROR(INDEX(TableRBCalcPts[TM],MATCH(TableRBVORP[[#This Row],[RK]],TableRBCalcPts[RK],0)),"")</f>
        <v>NO</v>
      </c>
      <c r="K85" s="154">
        <f>IFERROR(INDEX(TableRBCalcPts[BYE],MATCH(TableRBVORP[[#This Row],[RK]],TableRBCalcPts[RK],0)),"")</f>
        <v>8</v>
      </c>
      <c r="L85" s="155">
        <f>IFERROR(INDEX(TableRBCalcPts[Custom],MATCH(TableRBVORP[[#This Row],[RK]],TableRBCalcPts[RK],0)),"")</f>
        <v>19.692740092522268</v>
      </c>
      <c r="M85" s="156">
        <f>(IFERROR((TableRBVORP[[#This Row],[FPS]]-INDEX(TableRBVORP[FPS],MATCH(RBVORPCalc,TableRBVORP[RK],0))),""))*0.8</f>
        <v>-67.452079310804081</v>
      </c>
      <c r="O85" s="58">
        <v>84</v>
      </c>
      <c r="P85" s="154" t="str">
        <f>IFERROR(INDEX(TableWRCalcPts[PLAYER],MATCH(TableWRVORP[[#This Row],[RK]],TableWRCalcPts[RK],0)),"")</f>
        <v>KaVontae Turpin</v>
      </c>
      <c r="Q85" s="154" t="str">
        <f>IFERROR(INDEX(TableWRCalcPts[TM],MATCH(TableWRVORP[[#This Row],[RK]],TableWRCalcPts[RK],0)),"")</f>
        <v>DAL</v>
      </c>
      <c r="R85" s="154">
        <f>IFERROR(INDEX(TableWRCalcPts[BYE],MATCH(TableWRVORP[[#This Row],[RK]],TableWRCalcPts[RK],0)),"")</f>
        <v>14</v>
      </c>
      <c r="S85" s="155">
        <f>IFERROR(INDEX(TableWRCalcPts[Custom],MATCH(TableWRVORP[[#This Row],[RK]],TableWRCalcPts[RK],0)),"")</f>
        <v>64.301898003885839</v>
      </c>
      <c r="T85" s="156">
        <f>(IFERROR((TableWRVORP[[#This Row],[FPS]]-INDEX(TableWRVORP[FPS],MATCH(WRVORPCalc,TableWRVORP[RK],0))),""))</f>
        <v>-25.982287386480223</v>
      </c>
      <c r="V85" s="58">
        <v>84</v>
      </c>
      <c r="W85" s="154" t="str">
        <f>IFERROR(INDEX(TableTECalcPts[PLAYER],MATCH(TableTEVORP[[#This Row],[RK]],TableTECalcPts[RK],0)),"")</f>
        <v>Grant Calcaterra</v>
      </c>
      <c r="X85" s="154" t="str">
        <f>IFERROR(INDEX(TableTECalcPts[TM],MATCH(TableTEVORP[[#This Row],[RK]],TableTECalcPts[RK],0)),"")</f>
        <v>PHI</v>
      </c>
      <c r="Y85" s="154">
        <f>IFERROR(INDEX(TableTECalcPts[BYE],MATCH(TableTEVORP[[#This Row],[RK]],TableTECalcPts[RK],0)),"")</f>
        <v>10</v>
      </c>
      <c r="Z85" s="155">
        <f>IFERROR(INDEX(TableTECalcPts[Custom],MATCH(TableTEVORP[[#This Row],[RK]],TableTECalcPts[RK],0)),"")</f>
        <v>2.7483376113387723</v>
      </c>
      <c r="AA85" s="156">
        <f>IFERROR((TableTEVORP[[#This Row],[FPS]]-INDEX(TableTEVORP[FPS],MATCH(TEVORPCalc,TableTEVORP[RK],0))),"")</f>
        <v>-75.137456364902917</v>
      </c>
      <c r="AF85" s="58" t="s">
        <v>147</v>
      </c>
      <c r="AG85" s="58">
        <v>44</v>
      </c>
      <c r="AH85" s="100">
        <f>RANK(TableOverallMaster[[#This Row],[VORP]],TableOverallMaster[VORP])+COUNTIF($AM$2:AM85,AM85)-1</f>
        <v>173</v>
      </c>
      <c r="AI85" s="157" t="str">
        <f>IFERROR(INDEX(TableRBVORP[RUNNING BACK],MATCH(TableOverallMaster[[#This Row],[RK]],TableRBVORP[RK],0)),"")</f>
        <v>Alvin Kamara</v>
      </c>
      <c r="AJ85" s="157" t="str">
        <f t="shared" si="1"/>
        <v>RB44</v>
      </c>
      <c r="AK85" s="157">
        <f>IFERROR(INDEX(TableRBVORP[BYE],MATCH(TableOverallMaster[[#This Row],[RK]],TableRBVORP[RK],0)),"")</f>
        <v>8</v>
      </c>
      <c r="AL85" s="158">
        <f>IFERROR(INDEX(TableRBVORP[FPS],MATCH(TableOverallMaster[[#This Row],[RK]],TableRBVORP[RK],0)),"")</f>
        <v>104.00783923102738</v>
      </c>
      <c r="AM85" s="159">
        <f>IFERROR(INDEX(TableRBVORP[VORP],MATCH(TableOverallMaster[[#This Row],[RK]],TableRBVORP[RK],0)),"")</f>
        <v>0</v>
      </c>
      <c r="AO85" s="58">
        <v>84</v>
      </c>
      <c r="AP85" s="160" t="str">
        <f>IFERROR(INDEX(TableOverallMaster[OVERALL PLAYER],MATCH(TableOverallRank[[#This Row],[RK]],TableOverallMaster[OVR RK],0)),"")</f>
        <v>David Montgomery</v>
      </c>
      <c r="AQ85" s="161" t="str">
        <f>IFERROR(INDEX(TableOverallMaster[POS RK],MATCH(TableOverallRank[[#This Row],[OVERALL PLAYER]],TableOverallMaster[OVERALL PLAYER],0)),"")</f>
        <v>RB21</v>
      </c>
      <c r="AR85" s="162">
        <f>IFERROR(INDEX(TableOverallMaster[BYE],MATCH(TableOverallRank[[#This Row],[OVERALL PLAYER]],TableOverallMaster[OVERALL PLAYER],0)),"")</f>
        <v>8</v>
      </c>
      <c r="AS85" s="161">
        <f>IFERROR(INDEX(TableOverallMaster[Custom],MATCH(TableOverallRank[[#This Row],[OVERALL PLAYER]],TableOverallMaster[OVERALL PLAYER],0)),"")</f>
        <v>195.35659337837441</v>
      </c>
      <c r="AT85" s="163">
        <f>IFERROR(INDEX(TableOverallMaster[VORP],MATCH(TableOverallRank[[#This Row],[OVERALL PLAYER]],TableOverallMaster[OVERALL PLAYER],0)),"")</f>
        <v>73.079003317877635</v>
      </c>
      <c r="AV85" s="58">
        <v>84</v>
      </c>
      <c r="AW85" s="164" t="str">
        <f>IFERROR(INDEX(TableWRTECalcPts[PLAYER],MATCH(TableWRTERank[[#This Row],[RK]],TableWRTECalcPts[RK],0)),"")</f>
        <v>Jack Bech</v>
      </c>
      <c r="AX85" s="164" t="str">
        <f>IFERROR(INDEX(TableWRTECalcPts[POS RK],MATCH(TableWRTERank[[#This Row],[WR and TE COMBINED]],TableWRTECalcPts[PLAYER],0)),"")</f>
        <v>WR63</v>
      </c>
      <c r="AY85" s="164">
        <f>IFERROR(INDEX(TableWRTECalcPts[BYE],MATCH(TableWRTERank[[#This Row],[RK]],TableWRTECalcPts[RK],0)),"")</f>
        <v>13</v>
      </c>
      <c r="AZ85" s="165">
        <f>IFERROR(INDEX(TableWRTECalcPts[Custom],MATCH(TableWRTERank[[#This Row],[RK]],TableWRTECalcPts[RK],0)),"")</f>
        <v>101.30747732999711</v>
      </c>
      <c r="BA85" s="166">
        <f>IFERROR((TableWRTERank[[#This Row],[FPS]]-INDEX(TableWRTERank[FPS],MATCH(WRTEVORPCalc,TableWRTERank[RK],0))),"")</f>
        <v>-39.928894252294583</v>
      </c>
      <c r="BC85" s="58" t="s">
        <v>148</v>
      </c>
    </row>
    <row r="86" spans="1:55" x14ac:dyDescent="0.25">
      <c r="A86" s="58">
        <v>85</v>
      </c>
      <c r="B86" s="154" t="str">
        <f>IFERROR(INDEX(TableQBCalcPts[PLAYER],MATCH(TableQBVORP[[#This Row],[RK]],TableQBCalcPts[RK],0)),"")</f>
        <v/>
      </c>
      <c r="C86" s="154" t="str">
        <f>IFERROR(INDEX(TableQBCalcPts[TM],MATCH(TableQBVORP[[#This Row],[RK]],TableQBCalcPts[RK],0)),"")</f>
        <v/>
      </c>
      <c r="D86" s="154" t="str">
        <f>IFERROR(INDEX(TableQBCalcPts[BYE],MATCH(TableQBVORP[[#This Row],[RK]],TableQBCalcPts[RK],0)),"")</f>
        <v/>
      </c>
      <c r="E86" s="155" t="str">
        <f>IFERROR(INDEX(TableQBCalcPts[Custom],MATCH(TableQBVORP[[#This Row],[RK]],TableQBCalcPts[RK],0)),"")</f>
        <v/>
      </c>
      <c r="F86" s="156" t="e">
        <f>(IFERROR((TableQBVORP[[#This Row],[FPS]]-INDEX(TableQBVORP[FPS],MATCH(QBVORPCalc,TableQBVORP[RK],0))),""))+(TableRBVORP[[#This Row],[VORP]]*0.45)</f>
        <v>#VALUE!</v>
      </c>
      <c r="H86" s="58">
        <v>85</v>
      </c>
      <c r="I86" s="154" t="str">
        <f>IFERROR(INDEX(TableRBCalcPts[PLAYER],MATCH(TableRBVORP[[#This Row],[RK]],TableRBCalcPts[RK],0)),"")</f>
        <v>DJ Giddens</v>
      </c>
      <c r="J86" s="154" t="str">
        <f>IFERROR(INDEX(TableRBCalcPts[TM],MATCH(TableRBVORP[[#This Row],[RK]],TableRBCalcPts[RK],0)),"")</f>
        <v>IND</v>
      </c>
      <c r="K86" s="154">
        <f>IFERROR(INDEX(TableRBCalcPts[BYE],MATCH(TableRBVORP[[#This Row],[RK]],TableRBCalcPts[RK],0)),"")</f>
        <v>13</v>
      </c>
      <c r="L86" s="155">
        <f>IFERROR(INDEX(TableRBCalcPts[Custom],MATCH(TableRBVORP[[#This Row],[RK]],TableRBCalcPts[RK],0)),"")</f>
        <v>18.811448871008182</v>
      </c>
      <c r="M86" s="156">
        <f>(IFERROR((TableRBVORP[[#This Row],[FPS]]-INDEX(TableRBVORP[FPS],MATCH(RBVORPCalc,TableRBVORP[RK],0))),""))*0.8</f>
        <v>-68.157112288015355</v>
      </c>
      <c r="O86" s="58">
        <v>85</v>
      </c>
      <c r="P86" s="154" t="str">
        <f>IFERROR(INDEX(TableWRCalcPts[PLAYER],MATCH(TableWRVORP[[#This Row],[RK]],TableWRCalcPts[RK],0)),"")</f>
        <v>Troy Franklin</v>
      </c>
      <c r="Q86" s="154" t="str">
        <f>IFERROR(INDEX(TableWRCalcPts[TM],MATCH(TableWRVORP[[#This Row],[RK]],TableWRCalcPts[RK],0)),"")</f>
        <v>DEN</v>
      </c>
      <c r="R86" s="154">
        <f>IFERROR(INDEX(TableWRCalcPts[BYE],MATCH(TableWRVORP[[#This Row],[RK]],TableWRCalcPts[RK],0)),"")</f>
        <v>10</v>
      </c>
      <c r="S86" s="155">
        <f>IFERROR(INDEX(TableWRCalcPts[Custom],MATCH(TableWRVORP[[#This Row],[RK]],TableWRCalcPts[RK],0)),"")</f>
        <v>62.943624265789154</v>
      </c>
      <c r="T86" s="156">
        <f>(IFERROR((TableWRVORP[[#This Row],[FPS]]-INDEX(TableWRVORP[FPS],MATCH(WRVORPCalc,TableWRVORP[RK],0))),""))</f>
        <v>-27.340561124576908</v>
      </c>
      <c r="V86" s="58">
        <v>85</v>
      </c>
      <c r="W86" s="154" t="str">
        <f>IFERROR(INDEX(TableTECalcPts[PLAYER],MATCH(TableTEVORP[[#This Row],[RK]],TableTECalcPts[RK],0)),"")</f>
        <v>Jack Stoll</v>
      </c>
      <c r="X86" s="154" t="str">
        <f>IFERROR(INDEX(TableTECalcPts[TM],MATCH(TableTEVORP[[#This Row],[RK]],TableTECalcPts[RK],0)),"")</f>
        <v>CLE</v>
      </c>
      <c r="Y86" s="154">
        <f>IFERROR(INDEX(TableTECalcPts[BYE],MATCH(TableTEVORP[[#This Row],[RK]],TableTECalcPts[RK],0)),"")</f>
        <v>11</v>
      </c>
      <c r="Z86" s="155">
        <f>IFERROR(INDEX(TableTECalcPts[Custom],MATCH(TableTEVORP[[#This Row],[RK]],TableTECalcPts[RK],0)),"")</f>
        <v>2.41486631694</v>
      </c>
      <c r="AA86" s="156">
        <f>IFERROR((TableTEVORP[[#This Row],[FPS]]-INDEX(TableTEVORP[FPS],MATCH(TEVORPCalc,TableTEVORP[RK],0))),"")</f>
        <v>-75.47092765930168</v>
      </c>
      <c r="AF86" s="58" t="s">
        <v>147</v>
      </c>
      <c r="AG86" s="58">
        <v>45</v>
      </c>
      <c r="AH86" s="100">
        <f>RANK(TableOverallMaster[[#This Row],[VORP]],TableOverallMaster[VORP])+COUNTIF($AM$2:AM86,AM86)-1</f>
        <v>178</v>
      </c>
      <c r="AI86" s="157" t="str">
        <f>IFERROR(INDEX(TableRBVORP[RUNNING BACK],MATCH(TableOverallMaster[[#This Row],[RK]],TableRBVORP[RK],0)),"")</f>
        <v>Chris Rodriguez</v>
      </c>
      <c r="AJ86" s="157" t="str">
        <f t="shared" si="1"/>
        <v>RB45</v>
      </c>
      <c r="AK86" s="157">
        <f>IFERROR(INDEX(TableRBVORP[BYE],MATCH(TableOverallMaster[[#This Row],[RK]],TableRBVORP[RK],0)),"")</f>
        <v>7</v>
      </c>
      <c r="AL86" s="158">
        <f>IFERROR(INDEX(TableRBVORP[FPS],MATCH(TableOverallMaster[[#This Row],[RK]],TableRBVORP[RK],0)),"")</f>
        <v>98.931403296779322</v>
      </c>
      <c r="AM86" s="159">
        <f>IFERROR(INDEX(TableRBVORP[VORP],MATCH(TableOverallMaster[[#This Row],[RK]],TableRBVORP[RK],0)),"")</f>
        <v>-4.0611487473984429</v>
      </c>
      <c r="AO86" s="58">
        <v>85</v>
      </c>
      <c r="AP86" s="160" t="str">
        <f>IFERROR(INDEX(TableOverallMaster[OVERALL PLAYER],MATCH(TableOverallRank[[#This Row],[RK]],TableOverallMaster[OVR RK],0)),"")</f>
        <v>DK Metcalf</v>
      </c>
      <c r="AQ86" s="161" t="str">
        <f>IFERROR(INDEX(TableOverallMaster[POS RK],MATCH(TableOverallRank[[#This Row],[OVERALL PLAYER]],TableOverallMaster[OVERALL PLAYER],0)),"")</f>
        <v>WR37</v>
      </c>
      <c r="AR86" s="162">
        <f>IFERROR(INDEX(TableOverallMaster[BYE],MATCH(TableOverallRank[[#This Row],[OVERALL PLAYER]],TableOverallMaster[OVERALL PLAYER],0)),"")</f>
        <v>9</v>
      </c>
      <c r="AS86" s="161">
        <f>IFERROR(INDEX(TableOverallMaster[Custom],MATCH(TableOverallRank[[#This Row],[OVERALL PLAYER]],TableOverallMaster[OVERALL PLAYER],0)),"")</f>
        <v>162.91605562564334</v>
      </c>
      <c r="AT86" s="163">
        <f>IFERROR(INDEX(TableOverallMaster[VORP],MATCH(TableOverallRank[[#This Row],[OVERALL PLAYER]],TableOverallMaster[OVERALL PLAYER],0)),"")</f>
        <v>72.631870235277276</v>
      </c>
      <c r="AV86" s="58">
        <v>85</v>
      </c>
      <c r="AW86" s="164" t="str">
        <f>IFERROR(INDEX(TableWRTECalcPts[PLAYER],MATCH(TableWRTERank[[#This Row],[RK]],TableWRTECalcPts[RK],0)),"")</f>
        <v>Andrei Iosivas</v>
      </c>
      <c r="AX86" s="164" t="str">
        <f>IFERROR(INDEX(TableWRTECalcPts[POS RK],MATCH(TableWRTERank[[#This Row],[WR and TE COMBINED]],TableWRTECalcPts[PLAYER],0)),"")</f>
        <v>WR64</v>
      </c>
      <c r="AY86" s="164">
        <f>IFERROR(INDEX(TableWRTECalcPts[BYE],MATCH(TableWRTERank[[#This Row],[RK]],TableWRTECalcPts[RK],0)),"")</f>
        <v>6</v>
      </c>
      <c r="AZ86" s="165">
        <f>IFERROR(INDEX(TableWRTECalcPts[Custom],MATCH(TableWRTERank[[#This Row],[RK]],TableWRTECalcPts[RK],0)),"")</f>
        <v>101.18003586602683</v>
      </c>
      <c r="BA86" s="166">
        <f>IFERROR((TableWRTERank[[#This Row],[FPS]]-INDEX(TableWRTERank[FPS],MATCH(WRTEVORPCalc,TableWRTERank[RK],0))),"")</f>
        <v>-40.056335716264869</v>
      </c>
      <c r="BC86" s="58" t="s">
        <v>148</v>
      </c>
    </row>
    <row r="87" spans="1:55" x14ac:dyDescent="0.25">
      <c r="A87" s="58">
        <v>86</v>
      </c>
      <c r="B87" s="154" t="str">
        <f>IFERROR(INDEX(TableQBCalcPts[PLAYER],MATCH(TableQBVORP[[#This Row],[RK]],TableQBCalcPts[RK],0)),"")</f>
        <v/>
      </c>
      <c r="C87" s="154" t="str">
        <f>IFERROR(INDEX(TableQBCalcPts[TM],MATCH(TableQBVORP[[#This Row],[RK]],TableQBCalcPts[RK],0)),"")</f>
        <v/>
      </c>
      <c r="D87" s="154" t="str">
        <f>IFERROR(INDEX(TableQBCalcPts[BYE],MATCH(TableQBVORP[[#This Row],[RK]],TableQBCalcPts[RK],0)),"")</f>
        <v/>
      </c>
      <c r="E87" s="155" t="str">
        <f>IFERROR(INDEX(TableQBCalcPts[Custom],MATCH(TableQBVORP[[#This Row],[RK]],TableQBCalcPts[RK],0)),"")</f>
        <v/>
      </c>
      <c r="F87" s="156" t="e">
        <f>(IFERROR((TableQBVORP[[#This Row],[FPS]]-INDEX(TableQBVORP[FPS],MATCH(QBVORPCalc,TableQBVORP[RK],0))),""))+(TableRBVORP[[#This Row],[VORP]]*0.45)</f>
        <v>#VALUE!</v>
      </c>
      <c r="H87" s="58">
        <v>86</v>
      </c>
      <c r="I87" s="154" t="str">
        <f>IFERROR(INDEX(TableRBCalcPts[PLAYER],MATCH(TableRBVORP[[#This Row],[RK]],TableRBCalcPts[RK],0)),"")</f>
        <v>Eli Heidenreich</v>
      </c>
      <c r="J87" s="154" t="str">
        <f>IFERROR(INDEX(TableRBCalcPts[TM],MATCH(TableRBVORP[[#This Row],[RK]],TableRBCalcPts[RK],0)),"")</f>
        <v>PIT</v>
      </c>
      <c r="K87" s="154">
        <f>IFERROR(INDEX(TableRBCalcPts[BYE],MATCH(TableRBVORP[[#This Row],[RK]],TableRBCalcPts[RK],0)),"")</f>
        <v>9</v>
      </c>
      <c r="L87" s="155">
        <f>IFERROR(INDEX(TableRBCalcPts[Custom],MATCH(TableRBVORP[[#This Row],[RK]],TableRBCalcPts[RK],0)),"")</f>
        <v>18.546025150799998</v>
      </c>
      <c r="M87" s="156">
        <f>(IFERROR((TableRBVORP[[#This Row],[FPS]]-INDEX(TableRBVORP[FPS],MATCH(RBVORPCalc,TableRBVORP[RK],0))),""))*0.8</f>
        <v>-68.369451264181905</v>
      </c>
      <c r="O87" s="58">
        <v>86</v>
      </c>
      <c r="P87" s="154" t="str">
        <f>IFERROR(INDEX(TableWRCalcPts[PLAYER],MATCH(TableWRVORP[[#This Row],[RK]],TableWRCalcPts[RK],0)),"")</f>
        <v>Darius Slayton</v>
      </c>
      <c r="Q87" s="154" t="str">
        <f>IFERROR(INDEX(TableWRCalcPts[TM],MATCH(TableWRVORP[[#This Row],[RK]],TableWRCalcPts[RK],0)),"")</f>
        <v>NYG</v>
      </c>
      <c r="R87" s="154">
        <f>IFERROR(INDEX(TableWRCalcPts[BYE],MATCH(TableWRVORP[[#This Row],[RK]],TableWRCalcPts[RK],0)),"")</f>
        <v>8</v>
      </c>
      <c r="S87" s="155">
        <f>IFERROR(INDEX(TableWRCalcPts[Custom],MATCH(TableWRVORP[[#This Row],[RK]],TableWRCalcPts[RK],0)),"")</f>
        <v>60.325066147251512</v>
      </c>
      <c r="T87" s="156">
        <f>(IFERROR((TableWRVORP[[#This Row],[FPS]]-INDEX(TableWRVORP[FPS],MATCH(WRVORPCalc,TableWRVORP[RK],0))),""))</f>
        <v>-29.95911924311455</v>
      </c>
      <c r="V87" s="58">
        <v>86</v>
      </c>
      <c r="W87" s="154" t="str">
        <f>IFERROR(INDEX(TableTECalcPts[PLAYER],MATCH(TableTEVORP[[#This Row],[RK]],TableTECalcPts[RK],0)),"")</f>
        <v>Josh Cuevas</v>
      </c>
      <c r="X87" s="154" t="str">
        <f>IFERROR(INDEX(TableTECalcPts[TM],MATCH(TableTEVORP[[#This Row],[RK]],TableTECalcPts[RK],0)),"")</f>
        <v>BAL</v>
      </c>
      <c r="Y87" s="154">
        <f>IFERROR(INDEX(TableTECalcPts[BYE],MATCH(TableTEVORP[[#This Row],[RK]],TableTECalcPts[RK],0)),"")</f>
        <v>13</v>
      </c>
      <c r="Z87" s="155">
        <f>IFERROR(INDEX(TableTECalcPts[Custom],MATCH(TableTEVORP[[#This Row],[RK]],TableTECalcPts[RK],0)),"")</f>
        <v>0</v>
      </c>
      <c r="AA87" s="156">
        <f>IFERROR((TableTEVORP[[#This Row],[FPS]]-INDEX(TableTEVORP[FPS],MATCH(TEVORPCalc,TableTEVORP[RK],0))),"")</f>
        <v>-77.885793976241686</v>
      </c>
      <c r="AF87" s="58" t="s">
        <v>147</v>
      </c>
      <c r="AG87" s="58">
        <v>46</v>
      </c>
      <c r="AH87" s="100">
        <f>RANK(TableOverallMaster[[#This Row],[VORP]],TableOverallMaster[VORP])+COUNTIF($AM$2:AM87,AM87)-1</f>
        <v>181</v>
      </c>
      <c r="AI87" s="157" t="str">
        <f>IFERROR(INDEX(TableRBVORP[RUNNING BACK],MATCH(TableOverallMaster[[#This Row],[RK]],TableRBVORP[RK],0)),"")</f>
        <v>Woody Marks</v>
      </c>
      <c r="AJ87" s="157" t="str">
        <f t="shared" si="1"/>
        <v>RB46</v>
      </c>
      <c r="AK87" s="157">
        <f>IFERROR(INDEX(TableRBVORP[BYE],MATCH(TableOverallMaster[[#This Row],[RK]],TableRBVORP[RK],0)),"")</f>
        <v>8</v>
      </c>
      <c r="AL87" s="158">
        <f>IFERROR(INDEX(TableRBVORP[FPS],MATCH(TableOverallMaster[[#This Row],[RK]],TableRBVORP[RK],0)),"")</f>
        <v>95.059015145221139</v>
      </c>
      <c r="AM87" s="159">
        <f>IFERROR(INDEX(TableRBVORP[VORP],MATCH(TableOverallMaster[[#This Row],[RK]],TableRBVORP[RK],0)),"")</f>
        <v>-7.1590592686449899</v>
      </c>
      <c r="AO87" s="58">
        <v>86</v>
      </c>
      <c r="AP87" s="160" t="str">
        <f>IFERROR(INDEX(TableOverallMaster[OVERALL PLAYER],MATCH(TableOverallRank[[#This Row],[RK]],TableOverallMaster[OVR RK],0)),"")</f>
        <v>Michael Pittman</v>
      </c>
      <c r="AQ87" s="161" t="str">
        <f>IFERROR(INDEX(TableOverallMaster[POS RK],MATCH(TableOverallRank[[#This Row],[OVERALL PLAYER]],TableOverallMaster[OVERALL PLAYER],0)),"")</f>
        <v>WR38</v>
      </c>
      <c r="AR87" s="162">
        <f>IFERROR(INDEX(TableOverallMaster[BYE],MATCH(TableOverallRank[[#This Row],[OVERALL PLAYER]],TableOverallMaster[OVERALL PLAYER],0)),"")</f>
        <v>9</v>
      </c>
      <c r="AS87" s="161">
        <f>IFERROR(INDEX(TableOverallMaster[Custom],MATCH(TableOverallRank[[#This Row],[OVERALL PLAYER]],TableOverallMaster[OVERALL PLAYER],0)),"")</f>
        <v>161.35338225495778</v>
      </c>
      <c r="AT87" s="163">
        <f>IFERROR(INDEX(TableOverallMaster[VORP],MATCH(TableOverallRank[[#This Row],[OVERALL PLAYER]],TableOverallMaster[OVERALL PLAYER],0)),"")</f>
        <v>71.069196864591717</v>
      </c>
      <c r="AV87" s="58">
        <v>86</v>
      </c>
      <c r="AW87" s="164" t="str">
        <f>IFERROR(INDEX(TableWRTECalcPts[PLAYER],MATCH(TableWRTERank[[#This Row],[RK]],TableWRTECalcPts[RK],0)),"")</f>
        <v>Juwan Johnson</v>
      </c>
      <c r="AX87" s="164" t="str">
        <f>IFERROR(INDEX(TableWRTECalcPts[POS RK],MATCH(TableWRTERank[[#This Row],[WR and TE COMBINED]],TableWRTECalcPts[PLAYER],0)),"")</f>
        <v>TE22</v>
      </c>
      <c r="AY87" s="164">
        <f>IFERROR(INDEX(TableWRTECalcPts[BYE],MATCH(TableWRTERank[[#This Row],[RK]],TableWRTECalcPts[RK],0)),"")</f>
        <v>8</v>
      </c>
      <c r="AZ87" s="165">
        <f>IFERROR(INDEX(TableWRTECalcPts[Custom],MATCH(TableWRTERank[[#This Row],[RK]],TableWRTECalcPts[RK],0)),"")</f>
        <v>100.82874804237828</v>
      </c>
      <c r="BA87" s="166">
        <f>IFERROR((TableWRTERank[[#This Row],[FPS]]-INDEX(TableWRTERank[FPS],MATCH(WRTEVORPCalc,TableWRTERank[RK],0))),"")</f>
        <v>-40.407623539913416</v>
      </c>
      <c r="BC87" s="58" t="s">
        <v>148</v>
      </c>
    </row>
    <row r="88" spans="1:55" x14ac:dyDescent="0.25">
      <c r="A88" s="58">
        <v>87</v>
      </c>
      <c r="B88" s="154" t="str">
        <f>IFERROR(INDEX(TableQBCalcPts[PLAYER],MATCH(TableQBVORP[[#This Row],[RK]],TableQBCalcPts[RK],0)),"")</f>
        <v/>
      </c>
      <c r="C88" s="154" t="str">
        <f>IFERROR(INDEX(TableQBCalcPts[TM],MATCH(TableQBVORP[[#This Row],[RK]],TableQBCalcPts[RK],0)),"")</f>
        <v/>
      </c>
      <c r="D88" s="154" t="str">
        <f>IFERROR(INDEX(TableQBCalcPts[BYE],MATCH(TableQBVORP[[#This Row],[RK]],TableQBCalcPts[RK],0)),"")</f>
        <v/>
      </c>
      <c r="E88" s="155" t="str">
        <f>IFERROR(INDEX(TableQBCalcPts[Custom],MATCH(TableQBVORP[[#This Row],[RK]],TableQBCalcPts[RK],0)),"")</f>
        <v/>
      </c>
      <c r="F88" s="156" t="e">
        <f>(IFERROR((TableQBVORP[[#This Row],[FPS]]-INDEX(TableQBVORP[FPS],MATCH(QBVORPCalc,TableQBVORP[RK],0))),""))+(TableRBVORP[[#This Row],[VORP]]*0.45)</f>
        <v>#VALUE!</v>
      </c>
      <c r="H88" s="58">
        <v>87</v>
      </c>
      <c r="I88" s="154" t="str">
        <f>IFERROR(INDEX(TableRBCalcPts[PLAYER],MATCH(TableRBVORP[[#This Row],[RK]],TableRBCalcPts[RK],0)),"")</f>
        <v>Jeremy McNichols</v>
      </c>
      <c r="J88" s="154" t="str">
        <f>IFERROR(INDEX(TableRBCalcPts[TM],MATCH(TableRBVORP[[#This Row],[RK]],TableRBCalcPts[RK],0)),"")</f>
        <v>WSH</v>
      </c>
      <c r="K88" s="154">
        <f>IFERROR(INDEX(TableRBCalcPts[BYE],MATCH(TableRBVORP[[#This Row],[RK]],TableRBCalcPts[RK],0)),"")</f>
        <v>7</v>
      </c>
      <c r="L88" s="155">
        <f>IFERROR(INDEX(TableRBCalcPts[Custom],MATCH(TableRBVORP[[#This Row],[RK]],TableRBCalcPts[RK],0)),"")</f>
        <v>17.610929481321268</v>
      </c>
      <c r="M88" s="156">
        <f>(IFERROR((TableRBVORP[[#This Row],[FPS]]-INDEX(TableRBVORP[FPS],MATCH(RBVORPCalc,TableRBVORP[RK],0))),""))*0.8</f>
        <v>-69.117527799764886</v>
      </c>
      <c r="O88" s="58">
        <v>87</v>
      </c>
      <c r="P88" s="154" t="str">
        <f>IFERROR(INDEX(TableWRCalcPts[PLAYER],MATCH(TableWRVORP[[#This Row],[RK]],TableWRCalcPts[RK],0)),"")</f>
        <v>Malachi Fields</v>
      </c>
      <c r="Q88" s="154" t="str">
        <f>IFERROR(INDEX(TableWRCalcPts[TM],MATCH(TableWRVORP[[#This Row],[RK]],TableWRCalcPts[RK],0)),"")</f>
        <v>NYG</v>
      </c>
      <c r="R88" s="154">
        <f>IFERROR(INDEX(TableWRCalcPts[BYE],MATCH(TableWRVORP[[#This Row],[RK]],TableWRCalcPts[RK],0)),"")</f>
        <v>8</v>
      </c>
      <c r="S88" s="155">
        <f>IFERROR(INDEX(TableWRCalcPts[Custom],MATCH(TableWRVORP[[#This Row],[RK]],TableWRCalcPts[RK],0)),"")</f>
        <v>60.094954234465909</v>
      </c>
      <c r="T88" s="156">
        <f>(IFERROR((TableWRVORP[[#This Row],[FPS]]-INDEX(TableWRVORP[FPS],MATCH(WRVORPCalc,TableWRVORP[RK],0))),""))</f>
        <v>-30.189231155900153</v>
      </c>
      <c r="V88" s="58">
        <v>87</v>
      </c>
      <c r="W88" s="154" t="str">
        <f>IFERROR(INDEX(TableTECalcPts[PLAYER],MATCH(TableTEVORP[[#This Row],[RK]],TableTECalcPts[RK],0)),"")</f>
        <v>Drew Sample</v>
      </c>
      <c r="X88" s="154" t="str">
        <f>IFERROR(INDEX(TableTECalcPts[TM],MATCH(TableTEVORP[[#This Row],[RK]],TableTECalcPts[RK],0)),"")</f>
        <v>CIN</v>
      </c>
      <c r="Y88" s="154">
        <f>IFERROR(INDEX(TableTECalcPts[BYE],MATCH(TableTEVORP[[#This Row],[RK]],TableTECalcPts[RK],0)),"")</f>
        <v>6</v>
      </c>
      <c r="Z88" s="155">
        <f>IFERROR(INDEX(TableTECalcPts[Custom],MATCH(TableTEVORP[[#This Row],[RK]],TableTECalcPts[RK],0)),"")</f>
        <v>0</v>
      </c>
      <c r="AA88" s="156">
        <f>IFERROR((TableTEVORP[[#This Row],[FPS]]-INDEX(TableTEVORP[FPS],MATCH(TEVORPCalc,TableTEVORP[RK],0))),"")</f>
        <v>-77.885793976241686</v>
      </c>
      <c r="AF88" s="58" t="s">
        <v>147</v>
      </c>
      <c r="AG88" s="58">
        <v>47</v>
      </c>
      <c r="AH88" s="100">
        <f>RANK(TableOverallMaster[[#This Row],[VORP]],TableOverallMaster[VORP])+COUNTIF($AM$2:AM88,AM88)-1</f>
        <v>183</v>
      </c>
      <c r="AI88" s="157" t="str">
        <f>IFERROR(INDEX(TableRBVORP[RUNNING BACK],MATCH(TableOverallMaster[[#This Row],[RK]],TableRBVORP[RK],0)),"")</f>
        <v>Braelon Allen</v>
      </c>
      <c r="AJ88" s="157" t="str">
        <f t="shared" si="1"/>
        <v>RB47</v>
      </c>
      <c r="AK88" s="157">
        <f>IFERROR(INDEX(TableRBVORP[BYE],MATCH(TableOverallMaster[[#This Row],[RK]],TableRBVORP[RK],0)),"")</f>
        <v>13</v>
      </c>
      <c r="AL88" s="158">
        <f>IFERROR(INDEX(TableRBVORP[FPS],MATCH(TableOverallMaster[[#This Row],[RK]],TableRBVORP[RK],0)),"")</f>
        <v>93.604943826069501</v>
      </c>
      <c r="AM88" s="159">
        <f>IFERROR(INDEX(TableRBVORP[VORP],MATCH(TableOverallMaster[[#This Row],[RK]],TableRBVORP[RK],0)),"")</f>
        <v>-8.3223163239662998</v>
      </c>
      <c r="AO88" s="58">
        <v>87</v>
      </c>
      <c r="AP88" s="160" t="str">
        <f>IFERROR(INDEX(TableOverallMaster[OVERALL PLAYER],MATCH(TableOverallRank[[#This Row],[RK]],TableOverallMaster[OVR RK],0)),"")</f>
        <v>Isaiah Likely</v>
      </c>
      <c r="AQ88" s="161" t="str">
        <f>IFERROR(INDEX(TableOverallMaster[POS RK],MATCH(TableOverallRank[[#This Row],[OVERALL PLAYER]],TableOverallMaster[OVERALL PLAYER],0)),"")</f>
        <v>TE9</v>
      </c>
      <c r="AR88" s="162">
        <f>IFERROR(INDEX(TableOverallMaster[BYE],MATCH(TableOverallRank[[#This Row],[OVERALL PLAYER]],TableOverallMaster[OVERALL PLAYER],0)),"")</f>
        <v>8</v>
      </c>
      <c r="AS88" s="161">
        <f>IFERROR(INDEX(TableOverallMaster[Custom],MATCH(TableOverallRank[[#This Row],[OVERALL PLAYER]],TableOverallMaster[OVERALL PLAYER],0)),"")</f>
        <v>148.89250113248056</v>
      </c>
      <c r="AT88" s="163">
        <f>IFERROR(INDEX(TableOverallMaster[VORP],MATCH(TableOverallRank[[#This Row],[OVERALL PLAYER]],TableOverallMaster[OVERALL PLAYER],0)),"")</f>
        <v>71.006707156238875</v>
      </c>
      <c r="AV88" s="58">
        <v>87</v>
      </c>
      <c r="AW88" s="164" t="str">
        <f>IFERROR(INDEX(TableWRTECalcPts[PLAYER],MATCH(TableWRTERank[[#This Row],[RK]],TableWRTECalcPts[RK],0)),"")</f>
        <v>Denzel Boston</v>
      </c>
      <c r="AX88" s="164" t="str">
        <f>IFERROR(INDEX(TableWRTECalcPts[POS RK],MATCH(TableWRTERank[[#This Row],[WR and TE COMBINED]],TableWRTECalcPts[PLAYER],0)),"")</f>
        <v>WR65</v>
      </c>
      <c r="AY88" s="164">
        <f>IFERROR(INDEX(TableWRTECalcPts[BYE],MATCH(TableWRTERank[[#This Row],[RK]],TableWRTECalcPts[RK],0)),"")</f>
        <v>11</v>
      </c>
      <c r="AZ88" s="165">
        <f>IFERROR(INDEX(TableWRTECalcPts[Custom],MATCH(TableWRTERank[[#This Row],[RK]],TableWRTECalcPts[RK],0)),"")</f>
        <v>100.10786563008</v>
      </c>
      <c r="BA88" s="166">
        <f>IFERROR((TableWRTERank[[#This Row],[FPS]]-INDEX(TableWRTERank[FPS],MATCH(WRTEVORPCalc,TableWRTERank[RK],0))),"")</f>
        <v>-41.128505952211697</v>
      </c>
      <c r="BC88" s="58" t="s">
        <v>148</v>
      </c>
    </row>
    <row r="89" spans="1:55" x14ac:dyDescent="0.25">
      <c r="A89" s="58">
        <v>88</v>
      </c>
      <c r="B89" s="154" t="str">
        <f>IFERROR(INDEX(TableQBCalcPts[PLAYER],MATCH(TableQBVORP[[#This Row],[RK]],TableQBCalcPts[RK],0)),"")</f>
        <v/>
      </c>
      <c r="C89" s="154" t="str">
        <f>IFERROR(INDEX(TableQBCalcPts[TM],MATCH(TableQBVORP[[#This Row],[RK]],TableQBCalcPts[RK],0)),"")</f>
        <v/>
      </c>
      <c r="D89" s="154" t="str">
        <f>IFERROR(INDEX(TableQBCalcPts[BYE],MATCH(TableQBVORP[[#This Row],[RK]],TableQBCalcPts[RK],0)),"")</f>
        <v/>
      </c>
      <c r="E89" s="155" t="str">
        <f>IFERROR(INDEX(TableQBCalcPts[Custom],MATCH(TableQBVORP[[#This Row],[RK]],TableQBCalcPts[RK],0)),"")</f>
        <v/>
      </c>
      <c r="F89" s="156" t="e">
        <f>(IFERROR((TableQBVORP[[#This Row],[FPS]]-INDEX(TableQBVORP[FPS],MATCH(QBVORPCalc,TableQBVORP[RK],0))),""))+(TableRBVORP[[#This Row],[VORP]]*0.45)</f>
        <v>#VALUE!</v>
      </c>
      <c r="H89" s="58">
        <v>88</v>
      </c>
      <c r="I89" s="154" t="str">
        <f>IFERROR(INDEX(TableRBCalcPts[PLAYER],MATCH(TableRBVORP[[#This Row],[RK]],TableRBCalcPts[RK],0)),"")</f>
        <v>Adam Randall</v>
      </c>
      <c r="J89" s="154" t="str">
        <f>IFERROR(INDEX(TableRBCalcPts[TM],MATCH(TableRBVORP[[#This Row],[RK]],TableRBCalcPts[RK],0)),"")</f>
        <v>BAL</v>
      </c>
      <c r="K89" s="154">
        <f>IFERROR(INDEX(TableRBCalcPts[BYE],MATCH(TableRBVORP[[#This Row],[RK]],TableRBCalcPts[RK],0)),"")</f>
        <v>13</v>
      </c>
      <c r="L89" s="155">
        <f>IFERROR(INDEX(TableRBCalcPts[Custom],MATCH(TableRBVORP[[#This Row],[RK]],TableRBCalcPts[RK],0)),"")</f>
        <v>17.490709129228215</v>
      </c>
      <c r="M89" s="156">
        <f>(IFERROR((TableRBVORP[[#This Row],[FPS]]-INDEX(TableRBVORP[FPS],MATCH(RBVORPCalc,TableRBVORP[RK],0))),""))*0.8</f>
        <v>-69.213704081439332</v>
      </c>
      <c r="O89" s="58">
        <v>88</v>
      </c>
      <c r="P89" s="154" t="str">
        <f>IFERROR(INDEX(TableWRCalcPts[PLAYER],MATCH(TableWRVORP[[#This Row],[RK]],TableWRCalcPts[RK],0)),"")</f>
        <v>Dont'e Thornton</v>
      </c>
      <c r="Q89" s="154" t="str">
        <f>IFERROR(INDEX(TableWRCalcPts[TM],MATCH(TableWRVORP[[#This Row],[RK]],TableWRCalcPts[RK],0)),"")</f>
        <v>LV</v>
      </c>
      <c r="R89" s="154">
        <f>IFERROR(INDEX(TableWRCalcPts[BYE],MATCH(TableWRVORP[[#This Row],[RK]],TableWRCalcPts[RK],0)),"")</f>
        <v>13</v>
      </c>
      <c r="S89" s="155">
        <f>IFERROR(INDEX(TableWRCalcPts[Custom],MATCH(TableWRVORP[[#This Row],[RK]],TableWRCalcPts[RK],0)),"")</f>
        <v>59.321079235535038</v>
      </c>
      <c r="T89" s="156">
        <f>(IFERROR((TableWRVORP[[#This Row],[FPS]]-INDEX(TableWRVORP[FPS],MATCH(WRVORPCalc,TableWRVORP[RK],0))),""))</f>
        <v>-30.963106154831024</v>
      </c>
      <c r="V89" s="58">
        <v>88</v>
      </c>
      <c r="W89" s="154" t="str">
        <f>IFERROR(INDEX(TableTECalcPts[PLAYER],MATCH(TableTEVORP[[#This Row],[RK]],TableTECalcPts[RK],0)),"")</f>
        <v/>
      </c>
      <c r="X89" s="154" t="str">
        <f>IFERROR(INDEX(TableTECalcPts[TM],MATCH(TableTEVORP[[#This Row],[RK]],TableTECalcPts[RK],0)),"")</f>
        <v/>
      </c>
      <c r="Y89" s="154" t="str">
        <f>IFERROR(INDEX(TableTECalcPts[BYE],MATCH(TableTEVORP[[#This Row],[RK]],TableTECalcPts[RK],0)),"")</f>
        <v/>
      </c>
      <c r="Z89" s="155" t="str">
        <f>IFERROR(INDEX(TableTECalcPts[Custom],MATCH(TableTEVORP[[#This Row],[RK]],TableTECalcPts[RK],0)),"")</f>
        <v/>
      </c>
      <c r="AA89" s="156" t="str">
        <f>IFERROR((TableTEVORP[[#This Row],[FPS]]-INDEX(TableTEVORP[FPS],MATCH(TEVORPCalc,TableTEVORP[RK],0))),"")</f>
        <v/>
      </c>
      <c r="AF89" s="58" t="s">
        <v>147</v>
      </c>
      <c r="AG89" s="58">
        <v>48</v>
      </c>
      <c r="AH89" s="100">
        <f>RANK(TableOverallMaster[[#This Row],[VORP]],TableOverallMaster[VORP])+COUNTIF($AM$2:AM89,AM89)-1</f>
        <v>185</v>
      </c>
      <c r="AI89" s="157" t="str">
        <f>IFERROR(INDEX(TableRBVORP[RUNNING BACK],MATCH(TableOverallMaster[[#This Row],[RK]],TableRBVORP[RK],0)),"")</f>
        <v>Justice Hill</v>
      </c>
      <c r="AJ89" s="157" t="str">
        <f t="shared" si="1"/>
        <v>RB48</v>
      </c>
      <c r="AK89" s="157">
        <f>IFERROR(INDEX(TableRBVORP[BYE],MATCH(TableOverallMaster[[#This Row],[RK]],TableRBVORP[RK],0)),"")</f>
        <v>13</v>
      </c>
      <c r="AL89" s="158">
        <f>IFERROR(INDEX(TableRBVORP[FPS],MATCH(TableOverallMaster[[#This Row],[RK]],TableRBVORP[RK],0)),"")</f>
        <v>92.574996556792598</v>
      </c>
      <c r="AM89" s="159">
        <f>IFERROR(INDEX(TableRBVORP[VORP],MATCH(TableOverallMaster[[#This Row],[RK]],TableRBVORP[RK],0)),"")</f>
        <v>-9.1462741393878222</v>
      </c>
      <c r="AO89" s="58">
        <v>88</v>
      </c>
      <c r="AP89" s="160" t="str">
        <f>IFERROR(INDEX(TableOverallMaster[OVERALL PLAYER],MATCH(TableOverallRank[[#This Row],[RK]],TableOverallMaster[OVR RK],0)),"")</f>
        <v>Travis Kelce</v>
      </c>
      <c r="AQ89" s="161" t="str">
        <f>IFERROR(INDEX(TableOverallMaster[POS RK],MATCH(TableOverallRank[[#This Row],[OVERALL PLAYER]],TableOverallMaster[OVERALL PLAYER],0)),"")</f>
        <v>TE10</v>
      </c>
      <c r="AR89" s="162">
        <f>IFERROR(INDEX(TableOverallMaster[BYE],MATCH(TableOverallRank[[#This Row],[OVERALL PLAYER]],TableOverallMaster[OVERALL PLAYER],0)),"")</f>
        <v>5</v>
      </c>
      <c r="AS89" s="161">
        <f>IFERROR(INDEX(TableOverallMaster[Custom],MATCH(TableOverallRank[[#This Row],[OVERALL PLAYER]],TableOverallMaster[OVERALL PLAYER],0)),"")</f>
        <v>147.70317535955797</v>
      </c>
      <c r="AT89" s="163">
        <f>IFERROR(INDEX(TableOverallMaster[VORP],MATCH(TableOverallRank[[#This Row],[OVERALL PLAYER]],TableOverallMaster[OVERALL PLAYER],0)),"")</f>
        <v>69.817381383316288</v>
      </c>
      <c r="AV89" s="58">
        <v>88</v>
      </c>
      <c r="AW89" s="164" t="str">
        <f>IFERROR(INDEX(TableWRTECalcPts[PLAYER],MATCH(TableWRTERank[[#This Row],[RK]],TableWRTECalcPts[RK],0)),"")</f>
        <v>KC Concepcion</v>
      </c>
      <c r="AX89" s="164" t="str">
        <f>IFERROR(INDEX(TableWRTECalcPts[POS RK],MATCH(TableWRTERank[[#This Row],[WR and TE COMBINED]],TableWRTECalcPts[PLAYER],0)),"")</f>
        <v>WR66</v>
      </c>
      <c r="AY89" s="164">
        <f>IFERROR(INDEX(TableWRTECalcPts[BYE],MATCH(TableWRTERank[[#This Row],[RK]],TableWRTECalcPts[RK],0)),"")</f>
        <v>11</v>
      </c>
      <c r="AZ89" s="165">
        <f>IFERROR(INDEX(TableWRTECalcPts[Custom],MATCH(TableWRTERank[[#This Row],[RK]],TableWRTECalcPts[RK],0)),"")</f>
        <v>99.98152645746832</v>
      </c>
      <c r="BA89" s="166">
        <f>IFERROR((TableWRTERank[[#This Row],[FPS]]-INDEX(TableWRTERank[FPS],MATCH(WRTEVORPCalc,TableWRTERank[RK],0))),"")</f>
        <v>-41.254845124823376</v>
      </c>
      <c r="BC89" s="58" t="s">
        <v>148</v>
      </c>
    </row>
    <row r="90" spans="1:55" x14ac:dyDescent="0.25">
      <c r="A90" s="58">
        <v>89</v>
      </c>
      <c r="B90" s="154" t="str">
        <f>IFERROR(INDEX(TableQBCalcPts[PLAYER],MATCH(TableQBVORP[[#This Row],[RK]],TableQBCalcPts[RK],0)),"")</f>
        <v/>
      </c>
      <c r="C90" s="154" t="str">
        <f>IFERROR(INDEX(TableQBCalcPts[TM],MATCH(TableQBVORP[[#This Row],[RK]],TableQBCalcPts[RK],0)),"")</f>
        <v/>
      </c>
      <c r="D90" s="154" t="str">
        <f>IFERROR(INDEX(TableQBCalcPts[BYE],MATCH(TableQBVORP[[#This Row],[RK]],TableQBCalcPts[RK],0)),"")</f>
        <v/>
      </c>
      <c r="E90" s="155" t="str">
        <f>IFERROR(INDEX(TableQBCalcPts[Custom],MATCH(TableQBVORP[[#This Row],[RK]],TableQBCalcPts[RK],0)),"")</f>
        <v/>
      </c>
      <c r="F90" s="156" t="e">
        <f>(IFERROR((TableQBVORP[[#This Row],[FPS]]-INDEX(TableQBVORP[FPS],MATCH(QBVORPCalc,TableQBVORP[RK],0))),""))+(TableRBVORP[[#This Row],[VORP]]*0.45)</f>
        <v>#VALUE!</v>
      </c>
      <c r="H90" s="58">
        <v>89</v>
      </c>
      <c r="I90" s="154" t="str">
        <f>IFERROR(INDEX(TableRBCalcPts[PLAYER],MATCH(TableRBVORP[[#This Row],[RK]],TableRBCalcPts[RK],0)),"")</f>
        <v>Devin Singletary</v>
      </c>
      <c r="J90" s="154" t="str">
        <f>IFERROR(INDEX(TableRBCalcPts[TM],MATCH(TableRBVORP[[#This Row],[RK]],TableRBCalcPts[RK],0)),"")</f>
        <v>NYG</v>
      </c>
      <c r="K90" s="154">
        <f>IFERROR(INDEX(TableRBCalcPts[BYE],MATCH(TableRBVORP[[#This Row],[RK]],TableRBCalcPts[RK],0)),"")</f>
        <v>8</v>
      </c>
      <c r="L90" s="155">
        <f>IFERROR(INDEX(TableRBCalcPts[Custom],MATCH(TableRBVORP[[#This Row],[RK]],TableRBCalcPts[RK],0)),"")</f>
        <v>17.45946486942</v>
      </c>
      <c r="M90" s="156">
        <f>(IFERROR((TableRBVORP[[#This Row],[FPS]]-INDEX(TableRBVORP[FPS],MATCH(RBVORPCalc,TableRBVORP[RK],0))),""))*0.8</f>
        <v>-69.238699489285906</v>
      </c>
      <c r="O90" s="58">
        <v>89</v>
      </c>
      <c r="P90" s="154" t="str">
        <f>IFERROR(INDEX(TableWRCalcPts[PLAYER],MATCH(TableWRVORP[[#This Row],[RK]],TableWRCalcPts[RK],0)),"")</f>
        <v>Jahan Dotson</v>
      </c>
      <c r="Q90" s="154" t="str">
        <f>IFERROR(INDEX(TableWRCalcPts[TM],MATCH(TableWRVORP[[#This Row],[RK]],TableWRCalcPts[RK],0)),"")</f>
        <v>ATL</v>
      </c>
      <c r="R90" s="154">
        <f>IFERROR(INDEX(TableWRCalcPts[BYE],MATCH(TableWRVORP[[#This Row],[RK]],TableWRCalcPts[RK],0)),"")</f>
        <v>11</v>
      </c>
      <c r="S90" s="155">
        <f>IFERROR(INDEX(TableWRCalcPts[Custom],MATCH(TableWRVORP[[#This Row],[RK]],TableWRCalcPts[RK],0)),"")</f>
        <v>59.177708380316076</v>
      </c>
      <c r="T90" s="156">
        <f>(IFERROR((TableWRVORP[[#This Row],[FPS]]-INDEX(TableWRVORP[FPS],MATCH(WRVORPCalc,TableWRVORP[RK],0))),""))</f>
        <v>-31.106477010049986</v>
      </c>
      <c r="V90" s="58">
        <v>89</v>
      </c>
      <c r="W90" s="154" t="str">
        <f>IFERROR(INDEX(TableTECalcPts[PLAYER],MATCH(TableTEVORP[[#This Row],[RK]],TableTECalcPts[RK],0)),"")</f>
        <v/>
      </c>
      <c r="X90" s="154" t="str">
        <f>IFERROR(INDEX(TableTECalcPts[TM],MATCH(TableTEVORP[[#This Row],[RK]],TableTECalcPts[RK],0)),"")</f>
        <v/>
      </c>
      <c r="Y90" s="154" t="str">
        <f>IFERROR(INDEX(TableTECalcPts[BYE],MATCH(TableTEVORP[[#This Row],[RK]],TableTECalcPts[RK],0)),"")</f>
        <v/>
      </c>
      <c r="Z90" s="155" t="str">
        <f>IFERROR(INDEX(TableTECalcPts[Custom],MATCH(TableTEVORP[[#This Row],[RK]],TableTECalcPts[RK],0)),"")</f>
        <v/>
      </c>
      <c r="AA90" s="156" t="str">
        <f>IFERROR((TableTEVORP[[#This Row],[FPS]]-INDEX(TableTEVORP[FPS],MATCH(TEVORPCalc,TableTEVORP[RK],0))),"")</f>
        <v/>
      </c>
      <c r="AF90" s="58" t="s">
        <v>147</v>
      </c>
      <c r="AG90" s="58">
        <v>49</v>
      </c>
      <c r="AH90" s="100">
        <f>RANK(TableOverallMaster[[#This Row],[VORP]],TableOverallMaster[VORP])+COUNTIF($AM$2:AM90,AM90)-1</f>
        <v>189</v>
      </c>
      <c r="AI90" s="157" t="str">
        <f>IFERROR(INDEX(TableRBVORP[RUNNING BACK],MATCH(TableOverallMaster[[#This Row],[RK]],TableRBVORP[RK],0)),"")</f>
        <v>Dylan Sampson</v>
      </c>
      <c r="AJ90" s="157" t="str">
        <f t="shared" si="1"/>
        <v>RB49</v>
      </c>
      <c r="AK90" s="157">
        <f>IFERROR(INDEX(TableRBVORP[BYE],MATCH(TableOverallMaster[[#This Row],[RK]],TableRBVORP[RK],0)),"")</f>
        <v>11</v>
      </c>
      <c r="AL90" s="158">
        <f>IFERROR(INDEX(TableRBVORP[FPS],MATCH(TableOverallMaster[[#This Row],[RK]],TableRBVORP[RK],0)),"")</f>
        <v>91.113392963644444</v>
      </c>
      <c r="AM90" s="159">
        <f>IFERROR(INDEX(TableRBVORP[VORP],MATCH(TableOverallMaster[[#This Row],[RK]],TableRBVORP[RK],0)),"")</f>
        <v>-10.315557013906346</v>
      </c>
      <c r="AO90" s="58">
        <v>89</v>
      </c>
      <c r="AP90" s="160" t="str">
        <f>IFERROR(INDEX(TableOverallMaster[OVERALL PLAYER],MATCH(TableOverallRank[[#This Row],[RK]],TableOverallMaster[OVR RK],0)),"")</f>
        <v>TreVeyon Henderson</v>
      </c>
      <c r="AQ90" s="161" t="str">
        <f>IFERROR(INDEX(TableOverallMaster[POS RK],MATCH(TableOverallRank[[#This Row],[OVERALL PLAYER]],TableOverallMaster[OVERALL PLAYER],0)),"")</f>
        <v>RB22</v>
      </c>
      <c r="AR90" s="162">
        <f>IFERROR(INDEX(TableOverallMaster[BYE],MATCH(TableOverallRank[[#This Row],[OVERALL PLAYER]],TableOverallMaster[OVERALL PLAYER],0)),"")</f>
        <v>11</v>
      </c>
      <c r="AS90" s="161">
        <f>IFERROR(INDEX(TableOverallMaster[Custom],MATCH(TableOverallRank[[#This Row],[OVERALL PLAYER]],TableOverallMaster[OVERALL PLAYER],0)),"")</f>
        <v>190.66909293364586</v>
      </c>
      <c r="AT90" s="163">
        <f>IFERROR(INDEX(TableOverallMaster[VORP],MATCH(TableOverallRank[[#This Row],[OVERALL PLAYER]],TableOverallMaster[OVERALL PLAYER],0)),"")</f>
        <v>69.329002962094791</v>
      </c>
      <c r="AV90" s="58">
        <v>89</v>
      </c>
      <c r="AW90" s="164" t="str">
        <f>IFERROR(INDEX(TableWRTECalcPts[PLAYER],MATCH(TableWRTERank[[#This Row],[RK]],TableWRTECalcPts[RK],0)),"")</f>
        <v>Jalen Tolbert</v>
      </c>
      <c r="AX90" s="164" t="str">
        <f>IFERROR(INDEX(TableWRTECalcPts[POS RK],MATCH(TableWRTERank[[#This Row],[WR and TE COMBINED]],TableWRTECalcPts[PLAYER],0)),"")</f>
        <v>WR67</v>
      </c>
      <c r="AY90" s="164">
        <f>IFERROR(INDEX(TableWRTECalcPts[BYE],MATCH(TableWRTERank[[#This Row],[RK]],TableWRTECalcPts[RK],0)),"")</f>
        <v>6</v>
      </c>
      <c r="AZ90" s="165">
        <f>IFERROR(INDEX(TableWRTECalcPts[Custom],MATCH(TableWRTERank[[#This Row],[RK]],TableWRTECalcPts[RK],0)),"")</f>
        <v>99.819665152542697</v>
      </c>
      <c r="BA90" s="166">
        <f>IFERROR((TableWRTERank[[#This Row],[FPS]]-INDEX(TableWRTERank[FPS],MATCH(WRTEVORPCalc,TableWRTERank[RK],0))),"")</f>
        <v>-41.416706429748999</v>
      </c>
      <c r="BC90" s="58" t="s">
        <v>148</v>
      </c>
    </row>
    <row r="91" spans="1:55" x14ac:dyDescent="0.25">
      <c r="A91" s="58">
        <v>90</v>
      </c>
      <c r="B91" s="154" t="str">
        <f>IFERROR(INDEX(TableQBCalcPts[PLAYER],MATCH(TableQBVORP[[#This Row],[RK]],TableQBCalcPts[RK],0)),"")</f>
        <v/>
      </c>
      <c r="C91" s="154" t="str">
        <f>IFERROR(INDEX(TableQBCalcPts[TM],MATCH(TableQBVORP[[#This Row],[RK]],TableQBCalcPts[RK],0)),"")</f>
        <v/>
      </c>
      <c r="D91" s="154" t="str">
        <f>IFERROR(INDEX(TableQBCalcPts[BYE],MATCH(TableQBVORP[[#This Row],[RK]],TableQBCalcPts[RK],0)),"")</f>
        <v/>
      </c>
      <c r="E91" s="155" t="str">
        <f>IFERROR(INDEX(TableQBCalcPts[Custom],MATCH(TableQBVORP[[#This Row],[RK]],TableQBCalcPts[RK],0)),"")</f>
        <v/>
      </c>
      <c r="F91" s="156" t="e">
        <f>(IFERROR((TableQBVORP[[#This Row],[FPS]]-INDEX(TableQBVORP[FPS],MATCH(QBVORPCalc,TableQBVORP[RK],0))),""))+(TableRBVORP[[#This Row],[VORP]]*0.45)</f>
        <v>#VALUE!</v>
      </c>
      <c r="H91" s="58">
        <v>90</v>
      </c>
      <c r="I91" s="154" t="str">
        <f>IFERROR(INDEX(TableRBCalcPts[PLAYER],MATCH(TableRBVORP[[#This Row],[RK]],TableRBCalcPts[RK],0)),"")</f>
        <v>Jacob Saylors</v>
      </c>
      <c r="J91" s="154" t="str">
        <f>IFERROR(INDEX(TableRBCalcPts[TM],MATCH(TableRBVORP[[#This Row],[RK]],TableRBCalcPts[RK],0)),"")</f>
        <v>DET</v>
      </c>
      <c r="K91" s="154">
        <f>IFERROR(INDEX(TableRBCalcPts[BYE],MATCH(TableRBVORP[[#This Row],[RK]],TableRBCalcPts[RK],0)),"")</f>
        <v>6</v>
      </c>
      <c r="L91" s="155">
        <f>IFERROR(INDEX(TableRBCalcPts[Custom],MATCH(TableRBVORP[[#This Row],[RK]],TableRBCalcPts[RK],0)),"")</f>
        <v>15.698531844016635</v>
      </c>
      <c r="M91" s="156">
        <f>(IFERROR((TableRBVORP[[#This Row],[FPS]]-INDEX(TableRBVORP[FPS],MATCH(RBVORPCalc,TableRBVORP[RK],0))),""))*0.8</f>
        <v>-70.647445909608592</v>
      </c>
      <c r="O91" s="58">
        <v>90</v>
      </c>
      <c r="P91" s="154" t="str">
        <f>IFERROR(INDEX(TableWRCalcPts[PLAYER],MATCH(TableWRVORP[[#This Row],[RK]],TableWRCalcPts[RK],0)),"")</f>
        <v>Xavier Legette</v>
      </c>
      <c r="Q91" s="154" t="str">
        <f>IFERROR(INDEX(TableWRCalcPts[TM],MATCH(TableWRVORP[[#This Row],[RK]],TableWRCalcPts[RK],0)),"")</f>
        <v>CAR</v>
      </c>
      <c r="R91" s="154">
        <f>IFERROR(INDEX(TableWRCalcPts[BYE],MATCH(TableWRVORP[[#This Row],[RK]],TableWRCalcPts[RK],0)),"")</f>
        <v>5</v>
      </c>
      <c r="S91" s="155">
        <f>IFERROR(INDEX(TableWRCalcPts[Custom],MATCH(TableWRVORP[[#This Row],[RK]],TableWRCalcPts[RK],0)),"")</f>
        <v>58.952262247216787</v>
      </c>
      <c r="T91" s="156">
        <f>(IFERROR((TableWRVORP[[#This Row],[FPS]]-INDEX(TableWRVORP[FPS],MATCH(WRVORPCalc,TableWRVORP[RK],0))),""))</f>
        <v>-31.331923143149275</v>
      </c>
      <c r="V91" s="58">
        <v>90</v>
      </c>
      <c r="W91" s="154" t="str">
        <f>IFERROR(INDEX(TableTECalcPts[PLAYER],MATCH(TableTEVORP[[#This Row],[RK]],TableTECalcPts[RK],0)),"")</f>
        <v/>
      </c>
      <c r="X91" s="154" t="str">
        <f>IFERROR(INDEX(TableTECalcPts[TM],MATCH(TableTEVORP[[#This Row],[RK]],TableTECalcPts[RK],0)),"")</f>
        <v/>
      </c>
      <c r="Y91" s="154" t="str">
        <f>IFERROR(INDEX(TableTECalcPts[BYE],MATCH(TableTEVORP[[#This Row],[RK]],TableTECalcPts[RK],0)),"")</f>
        <v/>
      </c>
      <c r="Z91" s="155" t="str">
        <f>IFERROR(INDEX(TableTECalcPts[Custom],MATCH(TableTEVORP[[#This Row],[RK]],TableTECalcPts[RK],0)),"")</f>
        <v/>
      </c>
      <c r="AA91" s="156" t="str">
        <f>IFERROR((TableTEVORP[[#This Row],[FPS]]-INDEX(TableTEVORP[FPS],MATCH(TEVORPCalc,TableTEVORP[RK],0))),"")</f>
        <v/>
      </c>
      <c r="AF91" s="58" t="s">
        <v>147</v>
      </c>
      <c r="AG91" s="58">
        <v>50</v>
      </c>
      <c r="AH91" s="100">
        <f>RANK(TableOverallMaster[[#This Row],[VORP]],TableOverallMaster[VORP])+COUNTIF($AM$2:AM91,AM91)-1</f>
        <v>190</v>
      </c>
      <c r="AI91" s="157" t="str">
        <f>IFERROR(INDEX(TableRBVORP[RUNNING BACK],MATCH(TableOverallMaster[[#This Row],[RK]],TableRBVORP[RK],0)),"")</f>
        <v>Tyrone Tracy</v>
      </c>
      <c r="AJ91" s="157" t="str">
        <f t="shared" si="1"/>
        <v>RB50</v>
      </c>
      <c r="AK91" s="157">
        <f>IFERROR(INDEX(TableRBVORP[BYE],MATCH(TableOverallMaster[[#This Row],[RK]],TableRBVORP[RK],0)),"")</f>
        <v>8</v>
      </c>
      <c r="AL91" s="158">
        <f>IFERROR(INDEX(TableRBVORP[FPS],MATCH(TableOverallMaster[[#This Row],[RK]],TableRBVORP[RK],0)),"")</f>
        <v>90.423360797211956</v>
      </c>
      <c r="AM91" s="159">
        <f>IFERROR(INDEX(TableRBVORP[VORP],MATCH(TableOverallMaster[[#This Row],[RK]],TableRBVORP[RK],0)),"")</f>
        <v>-10.867582747052337</v>
      </c>
      <c r="AO91" s="58">
        <v>90</v>
      </c>
      <c r="AP91" s="160" t="str">
        <f>IFERROR(INDEX(TableOverallMaster[OVERALL PLAYER],MATCH(TableOverallRank[[#This Row],[RK]],TableOverallMaster[OVR RK],0)),"")</f>
        <v>Marvin Harrison</v>
      </c>
      <c r="AQ91" s="161" t="str">
        <f>IFERROR(INDEX(TableOverallMaster[POS RK],MATCH(TableOverallRank[[#This Row],[OVERALL PLAYER]],TableOverallMaster[OVERALL PLAYER],0)),"")</f>
        <v>WR39</v>
      </c>
      <c r="AR91" s="162">
        <f>IFERROR(INDEX(TableOverallMaster[BYE],MATCH(TableOverallRank[[#This Row],[OVERALL PLAYER]],TableOverallMaster[OVERALL PLAYER],0)),"")</f>
        <v>14</v>
      </c>
      <c r="AS91" s="161">
        <f>IFERROR(INDEX(TableOverallMaster[Custom],MATCH(TableOverallRank[[#This Row],[OVERALL PLAYER]],TableOverallMaster[OVERALL PLAYER],0)),"")</f>
        <v>159.00760212908483</v>
      </c>
      <c r="AT91" s="163">
        <f>IFERROR(INDEX(TableOverallMaster[VORP],MATCH(TableOverallRank[[#This Row],[OVERALL PLAYER]],TableOverallMaster[OVERALL PLAYER],0)),"")</f>
        <v>68.723416738718768</v>
      </c>
      <c r="AV91" s="58">
        <v>90</v>
      </c>
      <c r="AW91" s="164" t="str">
        <f>IFERROR(INDEX(TableWRTECalcPts[PLAYER],MATCH(TableWRTERank[[#This Row],[RK]],TableWRTECalcPts[RK],0)),"")</f>
        <v>Terrance Ferguson</v>
      </c>
      <c r="AX91" s="164" t="str">
        <f>IFERROR(INDEX(TableWRTECalcPts[POS RK],MATCH(TableWRTERank[[#This Row],[WR and TE COMBINED]],TableWRTECalcPts[PLAYER],0)),"")</f>
        <v>TE23</v>
      </c>
      <c r="AY91" s="164">
        <f>IFERROR(INDEX(TableWRTECalcPts[BYE],MATCH(TableWRTERank[[#This Row],[RK]],TableWRTECalcPts[RK],0)),"")</f>
        <v>11</v>
      </c>
      <c r="AZ91" s="165">
        <f>IFERROR(INDEX(TableWRTECalcPts[Custom],MATCH(TableWRTERank[[#This Row],[RK]],TableWRTECalcPts[RK],0)),"")</f>
        <v>99.499741342592898</v>
      </c>
      <c r="BA91" s="166">
        <f>IFERROR((TableWRTERank[[#This Row],[FPS]]-INDEX(TableWRTERank[FPS],MATCH(WRTEVORPCalc,TableWRTERank[RK],0))),"")</f>
        <v>-41.736630239698798</v>
      </c>
      <c r="BC91" s="58" t="s">
        <v>148</v>
      </c>
    </row>
    <row r="92" spans="1:55" x14ac:dyDescent="0.25">
      <c r="A92" s="58">
        <v>91</v>
      </c>
      <c r="B92" s="154" t="str">
        <f>IFERROR(INDEX(TableQBCalcPts[PLAYER],MATCH(TableQBVORP[[#This Row],[RK]],TableQBCalcPts[RK],0)),"")</f>
        <v/>
      </c>
      <c r="C92" s="154" t="str">
        <f>IFERROR(INDEX(TableQBCalcPts[TM],MATCH(TableQBVORP[[#This Row],[RK]],TableQBCalcPts[RK],0)),"")</f>
        <v/>
      </c>
      <c r="D92" s="154" t="str">
        <f>IFERROR(INDEX(TableQBCalcPts[BYE],MATCH(TableQBVORP[[#This Row],[RK]],TableQBCalcPts[RK],0)),"")</f>
        <v/>
      </c>
      <c r="E92" s="155" t="str">
        <f>IFERROR(INDEX(TableQBCalcPts[Custom],MATCH(TableQBVORP[[#This Row],[RK]],TableQBCalcPts[RK],0)),"")</f>
        <v/>
      </c>
      <c r="F92" s="156" t="e">
        <f>(IFERROR((TableQBVORP[[#This Row],[FPS]]-INDEX(TableQBVORP[FPS],MATCH(QBVORPCalc,TableQBVORP[RK],0))),""))+(TableRBVORP[[#This Row],[VORP]]*0.45)</f>
        <v>#VALUE!</v>
      </c>
      <c r="H92" s="58">
        <v>91</v>
      </c>
      <c r="I92" s="154" t="str">
        <f>IFERROR(INDEX(TableRBCalcPts[PLAYER],MATCH(TableRBVORP[[#This Row],[RK]],TableRBCalcPts[RK],0)),"")</f>
        <v>Tyler Goodson</v>
      </c>
      <c r="J92" s="154" t="str">
        <f>IFERROR(INDEX(TableRBCalcPts[TM],MATCH(TableRBVORP[[#This Row],[RK]],TableRBCalcPts[RK],0)),"")</f>
        <v>ATL</v>
      </c>
      <c r="K92" s="154">
        <f>IFERROR(INDEX(TableRBCalcPts[BYE],MATCH(TableRBVORP[[#This Row],[RK]],TableRBCalcPts[RK],0)),"")</f>
        <v>11</v>
      </c>
      <c r="L92" s="155">
        <f>IFERROR(INDEX(TableRBCalcPts[Custom],MATCH(TableRBVORP[[#This Row],[RK]],TableRBCalcPts[RK],0)),"")</f>
        <v>15.265039037157166</v>
      </c>
      <c r="M92" s="156">
        <f>(IFERROR((TableRBVORP[[#This Row],[FPS]]-INDEX(TableRBVORP[FPS],MATCH(RBVORPCalc,TableRBVORP[RK],0))),""))*0.8</f>
        <v>-70.994240155096165</v>
      </c>
      <c r="O92" s="58">
        <v>91</v>
      </c>
      <c r="P92" s="154" t="str">
        <f>IFERROR(INDEX(TableWRCalcPts[PLAYER],MATCH(TableWRVORP[[#This Row],[RK]],TableWRCalcPts[RK],0)),"")</f>
        <v>Ja'Kobi Lane</v>
      </c>
      <c r="Q92" s="154" t="str">
        <f>IFERROR(INDEX(TableWRCalcPts[TM],MATCH(TableWRVORP[[#This Row],[RK]],TableWRCalcPts[RK],0)),"")</f>
        <v>BAL</v>
      </c>
      <c r="R92" s="154">
        <f>IFERROR(INDEX(TableWRCalcPts[BYE],MATCH(TableWRVORP[[#This Row],[RK]],TableWRCalcPts[RK],0)),"")</f>
        <v>13</v>
      </c>
      <c r="S92" s="155">
        <f>IFERROR(INDEX(TableWRCalcPts[Custom],MATCH(TableWRVORP[[#This Row],[RK]],TableWRCalcPts[RK],0)),"")</f>
        <v>58.907507146847031</v>
      </c>
      <c r="T92" s="156">
        <f>(IFERROR((TableWRVORP[[#This Row],[FPS]]-INDEX(TableWRVORP[FPS],MATCH(WRVORPCalc,TableWRVORP[RK],0))),""))</f>
        <v>-31.376678243519031</v>
      </c>
      <c r="V92" s="58">
        <v>91</v>
      </c>
      <c r="W92" s="154" t="str">
        <f>IFERROR(INDEX(TableTECalcPts[PLAYER],MATCH(TableTEVORP[[#This Row],[RK]],TableTECalcPts[RK],0)),"")</f>
        <v/>
      </c>
      <c r="X92" s="154" t="str">
        <f>IFERROR(INDEX(TableTECalcPts[TM],MATCH(TableTEVORP[[#This Row],[RK]],TableTECalcPts[RK],0)),"")</f>
        <v/>
      </c>
      <c r="Y92" s="154" t="str">
        <f>IFERROR(INDEX(TableTECalcPts[BYE],MATCH(TableTEVORP[[#This Row],[RK]],TableTECalcPts[RK],0)),"")</f>
        <v/>
      </c>
      <c r="Z92" s="155" t="str">
        <f>IFERROR(INDEX(TableTECalcPts[Custom],MATCH(TableTEVORP[[#This Row],[RK]],TableTECalcPts[RK],0)),"")</f>
        <v/>
      </c>
      <c r="AA92" s="156" t="str">
        <f>IFERROR((TableTEVORP[[#This Row],[FPS]]-INDEX(TableTEVORP[FPS],MATCH(TEVORPCalc,TableTEVORP[RK],0))),"")</f>
        <v/>
      </c>
      <c r="AF92" s="58" t="s">
        <v>147</v>
      </c>
      <c r="AG92" s="58">
        <v>51</v>
      </c>
      <c r="AH92" s="100">
        <f>RANK(TableOverallMaster[[#This Row],[VORP]],TableOverallMaster[VORP])+COUNTIF($AM$2:AM92,AM92)-1</f>
        <v>193</v>
      </c>
      <c r="AI92" s="157" t="str">
        <f>IFERROR(INDEX(TableRBVORP[RUNNING BACK],MATCH(TableOverallMaster[[#This Row],[RK]],TableRBVORP[RK],0)),"")</f>
        <v>Samaje Perine</v>
      </c>
      <c r="AJ92" s="157" t="str">
        <f t="shared" si="1"/>
        <v>RB51</v>
      </c>
      <c r="AK92" s="157">
        <f>IFERROR(INDEX(TableRBVORP[BYE],MATCH(TableOverallMaster[[#This Row],[RK]],TableRBVORP[RK],0)),"")</f>
        <v>6</v>
      </c>
      <c r="AL92" s="158">
        <f>IFERROR(INDEX(TableRBVORP[FPS],MATCH(TableOverallMaster[[#This Row],[RK]],TableRBVORP[RK],0)),"")</f>
        <v>85.611749481832177</v>
      </c>
      <c r="AM92" s="159">
        <f>IFERROR(INDEX(TableRBVORP[VORP],MATCH(TableOverallMaster[[#This Row],[RK]],TableRBVORP[RK],0)),"")</f>
        <v>-14.716871799356159</v>
      </c>
      <c r="AO92" s="58">
        <v>91</v>
      </c>
      <c r="AP92" s="160" t="str">
        <f>IFERROR(INDEX(TableOverallMaster[OVERALL PLAYER],MATCH(TableOverallRank[[#This Row],[RK]],TableOverallMaster[OVR RK],0)),"")</f>
        <v>Rhamondre Stevenson</v>
      </c>
      <c r="AQ92" s="161" t="str">
        <f>IFERROR(INDEX(TableOverallMaster[POS RK],MATCH(TableOverallRank[[#This Row],[OVERALL PLAYER]],TableOverallMaster[OVERALL PLAYER],0)),"")</f>
        <v>RB23</v>
      </c>
      <c r="AR92" s="162">
        <f>IFERROR(INDEX(TableOverallMaster[BYE],MATCH(TableOverallRank[[#This Row],[OVERALL PLAYER]],TableOverallMaster[OVERALL PLAYER],0)),"")</f>
        <v>11</v>
      </c>
      <c r="AS92" s="161">
        <f>IFERROR(INDEX(TableOverallMaster[Custom],MATCH(TableOverallRank[[#This Row],[OVERALL PLAYER]],TableOverallMaster[OVERALL PLAYER],0)),"")</f>
        <v>189.05386180345894</v>
      </c>
      <c r="AT92" s="163">
        <f>IFERROR(INDEX(TableOverallMaster[VORP],MATCH(TableOverallRank[[#This Row],[OVERALL PLAYER]],TableOverallMaster[OVERALL PLAYER],0)),"")</f>
        <v>68.036818057945254</v>
      </c>
      <c r="AV92" s="58">
        <v>91</v>
      </c>
      <c r="AW92" s="164" t="str">
        <f>IFERROR(INDEX(TableWRTECalcPts[PLAYER],MATCH(TableWRTERank[[#This Row],[RK]],TableWRTECalcPts[RK],0)),"")</f>
        <v>Brenton Strange</v>
      </c>
      <c r="AX92" s="164" t="str">
        <f>IFERROR(INDEX(TableWRTECalcPts[POS RK],MATCH(TableWRTERank[[#This Row],[WR and TE COMBINED]],TableWRTECalcPts[PLAYER],0)),"")</f>
        <v>TE24</v>
      </c>
      <c r="AY92" s="164">
        <f>IFERROR(INDEX(TableWRTECalcPts[BYE],MATCH(TableWRTERank[[#This Row],[RK]],TableWRTECalcPts[RK],0)),"")</f>
        <v>7</v>
      </c>
      <c r="AZ92" s="165">
        <f>IFERROR(INDEX(TableWRTECalcPts[Custom],MATCH(TableWRTERank[[#This Row],[RK]],TableWRTECalcPts[RK],0)),"")</f>
        <v>99.194542803959408</v>
      </c>
      <c r="BA92" s="166">
        <f>IFERROR((TableWRTERank[[#This Row],[FPS]]-INDEX(TableWRTERank[FPS],MATCH(WRTEVORPCalc,TableWRTERank[RK],0))),"")</f>
        <v>-42.041828778332288</v>
      </c>
      <c r="BC92" s="58" t="s">
        <v>148</v>
      </c>
    </row>
    <row r="93" spans="1:55" x14ac:dyDescent="0.25">
      <c r="A93" s="58">
        <v>92</v>
      </c>
      <c r="B93" s="154" t="str">
        <f>IFERROR(INDEX(TableQBCalcPts[PLAYER],MATCH(TableQBVORP[[#This Row],[RK]],TableQBCalcPts[RK],0)),"")</f>
        <v/>
      </c>
      <c r="C93" s="154" t="str">
        <f>IFERROR(INDEX(TableQBCalcPts[TM],MATCH(TableQBVORP[[#This Row],[RK]],TableQBCalcPts[RK],0)),"")</f>
        <v/>
      </c>
      <c r="D93" s="154" t="str">
        <f>IFERROR(INDEX(TableQBCalcPts[BYE],MATCH(TableQBVORP[[#This Row],[RK]],TableQBCalcPts[RK],0)),"")</f>
        <v/>
      </c>
      <c r="E93" s="155" t="str">
        <f>IFERROR(INDEX(TableQBCalcPts[Custom],MATCH(TableQBVORP[[#This Row],[RK]],TableQBCalcPts[RK],0)),"")</f>
        <v/>
      </c>
      <c r="F93" s="156" t="e">
        <f>(IFERROR((TableQBVORP[[#This Row],[FPS]]-INDEX(TableQBVORP[FPS],MATCH(QBVORPCalc,TableQBVORP[RK],0))),""))+(TableRBVORP[[#This Row],[VORP]]*0.45)</f>
        <v>#VALUE!</v>
      </c>
      <c r="H93" s="58">
        <v>92</v>
      </c>
      <c r="I93" s="154" t="str">
        <f>IFERROR(INDEX(TableRBCalcPts[PLAYER],MATCH(TableRBVORP[[#This Row],[RK]],TableRBCalcPts[RK],0)),"")</f>
        <v>Jawhar Jordan</v>
      </c>
      <c r="J93" s="154" t="str">
        <f>IFERROR(INDEX(TableRBCalcPts[TM],MATCH(TableRBVORP[[#This Row],[RK]],TableRBCalcPts[RK],0)),"")</f>
        <v>HOU</v>
      </c>
      <c r="K93" s="154">
        <f>IFERROR(INDEX(TableRBCalcPts[BYE],MATCH(TableRBVORP[[#This Row],[RK]],TableRBCalcPts[RK],0)),"")</f>
        <v>8</v>
      </c>
      <c r="L93" s="155">
        <f>IFERROR(INDEX(TableRBCalcPts[Custom],MATCH(TableRBVORP[[#This Row],[RK]],TableRBCalcPts[RK],0)),"")</f>
        <v>14.980269438246003</v>
      </c>
      <c r="M93" s="156">
        <f>(IFERROR((TableRBVORP[[#This Row],[FPS]]-INDEX(TableRBVORP[FPS],MATCH(RBVORPCalc,TableRBVORP[RK],0))),""))*0.8</f>
        <v>-71.222055834225102</v>
      </c>
      <c r="O93" s="58">
        <v>92</v>
      </c>
      <c r="P93" s="154" t="str">
        <f>IFERROR(INDEX(TableWRCalcPts[PLAYER],MATCH(TableWRVORP[[#This Row],[RK]],TableWRCalcPts[RK],0)),"")</f>
        <v>Kayshon Boutte</v>
      </c>
      <c r="Q93" s="154" t="str">
        <f>IFERROR(INDEX(TableWRCalcPts[TM],MATCH(TableWRVORP[[#This Row],[RK]],TableWRCalcPts[RK],0)),"")</f>
        <v>NE</v>
      </c>
      <c r="R93" s="154">
        <f>IFERROR(INDEX(TableWRCalcPts[BYE],MATCH(TableWRVORP[[#This Row],[RK]],TableWRCalcPts[RK],0)),"")</f>
        <v>11</v>
      </c>
      <c r="S93" s="155">
        <f>IFERROR(INDEX(TableWRCalcPts[Custom],MATCH(TableWRVORP[[#This Row],[RK]],TableWRCalcPts[RK],0)),"")</f>
        <v>56.509578151941582</v>
      </c>
      <c r="T93" s="156">
        <f>(IFERROR((TableWRVORP[[#This Row],[FPS]]-INDEX(TableWRVORP[FPS],MATCH(WRVORPCalc,TableWRVORP[RK],0))),""))</f>
        <v>-33.77460723842448</v>
      </c>
      <c r="V93" s="58">
        <v>92</v>
      </c>
      <c r="W93" s="154" t="str">
        <f>IFERROR(INDEX(TableTECalcPts[PLAYER],MATCH(TableTEVORP[[#This Row],[RK]],TableTECalcPts[RK],0)),"")</f>
        <v/>
      </c>
      <c r="X93" s="154" t="str">
        <f>IFERROR(INDEX(TableTECalcPts[TM],MATCH(TableTEVORP[[#This Row],[RK]],TableTECalcPts[RK],0)),"")</f>
        <v/>
      </c>
      <c r="Y93" s="154" t="str">
        <f>IFERROR(INDEX(TableTECalcPts[BYE],MATCH(TableTEVORP[[#This Row],[RK]],TableTECalcPts[RK],0)),"")</f>
        <v/>
      </c>
      <c r="Z93" s="155" t="str">
        <f>IFERROR(INDEX(TableTECalcPts[Custom],MATCH(TableTEVORP[[#This Row],[RK]],TableTECalcPts[RK],0)),"")</f>
        <v/>
      </c>
      <c r="AA93" s="156" t="str">
        <f>IFERROR((TableTEVORP[[#This Row],[FPS]]-INDEX(TableTEVORP[FPS],MATCH(TEVORPCalc,TableTEVORP[RK],0))),"")</f>
        <v/>
      </c>
      <c r="AF93" s="58" t="s">
        <v>147</v>
      </c>
      <c r="AG93" s="58">
        <v>52</v>
      </c>
      <c r="AH93" s="100">
        <f>RANK(TableOverallMaster[[#This Row],[VORP]],TableOverallMaster[VORP])+COUNTIF($AM$2:AM93,AM93)-1</f>
        <v>194</v>
      </c>
      <c r="AI93" s="157" t="str">
        <f>IFERROR(INDEX(TableRBVORP[RUNNING BACK],MATCH(TableOverallMaster[[#This Row],[RK]],TableRBVORP[RK],0)),"")</f>
        <v>Brian Robinson</v>
      </c>
      <c r="AJ93" s="157" t="str">
        <f t="shared" si="1"/>
        <v>RB52</v>
      </c>
      <c r="AK93" s="157">
        <f>IFERROR(INDEX(TableRBVORP[BYE],MATCH(TableOverallMaster[[#This Row],[RK]],TableRBVORP[RK],0)),"")</f>
        <v>11</v>
      </c>
      <c r="AL93" s="158">
        <f>IFERROR(INDEX(TableRBVORP[FPS],MATCH(TableOverallMaster[[#This Row],[RK]],TableRBVORP[RK],0)),"")</f>
        <v>85.334523724566836</v>
      </c>
      <c r="AM93" s="159">
        <f>IFERROR(INDEX(TableRBVORP[VORP],MATCH(TableOverallMaster[[#This Row],[RK]],TableRBVORP[RK],0)),"")</f>
        <v>-14.938652405168433</v>
      </c>
      <c r="AO93" s="58">
        <v>92</v>
      </c>
      <c r="AP93" s="160" t="str">
        <f>IFERROR(INDEX(TableOverallMaster[OVERALL PLAYER],MATCH(TableOverallRank[[#This Row],[RK]],TableOverallMaster[OVR RK],0)),"")</f>
        <v>Quinshon Judkins</v>
      </c>
      <c r="AQ93" s="161" t="str">
        <f>IFERROR(INDEX(TableOverallMaster[POS RK],MATCH(TableOverallRank[[#This Row],[OVERALL PLAYER]],TableOverallMaster[OVERALL PLAYER],0)),"")</f>
        <v>RB24</v>
      </c>
      <c r="AR93" s="162">
        <f>IFERROR(INDEX(TableOverallMaster[BYE],MATCH(TableOverallRank[[#This Row],[OVERALL PLAYER]],TableOverallMaster[OVERALL PLAYER],0)),"")</f>
        <v>11</v>
      </c>
      <c r="AS93" s="161">
        <f>IFERROR(INDEX(TableOverallMaster[Custom],MATCH(TableOverallRank[[#This Row],[OVERALL PLAYER]],TableOverallMaster[OVERALL PLAYER],0)),"")</f>
        <v>188.99420386322706</v>
      </c>
      <c r="AT93" s="163">
        <f>IFERROR(INDEX(TableOverallMaster[VORP],MATCH(TableOverallRank[[#This Row],[OVERALL PLAYER]],TableOverallMaster[OVERALL PLAYER],0)),"")</f>
        <v>67.989091705759748</v>
      </c>
      <c r="AV93" s="58">
        <v>92</v>
      </c>
      <c r="AW93" s="164" t="str">
        <f>IFERROR(INDEX(TableWRTECalcPts[PLAYER],MATCH(TableWRTERank[[#This Row],[RK]],TableWRTECalcPts[RK],0)),"")</f>
        <v>Oronde Gadsden</v>
      </c>
      <c r="AX93" s="164" t="str">
        <f>IFERROR(INDEX(TableWRTECalcPts[POS RK],MATCH(TableWRTERank[[#This Row],[WR and TE COMBINED]],TableWRTECalcPts[PLAYER],0)),"")</f>
        <v>TE25</v>
      </c>
      <c r="AY93" s="164">
        <f>IFERROR(INDEX(TableWRTECalcPts[BYE],MATCH(TableWRTERank[[#This Row],[RK]],TableWRTECalcPts[RK],0)),"")</f>
        <v>7</v>
      </c>
      <c r="AZ93" s="165">
        <f>IFERROR(INDEX(TableWRTECalcPts[Custom],MATCH(TableWRTERank[[#This Row],[RK]],TableWRTECalcPts[RK],0)),"")</f>
        <v>97.774303753526368</v>
      </c>
      <c r="BA93" s="166">
        <f>IFERROR((TableWRTERank[[#This Row],[FPS]]-INDEX(TableWRTERank[FPS],MATCH(WRTEVORPCalc,TableWRTERank[RK],0))),"")</f>
        <v>-43.462067828765328</v>
      </c>
      <c r="BC93" s="58" t="s">
        <v>148</v>
      </c>
    </row>
    <row r="94" spans="1:55" x14ac:dyDescent="0.25">
      <c r="A94" s="58">
        <v>93</v>
      </c>
      <c r="B94" s="154" t="str">
        <f>IFERROR(INDEX(TableQBCalcPts[PLAYER],MATCH(TableQBVORP[[#This Row],[RK]],TableQBCalcPts[RK],0)),"")</f>
        <v/>
      </c>
      <c r="C94" s="154" t="str">
        <f>IFERROR(INDEX(TableQBCalcPts[TM],MATCH(TableQBVORP[[#This Row],[RK]],TableQBCalcPts[RK],0)),"")</f>
        <v/>
      </c>
      <c r="D94" s="154" t="str">
        <f>IFERROR(INDEX(TableQBCalcPts[BYE],MATCH(TableQBVORP[[#This Row],[RK]],TableQBCalcPts[RK],0)),"")</f>
        <v/>
      </c>
      <c r="E94" s="155" t="str">
        <f>IFERROR(INDEX(TableQBCalcPts[Custom],MATCH(TableQBVORP[[#This Row],[RK]],TableQBCalcPts[RK],0)),"")</f>
        <v/>
      </c>
      <c r="F94" s="156" t="e">
        <f>(IFERROR((TableQBVORP[[#This Row],[FPS]]-INDEX(TableQBVORP[FPS],MATCH(QBVORPCalc,TableQBVORP[RK],0))),""))+(TableRBVORP[[#This Row],[VORP]]*0.45)</f>
        <v>#VALUE!</v>
      </c>
      <c r="H94" s="58">
        <v>93</v>
      </c>
      <c r="I94" s="154" t="str">
        <f>IFERROR(INDEX(TableRBCalcPts[PLAYER],MATCH(TableRBVORP[[#This Row],[RK]],TableRBCalcPts[RK],0)),"")</f>
        <v>Tahj Brooks</v>
      </c>
      <c r="J94" s="154" t="str">
        <f>IFERROR(INDEX(TableRBCalcPts[TM],MATCH(TableRBVORP[[#This Row],[RK]],TableRBCalcPts[RK],0)),"")</f>
        <v>CIN</v>
      </c>
      <c r="K94" s="154">
        <f>IFERROR(INDEX(TableRBCalcPts[BYE],MATCH(TableRBVORP[[#This Row],[RK]],TableRBCalcPts[RK],0)),"")</f>
        <v>6</v>
      </c>
      <c r="L94" s="155">
        <f>IFERROR(INDEX(TableRBCalcPts[Custom],MATCH(TableRBVORP[[#This Row],[RK]],TableRBCalcPts[RK],0)),"")</f>
        <v>14.242156410960854</v>
      </c>
      <c r="M94" s="156">
        <f>(IFERROR((TableRBVORP[[#This Row],[FPS]]-INDEX(TableRBVORP[FPS],MATCH(RBVORPCalc,TableRBVORP[RK],0))),""))*0.8</f>
        <v>-71.81254625605321</v>
      </c>
      <c r="O94" s="58">
        <v>93</v>
      </c>
      <c r="P94" s="154" t="str">
        <f>IFERROR(INDEX(TableWRCalcPts[PLAYER],MATCH(TableWRVORP[[#This Row],[RK]],TableWRCalcPts[RK],0)),"")</f>
        <v>Isaiah Bond</v>
      </c>
      <c r="Q94" s="154" t="str">
        <f>IFERROR(INDEX(TableWRCalcPts[TM],MATCH(TableWRVORP[[#This Row],[RK]],TableWRCalcPts[RK],0)),"")</f>
        <v>CLE</v>
      </c>
      <c r="R94" s="154">
        <f>IFERROR(INDEX(TableWRCalcPts[BYE],MATCH(TableWRVORP[[#This Row],[RK]],TableWRCalcPts[RK],0)),"")</f>
        <v>11</v>
      </c>
      <c r="S94" s="155">
        <f>IFERROR(INDEX(TableWRCalcPts[Custom],MATCH(TableWRVORP[[#This Row],[RK]],TableWRCalcPts[RK],0)),"")</f>
        <v>56.398321364111993</v>
      </c>
      <c r="T94" s="156">
        <f>(IFERROR((TableWRVORP[[#This Row],[FPS]]-INDEX(TableWRVORP[FPS],MATCH(WRVORPCalc,TableWRVORP[RK],0))),""))</f>
        <v>-33.885864026254069</v>
      </c>
      <c r="V94" s="58">
        <v>93</v>
      </c>
      <c r="W94" s="154" t="str">
        <f>IFERROR(INDEX(TableTECalcPts[PLAYER],MATCH(TableTEVORP[[#This Row],[RK]],TableTECalcPts[RK],0)),"")</f>
        <v/>
      </c>
      <c r="X94" s="154" t="str">
        <f>IFERROR(INDEX(TableTECalcPts[TM],MATCH(TableTEVORP[[#This Row],[RK]],TableTECalcPts[RK],0)),"")</f>
        <v/>
      </c>
      <c r="Y94" s="154" t="str">
        <f>IFERROR(INDEX(TableTECalcPts[BYE],MATCH(TableTEVORP[[#This Row],[RK]],TableTECalcPts[RK],0)),"")</f>
        <v/>
      </c>
      <c r="Z94" s="155" t="str">
        <f>IFERROR(INDEX(TableTECalcPts[Custom],MATCH(TableTEVORP[[#This Row],[RK]],TableTECalcPts[RK],0)),"")</f>
        <v/>
      </c>
      <c r="AA94" s="156" t="str">
        <f>IFERROR((TableTEVORP[[#This Row],[FPS]]-INDEX(TableTEVORP[FPS],MATCH(TEVORPCalc,TableTEVORP[RK],0))),"")</f>
        <v/>
      </c>
      <c r="AF94" s="58" t="s">
        <v>147</v>
      </c>
      <c r="AG94" s="58">
        <v>53</v>
      </c>
      <c r="AH94" s="100">
        <f>RANK(TableOverallMaster[[#This Row],[VORP]],TableOverallMaster[VORP])+COUNTIF($AM$2:AM94,AM94)-1</f>
        <v>199</v>
      </c>
      <c r="AI94" s="157" t="str">
        <f>IFERROR(INDEX(TableRBVORP[RUNNING BACK],MATCH(TableOverallMaster[[#This Row],[RK]],TableRBVORP[RK],0)),"")</f>
        <v>Tyler Allgeier</v>
      </c>
      <c r="AJ94" s="157" t="str">
        <f t="shared" si="1"/>
        <v>RB53</v>
      </c>
      <c r="AK94" s="157">
        <f>IFERROR(INDEX(TableRBVORP[BYE],MATCH(TableOverallMaster[[#This Row],[RK]],TableRBVORP[RK],0)),"")</f>
        <v>14</v>
      </c>
      <c r="AL94" s="158">
        <f>IFERROR(INDEX(TableRBVORP[FPS],MATCH(TableOverallMaster[[#This Row],[RK]],TableRBVORP[RK],0)),"")</f>
        <v>80.229030693656966</v>
      </c>
      <c r="AM94" s="159">
        <f>IFERROR(INDEX(TableRBVORP[VORP],MATCH(TableOverallMaster[[#This Row],[RK]],TableRBVORP[RK],0)),"")</f>
        <v>-19.023046829896327</v>
      </c>
      <c r="AO94" s="58">
        <v>93</v>
      </c>
      <c r="AP94" s="160" t="str">
        <f>IFERROR(INDEX(TableOverallMaster[OVERALL PLAYER],MATCH(TableOverallRank[[#This Row],[RK]],TableOverallMaster[OVR RK],0)),"")</f>
        <v>C.J. Stroud</v>
      </c>
      <c r="AQ94" s="161" t="str">
        <f>IFERROR(INDEX(TableOverallMaster[POS RK],MATCH(TableOverallRank[[#This Row],[OVERALL PLAYER]],TableOverallMaster[OVERALL PLAYER],0)),"")</f>
        <v>QB20</v>
      </c>
      <c r="AR94" s="162">
        <f>IFERROR(INDEX(TableOverallMaster[BYE],MATCH(TableOverallRank[[#This Row],[OVERALL PLAYER]],TableOverallMaster[OVERALL PLAYER],0)),"")</f>
        <v>8</v>
      </c>
      <c r="AS94" s="161">
        <f>IFERROR(INDEX(TableOverallMaster[Custom],MATCH(TableOverallRank[[#This Row],[OVERALL PLAYER]],TableOverallMaster[OVERALL PLAYER],0)),"")</f>
        <v>366.66195305256093</v>
      </c>
      <c r="AT94" s="163">
        <f>IFERROR(INDEX(TableOverallMaster[VORP],MATCH(TableOverallRank[[#This Row],[OVERALL PLAYER]],TableOverallMaster[OVERALL PLAYER],0)),"")</f>
        <v>63.404677026481217</v>
      </c>
      <c r="AV94" s="58">
        <v>93</v>
      </c>
      <c r="AW94" s="164" t="str">
        <f>IFERROR(INDEX(TableWRTECalcPts[PLAYER],MATCH(TableWRTERank[[#This Row],[RK]],TableWRTECalcPts[RK],0)),"")</f>
        <v>Caleb Douglas</v>
      </c>
      <c r="AX94" s="164" t="str">
        <f>IFERROR(INDEX(TableWRTECalcPts[POS RK],MATCH(TableWRTERank[[#This Row],[WR and TE COMBINED]],TableWRTECalcPts[PLAYER],0)),"")</f>
        <v>WR68</v>
      </c>
      <c r="AY94" s="164">
        <f>IFERROR(INDEX(TableWRTECalcPts[BYE],MATCH(TableWRTERank[[#This Row],[RK]],TableWRTECalcPts[RK],0)),"")</f>
        <v>6</v>
      </c>
      <c r="AZ94" s="165">
        <f>IFERROR(INDEX(TableWRTECalcPts[Custom],MATCH(TableWRTERank[[#This Row],[RK]],TableWRTECalcPts[RK],0)),"")</f>
        <v>95.519069823491961</v>
      </c>
      <c r="BA94" s="166">
        <f>IFERROR((TableWRTERank[[#This Row],[FPS]]-INDEX(TableWRTERank[FPS],MATCH(WRTEVORPCalc,TableWRTERank[RK],0))),"")</f>
        <v>-45.717301758799735</v>
      </c>
      <c r="BC94" s="58" t="s">
        <v>148</v>
      </c>
    </row>
    <row r="95" spans="1:55" x14ac:dyDescent="0.25">
      <c r="A95" s="58">
        <v>94</v>
      </c>
      <c r="B95" s="154" t="str">
        <f>IFERROR(INDEX(TableQBCalcPts[PLAYER],MATCH(TableQBVORP[[#This Row],[RK]],TableQBCalcPts[RK],0)),"")</f>
        <v/>
      </c>
      <c r="C95" s="154" t="str">
        <f>IFERROR(INDEX(TableQBCalcPts[TM],MATCH(TableQBVORP[[#This Row],[RK]],TableQBCalcPts[RK],0)),"")</f>
        <v/>
      </c>
      <c r="D95" s="154" t="str">
        <f>IFERROR(INDEX(TableQBCalcPts[BYE],MATCH(TableQBVORP[[#This Row],[RK]],TableQBCalcPts[RK],0)),"")</f>
        <v/>
      </c>
      <c r="E95" s="155" t="str">
        <f>IFERROR(INDEX(TableQBCalcPts[Custom],MATCH(TableQBVORP[[#This Row],[RK]],TableQBCalcPts[RK],0)),"")</f>
        <v/>
      </c>
      <c r="F95" s="156" t="e">
        <f>(IFERROR((TableQBVORP[[#This Row],[FPS]]-INDEX(TableQBVORP[FPS],MATCH(QBVORPCalc,TableQBVORP[RK],0))),""))+(TableRBVORP[[#This Row],[VORP]]*0.45)</f>
        <v>#VALUE!</v>
      </c>
      <c r="H95" s="58">
        <v>94</v>
      </c>
      <c r="I95" s="154" t="str">
        <f>IFERROR(INDEX(TableRBCalcPts[PLAYER],MATCH(TableRBVORP[[#This Row],[RK]],TableRBCalcPts[RK],0)),"")</f>
        <v>Trevor Etienne</v>
      </c>
      <c r="J95" s="154" t="str">
        <f>IFERROR(INDEX(TableRBCalcPts[TM],MATCH(TableRBVORP[[#This Row],[RK]],TableRBCalcPts[RK],0)),"")</f>
        <v>CAR</v>
      </c>
      <c r="K95" s="154">
        <f>IFERROR(INDEX(TableRBCalcPts[BYE],MATCH(TableRBVORP[[#This Row],[RK]],TableRBCalcPts[RK],0)),"")</f>
        <v>5</v>
      </c>
      <c r="L95" s="155">
        <f>IFERROR(INDEX(TableRBCalcPts[Custom],MATCH(TableRBVORP[[#This Row],[RK]],TableRBCalcPts[RK],0)),"")</f>
        <v>13.911921761422212</v>
      </c>
      <c r="M95" s="156">
        <f>(IFERROR((TableRBVORP[[#This Row],[FPS]]-INDEX(TableRBVORP[FPS],MATCH(RBVORPCalc,TableRBVORP[RK],0))),""))*0.8</f>
        <v>-72.076733975684135</v>
      </c>
      <c r="O95" s="58">
        <v>94</v>
      </c>
      <c r="P95" s="154" t="str">
        <f>IFERROR(INDEX(TableWRCalcPts[PLAYER],MATCH(TableWRVORP[[#This Row],[RK]],TableWRCalcPts[RK],0)),"")</f>
        <v>Olamide Zaccheaus</v>
      </c>
      <c r="Q95" s="154" t="str">
        <f>IFERROR(INDEX(TableWRCalcPts[TM],MATCH(TableWRVORP[[#This Row],[RK]],TableWRCalcPts[RK],0)),"")</f>
        <v>ATL</v>
      </c>
      <c r="R95" s="154">
        <f>IFERROR(INDEX(TableWRCalcPts[BYE],MATCH(TableWRVORP[[#This Row],[RK]],TableWRCalcPts[RK],0)),"")</f>
        <v>11</v>
      </c>
      <c r="S95" s="155">
        <f>IFERROR(INDEX(TableWRCalcPts[Custom],MATCH(TableWRVORP[[#This Row],[RK]],TableWRCalcPts[RK],0)),"")</f>
        <v>54.86571406748574</v>
      </c>
      <c r="T95" s="156">
        <f>(IFERROR((TableWRVORP[[#This Row],[FPS]]-INDEX(TableWRVORP[FPS],MATCH(WRVORPCalc,TableWRVORP[RK],0))),""))</f>
        <v>-35.418471322880322</v>
      </c>
      <c r="V95" s="58">
        <v>94</v>
      </c>
      <c r="W95" s="154" t="str">
        <f>IFERROR(INDEX(TableTECalcPts[PLAYER],MATCH(TableTEVORP[[#This Row],[RK]],TableTECalcPts[RK],0)),"")</f>
        <v/>
      </c>
      <c r="X95" s="154" t="str">
        <f>IFERROR(INDEX(TableTECalcPts[TM],MATCH(TableTEVORP[[#This Row],[RK]],TableTECalcPts[RK],0)),"")</f>
        <v/>
      </c>
      <c r="Y95" s="154" t="str">
        <f>IFERROR(INDEX(TableTECalcPts[BYE],MATCH(TableTEVORP[[#This Row],[RK]],TableTECalcPts[RK],0)),"")</f>
        <v/>
      </c>
      <c r="Z95" s="155" t="str">
        <f>IFERROR(INDEX(TableTECalcPts[Custom],MATCH(TableTEVORP[[#This Row],[RK]],TableTECalcPts[RK],0)),"")</f>
        <v/>
      </c>
      <c r="AA95" s="156" t="str">
        <f>IFERROR((TableTEVORP[[#This Row],[FPS]]-INDEX(TableTEVORP[FPS],MATCH(TEVORPCalc,TableTEVORP[RK],0))),"")</f>
        <v/>
      </c>
      <c r="AF95" s="58" t="s">
        <v>147</v>
      </c>
      <c r="AG95" s="58">
        <v>54</v>
      </c>
      <c r="AH95" s="100">
        <f>RANK(TableOverallMaster[[#This Row],[VORP]],TableOverallMaster[VORP])+COUNTIF($AM$2:AM95,AM95)-1</f>
        <v>200</v>
      </c>
      <c r="AI95" s="157" t="str">
        <f>IFERROR(INDEX(TableRBVORP[RUNNING BACK],MATCH(TableOverallMaster[[#This Row],[RK]],TableRBVORP[RK],0)),"")</f>
        <v>Keaton Mitchell</v>
      </c>
      <c r="AJ95" s="157" t="str">
        <f t="shared" si="1"/>
        <v>RB54</v>
      </c>
      <c r="AK95" s="157">
        <f>IFERROR(INDEX(TableRBVORP[BYE],MATCH(TableOverallMaster[[#This Row],[RK]],TableRBVORP[RK],0)),"")</f>
        <v>7</v>
      </c>
      <c r="AL95" s="158">
        <f>IFERROR(INDEX(TableRBVORP[FPS],MATCH(TableOverallMaster[[#This Row],[RK]],TableRBVORP[RK],0)),"")</f>
        <v>78.637323911068265</v>
      </c>
      <c r="AM95" s="159">
        <f>IFERROR(INDEX(TableRBVORP[VORP],MATCH(TableOverallMaster[[#This Row],[RK]],TableRBVORP[RK],0)),"")</f>
        <v>-20.29641225596729</v>
      </c>
      <c r="AO95" s="58">
        <v>94</v>
      </c>
      <c r="AP95" s="160" t="str">
        <f>IFERROR(INDEX(TableOverallMaster[OVERALL PLAYER],MATCH(TableOverallRank[[#This Row],[RK]],TableOverallMaster[OVR RK],0)),"")</f>
        <v>Kyle Pitts</v>
      </c>
      <c r="AQ95" s="161" t="str">
        <f>IFERROR(INDEX(TableOverallMaster[POS RK],MATCH(TableOverallRank[[#This Row],[OVERALL PLAYER]],TableOverallMaster[OVERALL PLAYER],0)),"")</f>
        <v>TE11</v>
      </c>
      <c r="AR95" s="162">
        <f>IFERROR(INDEX(TableOverallMaster[BYE],MATCH(TableOverallRank[[#This Row],[OVERALL PLAYER]],TableOverallMaster[OVERALL PLAYER],0)),"")</f>
        <v>11</v>
      </c>
      <c r="AS95" s="161">
        <f>IFERROR(INDEX(TableOverallMaster[Custom],MATCH(TableOverallRank[[#This Row],[OVERALL PLAYER]],TableOverallMaster[OVERALL PLAYER],0)),"")</f>
        <v>141.2363715822917</v>
      </c>
      <c r="AT95" s="163">
        <f>IFERROR(INDEX(TableOverallMaster[VORP],MATCH(TableOverallRank[[#This Row],[OVERALL PLAYER]],TableOverallMaster[OVERALL PLAYER],0)),"")</f>
        <v>63.35057760605001</v>
      </c>
      <c r="AV95" s="58">
        <v>94</v>
      </c>
      <c r="AW95" s="164" t="str">
        <f>IFERROR(INDEX(TableWRTECalcPts[PLAYER],MATCH(TableWRTERank[[#This Row],[RK]],TableWRTECalcPts[RK],0)),"")</f>
        <v>Jerry Jeudy</v>
      </c>
      <c r="AX95" s="164" t="str">
        <f>IFERROR(INDEX(TableWRTECalcPts[POS RK],MATCH(TableWRTERank[[#This Row],[WR and TE COMBINED]],TableWRTECalcPts[PLAYER],0)),"")</f>
        <v>WR69</v>
      </c>
      <c r="AY95" s="164">
        <f>IFERROR(INDEX(TableWRTECalcPts[BYE],MATCH(TableWRTERank[[#This Row],[RK]],TableWRTECalcPts[RK],0)),"")</f>
        <v>11</v>
      </c>
      <c r="AZ95" s="165">
        <f>IFERROR(INDEX(TableWRTECalcPts[Custom],MATCH(TableWRTERank[[#This Row],[RK]],TableWRTECalcPts[RK],0)),"")</f>
        <v>95.245616587967987</v>
      </c>
      <c r="BA95" s="166">
        <f>IFERROR((TableWRTERank[[#This Row],[FPS]]-INDEX(TableWRTERank[FPS],MATCH(WRTEVORPCalc,TableWRTERank[RK],0))),"")</f>
        <v>-45.990754994323709</v>
      </c>
      <c r="BC95" s="58" t="s">
        <v>148</v>
      </c>
    </row>
    <row r="96" spans="1:55" x14ac:dyDescent="0.25">
      <c r="A96" s="58">
        <v>95</v>
      </c>
      <c r="B96" s="154" t="str">
        <f>IFERROR(INDEX(TableQBCalcPts[PLAYER],MATCH(TableQBVORP[[#This Row],[RK]],TableQBCalcPts[RK],0)),"")</f>
        <v/>
      </c>
      <c r="C96" s="154" t="str">
        <f>IFERROR(INDEX(TableQBCalcPts[TM],MATCH(TableQBVORP[[#This Row],[RK]],TableQBCalcPts[RK],0)),"")</f>
        <v/>
      </c>
      <c r="D96" s="154" t="str">
        <f>IFERROR(INDEX(TableQBCalcPts[BYE],MATCH(TableQBVORP[[#This Row],[RK]],TableQBCalcPts[RK],0)),"")</f>
        <v/>
      </c>
      <c r="E96" s="155" t="str">
        <f>IFERROR(INDEX(TableQBCalcPts[Custom],MATCH(TableQBVORP[[#This Row],[RK]],TableQBCalcPts[RK],0)),"")</f>
        <v/>
      </c>
      <c r="F96" s="156" t="e">
        <f>(IFERROR((TableQBVORP[[#This Row],[FPS]]-INDEX(TableQBVORP[FPS],MATCH(QBVORPCalc,TableQBVORP[RK],0))),""))+(TableRBVORP[[#This Row],[VORP]]*0.45)</f>
        <v>#VALUE!</v>
      </c>
      <c r="H96" s="58">
        <v>95</v>
      </c>
      <c r="I96" s="154" t="str">
        <f>IFERROR(INDEX(TableRBCalcPts[PLAYER],MATCH(TableRBVORP[[#This Row],[RK]],TableRBCalcPts[RK],0)),"")</f>
        <v>Jam Miller</v>
      </c>
      <c r="J96" s="154" t="str">
        <f>IFERROR(INDEX(TableRBCalcPts[TM],MATCH(TableRBVORP[[#This Row],[RK]],TableRBCalcPts[RK],0)),"")</f>
        <v>NE</v>
      </c>
      <c r="K96" s="154">
        <f>IFERROR(INDEX(TableRBCalcPts[BYE],MATCH(TableRBVORP[[#This Row],[RK]],TableRBCalcPts[RK],0)),"")</f>
        <v>11</v>
      </c>
      <c r="L96" s="155">
        <f>IFERROR(INDEX(TableRBCalcPts[Custom],MATCH(TableRBVORP[[#This Row],[RK]],TableRBCalcPts[RK],0)),"")</f>
        <v>13.865478244445967</v>
      </c>
      <c r="M96" s="156">
        <f>(IFERROR((TableRBVORP[[#This Row],[FPS]]-INDEX(TableRBVORP[FPS],MATCH(RBVORPCalc,TableRBVORP[RK],0))),""))*0.8</f>
        <v>-72.113888789265133</v>
      </c>
      <c r="O96" s="58">
        <v>95</v>
      </c>
      <c r="P96" s="154" t="str">
        <f>IFERROR(INDEX(TableWRCalcPts[PLAYER],MATCH(TableWRVORP[[#This Row],[RK]],TableWRCalcPts[RK],0)),"")</f>
        <v>Tre' Harris</v>
      </c>
      <c r="Q96" s="154" t="str">
        <f>IFERROR(INDEX(TableWRCalcPts[TM],MATCH(TableWRVORP[[#This Row],[RK]],TableWRCalcPts[RK],0)),"")</f>
        <v>LAC</v>
      </c>
      <c r="R96" s="154">
        <f>IFERROR(INDEX(TableWRCalcPts[BYE],MATCH(TableWRVORP[[#This Row],[RK]],TableWRCalcPts[RK],0)),"")</f>
        <v>7</v>
      </c>
      <c r="S96" s="155">
        <f>IFERROR(INDEX(TableWRCalcPts[Custom],MATCH(TableWRVORP[[#This Row],[RK]],TableWRCalcPts[RK],0)),"")</f>
        <v>54.683768684072831</v>
      </c>
      <c r="T96" s="156">
        <f>(IFERROR((TableWRVORP[[#This Row],[FPS]]-INDEX(TableWRVORP[FPS],MATCH(WRVORPCalc,TableWRVORP[RK],0))),""))</f>
        <v>-35.600416706293231</v>
      </c>
      <c r="V96" s="58">
        <v>95</v>
      </c>
      <c r="W96" s="154" t="str">
        <f>IFERROR(INDEX(TableTECalcPts[PLAYER],MATCH(TableTEVORP[[#This Row],[RK]],TableTECalcPts[RK],0)),"")</f>
        <v/>
      </c>
      <c r="X96" s="154" t="str">
        <f>IFERROR(INDEX(TableTECalcPts[TM],MATCH(TableTEVORP[[#This Row],[RK]],TableTECalcPts[RK],0)),"")</f>
        <v/>
      </c>
      <c r="Y96" s="154" t="str">
        <f>IFERROR(INDEX(TableTECalcPts[BYE],MATCH(TableTEVORP[[#This Row],[RK]],TableTECalcPts[RK],0)),"")</f>
        <v/>
      </c>
      <c r="Z96" s="155" t="str">
        <f>IFERROR(INDEX(TableTECalcPts[Custom],MATCH(TableTEVORP[[#This Row],[RK]],TableTECalcPts[RK],0)),"")</f>
        <v/>
      </c>
      <c r="AA96" s="156" t="str">
        <f>IFERROR((TableTEVORP[[#This Row],[FPS]]-INDEX(TableTEVORP[FPS],MATCH(TEVORPCalc,TableTEVORP[RK],0))),"")</f>
        <v/>
      </c>
      <c r="AF96" s="58" t="s">
        <v>147</v>
      </c>
      <c r="AG96" s="58">
        <v>55</v>
      </c>
      <c r="AH96" s="100">
        <f>RANK(TableOverallMaster[[#This Row],[VORP]],TableOverallMaster[VORP])+COUNTIF($AM$2:AM96,AM96)-1</f>
        <v>203</v>
      </c>
      <c r="AI96" s="157" t="str">
        <f>IFERROR(INDEX(TableRBVORP[RUNNING BACK],MATCH(TableOverallMaster[[#This Row],[RK]],TableRBVORP[RK],0)),"")</f>
        <v>Ty Johnson</v>
      </c>
      <c r="AJ96" s="157" t="str">
        <f t="shared" si="1"/>
        <v>RB55</v>
      </c>
      <c r="AK96" s="157">
        <f>IFERROR(INDEX(TableRBVORP[BYE],MATCH(TableOverallMaster[[#This Row],[RK]],TableRBVORP[RK],0)),"")</f>
        <v>7</v>
      </c>
      <c r="AL96" s="158">
        <f>IFERROR(INDEX(TableRBVORP[FPS],MATCH(TableOverallMaster[[#This Row],[RK]],TableRBVORP[RK],0)),"")</f>
        <v>76.263725513807657</v>
      </c>
      <c r="AM96" s="159">
        <f>IFERROR(INDEX(TableRBVORP[VORP],MATCH(TableOverallMaster[[#This Row],[RK]],TableRBVORP[RK],0)),"")</f>
        <v>-22.195290973775776</v>
      </c>
      <c r="AO96" s="58">
        <v>95</v>
      </c>
      <c r="AP96" s="160" t="str">
        <f>IFERROR(INDEX(TableOverallMaster[OVERALL PLAYER],MATCH(TableOverallRank[[#This Row],[RK]],TableOverallMaster[OVR RK],0)),"")</f>
        <v>Jadarian Price</v>
      </c>
      <c r="AQ96" s="161" t="str">
        <f>IFERROR(INDEX(TableOverallMaster[POS RK],MATCH(TableOverallRank[[#This Row],[OVERALL PLAYER]],TableOverallMaster[OVERALL PLAYER],0)),"")</f>
        <v>RB25</v>
      </c>
      <c r="AR96" s="162">
        <f>IFERROR(INDEX(TableOverallMaster[BYE],MATCH(TableOverallRank[[#This Row],[OVERALL PLAYER]],TableOverallMaster[OVERALL PLAYER],0)),"")</f>
        <v>11</v>
      </c>
      <c r="AS96" s="161">
        <f>IFERROR(INDEX(TableOverallMaster[Custom],MATCH(TableOverallRank[[#This Row],[OVERALL PLAYER]],TableOverallMaster[OVERALL PLAYER],0)),"")</f>
        <v>182.32508966027049</v>
      </c>
      <c r="AT96" s="163">
        <f>IFERROR(INDEX(TableOverallMaster[VORP],MATCH(TableOverallRank[[#This Row],[OVERALL PLAYER]],TableOverallMaster[OVERALL PLAYER],0)),"")</f>
        <v>62.653800343394494</v>
      </c>
      <c r="AV96" s="58">
        <v>95</v>
      </c>
      <c r="AW96" s="164" t="str">
        <f>IFERROR(INDEX(TableWRTECalcPts[PLAYER],MATCH(TableWRTERank[[#This Row],[RK]],TableWRTECalcPts[RK],0)),"")</f>
        <v>Tre Tucker</v>
      </c>
      <c r="AX96" s="164" t="str">
        <f>IFERROR(INDEX(TableWRTECalcPts[POS RK],MATCH(TableWRTERank[[#This Row],[WR and TE COMBINED]],TableWRTECalcPts[PLAYER],0)),"")</f>
        <v>WR70</v>
      </c>
      <c r="AY96" s="164">
        <f>IFERROR(INDEX(TableWRTECalcPts[BYE],MATCH(TableWRTERank[[#This Row],[RK]],TableWRTECalcPts[RK],0)),"")</f>
        <v>13</v>
      </c>
      <c r="AZ96" s="165">
        <f>IFERROR(INDEX(TableWRTECalcPts[Custom],MATCH(TableWRTERank[[#This Row],[RK]],TableWRTECalcPts[RK],0)),"")</f>
        <v>92.360874869434014</v>
      </c>
      <c r="BA96" s="166">
        <f>IFERROR((TableWRTERank[[#This Row],[FPS]]-INDEX(TableWRTERank[FPS],MATCH(WRTEVORPCalc,TableWRTERank[RK],0))),"")</f>
        <v>-48.875496712857682</v>
      </c>
      <c r="BC96" s="58" t="s">
        <v>148</v>
      </c>
    </row>
    <row r="97" spans="1:55" x14ac:dyDescent="0.25">
      <c r="A97" s="58">
        <v>96</v>
      </c>
      <c r="B97" s="154" t="str">
        <f>IFERROR(INDEX(TableQBCalcPts[PLAYER],MATCH(TableQBVORP[[#This Row],[RK]],TableQBCalcPts[RK],0)),"")</f>
        <v/>
      </c>
      <c r="C97" s="154" t="str">
        <f>IFERROR(INDEX(TableQBCalcPts[TM],MATCH(TableQBVORP[[#This Row],[RK]],TableQBCalcPts[RK],0)),"")</f>
        <v/>
      </c>
      <c r="D97" s="154" t="str">
        <f>IFERROR(INDEX(TableQBCalcPts[BYE],MATCH(TableQBVORP[[#This Row],[RK]],TableQBCalcPts[RK],0)),"")</f>
        <v/>
      </c>
      <c r="E97" s="155" t="str">
        <f>IFERROR(INDEX(TableQBCalcPts[Custom],MATCH(TableQBVORP[[#This Row],[RK]],TableQBCalcPts[RK],0)),"")</f>
        <v/>
      </c>
      <c r="F97" s="156" t="e">
        <f>(IFERROR((TableQBVORP[[#This Row],[FPS]]-INDEX(TableQBVORP[FPS],MATCH(QBVORPCalc,TableQBVORP[RK],0))),""))+(TableRBVORP[[#This Row],[VORP]]*0.45)</f>
        <v>#VALUE!</v>
      </c>
      <c r="H97" s="58">
        <v>96</v>
      </c>
      <c r="I97" s="154" t="str">
        <f>IFERROR(INDEX(TableRBCalcPts[PLAYER],MATCH(TableRBVORP[[#This Row],[RK]],TableRBCalcPts[RK],0)),"")</f>
        <v>James Conner</v>
      </c>
      <c r="J97" s="154" t="str">
        <f>IFERROR(INDEX(TableRBCalcPts[TM],MATCH(TableRBVORP[[#This Row],[RK]],TableRBCalcPts[RK],0)),"")</f>
        <v>ARI</v>
      </c>
      <c r="K97" s="154">
        <f>IFERROR(INDEX(TableRBCalcPts[BYE],MATCH(TableRBVORP[[#This Row],[RK]],TableRBCalcPts[RK],0)),"")</f>
        <v>14</v>
      </c>
      <c r="L97" s="155">
        <f>IFERROR(INDEX(TableRBCalcPts[Custom],MATCH(TableRBVORP[[#This Row],[RK]],TableRBCalcPts[RK],0)),"")</f>
        <v>13.772880264725597</v>
      </c>
      <c r="M97" s="156">
        <f>(IFERROR((TableRBVORP[[#This Row],[FPS]]-INDEX(TableRBVORP[FPS],MATCH(RBVORPCalc,TableRBVORP[RK],0))),""))*0.8</f>
        <v>-72.187967173041429</v>
      </c>
      <c r="O97" s="58">
        <v>96</v>
      </c>
      <c r="P97" s="154" t="str">
        <f>IFERROR(INDEX(TableWRCalcPts[PLAYER],MATCH(TableWRVORP[[#This Row],[RK]],TableWRCalcPts[RK],0)),"")</f>
        <v>Kendrick Bourne</v>
      </c>
      <c r="Q97" s="154" t="str">
        <f>IFERROR(INDEX(TableWRCalcPts[TM],MATCH(TableWRVORP[[#This Row],[RK]],TableWRCalcPts[RK],0)),"")</f>
        <v>ARI</v>
      </c>
      <c r="R97" s="154">
        <f>IFERROR(INDEX(TableWRCalcPts[BYE],MATCH(TableWRVORP[[#This Row],[RK]],TableWRCalcPts[RK],0)),"")</f>
        <v>14</v>
      </c>
      <c r="S97" s="155">
        <f>IFERROR(INDEX(TableWRCalcPts[Custom],MATCH(TableWRVORP[[#This Row],[RK]],TableWRCalcPts[RK],0)),"")</f>
        <v>53.352890943744001</v>
      </c>
      <c r="T97" s="156">
        <f>(IFERROR((TableWRVORP[[#This Row],[FPS]]-INDEX(TableWRVORP[FPS],MATCH(WRVORPCalc,TableWRVORP[RK],0))),""))</f>
        <v>-36.931294446622061</v>
      </c>
      <c r="V97" s="58">
        <v>96</v>
      </c>
      <c r="W97" s="154" t="str">
        <f>IFERROR(INDEX(TableTECalcPts[PLAYER],MATCH(TableTEVORP[[#This Row],[RK]],TableTECalcPts[RK],0)),"")</f>
        <v/>
      </c>
      <c r="X97" s="154" t="str">
        <f>IFERROR(INDEX(TableTECalcPts[TM],MATCH(TableTEVORP[[#This Row],[RK]],TableTECalcPts[RK],0)),"")</f>
        <v/>
      </c>
      <c r="Y97" s="154" t="str">
        <f>IFERROR(INDEX(TableTECalcPts[BYE],MATCH(TableTEVORP[[#This Row],[RK]],TableTECalcPts[RK],0)),"")</f>
        <v/>
      </c>
      <c r="Z97" s="155" t="str">
        <f>IFERROR(INDEX(TableTECalcPts[Custom],MATCH(TableTEVORP[[#This Row],[RK]],TableTECalcPts[RK],0)),"")</f>
        <v/>
      </c>
      <c r="AA97" s="156" t="str">
        <f>IFERROR((TableTEVORP[[#This Row],[FPS]]-INDEX(TableTEVORP[FPS],MATCH(TEVORPCalc,TableTEVORP[RK],0))),"")</f>
        <v/>
      </c>
      <c r="AF97" s="58" t="s">
        <v>147</v>
      </c>
      <c r="AG97" s="58">
        <v>56</v>
      </c>
      <c r="AH97" s="100">
        <f>RANK(TableOverallMaster[[#This Row],[VORP]],TableOverallMaster[VORP])+COUNTIF($AM$2:AM97,AM97)-1</f>
        <v>204</v>
      </c>
      <c r="AI97" s="157" t="str">
        <f>IFERROR(INDEX(TableRBVORP[RUNNING BACK],MATCH(TableOverallMaster[[#This Row],[RK]],TableRBVORP[RK],0)),"")</f>
        <v>Tyjae Spears</v>
      </c>
      <c r="AJ97" s="157" t="str">
        <f t="shared" si="1"/>
        <v>RB56</v>
      </c>
      <c r="AK97" s="157">
        <f>IFERROR(INDEX(TableRBVORP[BYE],MATCH(TableOverallMaster[[#This Row],[RK]],TableRBVORP[RK],0)),"")</f>
        <v>9</v>
      </c>
      <c r="AL97" s="158">
        <f>IFERROR(INDEX(TableRBVORP[FPS],MATCH(TableOverallMaster[[#This Row],[RK]],TableRBVORP[RK],0)),"")</f>
        <v>75.595537882991906</v>
      </c>
      <c r="AM97" s="159">
        <f>IFERROR(INDEX(TableRBVORP[VORP],MATCH(TableOverallMaster[[#This Row],[RK]],TableRBVORP[RK],0)),"")</f>
        <v>-22.729841078428379</v>
      </c>
      <c r="AO97" s="58">
        <v>96</v>
      </c>
      <c r="AP97" s="160" t="str">
        <f>IFERROR(INDEX(TableOverallMaster[OVERALL PLAYER],MATCH(TableOverallRank[[#This Row],[RK]],TableOverallMaster[OVR RK],0)),"")</f>
        <v>Kenneth Gainwell</v>
      </c>
      <c r="AQ97" s="161" t="str">
        <f>IFERROR(INDEX(TableOverallMaster[POS RK],MATCH(TableOverallRank[[#This Row],[OVERALL PLAYER]],TableOverallMaster[OVERALL PLAYER],0)),"")</f>
        <v>RB26</v>
      </c>
      <c r="AR97" s="162">
        <f>IFERROR(INDEX(TableOverallMaster[BYE],MATCH(TableOverallRank[[#This Row],[OVERALL PLAYER]],TableOverallMaster[OVERALL PLAYER],0)),"")</f>
        <v>10</v>
      </c>
      <c r="AS97" s="161">
        <f>IFERROR(INDEX(TableOverallMaster[Custom],MATCH(TableOverallRank[[#This Row],[OVERALL PLAYER]],TableOverallMaster[OVERALL PLAYER],0)),"")</f>
        <v>181.82786219161196</v>
      </c>
      <c r="AT97" s="163">
        <f>IFERROR(INDEX(TableOverallMaster[VORP],MATCH(TableOverallRank[[#This Row],[OVERALL PLAYER]],TableOverallMaster[OVERALL PLAYER],0)),"")</f>
        <v>62.256018368467664</v>
      </c>
      <c r="AV97" s="58">
        <v>96</v>
      </c>
      <c r="AW97" s="164" t="str">
        <f>IFERROR(INDEX(TableWRTECalcPts[PLAYER],MATCH(TableWRTERank[[#This Row],[RK]],TableWRTECalcPts[RK],0)),"")</f>
        <v>Germie Bernard</v>
      </c>
      <c r="AX97" s="164" t="str">
        <f>IFERROR(INDEX(TableWRTECalcPts[POS RK],MATCH(TableWRTERank[[#This Row],[WR and TE COMBINED]],TableWRTECalcPts[PLAYER],0)),"")</f>
        <v>WR71</v>
      </c>
      <c r="AY97" s="164">
        <f>IFERROR(INDEX(TableWRTECalcPts[BYE],MATCH(TableWRTERank[[#This Row],[RK]],TableWRTECalcPts[RK],0)),"")</f>
        <v>9</v>
      </c>
      <c r="AZ97" s="165">
        <f>IFERROR(INDEX(TableWRTECalcPts[Custom],MATCH(TableWRTERank[[#This Row],[RK]],TableWRTECalcPts[RK],0)),"")</f>
        <v>91.944125838049231</v>
      </c>
      <c r="BA97" s="166">
        <f>IFERROR((TableWRTERank[[#This Row],[FPS]]-INDEX(TableWRTERank[FPS],MATCH(WRTEVORPCalc,TableWRTERank[RK],0))),"")</f>
        <v>-49.292245744242464</v>
      </c>
      <c r="BC97" s="58" t="s">
        <v>148</v>
      </c>
    </row>
    <row r="98" spans="1:55" x14ac:dyDescent="0.25">
      <c r="A98" s="58">
        <v>97</v>
      </c>
      <c r="B98" s="154" t="str">
        <f>IFERROR(INDEX(TableQBCalcPts[PLAYER],MATCH(TableQBVORP[[#This Row],[RK]],TableQBCalcPts[RK],0)),"")</f>
        <v/>
      </c>
      <c r="C98" s="154" t="str">
        <f>IFERROR(INDEX(TableQBCalcPts[TM],MATCH(TableQBVORP[[#This Row],[RK]],TableQBCalcPts[RK],0)),"")</f>
        <v/>
      </c>
      <c r="D98" s="154" t="str">
        <f>IFERROR(INDEX(TableQBCalcPts[BYE],MATCH(TableQBVORP[[#This Row],[RK]],TableQBCalcPts[RK],0)),"")</f>
        <v/>
      </c>
      <c r="E98" s="155" t="str">
        <f>IFERROR(INDEX(TableQBCalcPts[Custom],MATCH(TableQBVORP[[#This Row],[RK]],TableQBCalcPts[RK],0)),"")</f>
        <v/>
      </c>
      <c r="F98" s="156" t="e">
        <f>(IFERROR((TableQBVORP[[#This Row],[FPS]]-INDEX(TableQBVORP[FPS],MATCH(QBVORPCalc,TableQBVORP[RK],0))),""))+(TableRBVORP[[#This Row],[VORP]]*0.45)</f>
        <v>#VALUE!</v>
      </c>
      <c r="H98" s="58">
        <v>97</v>
      </c>
      <c r="I98" s="154" t="str">
        <f>IFERROR(INDEX(TableRBCalcPts[PLAYER],MATCH(TableRBVORP[[#This Row],[RK]],TableRBCalcPts[RK],0)),"")</f>
        <v>Will Shipley</v>
      </c>
      <c r="J98" s="154" t="str">
        <f>IFERROR(INDEX(TableRBCalcPts[TM],MATCH(TableRBVORP[[#This Row],[RK]],TableRBCalcPts[RK],0)),"")</f>
        <v>PHI</v>
      </c>
      <c r="K98" s="154">
        <f>IFERROR(INDEX(TableRBCalcPts[BYE],MATCH(TableRBVORP[[#This Row],[RK]],TableRBCalcPts[RK],0)),"")</f>
        <v>10</v>
      </c>
      <c r="L98" s="155">
        <f>IFERROR(INDEX(TableRBCalcPts[Custom],MATCH(TableRBVORP[[#This Row],[RK]],TableRBCalcPts[RK],0)),"")</f>
        <v>13.630349818932</v>
      </c>
      <c r="M98" s="156">
        <f>(IFERROR((TableRBVORP[[#This Row],[FPS]]-INDEX(TableRBVORP[FPS],MATCH(RBVORPCalc,TableRBVORP[RK],0))),""))*0.8</f>
        <v>-72.3019915296763</v>
      </c>
      <c r="O98" s="58">
        <v>97</v>
      </c>
      <c r="P98" s="154" t="str">
        <f>IFERROR(INDEX(TableWRCalcPts[PLAYER],MATCH(TableWRVORP[[#This Row],[RK]],TableWRCalcPts[RK],0)),"")</f>
        <v>Chris Bell</v>
      </c>
      <c r="Q98" s="154" t="str">
        <f>IFERROR(INDEX(TableWRCalcPts[TM],MATCH(TableWRVORP[[#This Row],[RK]],TableWRCalcPts[RK],0)),"")</f>
        <v>MIA</v>
      </c>
      <c r="R98" s="154">
        <f>IFERROR(INDEX(TableWRCalcPts[BYE],MATCH(TableWRVORP[[#This Row],[RK]],TableWRCalcPts[RK],0)),"")</f>
        <v>6</v>
      </c>
      <c r="S98" s="155">
        <f>IFERROR(INDEX(TableWRCalcPts[Custom],MATCH(TableWRVORP[[#This Row],[RK]],TableWRCalcPts[RK],0)),"")</f>
        <v>53.023781179522445</v>
      </c>
      <c r="T98" s="156">
        <f>(IFERROR((TableWRVORP[[#This Row],[FPS]]-INDEX(TableWRVORP[FPS],MATCH(WRVORPCalc,TableWRVORP[RK],0))),""))</f>
        <v>-37.260404210843618</v>
      </c>
      <c r="V98" s="58">
        <v>97</v>
      </c>
      <c r="W98" s="154" t="str">
        <f>IFERROR(INDEX(TableTECalcPts[PLAYER],MATCH(TableTEVORP[[#This Row],[RK]],TableTECalcPts[RK],0)),"")</f>
        <v/>
      </c>
      <c r="X98" s="154" t="str">
        <f>IFERROR(INDEX(TableTECalcPts[TM],MATCH(TableTEVORP[[#This Row],[RK]],TableTECalcPts[RK],0)),"")</f>
        <v/>
      </c>
      <c r="Y98" s="154" t="str">
        <f>IFERROR(INDEX(TableTECalcPts[BYE],MATCH(TableTEVORP[[#This Row],[RK]],TableTECalcPts[RK],0)),"")</f>
        <v/>
      </c>
      <c r="Z98" s="155" t="str">
        <f>IFERROR(INDEX(TableTECalcPts[Custom],MATCH(TableTEVORP[[#This Row],[RK]],TableTECalcPts[RK],0)),"")</f>
        <v/>
      </c>
      <c r="AA98" s="156" t="str">
        <f>IFERROR((TableTEVORP[[#This Row],[FPS]]-INDEX(TableTEVORP[FPS],MATCH(TEVORPCalc,TableTEVORP[RK],0))),"")</f>
        <v/>
      </c>
      <c r="AF98" s="58" t="s">
        <v>147</v>
      </c>
      <c r="AG98" s="58">
        <v>57</v>
      </c>
      <c r="AH98" s="100">
        <f>RANK(TableOverallMaster[[#This Row],[VORP]],TableOverallMaster[VORP])+COUNTIF($AM$2:AM98,AM98)-1</f>
        <v>205</v>
      </c>
      <c r="AI98" s="157" t="str">
        <f>IFERROR(INDEX(TableRBVORP[RUNNING BACK],MATCH(TableOverallMaster[[#This Row],[RK]],TableRBVORP[RK],0)),"")</f>
        <v>Tank Bigsby</v>
      </c>
      <c r="AJ98" s="157" t="str">
        <f t="shared" si="1"/>
        <v>RB57</v>
      </c>
      <c r="AK98" s="157">
        <f>IFERROR(INDEX(TableRBVORP[BYE],MATCH(TableOverallMaster[[#This Row],[RK]],TableRBVORP[RK],0)),"")</f>
        <v>10</v>
      </c>
      <c r="AL98" s="158">
        <f>IFERROR(INDEX(TableRBVORP[FPS],MATCH(TableOverallMaster[[#This Row],[RK]],TableRBVORP[RK],0)),"")</f>
        <v>72.150537063075149</v>
      </c>
      <c r="AM98" s="159">
        <f>IFERROR(INDEX(TableRBVORP[VORP],MATCH(TableOverallMaster[[#This Row],[RK]],TableRBVORP[RK],0)),"")</f>
        <v>-25.485841734361784</v>
      </c>
      <c r="AO98" s="58">
        <v>97</v>
      </c>
      <c r="AP98" s="160" t="str">
        <f>IFERROR(INDEX(TableOverallMaster[OVERALL PLAYER],MATCH(TableOverallRank[[#This Row],[RK]],TableOverallMaster[OVR RK],0)),"")</f>
        <v>Jayden Higgins</v>
      </c>
      <c r="AQ98" s="161" t="str">
        <f>IFERROR(INDEX(TableOverallMaster[POS RK],MATCH(TableOverallRank[[#This Row],[OVERALL PLAYER]],TableOverallMaster[OVERALL PLAYER],0)),"")</f>
        <v>WR40</v>
      </c>
      <c r="AR98" s="162">
        <f>IFERROR(INDEX(TableOverallMaster[BYE],MATCH(TableOverallRank[[#This Row],[OVERALL PLAYER]],TableOverallMaster[OVERALL PLAYER],0)),"")</f>
        <v>8</v>
      </c>
      <c r="AS98" s="161">
        <f>IFERROR(INDEX(TableOverallMaster[Custom],MATCH(TableOverallRank[[#This Row],[OVERALL PLAYER]],TableOverallMaster[OVERALL PLAYER],0)),"")</f>
        <v>152.492255822088</v>
      </c>
      <c r="AT98" s="163">
        <f>IFERROR(INDEX(TableOverallMaster[VORP],MATCH(TableOverallRank[[#This Row],[OVERALL PLAYER]],TableOverallMaster[OVERALL PLAYER],0)),"")</f>
        <v>62.208070431721936</v>
      </c>
      <c r="AV98" s="58">
        <v>97</v>
      </c>
      <c r="AW98" s="164" t="str">
        <f>IFERROR(INDEX(TableWRTECalcPts[PLAYER],MATCH(TableWRTERank[[#This Row],[RK]],TableWRTECalcPts[RK],0)),"")</f>
        <v>Cooper Kupp</v>
      </c>
      <c r="AX98" s="164" t="str">
        <f>IFERROR(INDEX(TableWRTECalcPts[POS RK],MATCH(TableWRTERank[[#This Row],[WR and TE COMBINED]],TableWRTECalcPts[PLAYER],0)),"")</f>
        <v>WR72</v>
      </c>
      <c r="AY98" s="164">
        <f>IFERROR(INDEX(TableWRTECalcPts[BYE],MATCH(TableWRTERank[[#This Row],[RK]],TableWRTECalcPts[RK],0)),"")</f>
        <v>11</v>
      </c>
      <c r="AZ98" s="165">
        <f>IFERROR(INDEX(TableWRTECalcPts[Custom],MATCH(TableWRTERank[[#This Row],[RK]],TableWRTECalcPts[RK],0)),"")</f>
        <v>90.871065206669996</v>
      </c>
      <c r="BA98" s="166">
        <f>IFERROR((TableWRTERank[[#This Row],[FPS]]-INDEX(TableWRTERank[FPS],MATCH(WRTEVORPCalc,TableWRTERank[RK],0))),"")</f>
        <v>-50.365306375621699</v>
      </c>
      <c r="BC98" s="58" t="s">
        <v>148</v>
      </c>
    </row>
    <row r="99" spans="1:55" x14ac:dyDescent="0.25">
      <c r="A99" s="58">
        <v>98</v>
      </c>
      <c r="B99" s="154" t="str">
        <f>IFERROR(INDEX(TableQBCalcPts[PLAYER],MATCH(TableQBVORP[[#This Row],[RK]],TableQBCalcPts[RK],0)),"")</f>
        <v/>
      </c>
      <c r="C99" s="154" t="str">
        <f>IFERROR(INDEX(TableQBCalcPts[TM],MATCH(TableQBVORP[[#This Row],[RK]],TableQBCalcPts[RK],0)),"")</f>
        <v/>
      </c>
      <c r="D99" s="154" t="str">
        <f>IFERROR(INDEX(TableQBCalcPts[BYE],MATCH(TableQBVORP[[#This Row],[RK]],TableQBCalcPts[RK],0)),"")</f>
        <v/>
      </c>
      <c r="E99" s="155" t="str">
        <f>IFERROR(INDEX(TableQBCalcPts[Custom],MATCH(TableQBVORP[[#This Row],[RK]],TableQBCalcPts[RK],0)),"")</f>
        <v/>
      </c>
      <c r="F99" s="156" t="e">
        <f>(IFERROR((TableQBVORP[[#This Row],[FPS]]-INDEX(TableQBVORP[FPS],MATCH(QBVORPCalc,TableQBVORP[RK],0))),""))+(TableRBVORP[[#This Row],[VORP]]*0.45)</f>
        <v>#VALUE!</v>
      </c>
      <c r="H99" s="58">
        <v>98</v>
      </c>
      <c r="I99" s="154" t="str">
        <f>IFERROR(INDEX(TableRBCalcPts[PLAYER],MATCH(TableRBVORP[[#This Row],[RK]],TableRBCalcPts[RK],0)),"")</f>
        <v>George Holani</v>
      </c>
      <c r="J99" s="154" t="str">
        <f>IFERROR(INDEX(TableRBCalcPts[TM],MATCH(TableRBVORP[[#This Row],[RK]],TableRBCalcPts[RK],0)),"")</f>
        <v>SEA</v>
      </c>
      <c r="K99" s="154">
        <f>IFERROR(INDEX(TableRBCalcPts[BYE],MATCH(TableRBVORP[[#This Row],[RK]],TableRBCalcPts[RK],0)),"")</f>
        <v>11</v>
      </c>
      <c r="L99" s="155">
        <f>IFERROR(INDEX(TableRBCalcPts[Custom],MATCH(TableRBVORP[[#This Row],[RK]],TableRBCalcPts[RK],0)),"")</f>
        <v>12.132345115509112</v>
      </c>
      <c r="M99" s="156">
        <f>(IFERROR((TableRBVORP[[#This Row],[FPS]]-INDEX(TableRBVORP[FPS],MATCH(RBVORPCalc,TableRBVORP[RK],0))),""))*0.8</f>
        <v>-73.500395292414609</v>
      </c>
      <c r="O99" s="58">
        <v>98</v>
      </c>
      <c r="P99" s="154" t="str">
        <f>IFERROR(INDEX(TableWRCalcPts[PLAYER],MATCH(TableWRVORP[[#This Row],[RK]],TableWRCalcPts[RK],0)),"")</f>
        <v>Dontayvion Wicks</v>
      </c>
      <c r="Q99" s="154" t="str">
        <f>IFERROR(INDEX(TableWRCalcPts[TM],MATCH(TableWRVORP[[#This Row],[RK]],TableWRCalcPts[RK],0)),"")</f>
        <v>PHI</v>
      </c>
      <c r="R99" s="154">
        <f>IFERROR(INDEX(TableWRCalcPts[BYE],MATCH(TableWRVORP[[#This Row],[RK]],TableWRCalcPts[RK],0)),"")</f>
        <v>10</v>
      </c>
      <c r="S99" s="155">
        <f>IFERROR(INDEX(TableWRCalcPts[Custom],MATCH(TableWRVORP[[#This Row],[RK]],TableWRCalcPts[RK],0)),"")</f>
        <v>52.067609080945914</v>
      </c>
      <c r="T99" s="156">
        <f>(IFERROR((TableWRVORP[[#This Row],[FPS]]-INDEX(TableWRVORP[FPS],MATCH(WRVORPCalc,TableWRVORP[RK],0))),""))</f>
        <v>-38.216576309420148</v>
      </c>
      <c r="V99" s="58">
        <v>98</v>
      </c>
      <c r="W99" s="154" t="str">
        <f>IFERROR(INDEX(TableTECalcPts[PLAYER],MATCH(TableTEVORP[[#This Row],[RK]],TableTECalcPts[RK],0)),"")</f>
        <v/>
      </c>
      <c r="X99" s="154" t="str">
        <f>IFERROR(INDEX(TableTECalcPts[TM],MATCH(TableTEVORP[[#This Row],[RK]],TableTECalcPts[RK],0)),"")</f>
        <v/>
      </c>
      <c r="Y99" s="154" t="str">
        <f>IFERROR(INDEX(TableTECalcPts[BYE],MATCH(TableTEVORP[[#This Row],[RK]],TableTECalcPts[RK],0)),"")</f>
        <v/>
      </c>
      <c r="Z99" s="155" t="str">
        <f>IFERROR(INDEX(TableTECalcPts[Custom],MATCH(TableTEVORP[[#This Row],[RK]],TableTECalcPts[RK],0)),"")</f>
        <v/>
      </c>
      <c r="AA99" s="156" t="str">
        <f>IFERROR((TableTEVORP[[#This Row],[FPS]]-INDEX(TableTEVORP[FPS],MATCH(TEVORPCalc,TableTEVORP[RK],0))),"")</f>
        <v/>
      </c>
      <c r="AF99" s="58" t="s">
        <v>147</v>
      </c>
      <c r="AG99" s="58">
        <v>58</v>
      </c>
      <c r="AH99" s="100">
        <f>RANK(TableOverallMaster[[#This Row],[VORP]],TableOverallMaster[VORP])+COUNTIF($AM$2:AM99,AM99)-1</f>
        <v>209</v>
      </c>
      <c r="AI99" s="157" t="str">
        <f>IFERROR(INDEX(TableRBVORP[RUNNING BACK],MATCH(TableOverallMaster[[#This Row],[RK]],TableRBVORP[RK],0)),"")</f>
        <v>MarShawn Lloyd</v>
      </c>
      <c r="AJ99" s="157" t="str">
        <f t="shared" si="1"/>
        <v>RB58</v>
      </c>
      <c r="AK99" s="157">
        <f>IFERROR(INDEX(TableRBVORP[BYE],MATCH(TableOverallMaster[[#This Row],[RK]],TableRBVORP[RK],0)),"")</f>
        <v>11</v>
      </c>
      <c r="AL99" s="158">
        <f>IFERROR(INDEX(TableRBVORP[FPS],MATCH(TableOverallMaster[[#This Row],[RK]],TableRBVORP[RK],0)),"")</f>
        <v>71.104588479640356</v>
      </c>
      <c r="AM99" s="159">
        <f>IFERROR(INDEX(TableRBVORP[VORP],MATCH(TableOverallMaster[[#This Row],[RK]],TableRBVORP[RK],0)),"")</f>
        <v>-26.322600601109617</v>
      </c>
      <c r="AO99" s="58">
        <v>98</v>
      </c>
      <c r="AP99" s="160" t="str">
        <f>IFERROR(INDEX(TableOverallMaster[OVERALL PLAYER],MATCH(TableOverallRank[[#This Row],[RK]],TableOverallMaster[OVR RK],0)),"")</f>
        <v>Wan'Dale Robinson</v>
      </c>
      <c r="AQ99" s="161" t="str">
        <f>IFERROR(INDEX(TableOverallMaster[POS RK],MATCH(TableOverallRank[[#This Row],[OVERALL PLAYER]],TableOverallMaster[OVERALL PLAYER],0)),"")</f>
        <v>WR41</v>
      </c>
      <c r="AR99" s="162">
        <f>IFERROR(INDEX(TableOverallMaster[BYE],MATCH(TableOverallRank[[#This Row],[OVERALL PLAYER]],TableOverallMaster[OVERALL PLAYER],0)),"")</f>
        <v>9</v>
      </c>
      <c r="AS99" s="161">
        <f>IFERROR(INDEX(TableOverallMaster[Custom],MATCH(TableOverallRank[[#This Row],[OVERALL PLAYER]],TableOverallMaster[OVERALL PLAYER],0)),"")</f>
        <v>152.09749839836161</v>
      </c>
      <c r="AT99" s="163">
        <f>IFERROR(INDEX(TableOverallMaster[VORP],MATCH(TableOverallRank[[#This Row],[OVERALL PLAYER]],TableOverallMaster[OVERALL PLAYER],0)),"")</f>
        <v>61.813313007995546</v>
      </c>
      <c r="AV99" s="58">
        <v>98</v>
      </c>
      <c r="AW99" s="164" t="str">
        <f>IFERROR(INDEX(TableWRTECalcPts[PLAYER],MATCH(TableWRTERank[[#This Row],[RK]],TableWRTECalcPts[RK],0)),"")</f>
        <v>Ryan Flournoy</v>
      </c>
      <c r="AX99" s="164" t="str">
        <f>IFERROR(INDEX(TableWRTECalcPts[POS RK],MATCH(TableWRTERank[[#This Row],[WR and TE COMBINED]],TableWRTECalcPts[PLAYER],0)),"")</f>
        <v>WR73</v>
      </c>
      <c r="AY99" s="164">
        <f>IFERROR(INDEX(TableWRTECalcPts[BYE],MATCH(TableWRTERank[[#This Row],[RK]],TableWRTECalcPts[RK],0)),"")</f>
        <v>14</v>
      </c>
      <c r="AZ99" s="165">
        <f>IFERROR(INDEX(TableWRTECalcPts[Custom],MATCH(TableWRTERank[[#This Row],[RK]],TableWRTECalcPts[RK],0)),"")</f>
        <v>90.284185390366062</v>
      </c>
      <c r="BA99" s="166">
        <f>IFERROR((TableWRTERank[[#This Row],[FPS]]-INDEX(TableWRTERank[FPS],MATCH(WRTEVORPCalc,TableWRTERank[RK],0))),"")</f>
        <v>-50.952186191925634</v>
      </c>
      <c r="BC99" s="58" t="s">
        <v>148</v>
      </c>
    </row>
    <row r="100" spans="1:55" x14ac:dyDescent="0.25">
      <c r="A100" s="58">
        <v>99</v>
      </c>
      <c r="B100" s="154" t="str">
        <f>IFERROR(INDEX(TableQBCalcPts[PLAYER],MATCH(TableQBVORP[[#This Row],[RK]],TableQBCalcPts[RK],0)),"")</f>
        <v/>
      </c>
      <c r="C100" s="154" t="str">
        <f>IFERROR(INDEX(TableQBCalcPts[TM],MATCH(TableQBVORP[[#This Row],[RK]],TableQBCalcPts[RK],0)),"")</f>
        <v/>
      </c>
      <c r="D100" s="154" t="str">
        <f>IFERROR(INDEX(TableQBCalcPts[BYE],MATCH(TableQBVORP[[#This Row],[RK]],TableQBCalcPts[RK],0)),"")</f>
        <v/>
      </c>
      <c r="E100" s="155" t="str">
        <f>IFERROR(INDEX(TableQBCalcPts[Custom],MATCH(TableQBVORP[[#This Row],[RK]],TableQBCalcPts[RK],0)),"")</f>
        <v/>
      </c>
      <c r="F100" s="156" t="e">
        <f>(IFERROR((TableQBVORP[[#This Row],[FPS]]-INDEX(TableQBVORP[FPS],MATCH(QBVORPCalc,TableQBVORP[RK],0))),""))+(TableRBVORP[[#This Row],[VORP]]*0.45)</f>
        <v>#VALUE!</v>
      </c>
      <c r="H100" s="58">
        <v>99</v>
      </c>
      <c r="I100" s="154" t="str">
        <f>IFERROR(INDEX(TableRBCalcPts[PLAYER],MATCH(TableRBVORP[[#This Row],[RK]],TableRBCalcPts[RK],0)),"")</f>
        <v>Roschon Johnson</v>
      </c>
      <c r="J100" s="154" t="str">
        <f>IFERROR(INDEX(TableRBCalcPts[TM],MATCH(TableRBVORP[[#This Row],[RK]],TableRBCalcPts[RK],0)),"")</f>
        <v>CHI</v>
      </c>
      <c r="K100" s="154">
        <f>IFERROR(INDEX(TableRBCalcPts[BYE],MATCH(TableRBVORP[[#This Row],[RK]],TableRBCalcPts[RK],0)),"")</f>
        <v>10</v>
      </c>
      <c r="L100" s="155">
        <f>IFERROR(INDEX(TableRBCalcPts[Custom],MATCH(TableRBVORP[[#This Row],[RK]],TableRBCalcPts[RK],0)),"")</f>
        <v>12.132202592868293</v>
      </c>
      <c r="M100" s="156">
        <f>(IFERROR((TableRBVORP[[#This Row],[FPS]]-INDEX(TableRBVORP[FPS],MATCH(RBVORPCalc,TableRBVORP[RK],0))),""))*0.8</f>
        <v>-73.500509310527264</v>
      </c>
      <c r="O100" s="58">
        <v>99</v>
      </c>
      <c r="P100" s="154" t="str">
        <f>IFERROR(INDEX(TableWRCalcPts[PLAYER],MATCH(TableWRVORP[[#This Row],[RK]],TableWRCalcPts[RK],0)),"")</f>
        <v>Pat Bryant</v>
      </c>
      <c r="Q100" s="154" t="str">
        <f>IFERROR(INDEX(TableWRCalcPts[TM],MATCH(TableWRVORP[[#This Row],[RK]],TableWRCalcPts[RK],0)),"")</f>
        <v>DEN</v>
      </c>
      <c r="R100" s="154">
        <f>IFERROR(INDEX(TableWRCalcPts[BYE],MATCH(TableWRVORP[[#This Row],[RK]],TableWRCalcPts[RK],0)),"")</f>
        <v>10</v>
      </c>
      <c r="S100" s="155">
        <f>IFERROR(INDEX(TableWRCalcPts[Custom],MATCH(TableWRVORP[[#This Row],[RK]],TableWRCalcPts[RK],0)),"")</f>
        <v>51.354758488633621</v>
      </c>
      <c r="T100" s="156">
        <f>(IFERROR((TableWRVORP[[#This Row],[FPS]]-INDEX(TableWRVORP[FPS],MATCH(WRVORPCalc,TableWRVORP[RK],0))),""))</f>
        <v>-38.929426901732441</v>
      </c>
      <c r="V100" s="58">
        <v>99</v>
      </c>
      <c r="W100" s="154" t="str">
        <f>IFERROR(INDEX(TableTECalcPts[PLAYER],MATCH(TableTEVORP[[#This Row],[RK]],TableTECalcPts[RK],0)),"")</f>
        <v/>
      </c>
      <c r="X100" s="154" t="str">
        <f>IFERROR(INDEX(TableTECalcPts[TM],MATCH(TableTEVORP[[#This Row],[RK]],TableTECalcPts[RK],0)),"")</f>
        <v/>
      </c>
      <c r="Y100" s="154" t="str">
        <f>IFERROR(INDEX(TableTECalcPts[BYE],MATCH(TableTEVORP[[#This Row],[RK]],TableTECalcPts[RK],0)),"")</f>
        <v/>
      </c>
      <c r="Z100" s="155" t="str">
        <f>IFERROR(INDEX(TableTECalcPts[Custom],MATCH(TableTEVORP[[#This Row],[RK]],TableTECalcPts[RK],0)),"")</f>
        <v/>
      </c>
      <c r="AA100" s="156" t="str">
        <f>IFERROR((TableTEVORP[[#This Row],[FPS]]-INDEX(TableTEVORP[FPS],MATCH(TEVORPCalc,TableTEVORP[RK],0))),"")</f>
        <v/>
      </c>
      <c r="AF100" s="58" t="s">
        <v>147</v>
      </c>
      <c r="AG100" s="58">
        <v>59</v>
      </c>
      <c r="AH100" s="100">
        <f>RANK(TableOverallMaster[[#This Row],[VORP]],TableOverallMaster[VORP])+COUNTIF($AM$2:AM100,AM100)-1</f>
        <v>221</v>
      </c>
      <c r="AI100" s="157" t="str">
        <f>IFERROR(INDEX(TableRBVORP[RUNNING BACK],MATCH(TableOverallMaster[[#This Row],[RK]],TableRBVORP[RK],0)),"")</f>
        <v>Mike Washington</v>
      </c>
      <c r="AJ100" s="157" t="str">
        <f t="shared" si="1"/>
        <v>RB59</v>
      </c>
      <c r="AK100" s="157">
        <f>IFERROR(INDEX(TableRBVORP[BYE],MATCH(TableOverallMaster[[#This Row],[RK]],TableRBVORP[RK],0)),"")</f>
        <v>13</v>
      </c>
      <c r="AL100" s="158">
        <f>IFERROR(INDEX(TableRBVORP[FPS],MATCH(TableOverallMaster[[#This Row],[RK]],TableRBVORP[RK],0)),"")</f>
        <v>64.418398641539639</v>
      </c>
      <c r="AM100" s="159">
        <f>IFERROR(INDEX(TableRBVORP[VORP],MATCH(TableOverallMaster[[#This Row],[RK]],TableRBVORP[RK],0)),"")</f>
        <v>-31.671552471590189</v>
      </c>
      <c r="AO100" s="58">
        <v>99</v>
      </c>
      <c r="AP100" s="160" t="str">
        <f>IFERROR(INDEX(TableOverallMaster[OVERALL PLAYER],MATCH(TableOverallRank[[#This Row],[RK]],TableOverallMaster[OVR RK],0)),"")</f>
        <v>Tony Pollard</v>
      </c>
      <c r="AQ100" s="161" t="str">
        <f>IFERROR(INDEX(TableOverallMaster[POS RK],MATCH(TableOverallRank[[#This Row],[OVERALL PLAYER]],TableOverallMaster[OVERALL PLAYER],0)),"")</f>
        <v>RB27</v>
      </c>
      <c r="AR100" s="162">
        <f>IFERROR(INDEX(TableOverallMaster[BYE],MATCH(TableOverallRank[[#This Row],[OVERALL PLAYER]],TableOverallMaster[OVERALL PLAYER],0)),"")</f>
        <v>9</v>
      </c>
      <c r="AS100" s="161">
        <f>IFERROR(INDEX(TableOverallMaster[Custom],MATCH(TableOverallRank[[#This Row],[OVERALL PLAYER]],TableOverallMaster[OVERALL PLAYER],0)),"")</f>
        <v>181.12993898194946</v>
      </c>
      <c r="AT100" s="163">
        <f>IFERROR(INDEX(TableOverallMaster[VORP],MATCH(TableOverallRank[[#This Row],[OVERALL PLAYER]],TableOverallMaster[OVERALL PLAYER],0)),"")</f>
        <v>61.697679800737674</v>
      </c>
      <c r="AV100" s="58">
        <v>99</v>
      </c>
      <c r="AW100" s="164" t="str">
        <f>IFERROR(INDEX(TableWRTECalcPts[PLAYER],MATCH(TableWRTERank[[#This Row],[RK]],TableWRTECalcPts[RK],0)),"")</f>
        <v>Isaac TeSlaa</v>
      </c>
      <c r="AX100" s="164" t="str">
        <f>IFERROR(INDEX(TableWRTECalcPts[POS RK],MATCH(TableWRTERank[[#This Row],[WR and TE COMBINED]],TableWRTECalcPts[PLAYER],0)),"")</f>
        <v>WR74</v>
      </c>
      <c r="AY100" s="164">
        <f>IFERROR(INDEX(TableWRTECalcPts[BYE],MATCH(TableWRTERank[[#This Row],[RK]],TableWRTECalcPts[RK],0)),"")</f>
        <v>6</v>
      </c>
      <c r="AZ100" s="165">
        <f>IFERROR(INDEX(TableWRTECalcPts[Custom],MATCH(TableWRTERank[[#This Row],[RK]],TableWRTECalcPts[RK],0)),"")</f>
        <v>88.820853202636783</v>
      </c>
      <c r="BA100" s="166">
        <f>IFERROR((TableWRTERank[[#This Row],[FPS]]-INDEX(TableWRTERank[FPS],MATCH(WRTEVORPCalc,TableWRTERank[RK],0))),"")</f>
        <v>-52.415518379654912</v>
      </c>
      <c r="BC100" s="58" t="s">
        <v>148</v>
      </c>
    </row>
    <row r="101" spans="1:55" x14ac:dyDescent="0.25">
      <c r="A101" s="58">
        <v>100</v>
      </c>
      <c r="B101" s="154" t="str">
        <f>IFERROR(INDEX(TableQBCalcPts[PLAYER],MATCH(TableQBVORP[[#This Row],[RK]],TableQBCalcPts[RK],0)),"")</f>
        <v/>
      </c>
      <c r="C101" s="154" t="str">
        <f>IFERROR(INDEX(TableQBCalcPts[TM],MATCH(TableQBVORP[[#This Row],[RK]],TableQBCalcPts[RK],0)),"")</f>
        <v/>
      </c>
      <c r="D101" s="154" t="str">
        <f>IFERROR(INDEX(TableQBCalcPts[BYE],MATCH(TableQBVORP[[#This Row],[RK]],TableQBCalcPts[RK],0)),"")</f>
        <v/>
      </c>
      <c r="E101" s="155" t="str">
        <f>IFERROR(INDEX(TableQBCalcPts[Custom],MATCH(TableQBVORP[[#This Row],[RK]],TableQBCalcPts[RK],0)),"")</f>
        <v/>
      </c>
      <c r="F101" s="156" t="e">
        <f>(IFERROR((TableQBVORP[[#This Row],[FPS]]-INDEX(TableQBVORP[FPS],MATCH(QBVORPCalc,TableQBVORP[RK],0))),""))+(TableRBVORP[[#This Row],[VORP]]*0.45)</f>
        <v>#VALUE!</v>
      </c>
      <c r="H101" s="58">
        <v>100</v>
      </c>
      <c r="I101" s="154" t="str">
        <f>IFERROR(INDEX(TableRBCalcPts[PLAYER],MATCH(TableRBVORP[[#This Row],[RK]],TableRBCalcPts[RK],0)),"")</f>
        <v>AJ Dillon</v>
      </c>
      <c r="J101" s="154" t="str">
        <f>IFERROR(INDEX(TableRBCalcPts[TM],MATCH(TableRBVORP[[#This Row],[RK]],TableRBCalcPts[RK],0)),"")</f>
        <v>CAR</v>
      </c>
      <c r="K101" s="154">
        <f>IFERROR(INDEX(TableRBCalcPts[BYE],MATCH(TableRBVORP[[#This Row],[RK]],TableRBCalcPts[RK],0)),"")</f>
        <v>5</v>
      </c>
      <c r="L101" s="155">
        <f>IFERROR(INDEX(TableRBCalcPts[Custom],MATCH(TableRBVORP[[#This Row],[RK]],TableRBCalcPts[RK],0)),"")</f>
        <v>11.967500160000002</v>
      </c>
      <c r="M101" s="156">
        <f>(IFERROR((TableRBVORP[[#This Row],[FPS]]-INDEX(TableRBVORP[FPS],MATCH(RBVORPCalc,TableRBVORP[RK],0))),""))*0.8</f>
        <v>-73.632271256821909</v>
      </c>
      <c r="O101" s="58">
        <v>100</v>
      </c>
      <c r="P101" s="154" t="str">
        <f>IFERROR(INDEX(TableWRCalcPts[PLAYER],MATCH(TableWRVORP[[#This Row],[RK]],TableWRCalcPts[RK],0)),"")</f>
        <v>Devaughn Vele</v>
      </c>
      <c r="Q101" s="154" t="str">
        <f>IFERROR(INDEX(TableWRCalcPts[TM],MATCH(TableWRVORP[[#This Row],[RK]],TableWRCalcPts[RK],0)),"")</f>
        <v>NO</v>
      </c>
      <c r="R101" s="154">
        <f>IFERROR(INDEX(TableWRCalcPts[BYE],MATCH(TableWRVORP[[#This Row],[RK]],TableWRCalcPts[RK],0)),"")</f>
        <v>8</v>
      </c>
      <c r="S101" s="155">
        <f>IFERROR(INDEX(TableWRCalcPts[Custom],MATCH(TableWRVORP[[#This Row],[RK]],TableWRCalcPts[RK],0)),"")</f>
        <v>51.274309412403603</v>
      </c>
      <c r="T101" s="156">
        <f>(IFERROR((TableWRVORP[[#This Row],[FPS]]-INDEX(TableWRVORP[FPS],MATCH(WRVORPCalc,TableWRVORP[RK],0))),""))</f>
        <v>-39.009875977962459</v>
      </c>
      <c r="V101" s="58">
        <v>100</v>
      </c>
      <c r="W101" s="154" t="str">
        <f>IFERROR(INDEX(TableTECalcPts[PLAYER],MATCH(TableTEVORP[[#This Row],[RK]],TableTECalcPts[RK],0)),"")</f>
        <v/>
      </c>
      <c r="X101" s="154" t="str">
        <f>IFERROR(INDEX(TableTECalcPts[TM],MATCH(TableTEVORP[[#This Row],[RK]],TableTECalcPts[RK],0)),"")</f>
        <v/>
      </c>
      <c r="Y101" s="154" t="str">
        <f>IFERROR(INDEX(TableTECalcPts[BYE],MATCH(TableTEVORP[[#This Row],[RK]],TableTECalcPts[RK],0)),"")</f>
        <v/>
      </c>
      <c r="Z101" s="155" t="str">
        <f>IFERROR(INDEX(TableTECalcPts[Custom],MATCH(TableTEVORP[[#This Row],[RK]],TableTECalcPts[RK],0)),"")</f>
        <v/>
      </c>
      <c r="AA101" s="156" t="str">
        <f>IFERROR((TableTEVORP[[#This Row],[FPS]]-INDEX(TableTEVORP[FPS],MATCH(TEVORPCalc,TableTEVORP[RK],0))),"")</f>
        <v/>
      </c>
      <c r="AF101" s="58" t="s">
        <v>147</v>
      </c>
      <c r="AG101" s="58">
        <v>60</v>
      </c>
      <c r="AH101" s="100">
        <f>RANK(TableOverallMaster[[#This Row],[VORP]],TableOverallMaster[VORP])+COUNTIF($AM$2:AM101,AM101)-1</f>
        <v>222</v>
      </c>
      <c r="AI101" s="157" t="str">
        <f>IFERROR(INDEX(TableRBVORP[RUNNING BACK],MATCH(TableOverallMaster[[#This Row],[RK]],TableRBVORP[RK],0)),"")</f>
        <v>Kaytron Allen</v>
      </c>
      <c r="AJ101" s="157" t="str">
        <f t="shared" si="1"/>
        <v>RB60</v>
      </c>
      <c r="AK101" s="157">
        <f>IFERROR(INDEX(TableRBVORP[BYE],MATCH(TableOverallMaster[[#This Row],[RK]],TableRBVORP[RK],0)),"")</f>
        <v>7</v>
      </c>
      <c r="AL101" s="158">
        <f>IFERROR(INDEX(TableRBVORP[FPS],MATCH(TableOverallMaster[[#This Row],[RK]],TableRBVORP[RK],0)),"")</f>
        <v>62.6839114986672</v>
      </c>
      <c r="AM101" s="159">
        <f>IFERROR(INDEX(TableRBVORP[VORP],MATCH(TableOverallMaster[[#This Row],[RK]],TableRBVORP[RK],0)),"")</f>
        <v>-33.059142185888142</v>
      </c>
      <c r="AO101" s="58">
        <v>100</v>
      </c>
      <c r="AP101" s="160" t="str">
        <f>IFERROR(INDEX(TableOverallMaster[OVERALL PLAYER],MATCH(TableOverallRank[[#This Row],[RK]],TableOverallMaster[OVR RK],0)),"")</f>
        <v>D'Andre Swift</v>
      </c>
      <c r="AQ101" s="161" t="str">
        <f>IFERROR(INDEX(TableOverallMaster[POS RK],MATCH(TableOverallRank[[#This Row],[OVERALL PLAYER]],TableOverallMaster[OVERALL PLAYER],0)),"")</f>
        <v>RB28</v>
      </c>
      <c r="AR101" s="162">
        <f>IFERROR(INDEX(TableOverallMaster[BYE],MATCH(TableOverallRank[[#This Row],[OVERALL PLAYER]],TableOverallMaster[OVERALL PLAYER],0)),"")</f>
        <v>10</v>
      </c>
      <c r="AS101" s="161">
        <f>IFERROR(INDEX(TableOverallMaster[Custom],MATCH(TableOverallRank[[#This Row],[OVERALL PLAYER]],TableOverallMaster[OVERALL PLAYER],0)),"")</f>
        <v>180.0053884429251</v>
      </c>
      <c r="AT101" s="163">
        <f>IFERROR(INDEX(TableOverallMaster[VORP],MATCH(TableOverallRank[[#This Row],[OVERALL PLAYER]],TableOverallMaster[OVERALL PLAYER],0)),"")</f>
        <v>60.798039369518179</v>
      </c>
      <c r="AV101" s="58">
        <v>100</v>
      </c>
      <c r="AW101" s="164" t="str">
        <f>IFERROR(INDEX(TableWRTECalcPts[PLAYER],MATCH(TableWRTERank[[#This Row],[RK]],TableWRTECalcPts[RK],0)),"")</f>
        <v>Rashod Bateman</v>
      </c>
      <c r="AX101" s="164" t="str">
        <f>IFERROR(INDEX(TableWRTECalcPts[POS RK],MATCH(TableWRTERank[[#This Row],[WR and TE COMBINED]],TableWRTECalcPts[PLAYER],0)),"")</f>
        <v>WR75</v>
      </c>
      <c r="AY101" s="164">
        <f>IFERROR(INDEX(TableWRTECalcPts[BYE],MATCH(TableWRTERank[[#This Row],[RK]],TableWRTECalcPts[RK],0)),"")</f>
        <v>13</v>
      </c>
      <c r="AZ101" s="165">
        <f>IFERROR(INDEX(TableWRTECalcPts[Custom],MATCH(TableWRTERank[[#This Row],[RK]],TableWRTECalcPts[RK],0)),"")</f>
        <v>88.222170607161729</v>
      </c>
      <c r="BA101" s="166">
        <f>IFERROR((TableWRTERank[[#This Row],[FPS]]-INDEX(TableWRTERank[FPS],MATCH(WRTEVORPCalc,TableWRTERank[RK],0))),"")</f>
        <v>-53.014200975129967</v>
      </c>
      <c r="BC101" s="58" t="s">
        <v>148</v>
      </c>
    </row>
    <row r="102" spans="1:55" x14ac:dyDescent="0.25">
      <c r="H102" s="58">
        <v>101</v>
      </c>
      <c r="I102" s="154" t="str">
        <f>IFERROR(INDEX(TableRBCalcPts[PLAYER],MATCH(TableRBVORP[[#This Row],[RK]],TableRBCalcPts[RK],0)),"")</f>
        <v>Brashard Smith</v>
      </c>
      <c r="J102" s="154" t="str">
        <f>IFERROR(INDEX(TableRBCalcPts[TM],MATCH(TableRBVORP[[#This Row],[RK]],TableRBCalcPts[RK],0)),"")</f>
        <v>KC</v>
      </c>
      <c r="K102" s="154">
        <f>IFERROR(INDEX(TableRBCalcPts[BYE],MATCH(TableRBVORP[[#This Row],[RK]],TableRBCalcPts[RK],0)),"")</f>
        <v>5</v>
      </c>
      <c r="L102" s="155">
        <f>IFERROR(INDEX(TableRBCalcPts[Custom],MATCH(TableRBVORP[[#This Row],[RK]],TableRBCalcPts[RK],0)),"")</f>
        <v>11.255544510304615</v>
      </c>
      <c r="M102" s="156">
        <f>(IFERROR((TableRBVORP[[#This Row],[FPS]]-INDEX(TableRBVORP[FPS],MATCH(RBVORPCalc,TableRBVORP[RK],0))),""))*0.8</f>
        <v>-74.201835776578207</v>
      </c>
      <c r="O102" s="58">
        <v>101</v>
      </c>
      <c r="P102" s="154" t="str">
        <f>IFERROR(INDEX(TableWRCalcPts[PLAYER],MATCH(TableWRVORP[[#This Row],[RK]],TableWRCalcPts[RK],0)),"")</f>
        <v>Savion Williams</v>
      </c>
      <c r="Q102" s="154" t="str">
        <f>IFERROR(INDEX(TableWRCalcPts[TM],MATCH(TableWRVORP[[#This Row],[RK]],TableWRCalcPts[RK],0)),"")</f>
        <v>GB</v>
      </c>
      <c r="R102" s="154">
        <f>IFERROR(INDEX(TableWRCalcPts[BYE],MATCH(TableWRVORP[[#This Row],[RK]],TableWRCalcPts[RK],0)),"")</f>
        <v>11</v>
      </c>
      <c r="S102" s="155">
        <f>IFERROR(INDEX(TableWRCalcPts[Custom],MATCH(TableWRVORP[[#This Row],[RK]],TableWRCalcPts[RK],0)),"")</f>
        <v>50.259188410268962</v>
      </c>
      <c r="T102" s="156">
        <f>(IFERROR((TableWRVORP[[#This Row],[FPS]]-INDEX(TableWRVORP[FPS],MATCH(WRVORPCalc,TableWRVORP[RK],0))),""))</f>
        <v>-40.0249969800971</v>
      </c>
      <c r="AF102" s="58" t="s">
        <v>147</v>
      </c>
      <c r="AG102" s="58">
        <v>61</v>
      </c>
      <c r="AH102" s="100">
        <f>RANK(TableOverallMaster[[#This Row],[VORP]],TableOverallMaster[VORP])+COUNTIF($AM$2:AM102,AM102)-1</f>
        <v>235</v>
      </c>
      <c r="AI102" s="157" t="str">
        <f>IFERROR(INDEX(TableRBVORP[RUNNING BACK],MATCH(TableOverallMaster[[#This Row],[RK]],TableRBVORP[RK],0)),"")</f>
        <v>Emari Demercado</v>
      </c>
      <c r="AJ102" s="157" t="str">
        <f t="shared" si="1"/>
        <v>RB61</v>
      </c>
      <c r="AK102" s="157">
        <f>IFERROR(INDEX(TableRBVORP[BYE],MATCH(TableOverallMaster[[#This Row],[RK]],TableRBVORP[RK],0)),"")</f>
        <v>5</v>
      </c>
      <c r="AL102" s="158">
        <f>IFERROR(INDEX(TableRBVORP[FPS],MATCH(TableOverallMaster[[#This Row],[RK]],TableRBVORP[RK],0)),"")</f>
        <v>54.897524150868009</v>
      </c>
      <c r="AM102" s="159">
        <f>IFERROR(INDEX(TableRBVORP[VORP],MATCH(TableOverallMaster[[#This Row],[RK]],TableRBVORP[RK],0)),"")</f>
        <v>-39.288252064127498</v>
      </c>
      <c r="AO102" s="58">
        <v>101</v>
      </c>
      <c r="AP102" s="160" t="str">
        <f>IFERROR(INDEX(TableOverallMaster[OVERALL PLAYER],MATCH(TableOverallRank[[#This Row],[RK]],TableOverallMaster[OVR RK],0)),"")</f>
        <v>Deebo Samuel</v>
      </c>
      <c r="AQ102" s="161" t="str">
        <f>IFERROR(INDEX(TableOverallMaster[POS RK],MATCH(TableOverallRank[[#This Row],[OVERALL PLAYER]],TableOverallMaster[OVERALL PLAYER],0)),"")</f>
        <v>WR42</v>
      </c>
      <c r="AR102" s="162">
        <f>IFERROR(INDEX(TableOverallMaster[BYE],MATCH(TableOverallRank[[#This Row],[OVERALL PLAYER]],TableOverallMaster[OVERALL PLAYER],0)),"")</f>
        <v>8</v>
      </c>
      <c r="AS102" s="161">
        <f>IFERROR(INDEX(TableOverallMaster[Custom],MATCH(TableOverallRank[[#This Row],[OVERALL PLAYER]],TableOverallMaster[OVERALL PLAYER],0)),"")</f>
        <v>150.71515766082945</v>
      </c>
      <c r="AT102" s="163">
        <f>IFERROR(INDEX(TableOverallMaster[VORP],MATCH(TableOverallRank[[#This Row],[OVERALL PLAYER]],TableOverallMaster[OVERALL PLAYER],0)),"")</f>
        <v>60.430972270463386</v>
      </c>
      <c r="AV102" s="58">
        <v>101</v>
      </c>
      <c r="AW102" s="164" t="str">
        <f>IFERROR(INDEX(TableWRTECalcPts[PLAYER],MATCH(TableWRTERank[[#This Row],[RK]],TableWRTECalcPts[RK],0)),"")</f>
        <v>Cade Otton</v>
      </c>
      <c r="AX102" s="164" t="str">
        <f>IFERROR(INDEX(TableWRTECalcPts[POS RK],MATCH(TableWRTERank[[#This Row],[WR and TE COMBINED]],TableWRTECalcPts[PLAYER],0)),"")</f>
        <v>TE26</v>
      </c>
      <c r="AY102" s="164">
        <f>IFERROR(INDEX(TableWRTECalcPts[BYE],MATCH(TableWRTERank[[#This Row],[RK]],TableWRTECalcPts[RK],0)),"")</f>
        <v>10</v>
      </c>
      <c r="AZ102" s="165">
        <f>IFERROR(INDEX(TableWRTECalcPts[Custom],MATCH(TableWRTERank[[#This Row],[RK]],TableWRTECalcPts[RK],0)),"")</f>
        <v>87.892710735944519</v>
      </c>
      <c r="BA102" s="166">
        <f>IFERROR((TableWRTERank[[#This Row],[FPS]]-INDEX(TableWRTERank[FPS],MATCH(WRTEVORPCalc,TableWRTERank[RK],0))),"")</f>
        <v>-53.343660846347177</v>
      </c>
      <c r="BC102" s="58" t="s">
        <v>148</v>
      </c>
    </row>
    <row r="103" spans="1:55" x14ac:dyDescent="0.25">
      <c r="H103" s="58">
        <v>102</v>
      </c>
      <c r="I103" s="154" t="str">
        <f>IFERROR(INDEX(TableRBCalcPts[PLAYER],MATCH(TableRBVORP[[#This Row],[RK]],TableRBCalcPts[RK],0)),"")</f>
        <v>Kaleb Johnson</v>
      </c>
      <c r="J103" s="154" t="str">
        <f>IFERROR(INDEX(TableRBCalcPts[TM],MATCH(TableRBVORP[[#This Row],[RK]],TableRBCalcPts[RK],0)),"")</f>
        <v>PIT</v>
      </c>
      <c r="K103" s="154">
        <f>IFERROR(INDEX(TableRBCalcPts[BYE],MATCH(TableRBVORP[[#This Row],[RK]],TableRBCalcPts[RK],0)),"")</f>
        <v>9</v>
      </c>
      <c r="L103" s="155">
        <f>IFERROR(INDEX(TableRBCalcPts[Custom],MATCH(TableRBVORP[[#This Row],[RK]],TableRBCalcPts[RK],0)),"")</f>
        <v>9.8838128931439329</v>
      </c>
      <c r="M103" s="156">
        <f>(IFERROR((TableRBVORP[[#This Row],[FPS]]-INDEX(TableRBVORP[FPS],MATCH(RBVORPCalc,TableRBVORP[RK],0))),""))*0.8</f>
        <v>-75.299221070306757</v>
      </c>
      <c r="O103" s="58">
        <v>102</v>
      </c>
      <c r="P103" s="154" t="str">
        <f>IFERROR(INDEX(TableWRCalcPts[PLAYER],MATCH(TableWRVORP[[#This Row],[RK]],TableWRCalcPts[RK],0)),"")</f>
        <v>Dyami Brown</v>
      </c>
      <c r="Q103" s="154" t="str">
        <f>IFERROR(INDEX(TableWRCalcPts[TM],MATCH(TableWRVORP[[#This Row],[RK]],TableWRCalcPts[RK],0)),"")</f>
        <v>WSH</v>
      </c>
      <c r="R103" s="154">
        <f>IFERROR(INDEX(TableWRCalcPts[BYE],MATCH(TableWRVORP[[#This Row],[RK]],TableWRCalcPts[RK],0)),"")</f>
        <v>7</v>
      </c>
      <c r="S103" s="155">
        <f>IFERROR(INDEX(TableWRCalcPts[Custom],MATCH(TableWRVORP[[#This Row],[RK]],TableWRCalcPts[RK],0)),"")</f>
        <v>50.015364219898544</v>
      </c>
      <c r="T103" s="156">
        <f>(IFERROR((TableWRVORP[[#This Row],[FPS]]-INDEX(TableWRVORP[FPS],MATCH(WRVORPCalc,TableWRVORP[RK],0))),""))</f>
        <v>-40.268821170467518</v>
      </c>
      <c r="AF103" s="58" t="s">
        <v>147</v>
      </c>
      <c r="AG103" s="58">
        <v>62</v>
      </c>
      <c r="AH103" s="100">
        <f>RANK(TableOverallMaster[[#This Row],[VORP]],TableOverallMaster[VORP])+COUNTIF($AM$2:AM103,AM103)-1</f>
        <v>240</v>
      </c>
      <c r="AI103" s="157" t="str">
        <f>IFERROR(INDEX(TableRBVORP[RUNNING BACK],MATCH(TableOverallMaster[[#This Row],[RK]],TableRBVORP[RK],0)),"")</f>
        <v>Nicholas Singleton</v>
      </c>
      <c r="AJ103" s="157" t="str">
        <f t="shared" si="1"/>
        <v>RB62</v>
      </c>
      <c r="AK103" s="157">
        <f>IFERROR(INDEX(TableRBVORP[BYE],MATCH(TableOverallMaster[[#This Row],[RK]],TableRBVORP[RK],0)),"")</f>
        <v>9</v>
      </c>
      <c r="AL103" s="158">
        <f>IFERROR(INDEX(TableRBVORP[FPS],MATCH(TableOverallMaster[[#This Row],[RK]],TableRBVORP[RK],0)),"")</f>
        <v>50.882765347008004</v>
      </c>
      <c r="AM103" s="159">
        <f>IFERROR(INDEX(TableRBVORP[VORP],MATCH(TableOverallMaster[[#This Row],[RK]],TableRBVORP[RK],0)),"")</f>
        <v>-42.500059107215499</v>
      </c>
      <c r="AO103" s="58">
        <v>102</v>
      </c>
      <c r="AP103" s="160" t="str">
        <f>IFERROR(INDEX(TableOverallMaster[OVERALL PLAYER],MATCH(TableOverallRank[[#This Row],[RK]],TableOverallMaster[OVR RK],0)),"")</f>
        <v>Dalton Kincaid</v>
      </c>
      <c r="AQ103" s="161" t="str">
        <f>IFERROR(INDEX(TableOverallMaster[POS RK],MATCH(TableOverallRank[[#This Row],[OVERALL PLAYER]],TableOverallMaster[OVERALL PLAYER],0)),"")</f>
        <v>TE12</v>
      </c>
      <c r="AR103" s="162">
        <f>IFERROR(INDEX(TableOverallMaster[BYE],MATCH(TableOverallRank[[#This Row],[OVERALL PLAYER]],TableOverallMaster[OVERALL PLAYER],0)),"")</f>
        <v>7</v>
      </c>
      <c r="AS103" s="161">
        <f>IFERROR(INDEX(TableOverallMaster[Custom],MATCH(TableOverallRank[[#This Row],[OVERALL PLAYER]],TableOverallMaster[OVERALL PLAYER],0)),"")</f>
        <v>137.45097051248635</v>
      </c>
      <c r="AT103" s="163">
        <f>IFERROR(INDEX(TableOverallMaster[VORP],MATCH(TableOverallRank[[#This Row],[OVERALL PLAYER]],TableOverallMaster[OVERALL PLAYER],0)),"")</f>
        <v>59.565176536244664</v>
      </c>
      <c r="AV103" s="58">
        <v>102</v>
      </c>
      <c r="AW103" s="164" t="str">
        <f>IFERROR(INDEX(TableWRTECalcPts[PLAYER],MATCH(TableWRTERank[[#This Row],[RK]],TableWRTECalcPts[RK],0)),"")</f>
        <v>Mike Gesicki</v>
      </c>
      <c r="AX103" s="164" t="str">
        <f>IFERROR(INDEX(TableWRTECalcPts[POS RK],MATCH(TableWRTERank[[#This Row],[WR and TE COMBINED]],TableWRTECalcPts[PLAYER],0)),"")</f>
        <v>TE27</v>
      </c>
      <c r="AY103" s="164">
        <f>IFERROR(INDEX(TableWRTECalcPts[BYE],MATCH(TableWRTERank[[#This Row],[RK]],TableWRTECalcPts[RK],0)),"")</f>
        <v>6</v>
      </c>
      <c r="AZ103" s="165">
        <f>IFERROR(INDEX(TableWRTECalcPts[Custom],MATCH(TableWRTERank[[#This Row],[RK]],TableWRTECalcPts[RK],0)),"")</f>
        <v>87.626855526529326</v>
      </c>
      <c r="BA103" s="166">
        <f>IFERROR((TableWRTERank[[#This Row],[FPS]]-INDEX(TableWRTERank[FPS],MATCH(WRTEVORPCalc,TableWRTERank[RK],0))),"")</f>
        <v>-53.60951605576237</v>
      </c>
      <c r="BC103" s="58" t="s">
        <v>148</v>
      </c>
    </row>
    <row r="104" spans="1:55" x14ac:dyDescent="0.25">
      <c r="H104" s="58">
        <v>103</v>
      </c>
      <c r="I104" s="154" t="str">
        <f>IFERROR(INDEX(TableRBCalcPts[PLAYER],MATCH(TableRBVORP[[#This Row],[RK]],TableRBCalcPts[RK],0)),"")</f>
        <v>Phil Mafah</v>
      </c>
      <c r="J104" s="154" t="str">
        <f>IFERROR(INDEX(TableRBCalcPts[TM],MATCH(TableRBVORP[[#This Row],[RK]],TableRBCalcPts[RK],0)),"")</f>
        <v>DAL</v>
      </c>
      <c r="K104" s="154">
        <f>IFERROR(INDEX(TableRBCalcPts[BYE],MATCH(TableRBVORP[[#This Row],[RK]],TableRBCalcPts[RK],0)),"")</f>
        <v>14</v>
      </c>
      <c r="L104" s="155">
        <f>IFERROR(INDEX(TableRBCalcPts[Custom],MATCH(TableRBVORP[[#This Row],[RK]],TableRBCalcPts[RK],0)),"")</f>
        <v>9.1067104810430006</v>
      </c>
      <c r="M104" s="156">
        <f>(IFERROR((TableRBVORP[[#This Row],[FPS]]-INDEX(TableRBVORP[FPS],MATCH(RBVORPCalc,TableRBVORP[RK],0))),""))*0.8</f>
        <v>-75.920902999987504</v>
      </c>
      <c r="O104" s="58">
        <v>103</v>
      </c>
      <c r="P104" s="154" t="str">
        <f>IFERROR(INDEX(TableWRCalcPts[PLAYER],MATCH(TableWRVORP[[#This Row],[RK]],TableWRCalcPts[RK],0)),"")</f>
        <v>Keon Coleman</v>
      </c>
      <c r="Q104" s="154" t="str">
        <f>IFERROR(INDEX(TableWRCalcPts[TM],MATCH(TableWRVORP[[#This Row],[RK]],TableWRCalcPts[RK],0)),"")</f>
        <v>BUF</v>
      </c>
      <c r="R104" s="154">
        <f>IFERROR(INDEX(TableWRCalcPts[BYE],MATCH(TableWRVORP[[#This Row],[RK]],TableWRCalcPts[RK],0)),"")</f>
        <v>7</v>
      </c>
      <c r="S104" s="155">
        <f>IFERROR(INDEX(TableWRCalcPts[Custom],MATCH(TableWRVORP[[#This Row],[RK]],TableWRCalcPts[RK],0)),"")</f>
        <v>49.820494964486386</v>
      </c>
      <c r="T104" s="156">
        <f>(IFERROR((TableWRVORP[[#This Row],[FPS]]-INDEX(TableWRVORP[FPS],MATCH(WRVORPCalc,TableWRVORP[RK],0))),""))</f>
        <v>-40.463690425879676</v>
      </c>
      <c r="AF104" s="58" t="s">
        <v>147</v>
      </c>
      <c r="AG104" s="58">
        <v>63</v>
      </c>
      <c r="AH104" s="100">
        <f>RANK(TableOverallMaster[[#This Row],[VORP]],TableOverallMaster[VORP])+COUNTIF($AM$2:AM104,AM104)-1</f>
        <v>242</v>
      </c>
      <c r="AI104" s="157" t="str">
        <f>IFERROR(INDEX(TableRBVORP[RUNNING BACK],MATCH(TableOverallMaster[[#This Row],[RK]],TableRBVORP[RK],0)),"")</f>
        <v>Ray Davis</v>
      </c>
      <c r="AJ104" s="157" t="str">
        <f t="shared" si="1"/>
        <v>RB63</v>
      </c>
      <c r="AK104" s="157">
        <f>IFERROR(INDEX(TableRBVORP[BYE],MATCH(TableOverallMaster[[#This Row],[RK]],TableRBVORP[RK],0)),"")</f>
        <v>7</v>
      </c>
      <c r="AL104" s="158">
        <f>IFERROR(INDEX(TableRBVORP[FPS],MATCH(TableOverallMaster[[#This Row],[RK]],TableRBVORP[RK],0)),"")</f>
        <v>48.763805613529733</v>
      </c>
      <c r="AM104" s="159">
        <f>IFERROR(INDEX(TableRBVORP[VORP],MATCH(TableOverallMaster[[#This Row],[RK]],TableRBVORP[RK],0)),"")</f>
        <v>-44.195226893998118</v>
      </c>
      <c r="AO104" s="58">
        <v>103</v>
      </c>
      <c r="AP104" s="160" t="str">
        <f>IFERROR(INDEX(TableOverallMaster[OVERALL PLAYER],MATCH(TableOverallRank[[#This Row],[RK]],TableOverallMaster[OVR RK],0)),"")</f>
        <v>Jayden Reed</v>
      </c>
      <c r="AQ104" s="161" t="str">
        <f>IFERROR(INDEX(TableOverallMaster[POS RK],MATCH(TableOverallRank[[#This Row],[OVERALL PLAYER]],TableOverallMaster[OVERALL PLAYER],0)),"")</f>
        <v>WR43</v>
      </c>
      <c r="AR104" s="162">
        <f>IFERROR(INDEX(TableOverallMaster[BYE],MATCH(TableOverallRank[[#This Row],[OVERALL PLAYER]],TableOverallMaster[OVERALL PLAYER],0)),"")</f>
        <v>11</v>
      </c>
      <c r="AS104" s="161">
        <f>IFERROR(INDEX(TableOverallMaster[Custom],MATCH(TableOverallRank[[#This Row],[OVERALL PLAYER]],TableOverallMaster[OVERALL PLAYER],0)),"")</f>
        <v>148.99904400559308</v>
      </c>
      <c r="AT104" s="163">
        <f>IFERROR(INDEX(TableOverallMaster[VORP],MATCH(TableOverallRank[[#This Row],[OVERALL PLAYER]],TableOverallMaster[OVERALL PLAYER],0)),"")</f>
        <v>58.714858615227016</v>
      </c>
      <c r="AV104" s="58">
        <v>103</v>
      </c>
      <c r="AW104" s="164" t="str">
        <f>IFERROR(INDEX(TableWRTECalcPts[PLAYER],MATCH(TableWRTERank[[#This Row],[RK]],TableWRTECalcPts[RK],0)),"")</f>
        <v>Kenyon Sadiq</v>
      </c>
      <c r="AX104" s="164" t="str">
        <f>IFERROR(INDEX(TableWRTECalcPts[POS RK],MATCH(TableWRTERank[[#This Row],[WR and TE COMBINED]],TableWRTECalcPts[PLAYER],0)),"")</f>
        <v>TE28</v>
      </c>
      <c r="AY104" s="164">
        <f>IFERROR(INDEX(TableWRTECalcPts[BYE],MATCH(TableWRTERank[[#This Row],[RK]],TableWRTECalcPts[RK],0)),"")</f>
        <v>13</v>
      </c>
      <c r="AZ104" s="165">
        <f>IFERROR(INDEX(TableWRTECalcPts[Custom],MATCH(TableWRTERank[[#This Row],[RK]],TableWRTECalcPts[RK],0)),"")</f>
        <v>86.789669330026697</v>
      </c>
      <c r="BA104" s="166">
        <f>IFERROR((TableWRTERank[[#This Row],[FPS]]-INDEX(TableWRTERank[FPS],MATCH(WRTEVORPCalc,TableWRTERank[RK],0))),"")</f>
        <v>-54.446702252264998</v>
      </c>
      <c r="BC104" s="58" t="s">
        <v>148</v>
      </c>
    </row>
    <row r="105" spans="1:55" x14ac:dyDescent="0.25">
      <c r="H105" s="58">
        <v>104</v>
      </c>
      <c r="I105" s="154" t="str">
        <f>IFERROR(INDEX(TableRBCalcPts[PLAYER],MATCH(TableRBVORP[[#This Row],[RK]],TableRBCalcPts[RK],0)),"")</f>
        <v>Jaleel McLaughlin</v>
      </c>
      <c r="J105" s="154" t="str">
        <f>IFERROR(INDEX(TableRBCalcPts[TM],MATCH(TableRBVORP[[#This Row],[RK]],TableRBCalcPts[RK],0)),"")</f>
        <v>DEN</v>
      </c>
      <c r="K105" s="154">
        <f>IFERROR(INDEX(TableRBCalcPts[BYE],MATCH(TableRBVORP[[#This Row],[RK]],TableRBCalcPts[RK],0)),"")</f>
        <v>10</v>
      </c>
      <c r="L105" s="155">
        <f>IFERROR(INDEX(TableRBCalcPts[Custom],MATCH(TableRBVORP[[#This Row],[RK]],TableRBCalcPts[RK],0)),"")</f>
        <v>8.9377350666132891</v>
      </c>
      <c r="M105" s="156">
        <f>(IFERROR((TableRBVORP[[#This Row],[FPS]]-INDEX(TableRBVORP[FPS],MATCH(RBVORPCalc,TableRBVORP[RK],0))),""))*0.8</f>
        <v>-76.056083331531269</v>
      </c>
      <c r="O105" s="58">
        <v>104</v>
      </c>
      <c r="P105" s="154" t="str">
        <f>IFERROR(INDEX(TableWRCalcPts[PLAYER],MATCH(TableWRVORP[[#This Row],[RK]],TableWRCalcPts[RK],0)),"")</f>
        <v>Ted Hurst</v>
      </c>
      <c r="Q105" s="154" t="str">
        <f>IFERROR(INDEX(TableWRCalcPts[TM],MATCH(TableWRVORP[[#This Row],[RK]],TableWRCalcPts[RK],0)),"")</f>
        <v>TB</v>
      </c>
      <c r="R105" s="154">
        <f>IFERROR(INDEX(TableWRCalcPts[BYE],MATCH(TableWRVORP[[#This Row],[RK]],TableWRCalcPts[RK],0)),"")</f>
        <v>10</v>
      </c>
      <c r="S105" s="155">
        <f>IFERROR(INDEX(TableWRCalcPts[Custom],MATCH(TableWRVORP[[#This Row],[RK]],TableWRCalcPts[RK],0)),"")</f>
        <v>47.619043990707816</v>
      </c>
      <c r="T105" s="156">
        <f>(IFERROR((TableWRVORP[[#This Row],[FPS]]-INDEX(TableWRVORP[FPS],MATCH(WRVORPCalc,TableWRVORP[RK],0))),""))</f>
        <v>-42.665141399658246</v>
      </c>
      <c r="AF105" s="58" t="s">
        <v>147</v>
      </c>
      <c r="AG105" s="58">
        <v>64</v>
      </c>
      <c r="AH105" s="100">
        <f>RANK(TableOverallMaster[[#This Row],[VORP]],TableOverallMaster[VORP])+COUNTIF($AM$2:AM105,AM105)-1</f>
        <v>243</v>
      </c>
      <c r="AI105" s="157" t="str">
        <f>IFERROR(INDEX(TableRBVORP[RUNNING BACK],MATCH(TableOverallMaster[[#This Row],[RK]],TableRBVORP[RK],0)),"")</f>
        <v>Emmett Johnson</v>
      </c>
      <c r="AJ105" s="157" t="str">
        <f t="shared" si="1"/>
        <v>RB64</v>
      </c>
      <c r="AK105" s="157">
        <f>IFERROR(INDEX(TableRBVORP[BYE],MATCH(TableOverallMaster[[#This Row],[RK]],TableRBVORP[RK],0)),"")</f>
        <v>5</v>
      </c>
      <c r="AL105" s="158">
        <f>IFERROR(INDEX(TableRBVORP[FPS],MATCH(TableOverallMaster[[#This Row],[RK]],TableRBVORP[RK],0)),"")</f>
        <v>48.16206971898</v>
      </c>
      <c r="AM105" s="159">
        <f>IFERROR(INDEX(TableRBVORP[VORP],MATCH(TableOverallMaster[[#This Row],[RK]],TableRBVORP[RK],0)),"")</f>
        <v>-44.676615609637906</v>
      </c>
      <c r="AO105" s="58">
        <v>104</v>
      </c>
      <c r="AP105" s="160" t="str">
        <f>IFERROR(INDEX(TableOverallMaster[OVERALL PLAYER],MATCH(TableOverallRank[[#This Row],[RK]],TableOverallMaster[OVR RK],0)),"")</f>
        <v>Josh Downs</v>
      </c>
      <c r="AQ105" s="161" t="str">
        <f>IFERROR(INDEX(TableOverallMaster[POS RK],MATCH(TableOverallRank[[#This Row],[OVERALL PLAYER]],TableOverallMaster[OVERALL PLAYER],0)),"")</f>
        <v>WR44</v>
      </c>
      <c r="AR105" s="162">
        <f>IFERROR(INDEX(TableOverallMaster[BYE],MATCH(TableOverallRank[[#This Row],[OVERALL PLAYER]],TableOverallMaster[OVERALL PLAYER],0)),"")</f>
        <v>13</v>
      </c>
      <c r="AS105" s="161">
        <f>IFERROR(INDEX(TableOverallMaster[Custom],MATCH(TableOverallRank[[#This Row],[OVERALL PLAYER]],TableOverallMaster[OVERALL PLAYER],0)),"")</f>
        <v>148.75355445006602</v>
      </c>
      <c r="AT105" s="163">
        <f>IFERROR(INDEX(TableOverallMaster[VORP],MATCH(TableOverallRank[[#This Row],[OVERALL PLAYER]],TableOverallMaster[OVERALL PLAYER],0)),"")</f>
        <v>58.469369059699957</v>
      </c>
      <c r="AV105" s="58">
        <v>104</v>
      </c>
      <c r="AW105" s="164" t="str">
        <f>IFERROR(INDEX(TableWRTECalcPts[PLAYER],MATCH(TableWRTERank[[#This Row],[RK]],TableWRTECalcPts[RK],0)),"")</f>
        <v>AJ Barner</v>
      </c>
      <c r="AX105" s="164" t="str">
        <f>IFERROR(INDEX(TableWRTECalcPts[POS RK],MATCH(TableWRTERank[[#This Row],[WR and TE COMBINED]],TableWRTECalcPts[PLAYER],0)),"")</f>
        <v>TE29</v>
      </c>
      <c r="AY105" s="164">
        <f>IFERROR(INDEX(TableWRTECalcPts[BYE],MATCH(TableWRTERank[[#This Row],[RK]],TableWRTECalcPts[RK],0)),"")</f>
        <v>11</v>
      </c>
      <c r="AZ105" s="165">
        <f>IFERROR(INDEX(TableWRTECalcPts[Custom],MATCH(TableWRTERank[[#This Row],[RK]],TableWRTECalcPts[RK],0)),"")</f>
        <v>84.45884130942207</v>
      </c>
      <c r="BA105" s="166">
        <f>IFERROR((TableWRTERank[[#This Row],[FPS]]-INDEX(TableWRTERank[FPS],MATCH(WRTEVORPCalc,TableWRTERank[RK],0))),"")</f>
        <v>-56.777530272869626</v>
      </c>
      <c r="BC105" s="58" t="s">
        <v>148</v>
      </c>
    </row>
    <row r="106" spans="1:55" x14ac:dyDescent="0.25">
      <c r="H106" s="58">
        <v>105</v>
      </c>
      <c r="I106" s="154" t="str">
        <f>IFERROR(INDEX(TableRBCalcPts[PLAYER],MATCH(TableRBVORP[[#This Row],[RK]],TableRBCalcPts[RK],0)),"")</f>
        <v>Jarquez Hunter</v>
      </c>
      <c r="J106" s="154" t="str">
        <f>IFERROR(INDEX(TableRBCalcPts[TM],MATCH(TableRBVORP[[#This Row],[RK]],TableRBCalcPts[RK],0)),"")</f>
        <v>LAR</v>
      </c>
      <c r="K106" s="154">
        <f>IFERROR(INDEX(TableRBCalcPts[BYE],MATCH(TableRBVORP[[#This Row],[RK]],TableRBCalcPts[RK],0)),"")</f>
        <v>11</v>
      </c>
      <c r="L106" s="155">
        <f>IFERROR(INDEX(TableRBCalcPts[Custom],MATCH(TableRBVORP[[#This Row],[RK]],TableRBCalcPts[RK],0)),"")</f>
        <v>8.4242846217409966</v>
      </c>
      <c r="M106" s="156">
        <f>(IFERROR((TableRBVORP[[#This Row],[FPS]]-INDEX(TableRBVORP[FPS],MATCH(RBVORPCalc,TableRBVORP[RK],0))),""))*0.8</f>
        <v>-76.466843687429105</v>
      </c>
      <c r="O106" s="58">
        <v>105</v>
      </c>
      <c r="P106" s="154" t="str">
        <f>IFERROR(INDEX(TableWRCalcPts[PLAYER],MATCH(TableWRVORP[[#This Row],[RK]],TableWRCalcPts[RK],0)),"")</f>
        <v>Travis Hunter</v>
      </c>
      <c r="Q106" s="154" t="str">
        <f>IFERROR(INDEX(TableWRCalcPts[TM],MATCH(TableWRVORP[[#This Row],[RK]],TableWRCalcPts[RK],0)),"")</f>
        <v>JAX</v>
      </c>
      <c r="R106" s="154">
        <f>IFERROR(INDEX(TableWRCalcPts[BYE],MATCH(TableWRVORP[[#This Row],[RK]],TableWRCalcPts[RK],0)),"")</f>
        <v>7</v>
      </c>
      <c r="S106" s="155">
        <f>IFERROR(INDEX(TableWRCalcPts[Custom],MATCH(TableWRVORP[[#This Row],[RK]],TableWRCalcPts[RK],0)),"")</f>
        <v>45.395094095769608</v>
      </c>
      <c r="T106" s="156">
        <f>(IFERROR((TableWRVORP[[#This Row],[FPS]]-INDEX(TableWRVORP[FPS],MATCH(WRVORPCalc,TableWRVORP[RK],0))),""))</f>
        <v>-44.889091294596454</v>
      </c>
      <c r="AF106" s="58" t="s">
        <v>147</v>
      </c>
      <c r="AG106" s="58">
        <v>65</v>
      </c>
      <c r="AH106" s="100">
        <f>RANK(TableOverallMaster[[#This Row],[VORP]],TableOverallMaster[VORP])+COUNTIF($AM$2:AM106,AM106)-1</f>
        <v>245</v>
      </c>
      <c r="AI106" s="157" t="str">
        <f>IFERROR(INDEX(TableRBVORP[RUNNING BACK],MATCH(TableOverallMaster[[#This Row],[RK]],TableRBVORP[RK],0)),"")</f>
        <v>Ollie Gordon</v>
      </c>
      <c r="AJ106" s="157" t="str">
        <f t="shared" si="1"/>
        <v>RB65</v>
      </c>
      <c r="AK106" s="157">
        <f>IFERROR(INDEX(TableRBVORP[BYE],MATCH(TableOverallMaster[[#This Row],[RK]],TableRBVORP[RK],0)),"")</f>
        <v>6</v>
      </c>
      <c r="AL106" s="158">
        <f>IFERROR(INDEX(TableRBVORP[FPS],MATCH(TableOverallMaster[[#This Row],[RK]],TableRBVORP[RK],0)),"")</f>
        <v>48.085238757441402</v>
      </c>
      <c r="AM106" s="159">
        <f>IFERROR(INDEX(TableRBVORP[VORP],MATCH(TableOverallMaster[[#This Row],[RK]],TableRBVORP[RK],0)),"")</f>
        <v>-44.73808037886878</v>
      </c>
      <c r="AO106" s="58">
        <v>105</v>
      </c>
      <c r="AP106" s="160" t="str">
        <f>IFERROR(INDEX(TableOverallMaster[OVERALL PLAYER],MATCH(TableOverallRank[[#This Row],[RK]],TableOverallMaster[OVR RK],0)),"")</f>
        <v>Jake Ferguson</v>
      </c>
      <c r="AQ106" s="161" t="str">
        <f>IFERROR(INDEX(TableOverallMaster[POS RK],MATCH(TableOverallRank[[#This Row],[OVERALL PLAYER]],TableOverallMaster[OVERALL PLAYER],0)),"")</f>
        <v>TE13</v>
      </c>
      <c r="AR106" s="162">
        <f>IFERROR(INDEX(TableOverallMaster[BYE],MATCH(TableOverallRank[[#This Row],[OVERALL PLAYER]],TableOverallMaster[OVERALL PLAYER],0)),"")</f>
        <v>14</v>
      </c>
      <c r="AS106" s="161">
        <f>IFERROR(INDEX(TableOverallMaster[Custom],MATCH(TableOverallRank[[#This Row],[OVERALL PLAYER]],TableOverallMaster[OVERALL PLAYER],0)),"")</f>
        <v>135.53776951944241</v>
      </c>
      <c r="AT106" s="163">
        <f>IFERROR(INDEX(TableOverallMaster[VORP],MATCH(TableOverallRank[[#This Row],[OVERALL PLAYER]],TableOverallMaster[OVERALL PLAYER],0)),"")</f>
        <v>57.65197554320072</v>
      </c>
      <c r="AV106" s="58">
        <v>105</v>
      </c>
      <c r="AW106" s="164" t="str">
        <f>IFERROR(INDEX(TableWRTECalcPts[PLAYER],MATCH(TableWRTERank[[#This Row],[RK]],TableWRTECalcPts[RK],0)),"")</f>
        <v>Jauan Jennings</v>
      </c>
      <c r="AX106" s="164" t="str">
        <f>IFERROR(INDEX(TableWRTECalcPts[POS RK],MATCH(TableWRTERank[[#This Row],[WR and TE COMBINED]],TableWRTECalcPts[PLAYER],0)),"")</f>
        <v>WR76</v>
      </c>
      <c r="AY106" s="164">
        <f>IFERROR(INDEX(TableWRTECalcPts[BYE],MATCH(TableWRTERank[[#This Row],[RK]],TableWRTECalcPts[RK],0)),"")</f>
        <v>6</v>
      </c>
      <c r="AZ106" s="165">
        <f>IFERROR(INDEX(TableWRTECalcPts[Custom],MATCH(TableWRTERank[[#This Row],[RK]],TableWRTECalcPts[RK],0)),"")</f>
        <v>82.789156047990502</v>
      </c>
      <c r="BA106" s="166">
        <f>IFERROR((TableWRTERank[[#This Row],[FPS]]-INDEX(TableWRTERank[FPS],MATCH(WRTEVORPCalc,TableWRTERank[RK],0))),"")</f>
        <v>-58.447215534301193</v>
      </c>
      <c r="BC106" s="58" t="s">
        <v>148</v>
      </c>
    </row>
    <row r="107" spans="1:55" x14ac:dyDescent="0.25">
      <c r="H107" s="58">
        <v>106</v>
      </c>
      <c r="I107" s="154" t="str">
        <f>IFERROR(INDEX(TableRBCalcPts[PLAYER],MATCH(TableRBVORP[[#This Row],[RK]],TableRBCalcPts[RK],0)),"")</f>
        <v>Devin Neal</v>
      </c>
      <c r="J107" s="154" t="str">
        <f>IFERROR(INDEX(TableRBCalcPts[TM],MATCH(TableRBVORP[[#This Row],[RK]],TableRBCalcPts[RK],0)),"")</f>
        <v>NO</v>
      </c>
      <c r="K107" s="154">
        <f>IFERROR(INDEX(TableRBCalcPts[BYE],MATCH(TableRBVORP[[#This Row],[RK]],TableRBCalcPts[RK],0)),"")</f>
        <v>8</v>
      </c>
      <c r="L107" s="155">
        <f>IFERROR(INDEX(TableRBCalcPts[Custom],MATCH(TableRBVORP[[#This Row],[RK]],TableRBCalcPts[RK],0)),"")</f>
        <v>7.6840138446847996</v>
      </c>
      <c r="M107" s="156">
        <f>(IFERROR((TableRBVORP[[#This Row],[FPS]]-INDEX(TableRBVORP[FPS],MATCH(RBVORPCalc,TableRBVORP[RK],0))),""))*0.8</f>
        <v>-77.05906030907407</v>
      </c>
      <c r="O107" s="58">
        <v>106</v>
      </c>
      <c r="P107" s="154" t="str">
        <f>IFERROR(INDEX(TableWRCalcPts[PLAYER],MATCH(TableWRVORP[[#This Row],[RK]],TableWRCalcPts[RK],0)),"")</f>
        <v>De'Zhaun Stribling</v>
      </c>
      <c r="Q107" s="154" t="str">
        <f>IFERROR(INDEX(TableWRCalcPts[TM],MATCH(TableWRVORP[[#This Row],[RK]],TableWRCalcPts[RK],0)),"")</f>
        <v>SF</v>
      </c>
      <c r="R107" s="154">
        <f>IFERROR(INDEX(TableWRCalcPts[BYE],MATCH(TableWRVORP[[#This Row],[RK]],TableWRCalcPts[RK],0)),"")</f>
        <v>8</v>
      </c>
      <c r="S107" s="155">
        <f>IFERROR(INDEX(TableWRCalcPts[Custom],MATCH(TableWRVORP[[#This Row],[RK]],TableWRCalcPts[RK],0)),"")</f>
        <v>45.1604312615232</v>
      </c>
      <c r="T107" s="156">
        <f>(IFERROR((TableWRVORP[[#This Row],[FPS]]-INDEX(TableWRVORP[FPS],MATCH(WRVORPCalc,TableWRVORP[RK],0))),""))</f>
        <v>-45.123754128842862</v>
      </c>
      <c r="AF107" s="58" t="s">
        <v>147</v>
      </c>
      <c r="AG107" s="58">
        <v>66</v>
      </c>
      <c r="AH107" s="100">
        <f>RANK(TableOverallMaster[[#This Row],[VORP]],TableOverallMaster[VORP])+COUNTIF($AM$2:AM107,AM107)-1</f>
        <v>248</v>
      </c>
      <c r="AI107" s="157" t="str">
        <f>IFERROR(INDEX(TableRBVORP[RUNNING BACK],MATCH(TableOverallMaster[[#This Row],[RK]],TableRBVORP[RK],0)),"")</f>
        <v>Jonah Coleman</v>
      </c>
      <c r="AJ107" s="157" t="str">
        <f t="shared" si="1"/>
        <v>RB66</v>
      </c>
      <c r="AK107" s="157">
        <f>IFERROR(INDEX(TableRBVORP[BYE],MATCH(TableOverallMaster[[#This Row],[RK]],TableRBVORP[RK],0)),"")</f>
        <v>10</v>
      </c>
      <c r="AL107" s="158">
        <f>IFERROR(INDEX(TableRBVORP[FPS],MATCH(TableOverallMaster[[#This Row],[RK]],TableRBVORP[RK],0)),"")</f>
        <v>47.585302106049355</v>
      </c>
      <c r="AM107" s="159">
        <f>IFERROR(INDEX(TableRBVORP[VORP],MATCH(TableOverallMaster[[#This Row],[RK]],TableRBVORP[RK],0)),"")</f>
        <v>-45.138029699982418</v>
      </c>
      <c r="AO107" s="58">
        <v>106</v>
      </c>
      <c r="AP107" s="160" t="str">
        <f>IFERROR(INDEX(TableOverallMaster[OVERALL PLAYER],MATCH(TableOverallRank[[#This Row],[RK]],TableOverallMaster[OVR RK],0)),"")</f>
        <v>Malik Nabers</v>
      </c>
      <c r="AQ107" s="161" t="str">
        <f>IFERROR(INDEX(TableOverallMaster[POS RK],MATCH(TableOverallRank[[#This Row],[OVERALL PLAYER]],TableOverallMaster[OVERALL PLAYER],0)),"")</f>
        <v>WR45</v>
      </c>
      <c r="AR107" s="162">
        <f>IFERROR(INDEX(TableOverallMaster[BYE],MATCH(TableOverallRank[[#This Row],[OVERALL PLAYER]],TableOverallMaster[OVERALL PLAYER],0)),"")</f>
        <v>8</v>
      </c>
      <c r="AS107" s="161">
        <f>IFERROR(INDEX(TableOverallMaster[Custom],MATCH(TableOverallRank[[#This Row],[OVERALL PLAYER]],TableOverallMaster[OVERALL PLAYER],0)),"")</f>
        <v>147.06776996248362</v>
      </c>
      <c r="AT107" s="163">
        <f>IFERROR(INDEX(TableOverallMaster[VORP],MATCH(TableOverallRank[[#This Row],[OVERALL PLAYER]],TableOverallMaster[OVERALL PLAYER],0)),"")</f>
        <v>56.783584572117562</v>
      </c>
      <c r="AV107" s="58">
        <v>106</v>
      </c>
      <c r="AW107" s="164" t="str">
        <f>IFERROR(INDEX(TableWRTECalcPts[PLAYER],MATCH(TableWRTERank[[#This Row],[RK]],TableWRTECalcPts[RK],0)),"")</f>
        <v>Darnell Mooney</v>
      </c>
      <c r="AX107" s="164" t="str">
        <f>IFERROR(INDEX(TableWRTECalcPts[POS RK],MATCH(TableWRTERank[[#This Row],[WR and TE COMBINED]],TableWRTECalcPts[PLAYER],0)),"")</f>
        <v>WR77</v>
      </c>
      <c r="AY107" s="164">
        <f>IFERROR(INDEX(TableWRTECalcPts[BYE],MATCH(TableWRTERank[[#This Row],[RK]],TableWRTECalcPts[RK],0)),"")</f>
        <v>8</v>
      </c>
      <c r="AZ107" s="165">
        <f>IFERROR(INDEX(TableWRTECalcPts[Custom],MATCH(TableWRTERank[[#This Row],[RK]],TableWRTECalcPts[RK],0)),"")</f>
        <v>80.506540304927114</v>
      </c>
      <c r="BA107" s="166">
        <f>IFERROR((TableWRTERank[[#This Row],[FPS]]-INDEX(TableWRTERank[FPS],MATCH(WRTEVORPCalc,TableWRTERank[RK],0))),"")</f>
        <v>-60.729831277364582</v>
      </c>
      <c r="BC107" s="58" t="s">
        <v>148</v>
      </c>
    </row>
    <row r="108" spans="1:55" x14ac:dyDescent="0.25">
      <c r="H108" s="58">
        <v>107</v>
      </c>
      <c r="I108" s="154" t="str">
        <f>IFERROR(INDEX(TableRBCalcPts[PLAYER],MATCH(TableRBVORP[[#This Row],[RK]],TableRBCalcPts[RK],0)),"")</f>
        <v>Dylan Laube</v>
      </c>
      <c r="J108" s="154" t="str">
        <f>IFERROR(INDEX(TableRBCalcPts[TM],MATCH(TableRBVORP[[#This Row],[RK]],TableRBCalcPts[RK],0)),"")</f>
        <v>LV</v>
      </c>
      <c r="K108" s="154">
        <f>IFERROR(INDEX(TableRBCalcPts[BYE],MATCH(TableRBVORP[[#This Row],[RK]],TableRBCalcPts[RK],0)),"")</f>
        <v>13</v>
      </c>
      <c r="L108" s="155">
        <f>IFERROR(INDEX(TableRBCalcPts[Custom],MATCH(TableRBVORP[[#This Row],[RK]],TableRBCalcPts[RK],0)),"")</f>
        <v>7.6774450373660468</v>
      </c>
      <c r="M108" s="156">
        <f>(IFERROR((TableRBVORP[[#This Row],[FPS]]-INDEX(TableRBVORP[FPS],MATCH(RBVORPCalc,TableRBVORP[RK],0))),""))*0.8</f>
        <v>-77.064315354929079</v>
      </c>
      <c r="O108" s="58">
        <v>107</v>
      </c>
      <c r="P108" s="154" t="str">
        <f>IFERROR(INDEX(TableWRCalcPts[PLAYER],MATCH(TableWRVORP[[#This Row],[RK]],TableWRCalcPts[RK],0)),"")</f>
        <v>John Metchie</v>
      </c>
      <c r="Q108" s="154" t="str">
        <f>IFERROR(INDEX(TableWRCalcPts[TM],MATCH(TableWRVORP[[#This Row],[RK]],TableWRCalcPts[RK],0)),"")</f>
        <v>CAR</v>
      </c>
      <c r="R108" s="154">
        <f>IFERROR(INDEX(TableWRCalcPts[BYE],MATCH(TableWRVORP[[#This Row],[RK]],TableWRCalcPts[RK],0)),"")</f>
        <v>5</v>
      </c>
      <c r="S108" s="155">
        <f>IFERROR(INDEX(TableWRCalcPts[Custom],MATCH(TableWRVORP[[#This Row],[RK]],TableWRCalcPts[RK],0)),"")</f>
        <v>44.115849021183735</v>
      </c>
      <c r="T108" s="156">
        <f>(IFERROR((TableWRVORP[[#This Row],[FPS]]-INDEX(TableWRVORP[FPS],MATCH(WRVORPCalc,TableWRVORP[RK],0))),""))</f>
        <v>-46.168336369182327</v>
      </c>
      <c r="AF108" s="58" t="s">
        <v>147</v>
      </c>
      <c r="AG108" s="58">
        <v>67</v>
      </c>
      <c r="AH108" s="100">
        <f>RANK(TableOverallMaster[[#This Row],[VORP]],TableOverallMaster[VORP])+COUNTIF($AM$2:AM108,AM108)-1</f>
        <v>253</v>
      </c>
      <c r="AI108" s="157" t="str">
        <f>IFERROR(INDEX(TableRBVORP[RUNNING BACK],MATCH(TableOverallMaster[[#This Row],[RK]],TableRBVORP[RK],0)),"")</f>
        <v>Jaydon Blue</v>
      </c>
      <c r="AJ108" s="157" t="str">
        <f t="shared" si="1"/>
        <v>RB67</v>
      </c>
      <c r="AK108" s="157">
        <f>IFERROR(INDEX(TableRBVORP[BYE],MATCH(TableOverallMaster[[#This Row],[RK]],TableRBVORP[RK],0)),"")</f>
        <v>14</v>
      </c>
      <c r="AL108" s="158">
        <f>IFERROR(INDEX(TableRBVORP[FPS],MATCH(TableOverallMaster[[#This Row],[RK]],TableRBVORP[RK],0)),"")</f>
        <v>46.267647023298039</v>
      </c>
      <c r="AM108" s="159">
        <f>IFERROR(INDEX(TableRBVORP[VORP],MATCH(TableOverallMaster[[#This Row],[RK]],TableRBVORP[RK],0)),"")</f>
        <v>-46.192153766183473</v>
      </c>
      <c r="AO108" s="58">
        <v>107</v>
      </c>
      <c r="AP108" s="160" t="str">
        <f>IFERROR(INDEX(TableOverallMaster[OVERALL PLAYER],MATCH(TableOverallRank[[#This Row],[RK]],TableOverallMaster[OVR RK],0)),"")</f>
        <v>Sam Darnold</v>
      </c>
      <c r="AQ108" s="161" t="str">
        <f>IFERROR(INDEX(TableOverallMaster[POS RK],MATCH(TableOverallRank[[#This Row],[OVERALL PLAYER]],TableOverallMaster[OVERALL PLAYER],0)),"")</f>
        <v>QB21</v>
      </c>
      <c r="AR108" s="162">
        <f>IFERROR(INDEX(TableOverallMaster[BYE],MATCH(TableOverallRank[[#This Row],[OVERALL PLAYER]],TableOverallMaster[OVERALL PLAYER],0)),"")</f>
        <v>11</v>
      </c>
      <c r="AS108" s="161">
        <f>IFERROR(INDEX(TableOverallMaster[Custom],MATCH(TableOverallRank[[#This Row],[OVERALL PLAYER]],TableOverallMaster[OVERALL PLAYER],0)),"")</f>
        <v>361.25469849816261</v>
      </c>
      <c r="AT108" s="163">
        <f>IFERROR(INDEX(TableOverallMaster[VORP],MATCH(TableOverallRank[[#This Row],[OVERALL PLAYER]],TableOverallMaster[OVERALL PLAYER],0)),"")</f>
        <v>56.639051567621941</v>
      </c>
      <c r="AV108" s="58">
        <v>107</v>
      </c>
      <c r="AW108" s="164" t="str">
        <f>IFERROR(INDEX(TableWRTECalcPts[PLAYER],MATCH(TableWRTERank[[#This Row],[RK]],TableWRTECalcPts[RK],0)),"")</f>
        <v>Malik Washington</v>
      </c>
      <c r="AX108" s="164" t="str">
        <f>IFERROR(INDEX(TableWRTECalcPts[POS RK],MATCH(TableWRTERank[[#This Row],[WR and TE COMBINED]],TableWRTECalcPts[PLAYER],0)),"")</f>
        <v>WR78</v>
      </c>
      <c r="AY108" s="164">
        <f>IFERROR(INDEX(TableWRTECalcPts[BYE],MATCH(TableWRTERank[[#This Row],[RK]],TableWRTECalcPts[RK],0)),"")</f>
        <v>6</v>
      </c>
      <c r="AZ108" s="165">
        <f>IFERROR(INDEX(TableWRTECalcPts[Custom],MATCH(TableWRTERank[[#This Row],[RK]],TableWRTECalcPts[RK],0)),"")</f>
        <v>80.337995544473287</v>
      </c>
      <c r="BA108" s="166">
        <f>IFERROR((TableWRTERank[[#This Row],[FPS]]-INDEX(TableWRTERank[FPS],MATCH(WRTEVORPCalc,TableWRTERank[RK],0))),"")</f>
        <v>-60.898376037818409</v>
      </c>
      <c r="BC108" s="58" t="s">
        <v>148</v>
      </c>
    </row>
    <row r="109" spans="1:55" x14ac:dyDescent="0.25">
      <c r="H109" s="58">
        <v>108</v>
      </c>
      <c r="I109" s="154" t="str">
        <f>IFERROR(INDEX(TableRBCalcPts[PLAYER],MATCH(TableRBVORP[[#This Row],[RK]],TableRBCalcPts[RK],0)),"")</f>
        <v>Pierre Strong</v>
      </c>
      <c r="J109" s="154" t="str">
        <f>IFERROR(INDEX(TableRBCalcPts[TM],MATCH(TableRBVORP[[#This Row],[RK]],TableRBCalcPts[RK],0)),"")</f>
        <v>GB</v>
      </c>
      <c r="K109" s="154">
        <f>IFERROR(INDEX(TableRBCalcPts[BYE],MATCH(TableRBVORP[[#This Row],[RK]],TableRBCalcPts[RK],0)),"")</f>
        <v>11</v>
      </c>
      <c r="L109" s="155">
        <f>IFERROR(INDEX(TableRBCalcPts[Custom],MATCH(TableRBVORP[[#This Row],[RK]],TableRBCalcPts[RK],0)),"")</f>
        <v>3.2733783155570535</v>
      </c>
      <c r="M109" s="156">
        <f>(IFERROR((TableRBVORP[[#This Row],[FPS]]-INDEX(TableRBVORP[FPS],MATCH(RBVORPCalc,TableRBVORP[RK],0))),""))*0.8</f>
        <v>-80.587568732376269</v>
      </c>
      <c r="O109" s="58">
        <v>108</v>
      </c>
      <c r="P109" s="154" t="str">
        <f>IFERROR(INDEX(TableWRCalcPts[PLAYER],MATCH(TableWRVORP[[#This Row],[RK]],TableWRCalcPts[RK],0)),"")</f>
        <v>Mack Hollins</v>
      </c>
      <c r="Q109" s="154" t="str">
        <f>IFERROR(INDEX(TableWRCalcPts[TM],MATCH(TableWRVORP[[#This Row],[RK]],TableWRCalcPts[RK],0)),"")</f>
        <v>NE</v>
      </c>
      <c r="R109" s="154">
        <f>IFERROR(INDEX(TableWRCalcPts[BYE],MATCH(TableWRVORP[[#This Row],[RK]],TableWRCalcPts[RK],0)),"")</f>
        <v>11</v>
      </c>
      <c r="S109" s="155">
        <f>IFERROR(INDEX(TableWRCalcPts[Custom],MATCH(TableWRVORP[[#This Row],[RK]],TableWRCalcPts[RK],0)),"")</f>
        <v>42.408964281509647</v>
      </c>
      <c r="T109" s="156">
        <f>(IFERROR((TableWRVORP[[#This Row],[FPS]]-INDEX(TableWRVORP[FPS],MATCH(WRVORPCalc,TableWRVORP[RK],0))),""))</f>
        <v>-47.875221108856415</v>
      </c>
      <c r="AF109" s="58" t="s">
        <v>147</v>
      </c>
      <c r="AG109" s="58">
        <v>68</v>
      </c>
      <c r="AH109" s="100">
        <f>RANK(TableOverallMaster[[#This Row],[VORP]],TableOverallMaster[VORP])+COUNTIF($AM$2:AM109,AM109)-1</f>
        <v>257</v>
      </c>
      <c r="AI109" s="157" t="str">
        <f>IFERROR(INDEX(TableRBVORP[RUNNING BACK],MATCH(TableOverallMaster[[#This Row],[RK]],TableRBVORP[RK],0)),"")</f>
        <v>Kaelon Black</v>
      </c>
      <c r="AJ109" s="157" t="str">
        <f t="shared" si="1"/>
        <v>RB68</v>
      </c>
      <c r="AK109" s="157">
        <f>IFERROR(INDEX(TableRBVORP[BYE],MATCH(TableOverallMaster[[#This Row],[RK]],TableRBVORP[RK],0)),"")</f>
        <v>8</v>
      </c>
      <c r="AL109" s="158">
        <f>IFERROR(INDEX(TableRBVORP[FPS],MATCH(TableOverallMaster[[#This Row],[RK]],TableRBVORP[RK],0)),"")</f>
        <v>43.76929730431057</v>
      </c>
      <c r="AM109" s="159">
        <f>IFERROR(INDEX(TableRBVORP[VORP],MATCH(TableOverallMaster[[#This Row],[RK]],TableRBVORP[RK],0)),"")</f>
        <v>-48.190833541373451</v>
      </c>
      <c r="AO109" s="58">
        <v>108</v>
      </c>
      <c r="AP109" s="160" t="str">
        <f>IFERROR(INDEX(TableOverallMaster[OVERALL PLAYER],MATCH(TableOverallRank[[#This Row],[RK]],TableOverallMaster[OVR RK],0)),"")</f>
        <v>Brian Thomas</v>
      </c>
      <c r="AQ109" s="161" t="str">
        <f>IFERROR(INDEX(TableOverallMaster[POS RK],MATCH(TableOverallRank[[#This Row],[OVERALL PLAYER]],TableOverallMaster[OVERALL PLAYER],0)),"")</f>
        <v>WR46</v>
      </c>
      <c r="AR109" s="162">
        <f>IFERROR(INDEX(TableOverallMaster[BYE],MATCH(TableOverallRank[[#This Row],[OVERALL PLAYER]],TableOverallMaster[OVERALL PLAYER],0)),"")</f>
        <v>7</v>
      </c>
      <c r="AS109" s="161">
        <f>IFERROR(INDEX(TableOverallMaster[Custom],MATCH(TableOverallRank[[#This Row],[OVERALL PLAYER]],TableOverallMaster[OVERALL PLAYER],0)),"")</f>
        <v>145.44104743852742</v>
      </c>
      <c r="AT109" s="163">
        <f>IFERROR(INDEX(TableOverallMaster[VORP],MATCH(TableOverallRank[[#This Row],[OVERALL PLAYER]],TableOverallMaster[OVERALL PLAYER],0)),"")</f>
        <v>55.156862048161358</v>
      </c>
      <c r="AV109" s="58">
        <v>108</v>
      </c>
      <c r="AW109" s="164" t="str">
        <f>IFERROR(INDEX(TableWRTECalcPts[PLAYER],MATCH(TableWRTERank[[#This Row],[RK]],TableWRTECalcPts[RK],0)),"")</f>
        <v>Gunnar Helm</v>
      </c>
      <c r="AX109" s="164" t="str">
        <f>IFERROR(INDEX(TableWRTECalcPts[POS RK],MATCH(TableWRTERank[[#This Row],[WR and TE COMBINED]],TableWRTECalcPts[PLAYER],0)),"")</f>
        <v>TE30</v>
      </c>
      <c r="AY109" s="164">
        <f>IFERROR(INDEX(TableWRTECalcPts[BYE],MATCH(TableWRTERank[[#This Row],[RK]],TableWRTECalcPts[RK],0)),"")</f>
        <v>9</v>
      </c>
      <c r="AZ109" s="165">
        <f>IFERROR(INDEX(TableWRTECalcPts[Custom],MATCH(TableWRTERank[[#This Row],[RK]],TableWRTECalcPts[RK],0)),"")</f>
        <v>77.885793976241686</v>
      </c>
      <c r="BA109" s="166">
        <f>IFERROR((TableWRTERank[[#This Row],[FPS]]-INDEX(TableWRTERank[FPS],MATCH(WRTEVORPCalc,TableWRTERank[RK],0))),"")</f>
        <v>-63.35057760605001</v>
      </c>
      <c r="BC109" s="58" t="s">
        <v>148</v>
      </c>
    </row>
    <row r="110" spans="1:55" x14ac:dyDescent="0.25">
      <c r="H110" s="58">
        <v>109</v>
      </c>
      <c r="I110" s="154" t="str">
        <f>IFERROR(INDEX(TableRBCalcPts[PLAYER],MATCH(TableRBVORP[[#This Row],[RK]],TableRBCalcPts[RK],0)),"")</f>
        <v/>
      </c>
      <c r="J110" s="154" t="str">
        <f>IFERROR(INDEX(TableRBCalcPts[TM],MATCH(TableRBVORP[[#This Row],[RK]],TableRBCalcPts[RK],0)),"")</f>
        <v/>
      </c>
      <c r="K110" s="154" t="str">
        <f>IFERROR(INDEX(TableRBCalcPts[BYE],MATCH(TableRBVORP[[#This Row],[RK]],TableRBCalcPts[RK],0)),"")</f>
        <v/>
      </c>
      <c r="L110" s="155" t="str">
        <f>IFERROR(INDEX(TableRBCalcPts[Custom],MATCH(TableRBVORP[[#This Row],[RK]],TableRBCalcPts[RK],0)),"")</f>
        <v/>
      </c>
      <c r="M110" s="156" t="e">
        <f>(IFERROR((TableRBVORP[[#This Row],[FPS]]-INDEX(TableRBVORP[FPS],MATCH(RBVORPCalc,TableRBVORP[RK],0))),""))*0.8</f>
        <v>#VALUE!</v>
      </c>
      <c r="O110" s="58">
        <v>109</v>
      </c>
      <c r="P110" s="154" t="str">
        <f>IFERROR(INDEX(TableWRCalcPts[PLAYER],MATCH(TableWRVORP[[#This Row],[RK]],TableWRCalcPts[RK],0)),"")</f>
        <v>Elic Ayomanor</v>
      </c>
      <c r="Q110" s="154" t="str">
        <f>IFERROR(INDEX(TableWRCalcPts[TM],MATCH(TableWRVORP[[#This Row],[RK]],TableWRCalcPts[RK],0)),"")</f>
        <v>TEN</v>
      </c>
      <c r="R110" s="154">
        <f>IFERROR(INDEX(TableWRCalcPts[BYE],MATCH(TableWRVORP[[#This Row],[RK]],TableWRCalcPts[RK],0)),"")</f>
        <v>9</v>
      </c>
      <c r="S110" s="155">
        <f>IFERROR(INDEX(TableWRCalcPts[Custom],MATCH(TableWRVORP[[#This Row],[RK]],TableWRCalcPts[RK],0)),"")</f>
        <v>42.293158152537607</v>
      </c>
      <c r="T110" s="156">
        <f>(IFERROR((TableWRVORP[[#This Row],[FPS]]-INDEX(TableWRVORP[FPS],MATCH(WRVORPCalc,TableWRVORP[RK],0))),""))</f>
        <v>-47.991027237828455</v>
      </c>
      <c r="AF110" s="58" t="s">
        <v>147</v>
      </c>
      <c r="AG110" s="58">
        <v>69</v>
      </c>
      <c r="AH110" s="100">
        <f>RANK(TableOverallMaster[[#This Row],[VORP]],TableOverallMaster[VORP])+COUNTIF($AM$2:AM110,AM110)-1</f>
        <v>259</v>
      </c>
      <c r="AI110" s="157" t="str">
        <f>IFERROR(INDEX(TableRBVORP[RUNNING BACK],MATCH(TableOverallMaster[[#This Row],[RK]],TableRBVORP[RK],0)),"")</f>
        <v>Demond Claiborne</v>
      </c>
      <c r="AJ110" s="157" t="str">
        <f t="shared" si="1"/>
        <v>RB69</v>
      </c>
      <c r="AK110" s="157">
        <f>IFERROR(INDEX(TableRBVORP[BYE],MATCH(TableOverallMaster[[#This Row],[RK]],TableRBVORP[RK],0)),"")</f>
        <v>6</v>
      </c>
      <c r="AL110" s="158">
        <f>IFERROR(INDEX(TableRBVORP[FPS],MATCH(TableOverallMaster[[#This Row],[RK]],TableRBVORP[RK],0)),"")</f>
        <v>41.682847688636514</v>
      </c>
      <c r="AM110" s="159">
        <f>IFERROR(INDEX(TableRBVORP[VORP],MATCH(TableOverallMaster[[#This Row],[RK]],TableRBVORP[RK],0)),"")</f>
        <v>-49.859993233912689</v>
      </c>
      <c r="AO110" s="58">
        <v>109</v>
      </c>
      <c r="AP110" s="160" t="str">
        <f>IFERROR(INDEX(TableOverallMaster[OVERALL PLAYER],MATCH(TableOverallRank[[#This Row],[RK]],TableOverallMaster[OVR RK],0)),"")</f>
        <v>Chris Godwin</v>
      </c>
      <c r="AQ110" s="161" t="str">
        <f>IFERROR(INDEX(TableOverallMaster[POS RK],MATCH(TableOverallRank[[#This Row],[OVERALL PLAYER]],TableOverallMaster[OVERALL PLAYER],0)),"")</f>
        <v>WR47</v>
      </c>
      <c r="AR110" s="162">
        <f>IFERROR(INDEX(TableOverallMaster[BYE],MATCH(TableOverallRank[[#This Row],[OVERALL PLAYER]],TableOverallMaster[OVERALL PLAYER],0)),"")</f>
        <v>10</v>
      </c>
      <c r="AS110" s="161">
        <f>IFERROR(INDEX(TableOverallMaster[Custom],MATCH(TableOverallRank[[#This Row],[OVERALL PLAYER]],TableOverallMaster[OVERALL PLAYER],0)),"")</f>
        <v>144.56829686906872</v>
      </c>
      <c r="AT110" s="163">
        <f>IFERROR(INDEX(TableOverallMaster[VORP],MATCH(TableOverallRank[[#This Row],[OVERALL PLAYER]],TableOverallMaster[OVERALL PLAYER],0)),"")</f>
        <v>54.284111478702656</v>
      </c>
      <c r="AV110" s="58">
        <v>109</v>
      </c>
      <c r="AW110" s="164" t="str">
        <f>IFERROR(INDEX(TableWRTECalcPts[PLAYER],MATCH(TableWRTERank[[#This Row],[RK]],TableWRTECalcPts[RK],0)),"")</f>
        <v>Jaylin Noel</v>
      </c>
      <c r="AX110" s="164" t="str">
        <f>IFERROR(INDEX(TableWRTECalcPts[POS RK],MATCH(TableWRTERank[[#This Row],[WR and TE COMBINED]],TableWRTECalcPts[PLAYER],0)),"")</f>
        <v>WR79</v>
      </c>
      <c r="AY110" s="164">
        <f>IFERROR(INDEX(TableWRTECalcPts[BYE],MATCH(TableWRTERank[[#This Row],[RK]],TableWRTECalcPts[RK],0)),"")</f>
        <v>8</v>
      </c>
      <c r="AZ110" s="165">
        <f>IFERROR(INDEX(TableWRTECalcPts[Custom],MATCH(TableWRTERank[[#This Row],[RK]],TableWRTECalcPts[RK],0)),"")</f>
        <v>74.661111555857417</v>
      </c>
      <c r="BA110" s="166">
        <f>IFERROR((TableWRTERank[[#This Row],[FPS]]-INDEX(TableWRTERank[FPS],MATCH(WRTEVORPCalc,TableWRTERank[RK],0))),"")</f>
        <v>-66.575260026434279</v>
      </c>
      <c r="BC110" s="58" t="s">
        <v>148</v>
      </c>
    </row>
    <row r="111" spans="1:55" x14ac:dyDescent="0.25">
      <c r="H111" s="58">
        <v>110</v>
      </c>
      <c r="I111" s="154" t="str">
        <f>IFERROR(INDEX(TableRBCalcPts[PLAYER],MATCH(TableRBVORP[[#This Row],[RK]],TableRBCalcPts[RK],0)),"")</f>
        <v/>
      </c>
      <c r="J111" s="154" t="str">
        <f>IFERROR(INDEX(TableRBCalcPts[TM],MATCH(TableRBVORP[[#This Row],[RK]],TableRBCalcPts[RK],0)),"")</f>
        <v/>
      </c>
      <c r="K111" s="154" t="str">
        <f>IFERROR(INDEX(TableRBCalcPts[BYE],MATCH(TableRBVORP[[#This Row],[RK]],TableRBCalcPts[RK],0)),"")</f>
        <v/>
      </c>
      <c r="L111" s="155" t="str">
        <f>IFERROR(INDEX(TableRBCalcPts[Custom],MATCH(TableRBVORP[[#This Row],[RK]],TableRBCalcPts[RK],0)),"")</f>
        <v/>
      </c>
      <c r="M111" s="156" t="e">
        <f>(IFERROR((TableRBVORP[[#This Row],[FPS]]-INDEX(TableRBVORP[FPS],MATCH(RBVORPCalc,TableRBVORP[RK],0))),""))*0.8</f>
        <v>#VALUE!</v>
      </c>
      <c r="O111" s="58">
        <v>110</v>
      </c>
      <c r="P111" s="154" t="str">
        <f>IFERROR(INDEX(TableWRCalcPts[PLAYER],MATCH(TableWRVORP[[#This Row],[RK]],TableWRCalcPts[RK],0)),"")</f>
        <v>Kalif Raymond</v>
      </c>
      <c r="Q111" s="154" t="str">
        <f>IFERROR(INDEX(TableWRCalcPts[TM],MATCH(TableWRVORP[[#This Row],[RK]],TableWRCalcPts[RK],0)),"")</f>
        <v>CHI</v>
      </c>
      <c r="R111" s="154">
        <f>IFERROR(INDEX(TableWRCalcPts[BYE],MATCH(TableWRVORP[[#This Row],[RK]],TableWRCalcPts[RK],0)),"")</f>
        <v>10</v>
      </c>
      <c r="S111" s="155">
        <f>IFERROR(INDEX(TableWRCalcPts[Custom],MATCH(TableWRVORP[[#This Row],[RK]],TableWRCalcPts[RK],0)),"")</f>
        <v>41.749922059333976</v>
      </c>
      <c r="T111" s="156">
        <f>(IFERROR((TableWRVORP[[#This Row],[FPS]]-INDEX(TableWRVORP[FPS],MATCH(WRVORPCalc,TableWRVORP[RK],0))),""))</f>
        <v>-48.534263331032086</v>
      </c>
      <c r="AF111" s="58" t="s">
        <v>147</v>
      </c>
      <c r="AG111" s="58">
        <v>70</v>
      </c>
      <c r="AH111" s="100">
        <f>RANK(TableOverallMaster[[#This Row],[VORP]],TableOverallMaster[VORP])+COUNTIF($AM$2:AM111,AM111)-1</f>
        <v>260</v>
      </c>
      <c r="AI111" s="157" t="str">
        <f>IFERROR(INDEX(TableRBVORP[RUNNING BACK],MATCH(TableOverallMaster[[#This Row],[RK]],TableRBVORP[RK],0)),"")</f>
        <v>Sean Tucker</v>
      </c>
      <c r="AJ111" s="157" t="str">
        <f t="shared" si="1"/>
        <v>RB70</v>
      </c>
      <c r="AK111" s="157">
        <f>IFERROR(INDEX(TableRBVORP[BYE],MATCH(TableOverallMaster[[#This Row],[RK]],TableRBVORP[RK],0)),"")</f>
        <v>10</v>
      </c>
      <c r="AL111" s="158">
        <f>IFERROR(INDEX(TableRBVORP[FPS],MATCH(TableOverallMaster[[#This Row],[RK]],TableRBVORP[RK],0)),"")</f>
        <v>39.186673354115001</v>
      </c>
      <c r="AM111" s="159">
        <f>IFERROR(INDEX(TableRBVORP[VORP],MATCH(TableOverallMaster[[#This Row],[RK]],TableRBVORP[RK],0)),"")</f>
        <v>-51.8569327015299</v>
      </c>
      <c r="AO111" s="58">
        <v>110</v>
      </c>
      <c r="AP111" s="160" t="str">
        <f>IFERROR(INDEX(TableOverallMaster[OVERALL PLAYER],MATCH(TableOverallRank[[#This Row],[RK]],TableOverallMaster[OVR RK],0)),"")</f>
        <v>Bucky Irving</v>
      </c>
      <c r="AQ111" s="161" t="str">
        <f>IFERROR(INDEX(TableOverallMaster[POS RK],MATCH(TableOverallRank[[#This Row],[OVERALL PLAYER]],TableOverallMaster[OVERALL PLAYER],0)),"")</f>
        <v>RB29</v>
      </c>
      <c r="AR111" s="162">
        <f>IFERROR(INDEX(TableOverallMaster[BYE],MATCH(TableOverallRank[[#This Row],[OVERALL PLAYER]],TableOverallMaster[OVERALL PLAYER],0)),"")</f>
        <v>10</v>
      </c>
      <c r="AS111" s="161">
        <f>IFERROR(INDEX(TableOverallMaster[Custom],MATCH(TableOverallRank[[#This Row],[OVERALL PLAYER]],TableOverallMaster[OVERALL PLAYER],0)),"")</f>
        <v>171.20211567868358</v>
      </c>
      <c r="AT111" s="163">
        <f>IFERROR(INDEX(TableOverallMaster[VORP],MATCH(TableOverallRank[[#This Row],[OVERALL PLAYER]],TableOverallMaster[OVERALL PLAYER],0)),"")</f>
        <v>53.755421158124967</v>
      </c>
      <c r="AV111" s="58">
        <v>110</v>
      </c>
      <c r="AW111" s="164" t="str">
        <f>IFERROR(INDEX(TableWRTECalcPts[PLAYER],MATCH(TableWRTERank[[#This Row],[RK]],TableWRTECalcPts[RK],0)),"")</f>
        <v>Zachariah Branch</v>
      </c>
      <c r="AX111" s="164" t="str">
        <f>IFERROR(INDEX(TableWRTECalcPts[POS RK],MATCH(TableWRTERank[[#This Row],[WR and TE COMBINED]],TableWRTECalcPts[PLAYER],0)),"")</f>
        <v>WR80</v>
      </c>
      <c r="AY111" s="164">
        <f>IFERROR(INDEX(TableWRTECalcPts[BYE],MATCH(TableWRTERank[[#This Row],[RK]],TableWRTECalcPts[RK],0)),"")</f>
        <v>11</v>
      </c>
      <c r="AZ111" s="165">
        <f>IFERROR(INDEX(TableWRTECalcPts[Custom],MATCH(TableWRTERank[[#This Row],[RK]],TableWRTECalcPts[RK],0)),"")</f>
        <v>72.524694531828018</v>
      </c>
      <c r="BA111" s="166">
        <f>IFERROR((TableWRTERank[[#This Row],[FPS]]-INDEX(TableWRTERank[FPS],MATCH(WRTEVORPCalc,TableWRTERank[RK],0))),"")</f>
        <v>-68.711677050463678</v>
      </c>
      <c r="BC111" s="58" t="s">
        <v>148</v>
      </c>
    </row>
    <row r="112" spans="1:55" x14ac:dyDescent="0.25">
      <c r="H112" s="58">
        <v>111</v>
      </c>
      <c r="I112" s="154" t="str">
        <f>IFERROR(INDEX(TableRBCalcPts[PLAYER],MATCH(TableRBVORP[[#This Row],[RK]],TableRBCalcPts[RK],0)),"")</f>
        <v/>
      </c>
      <c r="J112" s="154" t="str">
        <f>IFERROR(INDEX(TableRBCalcPts[TM],MATCH(TableRBVORP[[#This Row],[RK]],TableRBCalcPts[RK],0)),"")</f>
        <v/>
      </c>
      <c r="K112" s="154" t="str">
        <f>IFERROR(INDEX(TableRBCalcPts[BYE],MATCH(TableRBVORP[[#This Row],[RK]],TableRBCalcPts[RK],0)),"")</f>
        <v/>
      </c>
      <c r="L112" s="155" t="str">
        <f>IFERROR(INDEX(TableRBCalcPts[Custom],MATCH(TableRBVORP[[#This Row],[RK]],TableRBCalcPts[RK],0)),"")</f>
        <v/>
      </c>
      <c r="M112" s="156" t="e">
        <f>(IFERROR((TableRBVORP[[#This Row],[FPS]]-INDEX(TableRBVORP[FPS],MATCH(RBVORPCalc,TableRBVORP[RK],0))),""))*0.8</f>
        <v>#VALUE!</v>
      </c>
      <c r="O112" s="58">
        <v>111</v>
      </c>
      <c r="P112" s="154" t="str">
        <f>IFERROR(INDEX(TableWRCalcPts[PLAYER],MATCH(TableWRVORP[[#This Row],[RK]],TableWRCalcPts[RK],0)),"")</f>
        <v>Devontez Walker</v>
      </c>
      <c r="Q112" s="154" t="str">
        <f>IFERROR(INDEX(TableWRCalcPts[TM],MATCH(TableWRVORP[[#This Row],[RK]],TableWRCalcPts[RK],0)),"")</f>
        <v>BAL</v>
      </c>
      <c r="R112" s="154">
        <f>IFERROR(INDEX(TableWRCalcPts[BYE],MATCH(TableWRVORP[[#This Row],[RK]],TableWRCalcPts[RK],0)),"")</f>
        <v>13</v>
      </c>
      <c r="S112" s="155">
        <f>IFERROR(INDEX(TableWRCalcPts[Custom],MATCH(TableWRVORP[[#This Row],[RK]],TableWRCalcPts[RK],0)),"")</f>
        <v>40.708507950084538</v>
      </c>
      <c r="T112" s="156">
        <f>(IFERROR((TableWRVORP[[#This Row],[FPS]]-INDEX(TableWRVORP[FPS],MATCH(WRVORPCalc,TableWRVORP[RK],0))),""))</f>
        <v>-49.575677440281524</v>
      </c>
      <c r="AF112" s="58" t="s">
        <v>147</v>
      </c>
      <c r="AG112" s="58">
        <v>71</v>
      </c>
      <c r="AH112" s="100">
        <f>RANK(TableOverallMaster[[#This Row],[VORP]],TableOverallMaster[VORP])+COUNTIF($AM$2:AM112,AM112)-1</f>
        <v>261</v>
      </c>
      <c r="AI112" s="157" t="str">
        <f>IFERROR(INDEX(TableRBVORP[RUNNING BACK],MATCH(TableOverallMaster[[#This Row],[RK]],TableRBVORP[RK],0)),"")</f>
        <v>Chris Brooks</v>
      </c>
      <c r="AJ112" s="157" t="str">
        <f t="shared" si="1"/>
        <v>RB71</v>
      </c>
      <c r="AK112" s="157">
        <f>IFERROR(INDEX(TableRBVORP[BYE],MATCH(TableOverallMaster[[#This Row],[RK]],TableRBVORP[RK],0)),"")</f>
        <v>11</v>
      </c>
      <c r="AL112" s="158">
        <f>IFERROR(INDEX(TableRBVORP[FPS],MATCH(TableOverallMaster[[#This Row],[RK]],TableRBVORP[RK],0)),"")</f>
        <v>38.045966669694593</v>
      </c>
      <c r="AM112" s="159">
        <f>IFERROR(INDEX(TableRBVORP[VORP],MATCH(TableOverallMaster[[#This Row],[RK]],TableRBVORP[RK],0)),"")</f>
        <v>-52.769498049066229</v>
      </c>
      <c r="AO112" s="58">
        <v>111</v>
      </c>
      <c r="AP112" s="160" t="str">
        <f>IFERROR(INDEX(TableOverallMaster[OVERALL PLAYER],MATCH(TableOverallRank[[#This Row],[RK]],TableOverallMaster[OVR RK],0)),"")</f>
        <v>Michael Wilson</v>
      </c>
      <c r="AQ112" s="161" t="str">
        <f>IFERROR(INDEX(TableOverallMaster[POS RK],MATCH(TableOverallRank[[#This Row],[OVERALL PLAYER]],TableOverallMaster[OVERALL PLAYER],0)),"")</f>
        <v>WR48</v>
      </c>
      <c r="AR112" s="162">
        <f>IFERROR(INDEX(TableOverallMaster[BYE],MATCH(TableOverallRank[[#This Row],[OVERALL PLAYER]],TableOverallMaster[OVERALL PLAYER],0)),"")</f>
        <v>14</v>
      </c>
      <c r="AS112" s="161">
        <f>IFERROR(INDEX(TableOverallMaster[Custom],MATCH(TableOverallRank[[#This Row],[OVERALL PLAYER]],TableOverallMaster[OVERALL PLAYER],0)),"")</f>
        <v>143.41848778330626</v>
      </c>
      <c r="AT112" s="163">
        <f>IFERROR(INDEX(TableOverallMaster[VORP],MATCH(TableOverallRank[[#This Row],[OVERALL PLAYER]],TableOverallMaster[OVERALL PLAYER],0)),"")</f>
        <v>53.134302392940199</v>
      </c>
      <c r="AV112" s="58">
        <v>111</v>
      </c>
      <c r="AW112" s="164" t="str">
        <f>IFERROR(INDEX(TableWRTECalcPts[PLAYER],MATCH(TableWRTERank[[#This Row],[RK]],TableWRTECalcPts[RK],0)),"")</f>
        <v>David Njoku</v>
      </c>
      <c r="AX112" s="164" t="str">
        <f>IFERROR(INDEX(TableWRTECalcPts[POS RK],MATCH(TableWRTERank[[#This Row],[WR and TE COMBINED]],TableWRTECalcPts[PLAYER],0)),"")</f>
        <v>TE31</v>
      </c>
      <c r="AY112" s="164">
        <f>IFERROR(INDEX(TableWRTECalcPts[BYE],MATCH(TableWRTERank[[#This Row],[RK]],TableWRTECalcPts[RK],0)),"")</f>
        <v>7</v>
      </c>
      <c r="AZ112" s="165">
        <f>IFERROR(INDEX(TableWRTECalcPts[Custom],MATCH(TableWRTERank[[#This Row],[RK]],TableWRTECalcPts[RK],0)),"")</f>
        <v>71.842267786673858</v>
      </c>
      <c r="BA112" s="166">
        <f>IFERROR((TableWRTERank[[#This Row],[FPS]]-INDEX(TableWRTERank[FPS],MATCH(WRTEVORPCalc,TableWRTERank[RK],0))),"")</f>
        <v>-69.394103795617838</v>
      </c>
      <c r="BC112" s="58" t="s">
        <v>148</v>
      </c>
    </row>
    <row r="113" spans="8:55" x14ac:dyDescent="0.25">
      <c r="H113" s="58">
        <v>112</v>
      </c>
      <c r="I113" s="154" t="str">
        <f>IFERROR(INDEX(TableRBCalcPts[PLAYER],MATCH(TableRBVORP[[#This Row],[RK]],TableRBCalcPts[RK],0)),"")</f>
        <v/>
      </c>
      <c r="J113" s="154" t="str">
        <f>IFERROR(INDEX(TableRBCalcPts[TM],MATCH(TableRBVORP[[#This Row],[RK]],TableRBCalcPts[RK],0)),"")</f>
        <v/>
      </c>
      <c r="K113" s="154" t="str">
        <f>IFERROR(INDEX(TableRBCalcPts[BYE],MATCH(TableRBVORP[[#This Row],[RK]],TableRBCalcPts[RK],0)),"")</f>
        <v/>
      </c>
      <c r="L113" s="155" t="str">
        <f>IFERROR(INDEX(TableRBCalcPts[Custom],MATCH(TableRBVORP[[#This Row],[RK]],TableRBCalcPts[RK],0)),"")</f>
        <v/>
      </c>
      <c r="M113" s="156" t="e">
        <f>(IFERROR((TableRBVORP[[#This Row],[FPS]]-INDEX(TableRBVORP[FPS],MATCH(RBVORPCalc,TableRBVORP[RK],0))),""))*0.8</f>
        <v>#VALUE!</v>
      </c>
      <c r="O113" s="58">
        <v>112</v>
      </c>
      <c r="P113" s="154" t="str">
        <f>IFERROR(INDEX(TableWRCalcPts[PLAYER],MATCH(TableWRVORP[[#This Row],[RK]],TableWRCalcPts[RK],0)),"")</f>
        <v>Tory Horton</v>
      </c>
      <c r="Q113" s="154" t="str">
        <f>IFERROR(INDEX(TableWRCalcPts[TM],MATCH(TableWRVORP[[#This Row],[RK]],TableWRCalcPts[RK],0)),"")</f>
        <v>SEA</v>
      </c>
      <c r="R113" s="154">
        <f>IFERROR(INDEX(TableWRCalcPts[BYE],MATCH(TableWRVORP[[#This Row],[RK]],TableWRCalcPts[RK],0)),"")</f>
        <v>11</v>
      </c>
      <c r="S113" s="155">
        <f>IFERROR(INDEX(TableWRCalcPts[Custom],MATCH(TableWRVORP[[#This Row],[RK]],TableWRCalcPts[RK],0)),"")</f>
        <v>39.720708971919365</v>
      </c>
      <c r="T113" s="156">
        <f>(IFERROR((TableWRVORP[[#This Row],[FPS]]-INDEX(TableWRVORP[FPS],MATCH(WRVORPCalc,TableWRVORP[RK],0))),""))</f>
        <v>-50.563476418446697</v>
      </c>
      <c r="AF113" s="58" t="s">
        <v>147</v>
      </c>
      <c r="AG113" s="58">
        <v>72</v>
      </c>
      <c r="AH113" s="100">
        <f>RANK(TableOverallMaster[[#This Row],[VORP]],TableOverallMaster[VORP])+COUNTIF($AM$2:AM113,AM113)-1</f>
        <v>262</v>
      </c>
      <c r="AI113" s="157" t="str">
        <f>IFERROR(INDEX(TableRBVORP[RUNNING BACK],MATCH(TableOverallMaster[[#This Row],[RK]],TableRBVORP[RK],0)),"")</f>
        <v>Zach Charbonnet</v>
      </c>
      <c r="AJ113" s="157" t="str">
        <f t="shared" si="1"/>
        <v>RB72</v>
      </c>
      <c r="AK113" s="157">
        <f>IFERROR(INDEX(TableRBVORP[BYE],MATCH(TableOverallMaster[[#This Row],[RK]],TableRBVORP[RK],0)),"")</f>
        <v>11</v>
      </c>
      <c r="AL113" s="158">
        <f>IFERROR(INDEX(TableRBVORP[FPS],MATCH(TableOverallMaster[[#This Row],[RK]],TableRBVORP[RK],0)),"")</f>
        <v>37.480893777180206</v>
      </c>
      <c r="AM113" s="159">
        <f>IFERROR(INDEX(TableRBVORP[VORP],MATCH(TableOverallMaster[[#This Row],[RK]],TableRBVORP[RK],0)),"")</f>
        <v>-53.221556363077731</v>
      </c>
      <c r="AO113" s="58">
        <v>112</v>
      </c>
      <c r="AP113" s="160" t="str">
        <f>IFERROR(INDEX(TableOverallMaster[OVERALL PLAYER],MATCH(TableOverallRank[[#This Row],[RK]],TableOverallMaster[OVR RK],0)),"")</f>
        <v>Chuba Hubbard</v>
      </c>
      <c r="AQ113" s="161" t="str">
        <f>IFERROR(INDEX(TableOverallMaster[POS RK],MATCH(TableOverallRank[[#This Row],[OVERALL PLAYER]],TableOverallMaster[OVERALL PLAYER],0)),"")</f>
        <v>RB30</v>
      </c>
      <c r="AR113" s="162">
        <f>IFERROR(INDEX(TableOverallMaster[BYE],MATCH(TableOverallRank[[#This Row],[OVERALL PLAYER]],TableOverallMaster[OVERALL PLAYER],0)),"")</f>
        <v>5</v>
      </c>
      <c r="AS113" s="161">
        <f>IFERROR(INDEX(TableOverallMaster[Custom],MATCH(TableOverallRank[[#This Row],[OVERALL PLAYER]],TableOverallMaster[OVERALL PLAYER],0)),"")</f>
        <v>169.64248035544395</v>
      </c>
      <c r="AT113" s="163">
        <f>IFERROR(INDEX(TableOverallMaster[VORP],MATCH(TableOverallRank[[#This Row],[OVERALL PLAYER]],TableOverallMaster[OVERALL PLAYER],0)),"")</f>
        <v>52.50771289953326</v>
      </c>
      <c r="AV113" s="58">
        <v>112</v>
      </c>
      <c r="AW113" s="164" t="str">
        <f>IFERROR(INDEX(TableWRTECalcPts[PLAYER],MATCH(TableWRTERank[[#This Row],[RK]],TableWRTECalcPts[RK],0)),"")</f>
        <v>Evan Engram</v>
      </c>
      <c r="AX113" s="164" t="str">
        <f>IFERROR(INDEX(TableWRTECalcPts[POS RK],MATCH(TableWRTERank[[#This Row],[WR and TE COMBINED]],TableWRTECalcPts[PLAYER],0)),"")</f>
        <v>TE32</v>
      </c>
      <c r="AY113" s="164">
        <f>IFERROR(INDEX(TableWRTECalcPts[BYE],MATCH(TableWRTERank[[#This Row],[RK]],TableWRTECalcPts[RK],0)),"")</f>
        <v>10</v>
      </c>
      <c r="AZ113" s="165">
        <f>IFERROR(INDEX(TableWRTECalcPts[Custom],MATCH(TableWRTERank[[#This Row],[RK]],TableWRTECalcPts[RK],0)),"")</f>
        <v>71.134066611231063</v>
      </c>
      <c r="BA113" s="166">
        <f>IFERROR((TableWRTERank[[#This Row],[FPS]]-INDEX(TableWRTERank[FPS],MATCH(WRTEVORPCalc,TableWRTERank[RK],0))),"")</f>
        <v>-70.102304971060633</v>
      </c>
      <c r="BC113" s="58" t="s">
        <v>148</v>
      </c>
    </row>
    <row r="114" spans="8:55" x14ac:dyDescent="0.25">
      <c r="H114" s="58">
        <v>113</v>
      </c>
      <c r="I114" s="154" t="str">
        <f>IFERROR(INDEX(TableRBCalcPts[PLAYER],MATCH(TableRBVORP[[#This Row],[RK]],TableRBCalcPts[RK],0)),"")</f>
        <v/>
      </c>
      <c r="J114" s="154" t="str">
        <f>IFERROR(INDEX(TableRBCalcPts[TM],MATCH(TableRBVORP[[#This Row],[RK]],TableRBCalcPts[RK],0)),"")</f>
        <v/>
      </c>
      <c r="K114" s="154" t="str">
        <f>IFERROR(INDEX(TableRBCalcPts[BYE],MATCH(TableRBVORP[[#This Row],[RK]],TableRBCalcPts[RK],0)),"")</f>
        <v/>
      </c>
      <c r="L114" s="155" t="str">
        <f>IFERROR(INDEX(TableRBCalcPts[Custom],MATCH(TableRBVORP[[#This Row],[RK]],TableRBCalcPts[RK],0)),"")</f>
        <v/>
      </c>
      <c r="M114" s="156" t="e">
        <f>(IFERROR((TableRBVORP[[#This Row],[FPS]]-INDEX(TableRBVORP[FPS],MATCH(RBVORPCalc,TableRBVORP[RK],0))),""))*0.8</f>
        <v>#VALUE!</v>
      </c>
      <c r="O114" s="58">
        <v>113</v>
      </c>
      <c r="P114" s="154" t="str">
        <f>IFERROR(INDEX(TableWRCalcPts[PLAYER],MATCH(TableWRVORP[[#This Row],[RK]],TableWRCalcPts[RK],0)),"")</f>
        <v>Konata Mumpfield</v>
      </c>
      <c r="Q114" s="154" t="str">
        <f>IFERROR(INDEX(TableWRCalcPts[TM],MATCH(TableWRVORP[[#This Row],[RK]],TableWRCalcPts[RK],0)),"")</f>
        <v>LAR</v>
      </c>
      <c r="R114" s="154">
        <f>IFERROR(INDEX(TableWRCalcPts[BYE],MATCH(TableWRVORP[[#This Row],[RK]],TableWRCalcPts[RK],0)),"")</f>
        <v>11</v>
      </c>
      <c r="S114" s="155">
        <f>IFERROR(INDEX(TableWRCalcPts[Custom],MATCH(TableWRVORP[[#This Row],[RK]],TableWRCalcPts[RK],0)),"")</f>
        <v>39.670482529071322</v>
      </c>
      <c r="T114" s="156">
        <f>(IFERROR((TableWRVORP[[#This Row],[FPS]]-INDEX(TableWRVORP[FPS],MATCH(WRVORPCalc,TableWRVORP[RK],0))),""))</f>
        <v>-50.61370286129474</v>
      </c>
      <c r="AF114" s="58" t="s">
        <v>147</v>
      </c>
      <c r="AG114" s="58">
        <v>73</v>
      </c>
      <c r="AH114" s="100">
        <f>RANK(TableOverallMaster[[#This Row],[VORP]],TableOverallMaster[VORP])+COUNTIF($AM$2:AM114,AM114)-1</f>
        <v>263</v>
      </c>
      <c r="AI114" s="157" t="str">
        <f>IFERROR(INDEX(TableRBVORP[RUNNING BACK],MATCH(TableOverallMaster[[#This Row],[RK]],TableRBVORP[RK],0)),"")</f>
        <v>Jordan James</v>
      </c>
      <c r="AJ114" s="157" t="str">
        <f t="shared" si="1"/>
        <v>RB73</v>
      </c>
      <c r="AK114" s="157">
        <f>IFERROR(INDEX(TableRBVORP[BYE],MATCH(TableOverallMaster[[#This Row],[RK]],TableRBVORP[RK],0)),"")</f>
        <v>8</v>
      </c>
      <c r="AL114" s="158">
        <f>IFERROR(INDEX(TableRBVORP[FPS],MATCH(TableOverallMaster[[#This Row],[RK]],TableRBVORP[RK],0)),"")</f>
        <v>36.135550445991981</v>
      </c>
      <c r="AM114" s="159">
        <f>IFERROR(INDEX(TableRBVORP[VORP],MATCH(TableOverallMaster[[#This Row],[RK]],TableRBVORP[RK],0)),"")</f>
        <v>-54.29783102802832</v>
      </c>
      <c r="AO114" s="58">
        <v>113</v>
      </c>
      <c r="AP114" s="160" t="str">
        <f>IFERROR(INDEX(TableOverallMaster[OVERALL PLAYER],MATCH(TableOverallRank[[#This Row],[RK]],TableOverallMaster[OVR RK],0)),"")</f>
        <v>Xavier Worthy</v>
      </c>
      <c r="AQ114" s="161" t="str">
        <f>IFERROR(INDEX(TableOverallMaster[POS RK],MATCH(TableOverallRank[[#This Row],[OVERALL PLAYER]],TableOverallMaster[OVERALL PLAYER],0)),"")</f>
        <v>WR49</v>
      </c>
      <c r="AR114" s="162">
        <f>IFERROR(INDEX(TableOverallMaster[BYE],MATCH(TableOverallRank[[#This Row],[OVERALL PLAYER]],TableOverallMaster[OVERALL PLAYER],0)),"")</f>
        <v>5</v>
      </c>
      <c r="AS114" s="161">
        <f>IFERROR(INDEX(TableOverallMaster[Custom],MATCH(TableOverallRank[[#This Row],[OVERALL PLAYER]],TableOverallMaster[OVERALL PLAYER],0)),"")</f>
        <v>142.00991741360272</v>
      </c>
      <c r="AT114" s="163">
        <f>IFERROR(INDEX(TableOverallMaster[VORP],MATCH(TableOverallRank[[#This Row],[OVERALL PLAYER]],TableOverallMaster[OVERALL PLAYER],0)),"")</f>
        <v>51.72573202323666</v>
      </c>
      <c r="AV114" s="58">
        <v>113</v>
      </c>
      <c r="AW114" s="164" t="str">
        <f>IFERROR(INDEX(TableWRTECalcPts[PLAYER],MATCH(TableWRTERank[[#This Row],[RK]],TableWRTECalcPts[RK],0)),"")</f>
        <v>Tank Dell</v>
      </c>
      <c r="AX114" s="164" t="str">
        <f>IFERROR(INDEX(TableWRTECalcPts[POS RK],MATCH(TableWRTERank[[#This Row],[WR and TE COMBINED]],TableWRTECalcPts[PLAYER],0)),"")</f>
        <v>WR81</v>
      </c>
      <c r="AY114" s="164">
        <f>IFERROR(INDEX(TableWRTECalcPts[BYE],MATCH(TableWRTERank[[#This Row],[RK]],TableWRTECalcPts[RK],0)),"")</f>
        <v>8</v>
      </c>
      <c r="AZ114" s="165">
        <f>IFERROR(INDEX(TableWRTECalcPts[Custom],MATCH(TableWRTERank[[#This Row],[RK]],TableWRTECalcPts[RK],0)),"")</f>
        <v>69.155467284078</v>
      </c>
      <c r="BA114" s="166">
        <f>IFERROR((TableWRTERank[[#This Row],[FPS]]-INDEX(TableWRTERank[FPS],MATCH(WRTEVORPCalc,TableWRTERank[RK],0))),"")</f>
        <v>-72.080904298213696</v>
      </c>
      <c r="BC114" s="58" t="s">
        <v>148</v>
      </c>
    </row>
    <row r="115" spans="8:55" x14ac:dyDescent="0.25">
      <c r="H115" s="58">
        <v>114</v>
      </c>
      <c r="I115" s="154" t="str">
        <f>IFERROR(INDEX(TableRBCalcPts[PLAYER],MATCH(TableRBVORP[[#This Row],[RK]],TableRBCalcPts[RK],0)),"")</f>
        <v/>
      </c>
      <c r="J115" s="154" t="str">
        <f>IFERROR(INDEX(TableRBCalcPts[TM],MATCH(TableRBVORP[[#This Row],[RK]],TableRBCalcPts[RK],0)),"")</f>
        <v/>
      </c>
      <c r="K115" s="154" t="str">
        <f>IFERROR(INDEX(TableRBCalcPts[BYE],MATCH(TableRBVORP[[#This Row],[RK]],TableRBCalcPts[RK],0)),"")</f>
        <v/>
      </c>
      <c r="L115" s="155" t="str">
        <f>IFERROR(INDEX(TableRBCalcPts[Custom],MATCH(TableRBVORP[[#This Row],[RK]],TableRBCalcPts[RK],0)),"")</f>
        <v/>
      </c>
      <c r="M115" s="156" t="e">
        <f>(IFERROR((TableRBVORP[[#This Row],[FPS]]-INDEX(TableRBVORP[FPS],MATCH(RBVORPCalc,TableRBVORP[RK],0))),""))*0.8</f>
        <v>#VALUE!</v>
      </c>
      <c r="O115" s="58">
        <v>114</v>
      </c>
      <c r="P115" s="154" t="str">
        <f>IFERROR(INDEX(TableWRCalcPts[PLAYER],MATCH(TableWRVORP[[#This Row],[RK]],TableWRCalcPts[RK],0)),"")</f>
        <v>Treylon Burks</v>
      </c>
      <c r="Q115" s="154" t="str">
        <f>IFERROR(INDEX(TableWRCalcPts[TM],MATCH(TableWRVORP[[#This Row],[RK]],TableWRCalcPts[RK],0)),"")</f>
        <v>WSH</v>
      </c>
      <c r="R115" s="154">
        <f>IFERROR(INDEX(TableWRCalcPts[BYE],MATCH(TableWRVORP[[#This Row],[RK]],TableWRCalcPts[RK],0)),"")</f>
        <v>7</v>
      </c>
      <c r="S115" s="155">
        <f>IFERROR(INDEX(TableWRCalcPts[Custom],MATCH(TableWRVORP[[#This Row],[RK]],TableWRCalcPts[RK],0)),"")</f>
        <v>39.492766813743984</v>
      </c>
      <c r="T115" s="156">
        <f>(IFERROR((TableWRVORP[[#This Row],[FPS]]-INDEX(TableWRVORP[FPS],MATCH(WRVORPCalc,TableWRVORP[RK],0))),""))</f>
        <v>-50.791418576622078</v>
      </c>
      <c r="AF115" s="58" t="s">
        <v>147</v>
      </c>
      <c r="AG115" s="58">
        <v>74</v>
      </c>
      <c r="AH115" s="100">
        <f>RANK(TableOverallMaster[[#This Row],[VORP]],TableOverallMaster[VORP])+COUNTIF($AM$2:AM115,AM115)-1</f>
        <v>264</v>
      </c>
      <c r="AI115" s="157" t="str">
        <f>IFERROR(INDEX(TableRBVORP[RUNNING BACK],MATCH(TableOverallMaster[[#This Row],[RK]],TableRBVORP[RK],0)),"")</f>
        <v>Malik Davis</v>
      </c>
      <c r="AJ115" s="157" t="str">
        <f t="shared" si="1"/>
        <v>RB74</v>
      </c>
      <c r="AK115" s="157">
        <f>IFERROR(INDEX(TableRBVORP[BYE],MATCH(TableOverallMaster[[#This Row],[RK]],TableRBVORP[RK],0)),"")</f>
        <v>14</v>
      </c>
      <c r="AL115" s="158">
        <f>IFERROR(INDEX(TableRBVORP[FPS],MATCH(TableOverallMaster[[#This Row],[RK]],TableRBVORP[RK],0)),"")</f>
        <v>35.551474799190409</v>
      </c>
      <c r="AM115" s="159">
        <f>IFERROR(INDEX(TableRBVORP[VORP],MATCH(TableOverallMaster[[#This Row],[RK]],TableRBVORP[RK],0)),"")</f>
        <v>-54.765091545469573</v>
      </c>
      <c r="AO115" s="58">
        <v>114</v>
      </c>
      <c r="AP115" s="160" t="str">
        <f>IFERROR(INDEX(TableOverallMaster[OVERALL PLAYER],MATCH(TableOverallRank[[#This Row],[RK]],TableOverallMaster[OVR RK],0)),"")</f>
        <v>Rico Dowdle</v>
      </c>
      <c r="AQ115" s="161" t="str">
        <f>IFERROR(INDEX(TableOverallMaster[POS RK],MATCH(TableOverallRank[[#This Row],[OVERALL PLAYER]],TableOverallMaster[OVERALL PLAYER],0)),"")</f>
        <v>RB31</v>
      </c>
      <c r="AR115" s="162">
        <f>IFERROR(INDEX(TableOverallMaster[BYE],MATCH(TableOverallRank[[#This Row],[OVERALL PLAYER]],TableOverallMaster[OVERALL PLAYER],0)),"")</f>
        <v>9</v>
      </c>
      <c r="AS115" s="161">
        <f>IFERROR(INDEX(TableOverallMaster[Custom],MATCH(TableOverallRank[[#This Row],[OVERALL PLAYER]],TableOverallMaster[OVERALL PLAYER],0)),"")</f>
        <v>168.56500158390702</v>
      </c>
      <c r="AT115" s="163">
        <f>IFERROR(INDEX(TableOverallMaster[VORP],MATCH(TableOverallRank[[#This Row],[OVERALL PLAYER]],TableOverallMaster[OVERALL PLAYER],0)),"")</f>
        <v>51.645729882303719</v>
      </c>
      <c r="AV115" s="58">
        <v>114</v>
      </c>
      <c r="AW115" s="164" t="str">
        <f>IFERROR(INDEX(TableWRTECalcPts[PLAYER],MATCH(TableWRTERank[[#This Row],[RK]],TableWRTECalcPts[RK],0)),"")</f>
        <v>Nick Westbrook-Ikhine</v>
      </c>
      <c r="AX115" s="164" t="str">
        <f>IFERROR(INDEX(TableWRTECalcPts[POS RK],MATCH(TableWRTERank[[#This Row],[WR and TE COMBINED]],TableWRTECalcPts[PLAYER],0)),"")</f>
        <v>WR82</v>
      </c>
      <c r="AY115" s="164">
        <f>IFERROR(INDEX(TableWRTECalcPts[BYE],MATCH(TableWRTERank[[#This Row],[RK]],TableWRTECalcPts[RK],0)),"")</f>
        <v>13</v>
      </c>
      <c r="AZ115" s="165">
        <f>IFERROR(INDEX(TableWRTECalcPts[Custom],MATCH(TableWRTERank[[#This Row],[RK]],TableWRTECalcPts[RK],0)),"")</f>
        <v>68.744066857804796</v>
      </c>
      <c r="BA115" s="166">
        <f>IFERROR((TableWRTERank[[#This Row],[FPS]]-INDEX(TableWRTERank[FPS],MATCH(WRTEVORPCalc,TableWRTERank[RK],0))),"")</f>
        <v>-72.4923047244869</v>
      </c>
      <c r="BC115" s="58" t="s">
        <v>148</v>
      </c>
    </row>
    <row r="116" spans="8:55" x14ac:dyDescent="0.25">
      <c r="H116" s="58">
        <v>115</v>
      </c>
      <c r="I116" s="154" t="str">
        <f>IFERROR(INDEX(TableRBCalcPts[PLAYER],MATCH(TableRBVORP[[#This Row],[RK]],TableRBCalcPts[RK],0)),"")</f>
        <v/>
      </c>
      <c r="J116" s="154" t="str">
        <f>IFERROR(INDEX(TableRBCalcPts[TM],MATCH(TableRBVORP[[#This Row],[RK]],TableRBCalcPts[RK],0)),"")</f>
        <v/>
      </c>
      <c r="K116" s="154" t="str">
        <f>IFERROR(INDEX(TableRBCalcPts[BYE],MATCH(TableRBVORP[[#This Row],[RK]],TableRBCalcPts[RK],0)),"")</f>
        <v/>
      </c>
      <c r="L116" s="155" t="str">
        <f>IFERROR(INDEX(TableRBCalcPts[Custom],MATCH(TableRBVORP[[#This Row],[RK]],TableRBCalcPts[RK],0)),"")</f>
        <v/>
      </c>
      <c r="M116" s="156" t="e">
        <f>(IFERROR((TableRBVORP[[#This Row],[FPS]]-INDEX(TableRBVORP[FPS],MATCH(RBVORPCalc,TableRBVORP[RK],0))),""))*0.8</f>
        <v>#VALUE!</v>
      </c>
      <c r="O116" s="58">
        <v>115</v>
      </c>
      <c r="P116" s="154" t="str">
        <f>IFERROR(INDEX(TableWRCalcPts[PLAYER],MATCH(TableWRVORP[[#This Row],[RK]],TableWRCalcPts[RK],0)),"")</f>
        <v>DeMario Douglas</v>
      </c>
      <c r="Q116" s="154" t="str">
        <f>IFERROR(INDEX(TableWRCalcPts[TM],MATCH(TableWRVORP[[#This Row],[RK]],TableWRCalcPts[RK],0)),"")</f>
        <v>NE</v>
      </c>
      <c r="R116" s="154">
        <f>IFERROR(INDEX(TableWRCalcPts[BYE],MATCH(TableWRVORP[[#This Row],[RK]],TableWRCalcPts[RK],0)),"")</f>
        <v>11</v>
      </c>
      <c r="S116" s="155">
        <f>IFERROR(INDEX(TableWRCalcPts[Custom],MATCH(TableWRVORP[[#This Row],[RK]],TableWRCalcPts[RK],0)),"")</f>
        <v>39.490949945018883</v>
      </c>
      <c r="T116" s="156">
        <f>(IFERROR((TableWRVORP[[#This Row],[FPS]]-INDEX(TableWRVORP[FPS],MATCH(WRVORPCalc,TableWRVORP[RK],0))),""))</f>
        <v>-50.793235445347179</v>
      </c>
      <c r="AF116" s="58" t="s">
        <v>147</v>
      </c>
      <c r="AG116" s="58">
        <v>75</v>
      </c>
      <c r="AH116" s="100">
        <f>RANK(TableOverallMaster[[#This Row],[VORP]],TableOverallMaster[VORP])+COUNTIF($AM$2:AM116,AM116)-1</f>
        <v>265</v>
      </c>
      <c r="AI116" s="157" t="str">
        <f>IFERROR(INDEX(TableRBVORP[RUNNING BACK],MATCH(TableOverallMaster[[#This Row],[RK]],TableRBVORP[RK],0)),"")</f>
        <v>Trey Benson</v>
      </c>
      <c r="AJ116" s="157" t="str">
        <f t="shared" si="1"/>
        <v>RB75</v>
      </c>
      <c r="AK116" s="157">
        <f>IFERROR(INDEX(TableRBVORP[BYE],MATCH(TableOverallMaster[[#This Row],[RK]],TableRBVORP[RK],0)),"")</f>
        <v>14</v>
      </c>
      <c r="AL116" s="158">
        <f>IFERROR(INDEX(TableRBVORP[FPS],MATCH(TableOverallMaster[[#This Row],[RK]],TableRBVORP[RK],0)),"")</f>
        <v>35.444868379199995</v>
      </c>
      <c r="AM116" s="159">
        <f>IFERROR(INDEX(TableRBVORP[VORP],MATCH(TableOverallMaster[[#This Row],[RK]],TableRBVORP[RK],0)),"")</f>
        <v>-54.850376681461903</v>
      </c>
      <c r="AO116" s="58">
        <v>115</v>
      </c>
      <c r="AP116" s="160" t="str">
        <f>IFERROR(INDEX(TableOverallMaster[OVERALL PLAYER],MATCH(TableOverallRank[[#This Row],[RK]],TableOverallMaster[OVR RK],0)),"")</f>
        <v>Mark Andrews</v>
      </c>
      <c r="AQ116" s="161" t="str">
        <f>IFERROR(INDEX(TableOverallMaster[POS RK],MATCH(TableOverallRank[[#This Row],[OVERALL PLAYER]],TableOverallMaster[OVERALL PLAYER],0)),"")</f>
        <v>TE14</v>
      </c>
      <c r="AR116" s="162">
        <f>IFERROR(INDEX(TableOverallMaster[BYE],MATCH(TableOverallRank[[#This Row],[OVERALL PLAYER]],TableOverallMaster[OVERALL PLAYER],0)),"")</f>
        <v>13</v>
      </c>
      <c r="AS116" s="161">
        <f>IFERROR(INDEX(TableOverallMaster[Custom],MATCH(TableOverallRank[[#This Row],[OVERALL PLAYER]],TableOverallMaster[OVERALL PLAYER],0)),"")</f>
        <v>128.78263794049053</v>
      </c>
      <c r="AT116" s="163">
        <f>IFERROR(INDEX(TableOverallMaster[VORP],MATCH(TableOverallRank[[#This Row],[OVERALL PLAYER]],TableOverallMaster[OVERALL PLAYER],0)),"")</f>
        <v>50.896843964248845</v>
      </c>
      <c r="AV116" s="58">
        <v>115</v>
      </c>
      <c r="AW116" s="164" t="str">
        <f>IFERROR(INDEX(TableWRTECalcPts[PLAYER],MATCH(TableWRTERank[[#This Row],[RK]],TableWRTECalcPts[RK],0)),"")</f>
        <v>Mason Taylor</v>
      </c>
      <c r="AX116" s="164" t="str">
        <f>IFERROR(INDEX(TableWRTECalcPts[POS RK],MATCH(TableWRTERank[[#This Row],[WR and TE COMBINED]],TableWRTECalcPts[PLAYER],0)),"")</f>
        <v>TE33</v>
      </c>
      <c r="AY116" s="164">
        <f>IFERROR(INDEX(TableWRTECalcPts[BYE],MATCH(TableWRTERank[[#This Row],[RK]],TableWRTECalcPts[RK],0)),"")</f>
        <v>13</v>
      </c>
      <c r="AZ116" s="165">
        <f>IFERROR(INDEX(TableWRTECalcPts[Custom],MATCH(TableWRTERank[[#This Row],[RK]],TableWRTECalcPts[RK],0)),"")</f>
        <v>64.620107061078613</v>
      </c>
      <c r="BA116" s="166">
        <f>IFERROR((TableWRTERank[[#This Row],[FPS]]-INDEX(TableWRTERank[FPS],MATCH(WRTEVORPCalc,TableWRTERank[RK],0))),"")</f>
        <v>-76.616264521213083</v>
      </c>
      <c r="BC116" s="58" t="s">
        <v>148</v>
      </c>
    </row>
    <row r="117" spans="8:55" x14ac:dyDescent="0.25">
      <c r="H117" s="58">
        <v>116</v>
      </c>
      <c r="I117" s="154" t="str">
        <f>IFERROR(INDEX(TableRBCalcPts[PLAYER],MATCH(TableRBVORP[[#This Row],[RK]],TableRBCalcPts[RK],0)),"")</f>
        <v/>
      </c>
      <c r="J117" s="154" t="str">
        <f>IFERROR(INDEX(TableRBCalcPts[TM],MATCH(TableRBVORP[[#This Row],[RK]],TableRBCalcPts[RK],0)),"")</f>
        <v/>
      </c>
      <c r="K117" s="154" t="str">
        <f>IFERROR(INDEX(TableRBCalcPts[BYE],MATCH(TableRBVORP[[#This Row],[RK]],TableRBCalcPts[RK],0)),"")</f>
        <v/>
      </c>
      <c r="L117" s="155" t="str">
        <f>IFERROR(INDEX(TableRBCalcPts[Custom],MATCH(TableRBVORP[[#This Row],[RK]],TableRBCalcPts[RK],0)),"")</f>
        <v/>
      </c>
      <c r="M117" s="156" t="e">
        <f>(IFERROR((TableRBVORP[[#This Row],[FPS]]-INDEX(TableRBVORP[FPS],MATCH(RBVORPCalc,TableRBVORP[RK],0))),""))*0.8</f>
        <v>#VALUE!</v>
      </c>
      <c r="O117" s="58">
        <v>116</v>
      </c>
      <c r="P117" s="154" t="str">
        <f>IFERROR(INDEX(TableWRCalcPts[PLAYER],MATCH(TableWRVORP[[#This Row],[RK]],TableWRCalcPts[RK],0)),"")</f>
        <v>Christian Kirk</v>
      </c>
      <c r="Q117" s="154" t="str">
        <f>IFERROR(INDEX(TableWRCalcPts[TM],MATCH(TableWRVORP[[#This Row],[RK]],TableWRCalcPts[RK],0)),"")</f>
        <v>SF</v>
      </c>
      <c r="R117" s="154">
        <f>IFERROR(INDEX(TableWRCalcPts[BYE],MATCH(TableWRVORP[[#This Row],[RK]],TableWRCalcPts[RK],0)),"")</f>
        <v>8</v>
      </c>
      <c r="S117" s="155">
        <f>IFERROR(INDEX(TableWRCalcPts[Custom],MATCH(TableWRVORP[[#This Row],[RK]],TableWRCalcPts[RK],0)),"")</f>
        <v>38.671375046540604</v>
      </c>
      <c r="T117" s="156">
        <f>(IFERROR((TableWRVORP[[#This Row],[FPS]]-INDEX(TableWRVORP[FPS],MATCH(WRVORPCalc,TableWRVORP[RK],0))),""))</f>
        <v>-51.612810343825458</v>
      </c>
      <c r="AF117" s="58" t="s">
        <v>147</v>
      </c>
      <c r="AG117" s="58">
        <v>76</v>
      </c>
      <c r="AH117" s="100">
        <f>RANK(TableOverallMaster[[#This Row],[VORP]],TableOverallMaster[VORP])+COUNTIF($AM$2:AM117,AM117)-1</f>
        <v>266</v>
      </c>
      <c r="AI117" s="157" t="str">
        <f>IFERROR(INDEX(TableRBVORP[RUNNING BACK],MATCH(TableOverallMaster[[#This Row],[RK]],TableRBVORP[RK],0)),"")</f>
        <v>Kimani Vidal</v>
      </c>
      <c r="AJ117" s="157" t="str">
        <f t="shared" si="1"/>
        <v>RB76</v>
      </c>
      <c r="AK117" s="157">
        <f>IFERROR(INDEX(TableRBVORP[BYE],MATCH(TableOverallMaster[[#This Row],[RK]],TableRBVORP[RK],0)),"")</f>
        <v>7</v>
      </c>
      <c r="AL117" s="158">
        <f>IFERROR(INDEX(TableRBVORP[FPS],MATCH(TableOverallMaster[[#This Row],[RK]],TableRBVORP[RK],0)),"")</f>
        <v>33.511478500499997</v>
      </c>
      <c r="AM117" s="159">
        <f>IFERROR(INDEX(TableRBVORP[VORP],MATCH(TableOverallMaster[[#This Row],[RK]],TableRBVORP[RK],0)),"")</f>
        <v>-56.397088584421908</v>
      </c>
      <c r="AO117" s="58">
        <v>116</v>
      </c>
      <c r="AP117" s="160" t="str">
        <f>IFERROR(INDEX(TableOverallMaster[OVERALL PLAYER],MATCH(TableOverallRank[[#This Row],[RK]],TableOverallMaster[OVR RK],0)),"")</f>
        <v>Malik Willis</v>
      </c>
      <c r="AQ117" s="161" t="str">
        <f>IFERROR(INDEX(TableOverallMaster[POS RK],MATCH(TableOverallRank[[#This Row],[OVERALL PLAYER]],TableOverallMaster[OVERALL PLAYER],0)),"")</f>
        <v>QB22</v>
      </c>
      <c r="AR117" s="162">
        <f>IFERROR(INDEX(TableOverallMaster[BYE],MATCH(TableOverallRank[[#This Row],[OVERALL PLAYER]],TableOverallMaster[OVERALL PLAYER],0)),"")</f>
        <v>6</v>
      </c>
      <c r="AS117" s="161">
        <f>IFERROR(INDEX(TableOverallMaster[Custom],MATCH(TableOverallRank[[#This Row],[OVERALL PLAYER]],TableOverallMaster[OVERALL PLAYER],0)),"")</f>
        <v>356.96347448918812</v>
      </c>
      <c r="AT117" s="163">
        <f>IFERROR(INDEX(TableOverallMaster[VORP],MATCH(TableOverallRank[[#This Row],[OVERALL PLAYER]],TableOverallMaster[OVERALL PLAYER],0)),"")</f>
        <v>50.660327398545164</v>
      </c>
      <c r="AV117" s="58">
        <v>116</v>
      </c>
      <c r="AW117" s="164" t="str">
        <f>IFERROR(INDEX(TableWRTECalcPts[PLAYER],MATCH(TableWRTERank[[#This Row],[RK]],TableWRTECalcPts[RK],0)),"")</f>
        <v>Elijah Sarratt</v>
      </c>
      <c r="AX117" s="164" t="str">
        <f>IFERROR(INDEX(TableWRTECalcPts[POS RK],MATCH(TableWRTERank[[#This Row],[WR and TE COMBINED]],TableWRTECalcPts[PLAYER],0)),"")</f>
        <v>WR83</v>
      </c>
      <c r="AY117" s="164">
        <f>IFERROR(INDEX(TableWRTECalcPts[BYE],MATCH(TableWRTERank[[#This Row],[RK]],TableWRTECalcPts[RK],0)),"")</f>
        <v>13</v>
      </c>
      <c r="AZ117" s="165">
        <f>IFERROR(INDEX(TableWRTECalcPts[Custom],MATCH(TableWRTERank[[#This Row],[RK]],TableWRTECalcPts[RK],0)),"")</f>
        <v>64.331268238132509</v>
      </c>
      <c r="BA117" s="166">
        <f>IFERROR((TableWRTERank[[#This Row],[FPS]]-INDEX(TableWRTERank[FPS],MATCH(WRTEVORPCalc,TableWRTERank[RK],0))),"")</f>
        <v>-76.905103344159187</v>
      </c>
      <c r="BC117" s="58" t="s">
        <v>148</v>
      </c>
    </row>
    <row r="118" spans="8:55" x14ac:dyDescent="0.25">
      <c r="H118" s="58">
        <v>117</v>
      </c>
      <c r="I118" s="154" t="str">
        <f>IFERROR(INDEX(TableRBCalcPts[PLAYER],MATCH(TableRBVORP[[#This Row],[RK]],TableRBCalcPts[RK],0)),"")</f>
        <v/>
      </c>
      <c r="J118" s="154" t="str">
        <f>IFERROR(INDEX(TableRBCalcPts[TM],MATCH(TableRBVORP[[#This Row],[RK]],TableRBCalcPts[RK],0)),"")</f>
        <v/>
      </c>
      <c r="K118" s="154" t="str">
        <f>IFERROR(INDEX(TableRBCalcPts[BYE],MATCH(TableRBVORP[[#This Row],[RK]],TableRBCalcPts[RK],0)),"")</f>
        <v/>
      </c>
      <c r="L118" s="155" t="str">
        <f>IFERROR(INDEX(TableRBCalcPts[Custom],MATCH(TableRBVORP[[#This Row],[RK]],TableRBCalcPts[RK],0)),"")</f>
        <v/>
      </c>
      <c r="M118" s="156" t="e">
        <f>(IFERROR((TableRBVORP[[#This Row],[FPS]]-INDEX(TableRBVORP[FPS],MATCH(RBVORPCalc,TableRBVORP[RK],0))),""))*0.8</f>
        <v>#VALUE!</v>
      </c>
      <c r="O118" s="58">
        <v>117</v>
      </c>
      <c r="P118" s="154" t="str">
        <f>IFERROR(INDEX(TableWRCalcPts[PLAYER],MATCH(TableWRVORP[[#This Row],[RK]],TableWRCalcPts[RK],0)),"")</f>
        <v>Joshua Palmer</v>
      </c>
      <c r="Q118" s="154" t="str">
        <f>IFERROR(INDEX(TableWRCalcPts[TM],MATCH(TableWRVORP[[#This Row],[RK]],TableWRCalcPts[RK],0)),"")</f>
        <v>BUF</v>
      </c>
      <c r="R118" s="154">
        <f>IFERROR(INDEX(TableWRCalcPts[BYE],MATCH(TableWRVORP[[#This Row],[RK]],TableWRCalcPts[RK],0)),"")</f>
        <v>7</v>
      </c>
      <c r="S118" s="155">
        <f>IFERROR(INDEX(TableWRCalcPts[Custom],MATCH(TableWRVORP[[#This Row],[RK]],TableWRCalcPts[RK],0)),"")</f>
        <v>37.047699019147593</v>
      </c>
      <c r="T118" s="156">
        <f>(IFERROR((TableWRVORP[[#This Row],[FPS]]-INDEX(TableWRVORP[FPS],MATCH(WRVORPCalc,TableWRVORP[RK],0))),""))</f>
        <v>-53.236486371218469</v>
      </c>
      <c r="AF118" s="58" t="s">
        <v>147</v>
      </c>
      <c r="AG118" s="58">
        <v>77</v>
      </c>
      <c r="AH118" s="100">
        <f>RANK(TableOverallMaster[[#This Row],[VORP]],TableOverallMaster[VORP])+COUNTIF($AM$2:AM118,AM118)-1</f>
        <v>267</v>
      </c>
      <c r="AI118" s="157" t="str">
        <f>IFERROR(INDEX(TableRBVORP[RUNNING BACK],MATCH(TableOverallMaster[[#This Row],[RK]],TableRBVORP[RK],0)),"")</f>
        <v>Jaylen Wright</v>
      </c>
      <c r="AJ118" s="157" t="str">
        <f t="shared" si="1"/>
        <v>RB77</v>
      </c>
      <c r="AK118" s="157">
        <f>IFERROR(INDEX(TableRBVORP[BYE],MATCH(TableOverallMaster[[#This Row],[RK]],TableRBVORP[RK],0)),"")</f>
        <v>6</v>
      </c>
      <c r="AL118" s="158">
        <f>IFERROR(INDEX(TableRBVORP[FPS],MATCH(TableOverallMaster[[#This Row],[RK]],TableRBVORP[RK],0)),"")</f>
        <v>28.488157787613616</v>
      </c>
      <c r="AM118" s="159">
        <f>IFERROR(INDEX(TableRBVORP[VORP],MATCH(TableOverallMaster[[#This Row],[RK]],TableRBVORP[RK],0)),"")</f>
        <v>-60.415745154731013</v>
      </c>
      <c r="AO118" s="58">
        <v>117</v>
      </c>
      <c r="AP118" s="160" t="str">
        <f>IFERROR(INDEX(TableOverallMaster[OVERALL PLAYER],MATCH(TableOverallRank[[#This Row],[RK]],TableOverallMaster[OVR RK],0)),"")</f>
        <v>RJ Harvey</v>
      </c>
      <c r="AQ118" s="161" t="str">
        <f>IFERROR(INDEX(TableOverallMaster[POS RK],MATCH(TableOverallRank[[#This Row],[OVERALL PLAYER]],TableOverallMaster[OVERALL PLAYER],0)),"")</f>
        <v>RB32</v>
      </c>
      <c r="AR118" s="162">
        <f>IFERROR(INDEX(TableOverallMaster[BYE],MATCH(TableOverallRank[[#This Row],[OVERALL PLAYER]],TableOverallMaster[OVERALL PLAYER],0)),"")</f>
        <v>10</v>
      </c>
      <c r="AS118" s="161">
        <f>IFERROR(INDEX(TableOverallMaster[Custom],MATCH(TableOverallRank[[#This Row],[OVERALL PLAYER]],TableOverallMaster[OVERALL PLAYER],0)),"")</f>
        <v>166.0785541414003</v>
      </c>
      <c r="AT118" s="163">
        <f>IFERROR(INDEX(TableOverallMaster[VORP],MATCH(TableOverallRank[[#This Row],[OVERALL PLAYER]],TableOverallMaster[OVERALL PLAYER],0)),"")</f>
        <v>49.656571928298348</v>
      </c>
      <c r="AV118" s="58">
        <v>117</v>
      </c>
      <c r="AW118" s="164" t="str">
        <f>IFERROR(INDEX(TableWRTECalcPts[PLAYER],MATCH(TableWRTERank[[#This Row],[RK]],TableWRTECalcPts[RK],0)),"")</f>
        <v>KaVontae Turpin</v>
      </c>
      <c r="AX118" s="164" t="str">
        <f>IFERROR(INDEX(TableWRTECalcPts[POS RK],MATCH(TableWRTERank[[#This Row],[WR and TE COMBINED]],TableWRTECalcPts[PLAYER],0)),"")</f>
        <v>WR84</v>
      </c>
      <c r="AY118" s="164">
        <f>IFERROR(INDEX(TableWRTECalcPts[BYE],MATCH(TableWRTERank[[#This Row],[RK]],TableWRTECalcPts[RK],0)),"")</f>
        <v>14</v>
      </c>
      <c r="AZ118" s="165">
        <f>IFERROR(INDEX(TableWRTECalcPts[Custom],MATCH(TableWRTERank[[#This Row],[RK]],TableWRTECalcPts[RK],0)),"")</f>
        <v>64.301898003885839</v>
      </c>
      <c r="BA118" s="166">
        <f>IFERROR((TableWRTERank[[#This Row],[FPS]]-INDEX(TableWRTERank[FPS],MATCH(WRTEVORPCalc,TableWRTERank[RK],0))),"")</f>
        <v>-76.934473578405857</v>
      </c>
      <c r="BC118" s="58" t="s">
        <v>148</v>
      </c>
    </row>
    <row r="119" spans="8:55" x14ac:dyDescent="0.25">
      <c r="H119" s="58">
        <v>118</v>
      </c>
      <c r="I119" s="154" t="str">
        <f>IFERROR(INDEX(TableRBCalcPts[PLAYER],MATCH(TableRBVORP[[#This Row],[RK]],TableRBCalcPts[RK],0)),"")</f>
        <v/>
      </c>
      <c r="J119" s="154" t="str">
        <f>IFERROR(INDEX(TableRBCalcPts[TM],MATCH(TableRBVORP[[#This Row],[RK]],TableRBCalcPts[RK],0)),"")</f>
        <v/>
      </c>
      <c r="K119" s="154" t="str">
        <f>IFERROR(INDEX(TableRBCalcPts[BYE],MATCH(TableRBVORP[[#This Row],[RK]],TableRBCalcPts[RK],0)),"")</f>
        <v/>
      </c>
      <c r="L119" s="155" t="str">
        <f>IFERROR(INDEX(TableRBCalcPts[Custom],MATCH(TableRBVORP[[#This Row],[RK]],TableRBCalcPts[RK],0)),"")</f>
        <v/>
      </c>
      <c r="M119" s="156" t="e">
        <f>(IFERROR((TableRBVORP[[#This Row],[FPS]]-INDEX(TableRBVORP[FPS],MATCH(RBVORPCalc,TableRBVORP[RK],0))),""))*0.8</f>
        <v>#VALUE!</v>
      </c>
      <c r="O119" s="58">
        <v>118</v>
      </c>
      <c r="P119" s="154" t="str">
        <f>IFERROR(INDEX(TableWRCalcPts[PLAYER],MATCH(TableWRVORP[[#This Row],[RK]],TableWRCalcPts[RK],0)),"")</f>
        <v>Jaylin Lane</v>
      </c>
      <c r="Q119" s="154" t="str">
        <f>IFERROR(INDEX(TableWRCalcPts[TM],MATCH(TableWRVORP[[#This Row],[RK]],TableWRCalcPts[RK],0)),"")</f>
        <v>WSH</v>
      </c>
      <c r="R119" s="154">
        <f>IFERROR(INDEX(TableWRCalcPts[BYE],MATCH(TableWRVORP[[#This Row],[RK]],TableWRCalcPts[RK],0)),"")</f>
        <v>7</v>
      </c>
      <c r="S119" s="155">
        <f>IFERROR(INDEX(TableWRCalcPts[Custom],MATCH(TableWRVORP[[#This Row],[RK]],TableWRCalcPts[RK],0)),"")</f>
        <v>33.911979493432312</v>
      </c>
      <c r="T119" s="156">
        <f>(IFERROR((TableWRVORP[[#This Row],[FPS]]-INDEX(TableWRVORP[FPS],MATCH(WRVORPCalc,TableWRVORP[RK],0))),""))</f>
        <v>-56.37220589693375</v>
      </c>
      <c r="AF119" s="58" t="s">
        <v>147</v>
      </c>
      <c r="AG119" s="58">
        <v>78</v>
      </c>
      <c r="AH119" s="100">
        <f>RANK(TableOverallMaster[[#This Row],[VORP]],TableOverallMaster[VORP])+COUNTIF($AM$2:AM119,AM119)-1</f>
        <v>268</v>
      </c>
      <c r="AI119" s="157" t="str">
        <f>IFERROR(INDEX(TableRBVORP[RUNNING BACK],MATCH(TableOverallMaster[[#This Row],[RK]],TableRBVORP[RK],0)),"")</f>
        <v>Seth McGowan</v>
      </c>
      <c r="AJ119" s="157" t="str">
        <f t="shared" si="1"/>
        <v>RB78</v>
      </c>
      <c r="AK119" s="157">
        <f>IFERROR(INDEX(TableRBVORP[BYE],MATCH(TableOverallMaster[[#This Row],[RK]],TableRBVORP[RK],0)),"")</f>
        <v>13</v>
      </c>
      <c r="AL119" s="158">
        <f>IFERROR(INDEX(TableRBVORP[FPS],MATCH(TableOverallMaster[[#This Row],[RK]],TableRBVORP[RK],0)),"")</f>
        <v>28.320244486467573</v>
      </c>
      <c r="AM119" s="159">
        <f>IFERROR(INDEX(TableRBVORP[VORP],MATCH(TableOverallMaster[[#This Row],[RK]],TableRBVORP[RK],0)),"")</f>
        <v>-60.550075795647842</v>
      </c>
      <c r="AO119" s="58">
        <v>118</v>
      </c>
      <c r="AP119" s="160" t="str">
        <f>IFERROR(INDEX(TableOverallMaster[OVERALL PLAYER],MATCH(TableOverallRank[[#This Row],[RK]],TableOverallMaster[OVR RK],0)),"")</f>
        <v>Jaylen Warren</v>
      </c>
      <c r="AQ119" s="161" t="str">
        <f>IFERROR(INDEX(TableOverallMaster[POS RK],MATCH(TableOverallRank[[#This Row],[OVERALL PLAYER]],TableOverallMaster[OVERALL PLAYER],0)),"")</f>
        <v>RB33</v>
      </c>
      <c r="AR119" s="162">
        <f>IFERROR(INDEX(TableOverallMaster[BYE],MATCH(TableOverallRank[[#This Row],[OVERALL PLAYER]],TableOverallMaster[OVERALL PLAYER],0)),"")</f>
        <v>9</v>
      </c>
      <c r="AS119" s="161">
        <f>IFERROR(INDEX(TableOverallMaster[Custom],MATCH(TableOverallRank[[#This Row],[OVERALL PLAYER]],TableOverallMaster[OVERALL PLAYER],0)),"")</f>
        <v>165.46939748922614</v>
      </c>
      <c r="AT119" s="163">
        <f>IFERROR(INDEX(TableOverallMaster[VORP],MATCH(TableOverallRank[[#This Row],[OVERALL PLAYER]],TableOverallMaster[OVERALL PLAYER],0)),"")</f>
        <v>49.169246606559014</v>
      </c>
      <c r="AV119" s="58">
        <v>118</v>
      </c>
      <c r="AW119" s="164" t="str">
        <f>IFERROR(INDEX(TableWRTECalcPts[PLAYER],MATCH(TableWRTERank[[#This Row],[RK]],TableWRTECalcPts[RK],0)),"")</f>
        <v>Darnell Washington</v>
      </c>
      <c r="AX119" s="164" t="str">
        <f>IFERROR(INDEX(TableWRTECalcPts[POS RK],MATCH(TableWRTERank[[#This Row],[WR and TE COMBINED]],TableWRTECalcPts[PLAYER],0)),"")</f>
        <v>TE34</v>
      </c>
      <c r="AY119" s="164">
        <f>IFERROR(INDEX(TableWRTECalcPts[BYE],MATCH(TableWRTERank[[#This Row],[RK]],TableWRTECalcPts[RK],0)),"")</f>
        <v>9</v>
      </c>
      <c r="AZ119" s="165">
        <f>IFERROR(INDEX(TableWRTECalcPts[Custom],MATCH(TableWRTERank[[#This Row],[RK]],TableWRTECalcPts[RK],0)),"")</f>
        <v>63.316144832859713</v>
      </c>
      <c r="BA119" s="166">
        <f>IFERROR((TableWRTERank[[#This Row],[FPS]]-INDEX(TableWRTERank[FPS],MATCH(WRTEVORPCalc,TableWRTERank[RK],0))),"")</f>
        <v>-77.920226749431976</v>
      </c>
      <c r="BC119" s="58" t="s">
        <v>148</v>
      </c>
    </row>
    <row r="120" spans="8:55" x14ac:dyDescent="0.25">
      <c r="H120" s="58">
        <v>119</v>
      </c>
      <c r="I120" s="154" t="str">
        <f>IFERROR(INDEX(TableRBCalcPts[PLAYER],MATCH(TableRBVORP[[#This Row],[RK]],TableRBCalcPts[RK],0)),"")</f>
        <v/>
      </c>
      <c r="J120" s="154" t="str">
        <f>IFERROR(INDEX(TableRBCalcPts[TM],MATCH(TableRBVORP[[#This Row],[RK]],TableRBCalcPts[RK],0)),"")</f>
        <v/>
      </c>
      <c r="K120" s="154" t="str">
        <f>IFERROR(INDEX(TableRBCalcPts[BYE],MATCH(TableRBVORP[[#This Row],[RK]],TableRBCalcPts[RK],0)),"")</f>
        <v/>
      </c>
      <c r="L120" s="155" t="str">
        <f>IFERROR(INDEX(TableRBCalcPts[Custom],MATCH(TableRBVORP[[#This Row],[RK]],TableRBCalcPts[RK],0)),"")</f>
        <v/>
      </c>
      <c r="M120" s="156" t="e">
        <f>(IFERROR((TableRBVORP[[#This Row],[FPS]]-INDEX(TableRBVORP[FPS],MATCH(RBVORPCalc,TableRBVORP[RK],0))),""))*0.8</f>
        <v>#VALUE!</v>
      </c>
      <c r="O120" s="58">
        <v>119</v>
      </c>
      <c r="P120" s="154" t="str">
        <f>IFERROR(INDEX(TableWRCalcPts[PLAYER],MATCH(TableWRVORP[[#This Row],[RK]],TableWRCalcPts[RK],0)),"")</f>
        <v>Marvin Mims</v>
      </c>
      <c r="Q120" s="154" t="str">
        <f>IFERROR(INDEX(TableWRCalcPts[TM],MATCH(TableWRVORP[[#This Row],[RK]],TableWRCalcPts[RK],0)),"")</f>
        <v>DEN</v>
      </c>
      <c r="R120" s="154">
        <f>IFERROR(INDEX(TableWRCalcPts[BYE],MATCH(TableWRVORP[[#This Row],[RK]],TableWRCalcPts[RK],0)),"")</f>
        <v>10</v>
      </c>
      <c r="S120" s="155">
        <f>IFERROR(INDEX(TableWRCalcPts[Custom],MATCH(TableWRVORP[[#This Row],[RK]],TableWRCalcPts[RK],0)),"")</f>
        <v>33.661668735305163</v>
      </c>
      <c r="T120" s="156">
        <f>(IFERROR((TableWRVORP[[#This Row],[FPS]]-INDEX(TableWRVORP[FPS],MATCH(WRVORPCalc,TableWRVORP[RK],0))),""))</f>
        <v>-56.622516655060899</v>
      </c>
      <c r="AF120" s="58" t="s">
        <v>147</v>
      </c>
      <c r="AG120" s="58">
        <v>79</v>
      </c>
      <c r="AH120" s="100">
        <f>RANK(TableOverallMaster[[#This Row],[VORP]],TableOverallMaster[VORP])+COUNTIF($AM$2:AM120,AM120)-1</f>
        <v>269</v>
      </c>
      <c r="AI120" s="157" t="str">
        <f>IFERROR(INDEX(TableRBVORP[RUNNING BACK],MATCH(TableOverallMaster[[#This Row],[RK]],TableRBVORP[RK],0)),"")</f>
        <v>Isaiah Davis</v>
      </c>
      <c r="AJ120" s="157" t="str">
        <f t="shared" si="1"/>
        <v>RB79</v>
      </c>
      <c r="AK120" s="157">
        <f>IFERROR(INDEX(TableRBVORP[BYE],MATCH(TableOverallMaster[[#This Row],[RK]],TableRBVORP[RK],0)),"")</f>
        <v>13</v>
      </c>
      <c r="AL120" s="158">
        <f>IFERROR(INDEX(TableRBVORP[FPS],MATCH(TableOverallMaster[[#This Row],[RK]],TableRBVORP[RK],0)),"")</f>
        <v>27.570308632263728</v>
      </c>
      <c r="AM120" s="159">
        <f>IFERROR(INDEX(TableRBVORP[VORP],MATCH(TableOverallMaster[[#This Row],[RK]],TableRBVORP[RK],0)),"")</f>
        <v>-61.150024479010916</v>
      </c>
      <c r="AO120" s="58">
        <v>119</v>
      </c>
      <c r="AP120" s="160" t="str">
        <f>IFERROR(INDEX(TableOverallMaster[OVERALL PLAYER],MATCH(TableOverallRank[[#This Row],[RK]],TableOverallMaster[OVR RK],0)),"")</f>
        <v>Tyler Shough</v>
      </c>
      <c r="AQ120" s="161" t="str">
        <f>IFERROR(INDEX(TableOverallMaster[POS RK],MATCH(TableOverallRank[[#This Row],[OVERALL PLAYER]],TableOverallMaster[OVERALL PLAYER],0)),"")</f>
        <v>QB23</v>
      </c>
      <c r="AR120" s="162">
        <f>IFERROR(INDEX(TableOverallMaster[BYE],MATCH(TableOverallRank[[#This Row],[OVERALL PLAYER]],TableOverallMaster[OVERALL PLAYER],0)),"")</f>
        <v>8</v>
      </c>
      <c r="AS120" s="161">
        <f>IFERROR(INDEX(TableOverallMaster[Custom],MATCH(TableOverallRank[[#This Row],[OVERALL PLAYER]],TableOverallMaster[OVERALL PLAYER],0)),"")</f>
        <v>355.86080203740499</v>
      </c>
      <c r="AT120" s="163">
        <f>IFERROR(INDEX(TableOverallMaster[VORP],MATCH(TableOverallRank[[#This Row],[OVERALL PLAYER]],TableOverallMaster[OVERALL PLAYER],0)),"")</f>
        <v>48.976171739894752</v>
      </c>
      <c r="AV120" s="58">
        <v>119</v>
      </c>
      <c r="AW120" s="164" t="str">
        <f>IFERROR(INDEX(TableWRTECalcPts[PLAYER],MATCH(TableWRTERank[[#This Row],[RK]],TableWRTECalcPts[RK],0)),"")</f>
        <v>Troy Franklin</v>
      </c>
      <c r="AX120" s="164" t="str">
        <f>IFERROR(INDEX(TableWRTECalcPts[POS RK],MATCH(TableWRTERank[[#This Row],[WR and TE COMBINED]],TableWRTECalcPts[PLAYER],0)),"")</f>
        <v>WR85</v>
      </c>
      <c r="AY120" s="164">
        <f>IFERROR(INDEX(TableWRTECalcPts[BYE],MATCH(TableWRTERank[[#This Row],[RK]],TableWRTECalcPts[RK],0)),"")</f>
        <v>10</v>
      </c>
      <c r="AZ120" s="165">
        <f>IFERROR(INDEX(TableWRTECalcPts[Custom],MATCH(TableWRTERank[[#This Row],[RK]],TableWRTECalcPts[RK],0)),"")</f>
        <v>62.943624265789154</v>
      </c>
      <c r="BA120" s="166">
        <f>IFERROR((TableWRTERank[[#This Row],[FPS]]-INDEX(TableWRTERank[FPS],MATCH(WRTEVORPCalc,TableWRTERank[RK],0))),"")</f>
        <v>-78.292747316502542</v>
      </c>
      <c r="BC120" s="58" t="s">
        <v>148</v>
      </c>
    </row>
    <row r="121" spans="8:55" x14ac:dyDescent="0.25">
      <c r="H121" s="58">
        <v>120</v>
      </c>
      <c r="I121" s="154" t="str">
        <f>IFERROR(INDEX(TableRBCalcPts[PLAYER],MATCH(TableRBVORP[[#This Row],[RK]],TableRBCalcPts[RK],0)),"")</f>
        <v/>
      </c>
      <c r="J121" s="154" t="str">
        <f>IFERROR(INDEX(TableRBCalcPts[TM],MATCH(TableRBVORP[[#This Row],[RK]],TableRBCalcPts[RK],0)),"")</f>
        <v/>
      </c>
      <c r="K121" s="154" t="str">
        <f>IFERROR(INDEX(TableRBCalcPts[BYE],MATCH(TableRBVORP[[#This Row],[RK]],TableRBCalcPts[RK],0)),"")</f>
        <v/>
      </c>
      <c r="L121" s="155" t="str">
        <f>IFERROR(INDEX(TableRBCalcPts[Custom],MATCH(TableRBVORP[[#This Row],[RK]],TableRBCalcPts[RK],0)),"")</f>
        <v/>
      </c>
      <c r="M121" s="156" t="e">
        <f>(IFERROR((TableRBVORP[[#This Row],[FPS]]-INDEX(TableRBVORP[FPS],MATCH(RBVORPCalc,TableRBVORP[RK],0))),""))*0.8</f>
        <v>#VALUE!</v>
      </c>
      <c r="O121" s="58">
        <v>120</v>
      </c>
      <c r="P121" s="154" t="str">
        <f>IFERROR(INDEX(TableWRCalcPts[PLAYER],MATCH(TableWRVORP[[#This Row],[RK]],TableWRCalcPts[RK],0)),"")</f>
        <v>Jalen Royals</v>
      </c>
      <c r="Q121" s="154" t="str">
        <f>IFERROR(INDEX(TableWRCalcPts[TM],MATCH(TableWRVORP[[#This Row],[RK]],TableWRCalcPts[RK],0)),"")</f>
        <v>KC</v>
      </c>
      <c r="R121" s="154">
        <f>IFERROR(INDEX(TableWRCalcPts[BYE],MATCH(TableWRVORP[[#This Row],[RK]],TableWRCalcPts[RK],0)),"")</f>
        <v>5</v>
      </c>
      <c r="S121" s="155">
        <f>IFERROR(INDEX(TableWRCalcPts[Custom],MATCH(TableWRVORP[[#This Row],[RK]],TableWRCalcPts[RK],0)),"")</f>
        <v>33.070103720230257</v>
      </c>
      <c r="T121" s="156">
        <f>(IFERROR((TableWRVORP[[#This Row],[FPS]]-INDEX(TableWRVORP[FPS],MATCH(WRVORPCalc,TableWRVORP[RK],0))),""))</f>
        <v>-57.214081670135805</v>
      </c>
      <c r="AF121" s="58" t="s">
        <v>147</v>
      </c>
      <c r="AG121" s="58">
        <v>80</v>
      </c>
      <c r="AH121" s="100">
        <f>RANK(TableOverallMaster[[#This Row],[VORP]],TableOverallMaster[VORP])+COUNTIF($AM$2:AM121,AM121)-1</f>
        <v>270</v>
      </c>
      <c r="AI121" s="157" t="str">
        <f>IFERROR(INDEX(TableRBVORP[RUNNING BACK],MATCH(TableOverallMaster[[#This Row],[RK]],TableRBVORP[RK],0)),"")</f>
        <v>LeQuint Allen</v>
      </c>
      <c r="AJ121" s="157" t="str">
        <f t="shared" si="1"/>
        <v>RB80</v>
      </c>
      <c r="AK121" s="157">
        <f>IFERROR(INDEX(TableRBVORP[BYE],MATCH(TableOverallMaster[[#This Row],[RK]],TableRBVORP[RK],0)),"")</f>
        <v>7</v>
      </c>
      <c r="AL121" s="158">
        <f>IFERROR(INDEX(TableRBVORP[FPS],MATCH(TableOverallMaster[[#This Row],[RK]],TableRBVORP[RK],0)),"")</f>
        <v>26.449989953767805</v>
      </c>
      <c r="AM121" s="159">
        <f>IFERROR(INDEX(TableRBVORP[VORP],MATCH(TableOverallMaster[[#This Row],[RK]],TableRBVORP[RK],0)),"")</f>
        <v>-62.046279421807668</v>
      </c>
      <c r="AO121" s="58">
        <v>120</v>
      </c>
      <c r="AP121" s="160" t="str">
        <f>IFERROR(INDEX(TableOverallMaster[OVERALL PLAYER],MATCH(TableOverallRank[[#This Row],[RK]],TableOverallMaster[OVR RK],0)),"")</f>
        <v>Jakobi Meyers</v>
      </c>
      <c r="AQ121" s="161" t="str">
        <f>IFERROR(INDEX(TableOverallMaster[POS RK],MATCH(TableOverallRank[[#This Row],[OVERALL PLAYER]],TableOverallMaster[OVERALL PLAYER],0)),"")</f>
        <v>WR50</v>
      </c>
      <c r="AR121" s="162">
        <f>IFERROR(INDEX(TableOverallMaster[BYE],MATCH(TableOverallRank[[#This Row],[OVERALL PLAYER]],TableOverallMaster[OVERALL PLAYER],0)),"")</f>
        <v>7</v>
      </c>
      <c r="AS121" s="161">
        <f>IFERROR(INDEX(TableOverallMaster[Custom],MATCH(TableOverallRank[[#This Row],[OVERALL PLAYER]],TableOverallMaster[OVERALL PLAYER],0)),"")</f>
        <v>137.56599358807983</v>
      </c>
      <c r="AT121" s="163">
        <f>IFERROR(INDEX(TableOverallMaster[VORP],MATCH(TableOverallRank[[#This Row],[OVERALL PLAYER]],TableOverallMaster[OVERALL PLAYER],0)),"")</f>
        <v>47.281808197713772</v>
      </c>
      <c r="AV121" s="58">
        <v>120</v>
      </c>
      <c r="AW121" s="164" t="str">
        <f>IFERROR(INDEX(TableWRTECalcPts[PLAYER],MATCH(TableWRTERank[[#This Row],[RK]],TableWRTECalcPts[RK],0)),"")</f>
        <v>Dawson Knox</v>
      </c>
      <c r="AX121" s="164" t="str">
        <f>IFERROR(INDEX(TableWRTECalcPts[POS RK],MATCH(TableWRTERank[[#This Row],[WR and TE COMBINED]],TableWRTECalcPts[PLAYER],0)),"")</f>
        <v>TE35</v>
      </c>
      <c r="AY121" s="164">
        <f>IFERROR(INDEX(TableWRTECalcPts[BYE],MATCH(TableWRTERank[[#This Row],[RK]],TableWRTECalcPts[RK],0)),"")</f>
        <v>7</v>
      </c>
      <c r="AZ121" s="165">
        <f>IFERROR(INDEX(TableWRTECalcPts[Custom],MATCH(TableWRTERank[[#This Row],[RK]],TableWRTECalcPts[RK],0)),"")</f>
        <v>61.473812892346771</v>
      </c>
      <c r="BA121" s="166">
        <f>IFERROR((TableWRTERank[[#This Row],[FPS]]-INDEX(TableWRTERank[FPS],MATCH(WRTEVORPCalc,TableWRTERank[RK],0))),"")</f>
        <v>-79.762558689944925</v>
      </c>
      <c r="BC121" s="58" t="s">
        <v>148</v>
      </c>
    </row>
    <row r="122" spans="8:55" x14ac:dyDescent="0.25">
      <c r="H122" s="58">
        <v>121</v>
      </c>
      <c r="I122" s="154" t="str">
        <f>IFERROR(INDEX(TableRBCalcPts[PLAYER],MATCH(TableRBVORP[[#This Row],[RK]],TableRBCalcPts[RK],0)),"")</f>
        <v/>
      </c>
      <c r="J122" s="154" t="str">
        <f>IFERROR(INDEX(TableRBCalcPts[TM],MATCH(TableRBVORP[[#This Row],[RK]],TableRBCalcPts[RK],0)),"")</f>
        <v/>
      </c>
      <c r="K122" s="154" t="str">
        <f>IFERROR(INDEX(TableRBCalcPts[BYE],MATCH(TableRBVORP[[#This Row],[RK]],TableRBCalcPts[RK],0)),"")</f>
        <v/>
      </c>
      <c r="L122" s="155" t="str">
        <f>IFERROR(INDEX(TableRBCalcPts[Custom],MATCH(TableRBVORP[[#This Row],[RK]],TableRBCalcPts[RK],0)),"")</f>
        <v/>
      </c>
      <c r="M122" s="156" t="e">
        <f>(IFERROR((TableRBVORP[[#This Row],[FPS]]-INDEX(TableRBVORP[FPS],MATCH(RBVORPCalc,TableRBVORP[RK],0))),""))*0.8</f>
        <v>#VALUE!</v>
      </c>
      <c r="O122" s="58">
        <v>121</v>
      </c>
      <c r="P122" s="154" t="str">
        <f>IFERROR(INDEX(TableWRCalcPts[PLAYER],MATCH(TableWRVORP[[#This Row],[RK]],TableWRCalcPts[RK],0)),"")</f>
        <v>Tutu Atwell</v>
      </c>
      <c r="Q122" s="154" t="str">
        <f>IFERROR(INDEX(TableWRCalcPts[TM],MATCH(TableWRVORP[[#This Row],[RK]],TableWRCalcPts[RK],0)),"")</f>
        <v>MIA</v>
      </c>
      <c r="R122" s="154">
        <f>IFERROR(INDEX(TableWRCalcPts[BYE],MATCH(TableWRVORP[[#This Row],[RK]],TableWRCalcPts[RK],0)),"")</f>
        <v>6</v>
      </c>
      <c r="S122" s="155">
        <f>IFERROR(INDEX(TableWRCalcPts[Custom],MATCH(TableWRVORP[[#This Row],[RK]],TableWRCalcPts[RK],0)),"")</f>
        <v>32.392578640116241</v>
      </c>
      <c r="T122" s="156">
        <f>(IFERROR((TableWRVORP[[#This Row],[FPS]]-INDEX(TableWRVORP[FPS],MATCH(WRVORPCalc,TableWRVORP[RK],0))),""))</f>
        <v>-57.891606750249821</v>
      </c>
      <c r="AF122" s="58" t="s">
        <v>147</v>
      </c>
      <c r="AG122" s="58">
        <v>81</v>
      </c>
      <c r="AH122" s="100">
        <f>RANK(TableOverallMaster[[#This Row],[VORP]],TableOverallMaster[VORP])+COUNTIF($AM$2:AM122,AM122)-1</f>
        <v>271</v>
      </c>
      <c r="AI122" s="157" t="str">
        <f>IFERROR(INDEX(TableRBVORP[RUNNING BACK],MATCH(TableOverallMaster[[#This Row],[RK]],TableRBVORP[RK],0)),"")</f>
        <v>Rasheen Ali</v>
      </c>
      <c r="AJ122" s="157" t="str">
        <f t="shared" si="1"/>
        <v>RB81</v>
      </c>
      <c r="AK122" s="157">
        <f>IFERROR(INDEX(TableRBVORP[BYE],MATCH(TableOverallMaster[[#This Row],[RK]],TableRBVORP[RK],0)),"")</f>
        <v>13</v>
      </c>
      <c r="AL122" s="158">
        <f>IFERROR(INDEX(TableRBVORP[FPS],MATCH(TableOverallMaster[[#This Row],[RK]],TableRBVORP[RK],0)),"")</f>
        <v>25.033389440736602</v>
      </c>
      <c r="AM122" s="159">
        <f>IFERROR(INDEX(TableRBVORP[VORP],MATCH(TableOverallMaster[[#This Row],[RK]],TableRBVORP[RK],0)),"")</f>
        <v>-63.179559832232627</v>
      </c>
      <c r="AO122" s="58">
        <v>121</v>
      </c>
      <c r="AP122" s="160" t="str">
        <f>IFERROR(INDEX(TableOverallMaster[OVERALL PLAYER],MATCH(TableOverallRank[[#This Row],[RK]],TableOverallMaster[OVR RK],0)),"")</f>
        <v>Jalen Coker</v>
      </c>
      <c r="AQ122" s="161" t="str">
        <f>IFERROR(INDEX(TableOverallMaster[POS RK],MATCH(TableOverallRank[[#This Row],[OVERALL PLAYER]],TableOverallMaster[OVERALL PLAYER],0)),"")</f>
        <v>WR51</v>
      </c>
      <c r="AR122" s="162">
        <f>IFERROR(INDEX(TableOverallMaster[BYE],MATCH(TableOverallRank[[#This Row],[OVERALL PLAYER]],TableOverallMaster[OVERALL PLAYER],0)),"")</f>
        <v>5</v>
      </c>
      <c r="AS122" s="161">
        <f>IFERROR(INDEX(TableOverallMaster[Custom],MATCH(TableOverallRank[[#This Row],[OVERALL PLAYER]],TableOverallMaster[OVERALL PLAYER],0)),"")</f>
        <v>136.0645177815</v>
      </c>
      <c r="AT122" s="163">
        <f>IFERROR(INDEX(TableOverallMaster[VORP],MATCH(TableOverallRank[[#This Row],[OVERALL PLAYER]],TableOverallMaster[OVERALL PLAYER],0)),"")</f>
        <v>45.780332391133939</v>
      </c>
      <c r="AV122" s="58">
        <v>121</v>
      </c>
      <c r="AW122" s="164" t="str">
        <f>IFERROR(INDEX(TableWRTECalcPts[PLAYER],MATCH(TableWRTERank[[#This Row],[RK]],TableWRTECalcPts[RK],0)),"")</f>
        <v>Colby Parkinson</v>
      </c>
      <c r="AX122" s="164" t="str">
        <f>IFERROR(INDEX(TableWRTECalcPts[POS RK],MATCH(TableWRTERank[[#This Row],[WR and TE COMBINED]],TableWRTECalcPts[PLAYER],0)),"")</f>
        <v>TE36</v>
      </c>
      <c r="AY122" s="164">
        <f>IFERROR(INDEX(TableWRTECalcPts[BYE],MATCH(TableWRTERank[[#This Row],[RK]],TableWRTECalcPts[RK],0)),"")</f>
        <v>11</v>
      </c>
      <c r="AZ122" s="165">
        <f>IFERROR(INDEX(TableWRTECalcPts[Custom],MATCH(TableWRTERank[[#This Row],[RK]],TableWRTECalcPts[RK],0)),"")</f>
        <v>61.096125666883822</v>
      </c>
      <c r="BA122" s="166">
        <f>IFERROR((TableWRTERank[[#This Row],[FPS]]-INDEX(TableWRTERank[FPS],MATCH(WRTEVORPCalc,TableWRTERank[RK],0))),"")</f>
        <v>-80.140245915407874</v>
      </c>
      <c r="BC122" s="58" t="s">
        <v>148</v>
      </c>
    </row>
    <row r="123" spans="8:55" x14ac:dyDescent="0.25">
      <c r="H123" s="58">
        <v>122</v>
      </c>
      <c r="I123" s="154" t="str">
        <f>IFERROR(INDEX(TableRBCalcPts[PLAYER],MATCH(TableRBVORP[[#This Row],[RK]],TableRBCalcPts[RK],0)),"")</f>
        <v/>
      </c>
      <c r="J123" s="154" t="str">
        <f>IFERROR(INDEX(TableRBCalcPts[TM],MATCH(TableRBVORP[[#This Row],[RK]],TableRBCalcPts[RK],0)),"")</f>
        <v/>
      </c>
      <c r="K123" s="154" t="str">
        <f>IFERROR(INDEX(TableRBCalcPts[BYE],MATCH(TableRBVORP[[#This Row],[RK]],TableRBCalcPts[RK],0)),"")</f>
        <v/>
      </c>
      <c r="L123" s="155" t="str">
        <f>IFERROR(INDEX(TableRBCalcPts[Custom],MATCH(TableRBVORP[[#This Row],[RK]],TableRBCalcPts[RK],0)),"")</f>
        <v/>
      </c>
      <c r="M123" s="156" t="e">
        <f>(IFERROR((TableRBVORP[[#This Row],[FPS]]-INDEX(TableRBVORP[FPS],MATCH(RBVORPCalc,TableRBVORP[RK],0))),""))*0.8</f>
        <v>#VALUE!</v>
      </c>
      <c r="O123" s="58">
        <v>122</v>
      </c>
      <c r="P123" s="154" t="str">
        <f>IFERROR(INDEX(TableWRCalcPts[PLAYER],MATCH(TableWRVORP[[#This Row],[RK]],TableWRCalcPts[RK],0)),"")</f>
        <v>Skyler Bell</v>
      </c>
      <c r="Q123" s="154" t="str">
        <f>IFERROR(INDEX(TableWRCalcPts[TM],MATCH(TableWRVORP[[#This Row],[RK]],TableWRCalcPts[RK],0)),"")</f>
        <v>BUF</v>
      </c>
      <c r="R123" s="154">
        <f>IFERROR(INDEX(TableWRCalcPts[BYE],MATCH(TableWRVORP[[#This Row],[RK]],TableWRCalcPts[RK],0)),"")</f>
        <v>7</v>
      </c>
      <c r="S123" s="155">
        <f>IFERROR(INDEX(TableWRCalcPts[Custom],MATCH(TableWRVORP[[#This Row],[RK]],TableWRCalcPts[RK],0)),"")</f>
        <v>28.439761475201344</v>
      </c>
      <c r="T123" s="156">
        <f>(IFERROR((TableWRVORP[[#This Row],[FPS]]-INDEX(TableWRVORP[FPS],MATCH(WRVORPCalc,TableWRVORP[RK],0))),""))</f>
        <v>-61.844423915164718</v>
      </c>
      <c r="AF123" s="58" t="s">
        <v>147</v>
      </c>
      <c r="AG123" s="58">
        <v>82</v>
      </c>
      <c r="AH123" s="100">
        <f>RANK(TableOverallMaster[[#This Row],[VORP]],TableOverallMaster[VORP])+COUNTIF($AM$2:AM123,AM123)-1</f>
        <v>272</v>
      </c>
      <c r="AI123" s="157" t="str">
        <f>IFERROR(INDEX(TableRBVORP[RUNNING BACK],MATCH(TableOverallMaster[[#This Row],[RK]],TableRBVORP[RK],0)),"")</f>
        <v>Raheim Sanders</v>
      </c>
      <c r="AJ123" s="157" t="str">
        <f t="shared" si="1"/>
        <v>RB82</v>
      </c>
      <c r="AK123" s="157">
        <f>IFERROR(INDEX(TableRBVORP[BYE],MATCH(TableOverallMaster[[#This Row],[RK]],TableRBVORP[RK],0)),"")</f>
        <v>11</v>
      </c>
      <c r="AL123" s="158">
        <f>IFERROR(INDEX(TableRBVORP[FPS],MATCH(TableOverallMaster[[#This Row],[RK]],TableRBVORP[RK],0)),"")</f>
        <v>24.411917979477352</v>
      </c>
      <c r="AM123" s="159">
        <f>IFERROR(INDEX(TableRBVORP[VORP],MATCH(TableOverallMaster[[#This Row],[RK]],TableRBVORP[RK],0)),"")</f>
        <v>-63.676737001240021</v>
      </c>
      <c r="AO123" s="58">
        <v>122</v>
      </c>
      <c r="AP123" s="160" t="str">
        <f>IFERROR(INDEX(TableOverallMaster[OVERALL PLAYER],MATCH(TableOverallRank[[#This Row],[RK]],TableOverallMaster[OVR RK],0)),"")</f>
        <v>Cam Ward</v>
      </c>
      <c r="AQ123" s="161" t="str">
        <f>IFERROR(INDEX(TableOverallMaster[POS RK],MATCH(TableOverallRank[[#This Row],[OVERALL PLAYER]],TableOverallMaster[OVERALL PLAYER],0)),"")</f>
        <v>QB24</v>
      </c>
      <c r="AR123" s="162">
        <f>IFERROR(INDEX(TableOverallMaster[BYE],MATCH(TableOverallRank[[#This Row],[OVERALL PLAYER]],TableOverallMaster[OVERALL PLAYER],0)),"")</f>
        <v>9</v>
      </c>
      <c r="AS123" s="161">
        <f>IFERROR(INDEX(TableOverallMaster[Custom],MATCH(TableOverallRank[[#This Row],[OVERALL PLAYER]],TableOverallMaster[OVERALL PLAYER],0)),"")</f>
        <v>351.54746339601598</v>
      </c>
      <c r="AT123" s="163">
        <f>IFERROR(INDEX(TableOverallMaster[VORP],MATCH(TableOverallRank[[#This Row],[OVERALL PLAYER]],TableOverallMaster[OVERALL PLAYER],0)),"")</f>
        <v>44.641356240022262</v>
      </c>
      <c r="AV123" s="58">
        <v>122</v>
      </c>
      <c r="AW123" s="164" t="str">
        <f>IFERROR(INDEX(TableWRTECalcPts[PLAYER],MATCH(TableWRTERank[[#This Row],[RK]],TableWRTECalcPts[RK],0)),"")</f>
        <v>Darius Slayton</v>
      </c>
      <c r="AX123" s="164" t="str">
        <f>IFERROR(INDEX(TableWRTECalcPts[POS RK],MATCH(TableWRTERank[[#This Row],[WR and TE COMBINED]],TableWRTECalcPts[PLAYER],0)),"")</f>
        <v>WR86</v>
      </c>
      <c r="AY123" s="164">
        <f>IFERROR(INDEX(TableWRTECalcPts[BYE],MATCH(TableWRTERank[[#This Row],[RK]],TableWRTECalcPts[RK],0)),"")</f>
        <v>8</v>
      </c>
      <c r="AZ123" s="165">
        <f>IFERROR(INDEX(TableWRTECalcPts[Custom],MATCH(TableWRTERank[[#This Row],[RK]],TableWRTECalcPts[RK],0)),"")</f>
        <v>60.325066147251512</v>
      </c>
      <c r="BA123" s="166">
        <f>IFERROR((TableWRTERank[[#This Row],[FPS]]-INDEX(TableWRTERank[FPS],MATCH(WRTEVORPCalc,TableWRTERank[RK],0))),"")</f>
        <v>-80.911305435040191</v>
      </c>
      <c r="BC123" s="58" t="s">
        <v>148</v>
      </c>
    </row>
    <row r="124" spans="8:55" x14ac:dyDescent="0.25">
      <c r="H124" s="58">
        <v>123</v>
      </c>
      <c r="I124" s="154" t="str">
        <f>IFERROR(INDEX(TableRBCalcPts[PLAYER],MATCH(TableRBVORP[[#This Row],[RK]],TableRBCalcPts[RK],0)),"")</f>
        <v/>
      </c>
      <c r="J124" s="154" t="str">
        <f>IFERROR(INDEX(TableRBCalcPts[TM],MATCH(TableRBVORP[[#This Row],[RK]],TableRBCalcPts[RK],0)),"")</f>
        <v/>
      </c>
      <c r="K124" s="154" t="str">
        <f>IFERROR(INDEX(TableRBCalcPts[BYE],MATCH(TableRBVORP[[#This Row],[RK]],TableRBCalcPts[RK],0)),"")</f>
        <v/>
      </c>
      <c r="L124" s="155" t="str">
        <f>IFERROR(INDEX(TableRBCalcPts[Custom],MATCH(TableRBVORP[[#This Row],[RK]],TableRBCalcPts[RK],0)),"")</f>
        <v/>
      </c>
      <c r="M124" s="156" t="e">
        <f>(IFERROR((TableRBVORP[[#This Row],[FPS]]-INDEX(TableRBVORP[FPS],MATCH(RBVORPCalc,TableRBVORP[RK],0))),""))*0.8</f>
        <v>#VALUE!</v>
      </c>
      <c r="O124" s="58">
        <v>123</v>
      </c>
      <c r="P124" s="154" t="str">
        <f>IFERROR(INDEX(TableWRCalcPts[PLAYER],MATCH(TableWRVORP[[#This Row],[RK]],TableWRCalcPts[RK],0)),"")</f>
        <v>Hollywood Brown</v>
      </c>
      <c r="Q124" s="154" t="str">
        <f>IFERROR(INDEX(TableWRCalcPts[TM],MATCH(TableWRVORP[[#This Row],[RK]],TableWRCalcPts[RK],0)),"")</f>
        <v>PHI</v>
      </c>
      <c r="R124" s="154">
        <f>IFERROR(INDEX(TableWRCalcPts[BYE],MATCH(TableWRVORP[[#This Row],[RK]],TableWRCalcPts[RK],0)),"")</f>
        <v>10</v>
      </c>
      <c r="S124" s="155">
        <f>IFERROR(INDEX(TableWRCalcPts[Custom],MATCH(TableWRVORP[[#This Row],[RK]],TableWRCalcPts[RK],0)),"")</f>
        <v>27.400382337814349</v>
      </c>
      <c r="T124" s="156">
        <f>(IFERROR((TableWRVORP[[#This Row],[FPS]]-INDEX(TableWRVORP[FPS],MATCH(WRVORPCalc,TableWRVORP[RK],0))),""))</f>
        <v>-62.883803052551713</v>
      </c>
      <c r="AF124" s="58" t="s">
        <v>147</v>
      </c>
      <c r="AG124" s="58">
        <v>83</v>
      </c>
      <c r="AH124" s="100">
        <f>RANK(TableOverallMaster[[#This Row],[VORP]],TableOverallMaster[VORP])+COUNTIF($AM$2:AM124,AM124)-1</f>
        <v>273</v>
      </c>
      <c r="AI124" s="157" t="str">
        <f>IFERROR(INDEX(TableRBVORP[RUNNING BACK],MATCH(TableOverallMaster[[#This Row],[RK]],TableRBVORP[RK],0)),"")</f>
        <v>Isaac Guerendo</v>
      </c>
      <c r="AJ124" s="157" t="str">
        <f t="shared" si="1"/>
        <v>RB83</v>
      </c>
      <c r="AK124" s="157">
        <f>IFERROR(INDEX(TableRBVORP[BYE],MATCH(TableOverallMaster[[#This Row],[RK]],TableRBVORP[RK],0)),"")</f>
        <v>8</v>
      </c>
      <c r="AL124" s="158">
        <f>IFERROR(INDEX(TableRBVORP[FPS],MATCH(TableOverallMaster[[#This Row],[RK]],TableRBVORP[RK],0)),"")</f>
        <v>23.5249336472157</v>
      </c>
      <c r="AM124" s="159">
        <f>IFERROR(INDEX(TableRBVORP[VORP],MATCH(TableOverallMaster[[#This Row],[RK]],TableRBVORP[RK],0)),"")</f>
        <v>-64.386324467049334</v>
      </c>
      <c r="AO124" s="58">
        <v>123</v>
      </c>
      <c r="AP124" s="160" t="str">
        <f>IFERROR(INDEX(TableOverallMaster[OVERALL PLAYER],MATCH(TableOverallRank[[#This Row],[RK]],TableOverallMaster[OVR RK],0)),"")</f>
        <v>T.J. Hockenson</v>
      </c>
      <c r="AQ124" s="161" t="str">
        <f>IFERROR(INDEX(TableOverallMaster[POS RK],MATCH(TableOverallRank[[#This Row],[OVERALL PLAYER]],TableOverallMaster[OVERALL PLAYER],0)),"")</f>
        <v>TE15</v>
      </c>
      <c r="AR124" s="162">
        <f>IFERROR(INDEX(TableOverallMaster[BYE],MATCH(TableOverallRank[[#This Row],[OVERALL PLAYER]],TableOverallMaster[OVERALL PLAYER],0)),"")</f>
        <v>6</v>
      </c>
      <c r="AS124" s="161">
        <f>IFERROR(INDEX(TableOverallMaster[Custom],MATCH(TableOverallRank[[#This Row],[OVERALL PLAYER]],TableOverallMaster[OVERALL PLAYER],0)),"")</f>
        <v>122.26222914582712</v>
      </c>
      <c r="AT124" s="163">
        <f>IFERROR(INDEX(TableOverallMaster[VORP],MATCH(TableOverallRank[[#This Row],[OVERALL PLAYER]],TableOverallMaster[OVERALL PLAYER],0)),"")</f>
        <v>44.376435169585434</v>
      </c>
      <c r="AV124" s="58">
        <v>123</v>
      </c>
      <c r="AW124" s="164" t="str">
        <f>IFERROR(INDEX(TableWRTECalcPts[PLAYER],MATCH(TableWRTERank[[#This Row],[RK]],TableWRTECalcPts[RK],0)),"")</f>
        <v>Malachi Fields</v>
      </c>
      <c r="AX124" s="164" t="str">
        <f>IFERROR(INDEX(TableWRTECalcPts[POS RK],MATCH(TableWRTERank[[#This Row],[WR and TE COMBINED]],TableWRTECalcPts[PLAYER],0)),"")</f>
        <v>WR87</v>
      </c>
      <c r="AY124" s="164">
        <f>IFERROR(INDEX(TableWRTECalcPts[BYE],MATCH(TableWRTERank[[#This Row],[RK]],TableWRTECalcPts[RK],0)),"")</f>
        <v>8</v>
      </c>
      <c r="AZ124" s="165">
        <f>IFERROR(INDEX(TableWRTECalcPts[Custom],MATCH(TableWRTERank[[#This Row],[RK]],TableWRTECalcPts[RK],0)),"")</f>
        <v>60.094954234465909</v>
      </c>
      <c r="BA124" s="166">
        <f>IFERROR((TableWRTERank[[#This Row],[FPS]]-INDEX(TableWRTERank[FPS],MATCH(WRTEVORPCalc,TableWRTERank[RK],0))),"")</f>
        <v>-81.141417347825779</v>
      </c>
      <c r="BC124" s="58" t="s">
        <v>148</v>
      </c>
    </row>
    <row r="125" spans="8:55" x14ac:dyDescent="0.25">
      <c r="H125" s="58">
        <v>124</v>
      </c>
      <c r="I125" s="154" t="str">
        <f>IFERROR(INDEX(TableRBCalcPts[PLAYER],MATCH(TableRBVORP[[#This Row],[RK]],TableRBCalcPts[RK],0)),"")</f>
        <v/>
      </c>
      <c r="J125" s="154" t="str">
        <f>IFERROR(INDEX(TableRBCalcPts[TM],MATCH(TableRBVORP[[#This Row],[RK]],TableRBCalcPts[RK],0)),"")</f>
        <v/>
      </c>
      <c r="K125" s="154" t="str">
        <f>IFERROR(INDEX(TableRBCalcPts[BYE],MATCH(TableRBVORP[[#This Row],[RK]],TableRBCalcPts[RK],0)),"")</f>
        <v/>
      </c>
      <c r="L125" s="155" t="str">
        <f>IFERROR(INDEX(TableRBCalcPts[Custom],MATCH(TableRBVORP[[#This Row],[RK]],TableRBCalcPts[RK],0)),"")</f>
        <v/>
      </c>
      <c r="M125" s="156" t="e">
        <f>(IFERROR((TableRBVORP[[#This Row],[FPS]]-INDEX(TableRBVORP[FPS],MATCH(RBVORPCalc,TableRBVORP[RK],0))),""))*0.8</f>
        <v>#VALUE!</v>
      </c>
      <c r="O125" s="58">
        <v>124</v>
      </c>
      <c r="P125" s="154" t="str">
        <f>IFERROR(INDEX(TableWRCalcPts[PLAYER],MATCH(TableWRVORP[[#This Row],[RK]],TableWRCalcPts[RK],0)),"")</f>
        <v>Brenen Thompson</v>
      </c>
      <c r="Q125" s="154" t="str">
        <f>IFERROR(INDEX(TableWRCalcPts[TM],MATCH(TableWRVORP[[#This Row],[RK]],TableWRCalcPts[RK],0)),"")</f>
        <v>LAC</v>
      </c>
      <c r="R125" s="154">
        <f>IFERROR(INDEX(TableWRCalcPts[BYE],MATCH(TableWRVORP[[#This Row],[RK]],TableWRCalcPts[RK],0)),"")</f>
        <v>7</v>
      </c>
      <c r="S125" s="155">
        <f>IFERROR(INDEX(TableWRCalcPts[Custom],MATCH(TableWRVORP[[#This Row],[RK]],TableWRCalcPts[RK],0)),"")</f>
        <v>26.470364031111</v>
      </c>
      <c r="T125" s="156">
        <f>(IFERROR((TableWRVORP[[#This Row],[FPS]]-INDEX(TableWRVORP[FPS],MATCH(WRVORPCalc,TableWRVORP[RK],0))),""))</f>
        <v>-63.813821359255058</v>
      </c>
      <c r="AF125" s="58" t="s">
        <v>147</v>
      </c>
      <c r="AG125" s="58">
        <v>84</v>
      </c>
      <c r="AH125" s="100">
        <f>RANK(TableOverallMaster[[#This Row],[VORP]],TableOverallMaster[VORP])+COUNTIF($AM$2:AM125,AM125)-1</f>
        <v>274</v>
      </c>
      <c r="AI125" s="157" t="str">
        <f>IFERROR(INDEX(TableRBVORP[RUNNING BACK],MATCH(TableOverallMaster[[#This Row],[RK]],TableRBVORP[RK],0)),"")</f>
        <v>Kendre Miller</v>
      </c>
      <c r="AJ125" s="157" t="str">
        <f t="shared" si="1"/>
        <v>RB84</v>
      </c>
      <c r="AK125" s="157">
        <f>IFERROR(INDEX(TableRBVORP[BYE],MATCH(TableOverallMaster[[#This Row],[RK]],TableRBVORP[RK],0)),"")</f>
        <v>8</v>
      </c>
      <c r="AL125" s="158">
        <f>IFERROR(INDEX(TableRBVORP[FPS],MATCH(TableOverallMaster[[#This Row],[RK]],TableRBVORP[RK],0)),"")</f>
        <v>19.692740092522268</v>
      </c>
      <c r="AM125" s="159">
        <f>IFERROR(INDEX(TableRBVORP[VORP],MATCH(TableOverallMaster[[#This Row],[RK]],TableRBVORP[RK],0)),"")</f>
        <v>-67.452079310804081</v>
      </c>
      <c r="AO125" s="58">
        <v>124</v>
      </c>
      <c r="AP125" s="160" t="str">
        <f>IFERROR(INDEX(TableOverallMaster[OVERALL PLAYER],MATCH(TableOverallRank[[#This Row],[RK]],TableOverallMaster[OVR RK],0)),"")</f>
        <v>Chig Okonkwo</v>
      </c>
      <c r="AQ125" s="161" t="str">
        <f>IFERROR(INDEX(TableOverallMaster[POS RK],MATCH(TableOverallRank[[#This Row],[OVERALL PLAYER]],TableOverallMaster[OVERALL PLAYER],0)),"")</f>
        <v>TE16</v>
      </c>
      <c r="AR125" s="162">
        <f>IFERROR(INDEX(TableOverallMaster[BYE],MATCH(TableOverallRank[[#This Row],[OVERALL PLAYER]],TableOverallMaster[OVERALL PLAYER],0)),"")</f>
        <v>7</v>
      </c>
      <c r="AS125" s="161">
        <f>IFERROR(INDEX(TableOverallMaster[Custom],MATCH(TableOverallRank[[#This Row],[OVERALL PLAYER]],TableOverallMaster[OVERALL PLAYER],0)),"")</f>
        <v>121.96386463260998</v>
      </c>
      <c r="AT125" s="163">
        <f>IFERROR(INDEX(TableOverallMaster[VORP],MATCH(TableOverallRank[[#This Row],[OVERALL PLAYER]],TableOverallMaster[OVERALL PLAYER],0)),"")</f>
        <v>44.078070656368297</v>
      </c>
      <c r="AV125" s="58">
        <v>124</v>
      </c>
      <c r="AW125" s="164" t="str">
        <f>IFERROR(INDEX(TableWRTECalcPts[PLAYER],MATCH(TableWRTERank[[#This Row],[RK]],TableWRTECalcPts[RK],0)),"")</f>
        <v>Dont'e Thornton</v>
      </c>
      <c r="AX125" s="164" t="str">
        <f>IFERROR(INDEX(TableWRTECalcPts[POS RK],MATCH(TableWRTERank[[#This Row],[WR and TE COMBINED]],TableWRTECalcPts[PLAYER],0)),"")</f>
        <v>WR88</v>
      </c>
      <c r="AY125" s="164">
        <f>IFERROR(INDEX(TableWRTECalcPts[BYE],MATCH(TableWRTERank[[#This Row],[RK]],TableWRTECalcPts[RK],0)),"")</f>
        <v>13</v>
      </c>
      <c r="AZ125" s="165">
        <f>IFERROR(INDEX(TableWRTECalcPts[Custom],MATCH(TableWRTERank[[#This Row],[RK]],TableWRTECalcPts[RK],0)),"")</f>
        <v>59.321079235535038</v>
      </c>
      <c r="BA125" s="166">
        <f>IFERROR((TableWRTERank[[#This Row],[FPS]]-INDEX(TableWRTERank[FPS],MATCH(WRTEVORPCalc,TableWRTERank[RK],0))),"")</f>
        <v>-81.915292346756658</v>
      </c>
      <c r="BC125" s="58" t="s">
        <v>148</v>
      </c>
    </row>
    <row r="126" spans="8:55" x14ac:dyDescent="0.25">
      <c r="H126" s="58">
        <v>125</v>
      </c>
      <c r="I126" s="154" t="str">
        <f>IFERROR(INDEX(TableRBCalcPts[PLAYER],MATCH(TableRBVORP[[#This Row],[RK]],TableRBCalcPts[RK],0)),"")</f>
        <v/>
      </c>
      <c r="J126" s="154" t="str">
        <f>IFERROR(INDEX(TableRBCalcPts[TM],MATCH(TableRBVORP[[#This Row],[RK]],TableRBCalcPts[RK],0)),"")</f>
        <v/>
      </c>
      <c r="K126" s="154" t="str">
        <f>IFERROR(INDEX(TableRBCalcPts[BYE],MATCH(TableRBVORP[[#This Row],[RK]],TableRBCalcPts[RK],0)),"")</f>
        <v/>
      </c>
      <c r="L126" s="155" t="str">
        <f>IFERROR(INDEX(TableRBCalcPts[Custom],MATCH(TableRBVORP[[#This Row],[RK]],TableRBCalcPts[RK],0)),"")</f>
        <v/>
      </c>
      <c r="M126" s="156" t="e">
        <f>(IFERROR((TableRBVORP[[#This Row],[FPS]]-INDEX(TableRBVORP[FPS],MATCH(RBVORPCalc,TableRBVORP[RK],0))),""))*0.8</f>
        <v>#VALUE!</v>
      </c>
      <c r="O126" s="58">
        <v>125</v>
      </c>
      <c r="P126" s="154" t="str">
        <f>IFERROR(INDEX(TableWRCalcPts[PLAYER],MATCH(TableWRVORP[[#This Row],[RK]],TableWRCalcPts[RK],0)),"")</f>
        <v>Greg Dortch</v>
      </c>
      <c r="Q126" s="154" t="str">
        <f>IFERROR(INDEX(TableWRCalcPts[TM],MATCH(TableWRVORP[[#This Row],[RK]],TableWRCalcPts[RK],0)),"")</f>
        <v>DET</v>
      </c>
      <c r="R126" s="154">
        <f>IFERROR(INDEX(TableWRCalcPts[BYE],MATCH(TableWRVORP[[#This Row],[RK]],TableWRCalcPts[RK],0)),"")</f>
        <v>6</v>
      </c>
      <c r="S126" s="155">
        <f>IFERROR(INDEX(TableWRCalcPts[Custom],MATCH(TableWRVORP[[#This Row],[RK]],TableWRCalcPts[RK],0)),"")</f>
        <v>22.326040630091825</v>
      </c>
      <c r="T126" s="156">
        <f>(IFERROR((TableWRVORP[[#This Row],[FPS]]-INDEX(TableWRVORP[FPS],MATCH(WRVORPCalc,TableWRVORP[RK],0))),""))</f>
        <v>-67.958144760274237</v>
      </c>
      <c r="AF126" s="58" t="s">
        <v>147</v>
      </c>
      <c r="AG126" s="58">
        <v>85</v>
      </c>
      <c r="AH126" s="100">
        <f>RANK(TableOverallMaster[[#This Row],[VORP]],TableOverallMaster[VORP])+COUNTIF($AM$2:AM126,AM126)-1</f>
        <v>275</v>
      </c>
      <c r="AI126" s="157" t="str">
        <f>IFERROR(INDEX(TableRBVORP[RUNNING BACK],MATCH(TableOverallMaster[[#This Row],[RK]],TableRBVORP[RK],0)),"")</f>
        <v>DJ Giddens</v>
      </c>
      <c r="AJ126" s="157" t="str">
        <f t="shared" si="1"/>
        <v>RB85</v>
      </c>
      <c r="AK126" s="157">
        <f>IFERROR(INDEX(TableRBVORP[BYE],MATCH(TableOverallMaster[[#This Row],[RK]],TableRBVORP[RK],0)),"")</f>
        <v>13</v>
      </c>
      <c r="AL126" s="158">
        <f>IFERROR(INDEX(TableRBVORP[FPS],MATCH(TableOverallMaster[[#This Row],[RK]],TableRBVORP[RK],0)),"")</f>
        <v>18.811448871008182</v>
      </c>
      <c r="AM126" s="159">
        <f>IFERROR(INDEX(TableRBVORP[VORP],MATCH(TableOverallMaster[[#This Row],[RK]],TableRBVORP[RK],0)),"")</f>
        <v>-68.157112288015355</v>
      </c>
      <c r="AO126" s="58">
        <v>125</v>
      </c>
      <c r="AP126" s="160" t="str">
        <f>IFERROR(INDEX(TableOverallMaster[OVERALL PLAYER],MATCH(TableOverallRank[[#This Row],[RK]],TableOverallMaster[OVR RK],0)),"")</f>
        <v>Dalton Schultz</v>
      </c>
      <c r="AQ126" s="161" t="str">
        <f>IFERROR(INDEX(TableOverallMaster[POS RK],MATCH(TableOverallRank[[#This Row],[OVERALL PLAYER]],TableOverallMaster[OVERALL PLAYER],0)),"")</f>
        <v>TE17</v>
      </c>
      <c r="AR126" s="162">
        <f>IFERROR(INDEX(TableOverallMaster[BYE],MATCH(TableOverallRank[[#This Row],[OVERALL PLAYER]],TableOverallMaster[OVERALL PLAYER],0)),"")</f>
        <v>8</v>
      </c>
      <c r="AS126" s="161">
        <f>IFERROR(INDEX(TableOverallMaster[Custom],MATCH(TableOverallRank[[#This Row],[OVERALL PLAYER]],TableOverallMaster[OVERALL PLAYER],0)),"")</f>
        <v>120.45266133204058</v>
      </c>
      <c r="AT126" s="163">
        <f>IFERROR(INDEX(TableOverallMaster[VORP],MATCH(TableOverallRank[[#This Row],[OVERALL PLAYER]],TableOverallMaster[OVERALL PLAYER],0)),"")</f>
        <v>42.566867355798891</v>
      </c>
      <c r="AV126" s="58">
        <v>125</v>
      </c>
      <c r="AW126" s="164" t="str">
        <f>IFERROR(INDEX(TableWRTECalcPts[PLAYER],MATCH(TableWRTERank[[#This Row],[RK]],TableWRTECalcPts[RK],0)),"")</f>
        <v>Jahan Dotson</v>
      </c>
      <c r="AX126" s="164" t="str">
        <f>IFERROR(INDEX(TableWRTECalcPts[POS RK],MATCH(TableWRTERank[[#This Row],[WR and TE COMBINED]],TableWRTECalcPts[PLAYER],0)),"")</f>
        <v>WR89</v>
      </c>
      <c r="AY126" s="164">
        <f>IFERROR(INDEX(TableWRTECalcPts[BYE],MATCH(TableWRTERank[[#This Row],[RK]],TableWRTECalcPts[RK],0)),"")</f>
        <v>11</v>
      </c>
      <c r="AZ126" s="165">
        <f>IFERROR(INDEX(TableWRTECalcPts[Custom],MATCH(TableWRTERank[[#This Row],[RK]],TableWRTECalcPts[RK],0)),"")</f>
        <v>59.177708380316076</v>
      </c>
      <c r="BA126" s="166">
        <f>IFERROR((TableWRTERank[[#This Row],[FPS]]-INDEX(TableWRTERank[FPS],MATCH(WRTEVORPCalc,TableWRTERank[RK],0))),"")</f>
        <v>-82.058663201975619</v>
      </c>
      <c r="BC126" s="58" t="s">
        <v>148</v>
      </c>
    </row>
    <row r="127" spans="8:55" x14ac:dyDescent="0.25">
      <c r="H127" s="58">
        <v>126</v>
      </c>
      <c r="I127" s="154" t="str">
        <f>IFERROR(INDEX(TableRBCalcPts[PLAYER],MATCH(TableRBVORP[[#This Row],[RK]],TableRBCalcPts[RK],0)),"")</f>
        <v/>
      </c>
      <c r="J127" s="154" t="str">
        <f>IFERROR(INDEX(TableRBCalcPts[TM],MATCH(TableRBVORP[[#This Row],[RK]],TableRBCalcPts[RK],0)),"")</f>
        <v/>
      </c>
      <c r="K127" s="154" t="str">
        <f>IFERROR(INDEX(TableRBCalcPts[BYE],MATCH(TableRBVORP[[#This Row],[RK]],TableRBCalcPts[RK],0)),"")</f>
        <v/>
      </c>
      <c r="L127" s="155" t="str">
        <f>IFERROR(INDEX(TableRBCalcPts[Custom],MATCH(TableRBVORP[[#This Row],[RK]],TableRBCalcPts[RK],0)),"")</f>
        <v/>
      </c>
      <c r="M127" s="156" t="e">
        <f>(IFERROR((TableRBVORP[[#This Row],[FPS]]-INDEX(TableRBVORP[FPS],MATCH(RBVORPCalc,TableRBVORP[RK],0))),""))*0.8</f>
        <v>#VALUE!</v>
      </c>
      <c r="O127" s="58">
        <v>126</v>
      </c>
      <c r="P127" s="154" t="str">
        <f>IFERROR(INDEX(TableWRCalcPts[PLAYER],MATCH(TableWRVORP[[#This Row],[RK]],TableWRCalcPts[RK],0)),"")</f>
        <v>Kevin Coleman</v>
      </c>
      <c r="Q127" s="154" t="str">
        <f>IFERROR(INDEX(TableWRCalcPts[TM],MATCH(TableWRVORP[[#This Row],[RK]],TableWRCalcPts[RK],0)),"")</f>
        <v>MIA</v>
      </c>
      <c r="R127" s="154">
        <f>IFERROR(INDEX(TableWRCalcPts[BYE],MATCH(TableWRVORP[[#This Row],[RK]],TableWRCalcPts[RK],0)),"")</f>
        <v>6</v>
      </c>
      <c r="S127" s="155">
        <f>IFERROR(INDEX(TableWRCalcPts[Custom],MATCH(TableWRVORP[[#This Row],[RK]],TableWRCalcPts[RK],0)),"")</f>
        <v>21.182855032088817</v>
      </c>
      <c r="T127" s="156">
        <f>(IFERROR((TableWRVORP[[#This Row],[FPS]]-INDEX(TableWRVORP[FPS],MATCH(WRVORPCalc,TableWRVORP[RK],0))),""))</f>
        <v>-69.101330358277238</v>
      </c>
      <c r="AF127" s="58" t="s">
        <v>147</v>
      </c>
      <c r="AG127" s="58">
        <v>86</v>
      </c>
      <c r="AH127" s="100">
        <f>RANK(TableOverallMaster[[#This Row],[VORP]],TableOverallMaster[VORP])+COUNTIF($AM$2:AM127,AM127)-1</f>
        <v>276</v>
      </c>
      <c r="AI127" s="157" t="str">
        <f>IFERROR(INDEX(TableRBVORP[RUNNING BACK],MATCH(TableOverallMaster[[#This Row],[RK]],TableRBVORP[RK],0)),"")</f>
        <v>Eli Heidenreich</v>
      </c>
      <c r="AJ127" s="157" t="str">
        <f t="shared" si="1"/>
        <v>RB86</v>
      </c>
      <c r="AK127" s="157">
        <f>IFERROR(INDEX(TableRBVORP[BYE],MATCH(TableOverallMaster[[#This Row],[RK]],TableRBVORP[RK],0)),"")</f>
        <v>9</v>
      </c>
      <c r="AL127" s="158">
        <f>IFERROR(INDEX(TableRBVORP[FPS],MATCH(TableOverallMaster[[#This Row],[RK]],TableRBVORP[RK],0)),"")</f>
        <v>18.546025150799998</v>
      </c>
      <c r="AM127" s="159">
        <f>IFERROR(INDEX(TableRBVORP[VORP],MATCH(TableOverallMaster[[#This Row],[RK]],TableRBVORP[RK],0)),"")</f>
        <v>-68.369451264181905</v>
      </c>
      <c r="AO127" s="58">
        <v>126</v>
      </c>
      <c r="AP127" s="160" t="str">
        <f>IFERROR(INDEX(TableOverallMaster[OVERALL PLAYER],MATCH(TableOverallRank[[#This Row],[RK]],TableOverallMaster[OVR RK],0)),"")</f>
        <v>Hunter Henry</v>
      </c>
      <c r="AQ127" s="161" t="str">
        <f>IFERROR(INDEX(TableOverallMaster[POS RK],MATCH(TableOverallRank[[#This Row],[OVERALL PLAYER]],TableOverallMaster[OVERALL PLAYER],0)),"")</f>
        <v>TE18</v>
      </c>
      <c r="AR127" s="162">
        <f>IFERROR(INDEX(TableOverallMaster[BYE],MATCH(TableOverallRank[[#This Row],[OVERALL PLAYER]],TableOverallMaster[OVERALL PLAYER],0)),"")</f>
        <v>11</v>
      </c>
      <c r="AS127" s="161">
        <f>IFERROR(INDEX(TableOverallMaster[Custom],MATCH(TableOverallRank[[#This Row],[OVERALL PLAYER]],TableOverallMaster[OVERALL PLAYER],0)),"")</f>
        <v>119.83960027840953</v>
      </c>
      <c r="AT127" s="163">
        <f>IFERROR(INDEX(TableOverallMaster[VORP],MATCH(TableOverallRank[[#This Row],[OVERALL PLAYER]],TableOverallMaster[OVERALL PLAYER],0)),"")</f>
        <v>41.953806302167848</v>
      </c>
      <c r="AV127" s="58">
        <v>126</v>
      </c>
      <c r="AW127" s="164" t="str">
        <f>IFERROR(INDEX(TableWRTECalcPts[PLAYER],MATCH(TableWRTERank[[#This Row],[RK]],TableWRTECalcPts[RK],0)),"")</f>
        <v>Xavier Legette</v>
      </c>
      <c r="AX127" s="164" t="str">
        <f>IFERROR(INDEX(TableWRTECalcPts[POS RK],MATCH(TableWRTERank[[#This Row],[WR and TE COMBINED]],TableWRTECalcPts[PLAYER],0)),"")</f>
        <v>WR90</v>
      </c>
      <c r="AY127" s="164">
        <f>IFERROR(INDEX(TableWRTECalcPts[BYE],MATCH(TableWRTERank[[#This Row],[RK]],TableWRTECalcPts[RK],0)),"")</f>
        <v>5</v>
      </c>
      <c r="AZ127" s="165">
        <f>IFERROR(INDEX(TableWRTECalcPts[Custom],MATCH(TableWRTERank[[#This Row],[RK]],TableWRTECalcPts[RK],0)),"")</f>
        <v>58.952262247216787</v>
      </c>
      <c r="BA127" s="166">
        <f>IFERROR((TableWRTERank[[#This Row],[FPS]]-INDEX(TableWRTERank[FPS],MATCH(WRTEVORPCalc,TableWRTERank[RK],0))),"")</f>
        <v>-82.284109335074902</v>
      </c>
      <c r="BC127" s="58" t="s">
        <v>148</v>
      </c>
    </row>
    <row r="128" spans="8:55" x14ac:dyDescent="0.25">
      <c r="H128" s="58">
        <v>127</v>
      </c>
      <c r="I128" s="154" t="str">
        <f>IFERROR(INDEX(TableRBCalcPts[PLAYER],MATCH(TableRBVORP[[#This Row],[RK]],TableRBCalcPts[RK],0)),"")</f>
        <v/>
      </c>
      <c r="J128" s="154" t="str">
        <f>IFERROR(INDEX(TableRBCalcPts[TM],MATCH(TableRBVORP[[#This Row],[RK]],TableRBCalcPts[RK],0)),"")</f>
        <v/>
      </c>
      <c r="K128" s="154" t="str">
        <f>IFERROR(INDEX(TableRBCalcPts[BYE],MATCH(TableRBVORP[[#This Row],[RK]],TableRBCalcPts[RK],0)),"")</f>
        <v/>
      </c>
      <c r="L128" s="155" t="str">
        <f>IFERROR(INDEX(TableRBCalcPts[Custom],MATCH(TableRBVORP[[#This Row],[RK]],TableRBCalcPts[RK],0)),"")</f>
        <v/>
      </c>
      <c r="M128" s="156" t="e">
        <f>(IFERROR((TableRBVORP[[#This Row],[FPS]]-INDEX(TableRBVORP[FPS],MATCH(RBVORPCalc,TableRBVORP[RK],0))),""))*0.8</f>
        <v>#VALUE!</v>
      </c>
      <c r="O128" s="58">
        <v>127</v>
      </c>
      <c r="P128" s="154" t="str">
        <f>IFERROR(INDEX(TableWRCalcPts[PLAYER],MATCH(TableWRVORP[[#This Row],[RK]],TableWRCalcPts[RK],0)),"")</f>
        <v>Deion Burks</v>
      </c>
      <c r="Q128" s="154" t="str">
        <f>IFERROR(INDEX(TableWRCalcPts[TM],MATCH(TableWRVORP[[#This Row],[RK]],TableWRCalcPts[RK],0)),"")</f>
        <v>IND</v>
      </c>
      <c r="R128" s="154">
        <f>IFERROR(INDEX(TableWRCalcPts[BYE],MATCH(TableWRVORP[[#This Row],[RK]],TableWRCalcPts[RK],0)),"")</f>
        <v>13</v>
      </c>
      <c r="S128" s="155">
        <f>IFERROR(INDEX(TableWRCalcPts[Custom],MATCH(TableWRVORP[[#This Row],[RK]],TableWRCalcPts[RK],0)),"")</f>
        <v>20.528811020256004</v>
      </c>
      <c r="T128" s="156">
        <f>(IFERROR((TableWRVORP[[#This Row],[FPS]]-INDEX(TableWRVORP[FPS],MATCH(WRVORPCalc,TableWRVORP[RK],0))),""))</f>
        <v>-69.755374370110061</v>
      </c>
      <c r="AF128" s="58" t="s">
        <v>147</v>
      </c>
      <c r="AG128" s="58">
        <v>87</v>
      </c>
      <c r="AH128" s="100">
        <f>RANK(TableOverallMaster[[#This Row],[VORP]],TableOverallMaster[VORP])+COUNTIF($AM$2:AM128,AM128)-1</f>
        <v>277</v>
      </c>
      <c r="AI128" s="157" t="str">
        <f>IFERROR(INDEX(TableRBVORP[RUNNING BACK],MATCH(TableOverallMaster[[#This Row],[RK]],TableRBVORP[RK],0)),"")</f>
        <v>Jeremy McNichols</v>
      </c>
      <c r="AJ128" s="157" t="str">
        <f t="shared" si="1"/>
        <v>RB87</v>
      </c>
      <c r="AK128" s="157">
        <f>IFERROR(INDEX(TableRBVORP[BYE],MATCH(TableOverallMaster[[#This Row],[RK]],TableRBVORP[RK],0)),"")</f>
        <v>7</v>
      </c>
      <c r="AL128" s="158">
        <f>IFERROR(INDEX(TableRBVORP[FPS],MATCH(TableOverallMaster[[#This Row],[RK]],TableRBVORP[RK],0)),"")</f>
        <v>17.610929481321268</v>
      </c>
      <c r="AM128" s="159">
        <f>IFERROR(INDEX(TableRBVORP[VORP],MATCH(TableOverallMaster[[#This Row],[RK]],TableRBVORP[RK],0)),"")</f>
        <v>-69.117527799764886</v>
      </c>
      <c r="AO128" s="58">
        <v>127</v>
      </c>
      <c r="AP128" s="160" t="str">
        <f>IFERROR(INDEX(TableOverallMaster[OVERALL PLAYER],MATCH(TableOverallRank[[#This Row],[RK]],TableOverallMaster[OVR RK],0)),"")</f>
        <v>Romeo Doubs</v>
      </c>
      <c r="AQ128" s="161" t="str">
        <f>IFERROR(INDEX(TableOverallMaster[POS RK],MATCH(TableOverallRank[[#This Row],[OVERALL PLAYER]],TableOverallMaster[OVERALL PLAYER],0)),"")</f>
        <v>WR52</v>
      </c>
      <c r="AR128" s="162">
        <f>IFERROR(INDEX(TableOverallMaster[BYE],MATCH(TableOverallRank[[#This Row],[OVERALL PLAYER]],TableOverallMaster[OVERALL PLAYER],0)),"")</f>
        <v>11</v>
      </c>
      <c r="AS128" s="161">
        <f>IFERROR(INDEX(TableOverallMaster[Custom],MATCH(TableOverallRank[[#This Row],[OVERALL PLAYER]],TableOverallMaster[OVERALL PLAYER],0)),"")</f>
        <v>131.55279041196593</v>
      </c>
      <c r="AT128" s="163">
        <f>IFERROR(INDEX(TableOverallMaster[VORP],MATCH(TableOverallRank[[#This Row],[OVERALL PLAYER]],TableOverallMaster[OVERALL PLAYER],0)),"")</f>
        <v>41.268605021599868</v>
      </c>
      <c r="AV128" s="58">
        <v>127</v>
      </c>
      <c r="AW128" s="164" t="str">
        <f>IFERROR(INDEX(TableWRTECalcPts[PLAYER],MATCH(TableWRTERank[[#This Row],[RK]],TableWRTECalcPts[RK],0)),"")</f>
        <v>Ja'Kobi Lane</v>
      </c>
      <c r="AX128" s="164" t="str">
        <f>IFERROR(INDEX(TableWRTECalcPts[POS RK],MATCH(TableWRTERank[[#This Row],[WR and TE COMBINED]],TableWRTECalcPts[PLAYER],0)),"")</f>
        <v>WR91</v>
      </c>
      <c r="AY128" s="164">
        <f>IFERROR(INDEX(TableWRTECalcPts[BYE],MATCH(TableWRTERank[[#This Row],[RK]],TableWRTECalcPts[RK],0)),"")</f>
        <v>13</v>
      </c>
      <c r="AZ128" s="165">
        <f>IFERROR(INDEX(TableWRTECalcPts[Custom],MATCH(TableWRTERank[[#This Row],[RK]],TableWRTECalcPts[RK],0)),"")</f>
        <v>58.907507146847031</v>
      </c>
      <c r="BA128" s="166">
        <f>IFERROR((TableWRTERank[[#This Row],[FPS]]-INDEX(TableWRTERank[FPS],MATCH(WRTEVORPCalc,TableWRTERank[RK],0))),"")</f>
        <v>-82.328864435444672</v>
      </c>
      <c r="BC128" s="58" t="s">
        <v>148</v>
      </c>
    </row>
    <row r="129" spans="8:55" x14ac:dyDescent="0.25">
      <c r="H129" s="58">
        <v>128</v>
      </c>
      <c r="I129" s="154" t="str">
        <f>IFERROR(INDEX(TableRBCalcPts[PLAYER],MATCH(TableRBVORP[[#This Row],[RK]],TableRBCalcPts[RK],0)),"")</f>
        <v/>
      </c>
      <c r="J129" s="154" t="str">
        <f>IFERROR(INDEX(TableRBCalcPts[TM],MATCH(TableRBVORP[[#This Row],[RK]],TableRBCalcPts[RK],0)),"")</f>
        <v/>
      </c>
      <c r="K129" s="154" t="str">
        <f>IFERROR(INDEX(TableRBCalcPts[BYE],MATCH(TableRBVORP[[#This Row],[RK]],TableRBCalcPts[RK],0)),"")</f>
        <v/>
      </c>
      <c r="L129" s="155" t="str">
        <f>IFERROR(INDEX(TableRBCalcPts[Custom],MATCH(TableRBVORP[[#This Row],[RK]],TableRBCalcPts[RK],0)),"")</f>
        <v/>
      </c>
      <c r="M129" s="156" t="e">
        <f>(IFERROR((TableRBVORP[[#This Row],[FPS]]-INDEX(TableRBVORP[FPS],MATCH(RBVORPCalc,TableRBVORP[RK],0))),""))*0.8</f>
        <v>#VALUE!</v>
      </c>
      <c r="O129" s="58">
        <v>128</v>
      </c>
      <c r="P129" s="154" t="str">
        <f>IFERROR(INDEX(TableWRCalcPts[PLAYER],MATCH(TableWRVORP[[#This Row],[RK]],TableWRCalcPts[RK],0)),"")</f>
        <v>Jordan Whittington</v>
      </c>
      <c r="Q129" s="154" t="str">
        <f>IFERROR(INDEX(TableWRCalcPts[TM],MATCH(TableWRVORP[[#This Row],[RK]],TableWRCalcPts[RK],0)),"")</f>
        <v>LAR</v>
      </c>
      <c r="R129" s="154">
        <f>IFERROR(INDEX(TableWRCalcPts[BYE],MATCH(TableWRVORP[[#This Row],[RK]],TableWRCalcPts[RK],0)),"")</f>
        <v>11</v>
      </c>
      <c r="S129" s="155">
        <f>IFERROR(INDEX(TableWRCalcPts[Custom],MATCH(TableWRVORP[[#This Row],[RK]],TableWRCalcPts[RK],0)),"")</f>
        <v>20.472066670981437</v>
      </c>
      <c r="T129" s="156">
        <f>(IFERROR((TableWRVORP[[#This Row],[FPS]]-INDEX(TableWRVORP[FPS],MATCH(WRVORPCalc,TableWRVORP[RK],0))),""))</f>
        <v>-69.812118719384628</v>
      </c>
      <c r="AF129" s="58" t="s">
        <v>147</v>
      </c>
      <c r="AG129" s="58">
        <v>88</v>
      </c>
      <c r="AH129" s="100">
        <f>RANK(TableOverallMaster[[#This Row],[VORP]],TableOverallMaster[VORP])+COUNTIF($AM$2:AM129,AM129)-1</f>
        <v>278</v>
      </c>
      <c r="AI129" s="157" t="str">
        <f>IFERROR(INDEX(TableRBVORP[RUNNING BACK],MATCH(TableOverallMaster[[#This Row],[RK]],TableRBVORP[RK],0)),"")</f>
        <v>Adam Randall</v>
      </c>
      <c r="AJ129" s="157" t="str">
        <f t="shared" si="1"/>
        <v>RB88</v>
      </c>
      <c r="AK129" s="157">
        <f>IFERROR(INDEX(TableRBVORP[BYE],MATCH(TableOverallMaster[[#This Row],[RK]],TableRBVORP[RK],0)),"")</f>
        <v>13</v>
      </c>
      <c r="AL129" s="158">
        <f>IFERROR(INDEX(TableRBVORP[FPS],MATCH(TableOverallMaster[[#This Row],[RK]],TableRBVORP[RK],0)),"")</f>
        <v>17.490709129228215</v>
      </c>
      <c r="AM129" s="159">
        <f>IFERROR(INDEX(TableRBVORP[VORP],MATCH(TableOverallMaster[[#This Row],[RK]],TableRBVORP[RK],0)),"")</f>
        <v>-69.213704081439332</v>
      </c>
      <c r="AO129" s="58">
        <v>128</v>
      </c>
      <c r="AP129" s="160" t="str">
        <f>IFERROR(INDEX(TableOverallMaster[OVERALL PLAYER],MATCH(TableOverallRank[[#This Row],[RK]],TableOverallMaster[OVR RK],0)),"")</f>
        <v>Omar Cooper</v>
      </c>
      <c r="AQ129" s="161" t="str">
        <f>IFERROR(INDEX(TableOverallMaster[POS RK],MATCH(TableOverallRank[[#This Row],[OVERALL PLAYER]],TableOverallMaster[OVERALL PLAYER],0)),"")</f>
        <v>WR53</v>
      </c>
      <c r="AR129" s="162">
        <f>IFERROR(INDEX(TableOverallMaster[BYE],MATCH(TableOverallRank[[#This Row],[OVERALL PLAYER]],TableOverallMaster[OVERALL PLAYER],0)),"")</f>
        <v>13</v>
      </c>
      <c r="AS129" s="161">
        <f>IFERROR(INDEX(TableOverallMaster[Custom],MATCH(TableOverallRank[[#This Row],[OVERALL PLAYER]],TableOverallMaster[OVERALL PLAYER],0)),"")</f>
        <v>131.08678629872901</v>
      </c>
      <c r="AT129" s="163">
        <f>IFERROR(INDEX(TableOverallMaster[VORP],MATCH(TableOverallRank[[#This Row],[OVERALL PLAYER]],TableOverallMaster[OVERALL PLAYER],0)),"")</f>
        <v>40.802600908362948</v>
      </c>
      <c r="AV129" s="58">
        <v>128</v>
      </c>
      <c r="AW129" s="164" t="str">
        <f>IFERROR(INDEX(TableWRTECalcPts[PLAYER],MATCH(TableWRTERank[[#This Row],[RK]],TableWRTECalcPts[RK],0)),"")</f>
        <v>Kayshon Boutte</v>
      </c>
      <c r="AX129" s="164" t="str">
        <f>IFERROR(INDEX(TableWRTECalcPts[POS RK],MATCH(TableWRTERank[[#This Row],[WR and TE COMBINED]],TableWRTECalcPts[PLAYER],0)),"")</f>
        <v>WR92</v>
      </c>
      <c r="AY129" s="164">
        <f>IFERROR(INDEX(TableWRTECalcPts[BYE],MATCH(TableWRTERank[[#This Row],[RK]],TableWRTECalcPts[RK],0)),"")</f>
        <v>11</v>
      </c>
      <c r="AZ129" s="165">
        <f>IFERROR(INDEX(TableWRTECalcPts[Custom],MATCH(TableWRTERank[[#This Row],[RK]],TableWRTECalcPts[RK],0)),"")</f>
        <v>56.509578151941582</v>
      </c>
      <c r="BA129" s="166">
        <f>IFERROR((TableWRTERank[[#This Row],[FPS]]-INDEX(TableWRTERank[FPS],MATCH(WRTEVORPCalc,TableWRTERank[RK],0))),"")</f>
        <v>-84.726793430350114</v>
      </c>
      <c r="BC129" s="58" t="s">
        <v>148</v>
      </c>
    </row>
    <row r="130" spans="8:55" x14ac:dyDescent="0.25">
      <c r="H130" s="58">
        <v>129</v>
      </c>
      <c r="I130" s="154" t="str">
        <f>IFERROR(INDEX(TableRBCalcPts[PLAYER],MATCH(TableRBVORP[[#This Row],[RK]],TableRBCalcPts[RK],0)),"")</f>
        <v/>
      </c>
      <c r="J130" s="154" t="str">
        <f>IFERROR(INDEX(TableRBCalcPts[TM],MATCH(TableRBVORP[[#This Row],[RK]],TableRBCalcPts[RK],0)),"")</f>
        <v/>
      </c>
      <c r="K130" s="154" t="str">
        <f>IFERROR(INDEX(TableRBCalcPts[BYE],MATCH(TableRBVORP[[#This Row],[RK]],TableRBCalcPts[RK],0)),"")</f>
        <v/>
      </c>
      <c r="L130" s="155" t="str">
        <f>IFERROR(INDEX(TableRBCalcPts[Custom],MATCH(TableRBVORP[[#This Row],[RK]],TableRBCalcPts[RK],0)),"")</f>
        <v/>
      </c>
      <c r="M130" s="156" t="e">
        <f>(IFERROR((TableRBVORP[[#This Row],[FPS]]-INDEX(TableRBVORP[FPS],MATCH(RBVORPCalc,TableRBVORP[RK],0))),""))*0.8</f>
        <v>#VALUE!</v>
      </c>
      <c r="O130" s="58">
        <v>129</v>
      </c>
      <c r="P130" s="154" t="str">
        <f>IFERROR(INDEX(TableWRCalcPts[PLAYER],MATCH(TableWRVORP[[#This Row],[RK]],TableWRCalcPts[RK],0)),"")</f>
        <v>Bryce Lance</v>
      </c>
      <c r="Q130" s="154" t="str">
        <f>IFERROR(INDEX(TableWRCalcPts[TM],MATCH(TableWRVORP[[#This Row],[RK]],TableWRCalcPts[RK],0)),"")</f>
        <v>NO</v>
      </c>
      <c r="R130" s="154">
        <f>IFERROR(INDEX(TableWRCalcPts[BYE],MATCH(TableWRVORP[[#This Row],[RK]],TableWRCalcPts[RK],0)),"")</f>
        <v>8</v>
      </c>
      <c r="S130" s="155">
        <f>IFERROR(INDEX(TableWRCalcPts[Custom],MATCH(TableWRVORP[[#This Row],[RK]],TableWRCalcPts[RK],0)),"")</f>
        <v>20.315367916447233</v>
      </c>
      <c r="T130" s="156">
        <f>(IFERROR((TableWRVORP[[#This Row],[FPS]]-INDEX(TableWRVORP[FPS],MATCH(WRVORPCalc,TableWRVORP[RK],0))),""))</f>
        <v>-69.968817473918833</v>
      </c>
      <c r="AF130" s="58" t="s">
        <v>147</v>
      </c>
      <c r="AG130" s="58">
        <v>89</v>
      </c>
      <c r="AH130" s="100">
        <f>RANK(TableOverallMaster[[#This Row],[VORP]],TableOverallMaster[VORP])+COUNTIF($AM$2:AM130,AM130)-1</f>
        <v>279</v>
      </c>
      <c r="AI130" s="157" t="str">
        <f>IFERROR(INDEX(TableRBVORP[RUNNING BACK],MATCH(TableOverallMaster[[#This Row],[RK]],TableRBVORP[RK],0)),"")</f>
        <v>Devin Singletary</v>
      </c>
      <c r="AJ130" s="157" t="str">
        <f t="shared" ref="AJ130:AJ193" si="2">CONCATENATE(AF130,AG130)</f>
        <v>RB89</v>
      </c>
      <c r="AK130" s="157">
        <f>IFERROR(INDEX(TableRBVORP[BYE],MATCH(TableOverallMaster[[#This Row],[RK]],TableRBVORP[RK],0)),"")</f>
        <v>8</v>
      </c>
      <c r="AL130" s="158">
        <f>IFERROR(INDEX(TableRBVORP[FPS],MATCH(TableOverallMaster[[#This Row],[RK]],TableRBVORP[RK],0)),"")</f>
        <v>17.45946486942</v>
      </c>
      <c r="AM130" s="159">
        <f>IFERROR(INDEX(TableRBVORP[VORP],MATCH(TableOverallMaster[[#This Row],[RK]],TableRBVORP[RK],0)),"")</f>
        <v>-69.238699489285906</v>
      </c>
      <c r="AO130" s="58">
        <v>129</v>
      </c>
      <c r="AP130" s="160" t="str">
        <f>IFERROR(INDEX(TableOverallMaster[OVERALL PLAYER],MATCH(TableOverallRank[[#This Row],[RK]],TableOverallMaster[OVR RK],0)),"")</f>
        <v>Daniel Jones</v>
      </c>
      <c r="AQ130" s="161" t="str">
        <f>IFERROR(INDEX(TableOverallMaster[POS RK],MATCH(TableOverallRank[[#This Row],[OVERALL PLAYER]],TableOverallMaster[OVERALL PLAYER],0)),"")</f>
        <v>QB25</v>
      </c>
      <c r="AR130" s="162">
        <f>IFERROR(INDEX(TableOverallMaster[BYE],MATCH(TableOverallRank[[#This Row],[OVERALL PLAYER]],TableOverallMaster[OVERALL PLAYER],0)),"")</f>
        <v>13</v>
      </c>
      <c r="AS130" s="161">
        <f>IFERROR(INDEX(TableOverallMaster[Custom],MATCH(TableOverallRank[[#This Row],[OVERALL PLAYER]],TableOverallMaster[OVERALL PLAYER],0)),"")</f>
        <v>347.48702268943157</v>
      </c>
      <c r="AT130" s="163">
        <f>IFERROR(INDEX(TableOverallMaster[VORP],MATCH(TableOverallRank[[#This Row],[OVERALL PLAYER]],TableOverallMaster[OVERALL PLAYER],0)),"")</f>
        <v>38.180034420373488</v>
      </c>
      <c r="AV130" s="58">
        <v>129</v>
      </c>
      <c r="AW130" s="164" t="str">
        <f>IFERROR(INDEX(TableWRTECalcPts[PLAYER],MATCH(TableWRTERank[[#This Row],[RK]],TableWRTECalcPts[RK],0)),"")</f>
        <v>Isaiah Bond</v>
      </c>
      <c r="AX130" s="164" t="str">
        <f>IFERROR(INDEX(TableWRTECalcPts[POS RK],MATCH(TableWRTERank[[#This Row],[WR and TE COMBINED]],TableWRTECalcPts[PLAYER],0)),"")</f>
        <v>WR93</v>
      </c>
      <c r="AY130" s="164">
        <f>IFERROR(INDEX(TableWRTECalcPts[BYE],MATCH(TableWRTERank[[#This Row],[RK]],TableWRTECalcPts[RK],0)),"")</f>
        <v>11</v>
      </c>
      <c r="AZ130" s="165">
        <f>IFERROR(INDEX(TableWRTECalcPts[Custom],MATCH(TableWRTERank[[#This Row],[RK]],TableWRTECalcPts[RK],0)),"")</f>
        <v>56.398321364111993</v>
      </c>
      <c r="BA130" s="166">
        <f>IFERROR((TableWRTERank[[#This Row],[FPS]]-INDEX(TableWRTERank[FPS],MATCH(WRTEVORPCalc,TableWRTERank[RK],0))),"")</f>
        <v>-84.838050218179703</v>
      </c>
      <c r="BC130" s="58" t="s">
        <v>148</v>
      </c>
    </row>
    <row r="131" spans="8:55" x14ac:dyDescent="0.25">
      <c r="H131" s="58">
        <v>130</v>
      </c>
      <c r="I131" s="154" t="str">
        <f>IFERROR(INDEX(TableRBCalcPts[PLAYER],MATCH(TableRBVORP[[#This Row],[RK]],TableRBCalcPts[RK],0)),"")</f>
        <v/>
      </c>
      <c r="J131" s="154" t="str">
        <f>IFERROR(INDEX(TableRBCalcPts[TM],MATCH(TableRBVORP[[#This Row],[RK]],TableRBCalcPts[RK],0)),"")</f>
        <v/>
      </c>
      <c r="K131" s="154" t="str">
        <f>IFERROR(INDEX(TableRBCalcPts[BYE],MATCH(TableRBVORP[[#This Row],[RK]],TableRBCalcPts[RK],0)),"")</f>
        <v/>
      </c>
      <c r="L131" s="155" t="str">
        <f>IFERROR(INDEX(TableRBCalcPts[Custom],MATCH(TableRBVORP[[#This Row],[RK]],TableRBCalcPts[RK],0)),"")</f>
        <v/>
      </c>
      <c r="M131" s="156" t="e">
        <f>(IFERROR((TableRBVORP[[#This Row],[FPS]]-INDEX(TableRBVORP[FPS],MATCH(RBVORPCalc,TableRBVORP[RK],0))),""))*0.8</f>
        <v>#VALUE!</v>
      </c>
      <c r="O131" s="58">
        <v>130</v>
      </c>
      <c r="P131" s="154" t="str">
        <f>IFERROR(INDEX(TableWRCalcPts[PLAYER],MATCH(TableWRVORP[[#This Row],[RK]],TableWRCalcPts[RK],0)),"")</f>
        <v>Chimere Dike</v>
      </c>
      <c r="Q131" s="154" t="str">
        <f>IFERROR(INDEX(TableWRCalcPts[TM],MATCH(TableWRVORP[[#This Row],[RK]],TableWRCalcPts[RK],0)),"")</f>
        <v>TEN</v>
      </c>
      <c r="R131" s="154">
        <f>IFERROR(INDEX(TableWRCalcPts[BYE],MATCH(TableWRVORP[[#This Row],[RK]],TableWRCalcPts[RK],0)),"")</f>
        <v>9</v>
      </c>
      <c r="S131" s="155">
        <f>IFERROR(INDEX(TableWRCalcPts[Custom],MATCH(TableWRVORP[[#This Row],[RK]],TableWRCalcPts[RK],0)),"")</f>
        <v>19.953913792414774</v>
      </c>
      <c r="T131" s="156">
        <f>(IFERROR((TableWRVORP[[#This Row],[FPS]]-INDEX(TableWRVORP[FPS],MATCH(WRVORPCalc,TableWRVORP[RK],0))),""))</f>
        <v>-70.330271597951281</v>
      </c>
      <c r="AF131" s="58" t="s">
        <v>147</v>
      </c>
      <c r="AG131" s="58">
        <v>90</v>
      </c>
      <c r="AH131" s="100">
        <f>RANK(TableOverallMaster[[#This Row],[VORP]],TableOverallMaster[VORP])+COUNTIF($AM$2:AM131,AM131)-1</f>
        <v>280</v>
      </c>
      <c r="AI131" s="157" t="str">
        <f>IFERROR(INDEX(TableRBVORP[RUNNING BACK],MATCH(TableOverallMaster[[#This Row],[RK]],TableRBVORP[RK],0)),"")</f>
        <v>Jacob Saylors</v>
      </c>
      <c r="AJ131" s="157" t="str">
        <f t="shared" si="2"/>
        <v>RB90</v>
      </c>
      <c r="AK131" s="157">
        <f>IFERROR(INDEX(TableRBVORP[BYE],MATCH(TableOverallMaster[[#This Row],[RK]],TableRBVORP[RK],0)),"")</f>
        <v>6</v>
      </c>
      <c r="AL131" s="158">
        <f>IFERROR(INDEX(TableRBVORP[FPS],MATCH(TableOverallMaster[[#This Row],[RK]],TableRBVORP[RK],0)),"")</f>
        <v>15.698531844016635</v>
      </c>
      <c r="AM131" s="159">
        <f>IFERROR(INDEX(TableRBVORP[VORP],MATCH(TableOverallMaster[[#This Row],[RK]],TableRBVORP[RK],0)),"")</f>
        <v>-70.647445909608592</v>
      </c>
      <c r="AO131" s="58">
        <v>130</v>
      </c>
      <c r="AP131" s="160" t="str">
        <f>IFERROR(INDEX(TableOverallMaster[OVERALL PLAYER],MATCH(TableOverallRank[[#This Row],[RK]],TableOverallMaster[OVR RK],0)),"")</f>
        <v>Dallas Goedert</v>
      </c>
      <c r="AQ131" s="161" t="str">
        <f>IFERROR(INDEX(TableOverallMaster[POS RK],MATCH(TableOverallRank[[#This Row],[OVERALL PLAYER]],TableOverallMaster[OVERALL PLAYER],0)),"")</f>
        <v>TE19</v>
      </c>
      <c r="AR131" s="162">
        <f>IFERROR(INDEX(TableOverallMaster[BYE],MATCH(TableOverallRank[[#This Row],[OVERALL PLAYER]],TableOverallMaster[OVERALL PLAYER],0)),"")</f>
        <v>10</v>
      </c>
      <c r="AS131" s="161">
        <f>IFERROR(INDEX(TableOverallMaster[Custom],MATCH(TableOverallRank[[#This Row],[OVERALL PLAYER]],TableOverallMaster[OVERALL PLAYER],0)),"")</f>
        <v>114.12704445993541</v>
      </c>
      <c r="AT131" s="163">
        <f>IFERROR(INDEX(TableOverallMaster[VORP],MATCH(TableOverallRank[[#This Row],[OVERALL PLAYER]],TableOverallMaster[OVERALL PLAYER],0)),"")</f>
        <v>36.241250483693719</v>
      </c>
      <c r="AV131" s="58">
        <v>130</v>
      </c>
      <c r="AW131" s="164" t="str">
        <f>IFERROR(INDEX(TableWRTECalcPts[PLAYER],MATCH(TableWRTERank[[#This Row],[RK]],TableWRTECalcPts[RK],0)),"")</f>
        <v>Olamide Zaccheaus</v>
      </c>
      <c r="AX131" s="164" t="str">
        <f>IFERROR(INDEX(TableWRTECalcPts[POS RK],MATCH(TableWRTERank[[#This Row],[WR and TE COMBINED]],TableWRTECalcPts[PLAYER],0)),"")</f>
        <v>WR94</v>
      </c>
      <c r="AY131" s="164">
        <f>IFERROR(INDEX(TableWRTECalcPts[BYE],MATCH(TableWRTERank[[#This Row],[RK]],TableWRTECalcPts[RK],0)),"")</f>
        <v>11</v>
      </c>
      <c r="AZ131" s="165">
        <f>IFERROR(INDEX(TableWRTECalcPts[Custom],MATCH(TableWRTERank[[#This Row],[RK]],TableWRTECalcPts[RK],0)),"")</f>
        <v>54.86571406748574</v>
      </c>
      <c r="BA131" s="166">
        <f>IFERROR((TableWRTERank[[#This Row],[FPS]]-INDEX(TableWRTERank[FPS],MATCH(WRTEVORPCalc,TableWRTERank[RK],0))),"")</f>
        <v>-86.370657514805956</v>
      </c>
      <c r="BC131" s="58" t="s">
        <v>148</v>
      </c>
    </row>
    <row r="132" spans="8:55" x14ac:dyDescent="0.25">
      <c r="H132" s="58">
        <v>131</v>
      </c>
      <c r="I132" s="154" t="str">
        <f>IFERROR(INDEX(TableRBCalcPts[PLAYER],MATCH(TableRBVORP[[#This Row],[RK]],TableRBCalcPts[RK],0)),"")</f>
        <v/>
      </c>
      <c r="J132" s="154" t="str">
        <f>IFERROR(INDEX(TableRBCalcPts[TM],MATCH(TableRBVORP[[#This Row],[RK]],TableRBCalcPts[RK],0)),"")</f>
        <v/>
      </c>
      <c r="K132" s="154" t="str">
        <f>IFERROR(INDEX(TableRBCalcPts[BYE],MATCH(TableRBVORP[[#This Row],[RK]],TableRBCalcPts[RK],0)),"")</f>
        <v/>
      </c>
      <c r="L132" s="155" t="str">
        <f>IFERROR(INDEX(TableRBCalcPts[Custom],MATCH(TableRBVORP[[#This Row],[RK]],TableRBCalcPts[RK],0)),"")</f>
        <v/>
      </c>
      <c r="M132" s="156" t="e">
        <f>(IFERROR((TableRBVORP[[#This Row],[FPS]]-INDEX(TableRBVORP[FPS],MATCH(RBVORPCalc,TableRBVORP[RK],0))),""))*0.8</f>
        <v>#VALUE!</v>
      </c>
      <c r="O132" s="58">
        <v>131</v>
      </c>
      <c r="P132" s="154" t="str">
        <f>IFERROR(INDEX(TableWRCalcPts[PLAYER],MATCH(TableWRVORP[[#This Row],[RK]],TableWRCalcPts[RK],0)),"")</f>
        <v>Xavier Hutchinson</v>
      </c>
      <c r="Q132" s="154" t="str">
        <f>IFERROR(INDEX(TableWRCalcPts[TM],MATCH(TableWRVORP[[#This Row],[RK]],TableWRCalcPts[RK],0)),"")</f>
        <v>HOU</v>
      </c>
      <c r="R132" s="154">
        <f>IFERROR(INDEX(TableWRCalcPts[BYE],MATCH(TableWRVORP[[#This Row],[RK]],TableWRCalcPts[RK],0)),"")</f>
        <v>8</v>
      </c>
      <c r="S132" s="155">
        <f>IFERROR(INDEX(TableWRCalcPts[Custom],MATCH(TableWRVORP[[#This Row],[RK]],TableWRCalcPts[RK],0)),"")</f>
        <v>19.341758900520006</v>
      </c>
      <c r="T132" s="156">
        <f>(IFERROR((TableWRVORP[[#This Row],[FPS]]-INDEX(TableWRVORP[FPS],MATCH(WRVORPCalc,TableWRVORP[RK],0))),""))</f>
        <v>-70.942426489846056</v>
      </c>
      <c r="AF132" s="58" t="s">
        <v>147</v>
      </c>
      <c r="AG132" s="58">
        <v>91</v>
      </c>
      <c r="AH132" s="100">
        <f>RANK(TableOverallMaster[[#This Row],[VORP]],TableOverallMaster[VORP])+COUNTIF($AM$2:AM132,AM132)-1</f>
        <v>281</v>
      </c>
      <c r="AI132" s="157" t="str">
        <f>IFERROR(INDEX(TableRBVORP[RUNNING BACK],MATCH(TableOverallMaster[[#This Row],[RK]],TableRBVORP[RK],0)),"")</f>
        <v>Tyler Goodson</v>
      </c>
      <c r="AJ132" s="157" t="str">
        <f t="shared" si="2"/>
        <v>RB91</v>
      </c>
      <c r="AK132" s="157">
        <f>IFERROR(INDEX(TableRBVORP[BYE],MATCH(TableOverallMaster[[#This Row],[RK]],TableRBVORP[RK],0)),"")</f>
        <v>11</v>
      </c>
      <c r="AL132" s="158">
        <f>IFERROR(INDEX(TableRBVORP[FPS],MATCH(TableOverallMaster[[#This Row],[RK]],TableRBVORP[RK],0)),"")</f>
        <v>15.265039037157166</v>
      </c>
      <c r="AM132" s="159">
        <f>IFERROR(INDEX(TableRBVORP[VORP],MATCH(TableOverallMaster[[#This Row],[RK]],TableRBVORP[RK],0)),"")</f>
        <v>-70.994240155096165</v>
      </c>
      <c r="AO132" s="58">
        <v>131</v>
      </c>
      <c r="AP132" s="160" t="str">
        <f>IFERROR(INDEX(TableOverallMaster[OVERALL PLAYER],MATCH(TableOverallRank[[#This Row],[RK]],TableOverallMaster[OVR RK],0)),"")</f>
        <v>Khalil Shakir</v>
      </c>
      <c r="AQ132" s="161" t="str">
        <f>IFERROR(INDEX(TableOverallMaster[POS RK],MATCH(TableOverallRank[[#This Row],[OVERALL PLAYER]],TableOverallMaster[OVERALL PLAYER],0)),"")</f>
        <v>WR54</v>
      </c>
      <c r="AR132" s="162">
        <f>IFERROR(INDEX(TableOverallMaster[BYE],MATCH(TableOverallRank[[#This Row],[OVERALL PLAYER]],TableOverallMaster[OVERALL PLAYER],0)),"")</f>
        <v>7</v>
      </c>
      <c r="AS132" s="161">
        <f>IFERROR(INDEX(TableOverallMaster[Custom],MATCH(TableOverallRank[[#This Row],[OVERALL PLAYER]],TableOverallMaster[OVERALL PLAYER],0)),"")</f>
        <v>125.25541451841632</v>
      </c>
      <c r="AT132" s="163">
        <f>IFERROR(INDEX(TableOverallMaster[VORP],MATCH(TableOverallRank[[#This Row],[OVERALL PLAYER]],TableOverallMaster[OVERALL PLAYER],0)),"")</f>
        <v>34.971229128050254</v>
      </c>
      <c r="AV132" s="58">
        <v>131</v>
      </c>
      <c r="AW132" s="164" t="str">
        <f>IFERROR(INDEX(TableWRTECalcPts[PLAYER],MATCH(TableWRTERank[[#This Row],[RK]],TableWRTECalcPts[RK],0)),"")</f>
        <v>Tre' Harris</v>
      </c>
      <c r="AX132" s="164" t="str">
        <f>IFERROR(INDEX(TableWRTECalcPts[POS RK],MATCH(TableWRTERank[[#This Row],[WR and TE COMBINED]],TableWRTECalcPts[PLAYER],0)),"")</f>
        <v>WR95</v>
      </c>
      <c r="AY132" s="164">
        <f>IFERROR(INDEX(TableWRTECalcPts[BYE],MATCH(TableWRTERank[[#This Row],[RK]],TableWRTECalcPts[RK],0)),"")</f>
        <v>7</v>
      </c>
      <c r="AZ132" s="165">
        <f>IFERROR(INDEX(TableWRTECalcPts[Custom],MATCH(TableWRTERank[[#This Row],[RK]],TableWRTECalcPts[RK],0)),"")</f>
        <v>54.683768684072831</v>
      </c>
      <c r="BA132" s="166">
        <f>IFERROR((TableWRTERank[[#This Row],[FPS]]-INDEX(TableWRTERank[FPS],MATCH(WRTEVORPCalc,TableWRTERank[RK],0))),"")</f>
        <v>-86.552602898218865</v>
      </c>
      <c r="BC132" s="58" t="s">
        <v>148</v>
      </c>
    </row>
    <row r="133" spans="8:55" x14ac:dyDescent="0.25">
      <c r="H133" s="58">
        <v>132</v>
      </c>
      <c r="I133" s="154" t="str">
        <f>IFERROR(INDEX(TableRBCalcPts[PLAYER],MATCH(TableRBVORP[[#This Row],[RK]],TableRBCalcPts[RK],0)),"")</f>
        <v/>
      </c>
      <c r="J133" s="154" t="str">
        <f>IFERROR(INDEX(TableRBCalcPts[TM],MATCH(TableRBVORP[[#This Row],[RK]],TableRBCalcPts[RK],0)),"")</f>
        <v/>
      </c>
      <c r="K133" s="154" t="str">
        <f>IFERROR(INDEX(TableRBCalcPts[BYE],MATCH(TableRBVORP[[#This Row],[RK]],TableRBCalcPts[RK],0)),"")</f>
        <v/>
      </c>
      <c r="L133" s="155" t="str">
        <f>IFERROR(INDEX(TableRBCalcPts[Custom],MATCH(TableRBVORP[[#This Row],[RK]],TableRBCalcPts[RK],0)),"")</f>
        <v/>
      </c>
      <c r="M133" s="156" t="e">
        <f>(IFERROR((TableRBVORP[[#This Row],[FPS]]-INDEX(TableRBVORP[FPS],MATCH(RBVORPCalc,TableRBVORP[RK],0))),""))*0.8</f>
        <v>#VALUE!</v>
      </c>
      <c r="O133" s="58">
        <v>132</v>
      </c>
      <c r="P133" s="154" t="str">
        <f>IFERROR(INDEX(TableWRCalcPts[PLAYER],MATCH(TableWRVORP[[#This Row],[RK]],TableWRCalcPts[RK],0)),"")</f>
        <v>Mitchell Tinsley</v>
      </c>
      <c r="Q133" s="154" t="str">
        <f>IFERROR(INDEX(TableWRCalcPts[TM],MATCH(TableWRVORP[[#This Row],[RK]],TableWRCalcPts[RK],0)),"")</f>
        <v>CIN</v>
      </c>
      <c r="R133" s="154">
        <f>IFERROR(INDEX(TableWRCalcPts[BYE],MATCH(TableWRVORP[[#This Row],[RK]],TableWRCalcPts[RK],0)),"")</f>
        <v>6</v>
      </c>
      <c r="S133" s="155">
        <f>IFERROR(INDEX(TableWRCalcPts[Custom],MATCH(TableWRVORP[[#This Row],[RK]],TableWRCalcPts[RK],0)),"")</f>
        <v>18.148756411178923</v>
      </c>
      <c r="T133" s="156">
        <f>(IFERROR((TableWRVORP[[#This Row],[FPS]]-INDEX(TableWRVORP[FPS],MATCH(WRVORPCalc,TableWRVORP[RK],0))),""))</f>
        <v>-72.135428979187139</v>
      </c>
      <c r="AF133" s="58" t="s">
        <v>147</v>
      </c>
      <c r="AG133" s="58">
        <v>92</v>
      </c>
      <c r="AH133" s="100">
        <f>RANK(TableOverallMaster[[#This Row],[VORP]],TableOverallMaster[VORP])+COUNTIF($AM$2:AM133,AM133)-1</f>
        <v>282</v>
      </c>
      <c r="AI133" s="157" t="str">
        <f>IFERROR(INDEX(TableRBVORP[RUNNING BACK],MATCH(TableOverallMaster[[#This Row],[RK]],TableRBVORP[RK],0)),"")</f>
        <v>Jawhar Jordan</v>
      </c>
      <c r="AJ133" s="157" t="str">
        <f t="shared" si="2"/>
        <v>RB92</v>
      </c>
      <c r="AK133" s="157">
        <f>IFERROR(INDEX(TableRBVORP[BYE],MATCH(TableOverallMaster[[#This Row],[RK]],TableRBVORP[RK],0)),"")</f>
        <v>8</v>
      </c>
      <c r="AL133" s="158">
        <f>IFERROR(INDEX(TableRBVORP[FPS],MATCH(TableOverallMaster[[#This Row],[RK]],TableRBVORP[RK],0)),"")</f>
        <v>14.980269438246003</v>
      </c>
      <c r="AM133" s="159">
        <f>IFERROR(INDEX(TableRBVORP[VORP],MATCH(TableOverallMaster[[#This Row],[RK]],TableRBVORP[RK],0)),"")</f>
        <v>-71.222055834225102</v>
      </c>
      <c r="AO133" s="58">
        <v>132</v>
      </c>
      <c r="AP133" s="160" t="str">
        <f>IFERROR(INDEX(TableOverallMaster[OVERALL PLAYER],MATCH(TableOverallRank[[#This Row],[RK]],TableOverallMaster[OVR RK],0)),"")</f>
        <v>Kyle Monangai</v>
      </c>
      <c r="AQ133" s="161" t="str">
        <f>IFERROR(INDEX(TableOverallMaster[POS RK],MATCH(TableOverallRank[[#This Row],[OVERALL PLAYER]],TableOverallMaster[OVERALL PLAYER],0)),"")</f>
        <v>RB34</v>
      </c>
      <c r="AR133" s="162">
        <f>IFERROR(INDEX(TableOverallMaster[BYE],MATCH(TableOverallRank[[#This Row],[OVERALL PLAYER]],TableOverallMaster[OVERALL PLAYER],0)),"")</f>
        <v>10</v>
      </c>
      <c r="AS133" s="161">
        <f>IFERROR(INDEX(TableOverallMaster[Custom],MATCH(TableOverallRank[[#This Row],[OVERALL PLAYER]],TableOverallMaster[OVERALL PLAYER],0)),"")</f>
        <v>147.64126343894941</v>
      </c>
      <c r="AT133" s="163">
        <f>IFERROR(INDEX(TableOverallMaster[VORP],MATCH(TableOverallRank[[#This Row],[OVERALL PLAYER]],TableOverallMaster[OVERALL PLAYER],0)),"")</f>
        <v>34.906739366337625</v>
      </c>
      <c r="AV133" s="58">
        <v>132</v>
      </c>
      <c r="AW133" s="164" t="str">
        <f>IFERROR(INDEX(TableWRTECalcPts[PLAYER],MATCH(TableWRTERank[[#This Row],[RK]],TableWRTECalcPts[RK],0)),"")</f>
        <v>Kendrick Bourne</v>
      </c>
      <c r="AX133" s="164" t="str">
        <f>IFERROR(INDEX(TableWRTECalcPts[POS RK],MATCH(TableWRTERank[[#This Row],[WR and TE COMBINED]],TableWRTECalcPts[PLAYER],0)),"")</f>
        <v>WR96</v>
      </c>
      <c r="AY133" s="164">
        <f>IFERROR(INDEX(TableWRTECalcPts[BYE],MATCH(TableWRTERank[[#This Row],[RK]],TableWRTECalcPts[RK],0)),"")</f>
        <v>14</v>
      </c>
      <c r="AZ133" s="165">
        <f>IFERROR(INDEX(TableWRTECalcPts[Custom],MATCH(TableWRTERank[[#This Row],[RK]],TableWRTECalcPts[RK],0)),"")</f>
        <v>53.352890943744001</v>
      </c>
      <c r="BA133" s="166">
        <f>IFERROR((TableWRTERank[[#This Row],[FPS]]-INDEX(TableWRTERank[FPS],MATCH(WRTEVORPCalc,TableWRTERank[RK],0))),"")</f>
        <v>-87.883480638547695</v>
      </c>
      <c r="BC133" s="58" t="s">
        <v>148</v>
      </c>
    </row>
    <row r="134" spans="8:55" x14ac:dyDescent="0.25">
      <c r="H134" s="58">
        <v>133</v>
      </c>
      <c r="I134" s="154" t="str">
        <f>IFERROR(INDEX(TableRBCalcPts[PLAYER],MATCH(TableRBVORP[[#This Row],[RK]],TableRBCalcPts[RK],0)),"")</f>
        <v/>
      </c>
      <c r="J134" s="154" t="str">
        <f>IFERROR(INDEX(TableRBCalcPts[TM],MATCH(TableRBVORP[[#This Row],[RK]],TableRBCalcPts[RK],0)),"")</f>
        <v/>
      </c>
      <c r="K134" s="154" t="str">
        <f>IFERROR(INDEX(TableRBCalcPts[BYE],MATCH(TableRBVORP[[#This Row],[RK]],TableRBCalcPts[RK],0)),"")</f>
        <v/>
      </c>
      <c r="L134" s="155" t="str">
        <f>IFERROR(INDEX(TableRBCalcPts[Custom],MATCH(TableRBVORP[[#This Row],[RK]],TableRBCalcPts[RK],0)),"")</f>
        <v/>
      </c>
      <c r="M134" s="156" t="e">
        <f>(IFERROR((TableRBVORP[[#This Row],[FPS]]-INDEX(TableRBVORP[FPS],MATCH(RBVORPCalc,TableRBVORP[RK],0))),""))*0.8</f>
        <v>#VALUE!</v>
      </c>
      <c r="O134" s="58">
        <v>133</v>
      </c>
      <c r="P134" s="154" t="str">
        <f>IFERROR(INDEX(TableWRCalcPts[PLAYER],MATCH(TableWRVORP[[#This Row],[RK]],TableWRCalcPts[RK],0)),"")</f>
        <v>Tim Patrick</v>
      </c>
      <c r="Q134" s="154" t="str">
        <f>IFERROR(INDEX(TableWRCalcPts[TM],MATCH(TableWRVORP[[#This Row],[RK]],TableWRCalcPts[RK],0)),"")</f>
        <v>NYJ</v>
      </c>
      <c r="R134" s="154">
        <f>IFERROR(INDEX(TableWRCalcPts[BYE],MATCH(TableWRVORP[[#This Row],[RK]],TableWRCalcPts[RK],0)),"")</f>
        <v>13</v>
      </c>
      <c r="S134" s="155">
        <f>IFERROR(INDEX(TableWRCalcPts[Custom],MATCH(TableWRVORP[[#This Row],[RK]],TableWRCalcPts[RK],0)),"")</f>
        <v>18.042811324773403</v>
      </c>
      <c r="T134" s="156">
        <f>(IFERROR((TableWRVORP[[#This Row],[FPS]]-INDEX(TableWRVORP[FPS],MATCH(WRVORPCalc,TableWRVORP[RK],0))),""))</f>
        <v>-72.241374065592652</v>
      </c>
      <c r="AF134" s="58" t="s">
        <v>147</v>
      </c>
      <c r="AG134" s="58">
        <v>93</v>
      </c>
      <c r="AH134" s="100">
        <f>RANK(TableOverallMaster[[#This Row],[VORP]],TableOverallMaster[VORP])+COUNTIF($AM$2:AM134,AM134)-1</f>
        <v>283</v>
      </c>
      <c r="AI134" s="157" t="str">
        <f>IFERROR(INDEX(TableRBVORP[RUNNING BACK],MATCH(TableOverallMaster[[#This Row],[RK]],TableRBVORP[RK],0)),"")</f>
        <v>Tahj Brooks</v>
      </c>
      <c r="AJ134" s="157" t="str">
        <f t="shared" si="2"/>
        <v>RB93</v>
      </c>
      <c r="AK134" s="157">
        <f>IFERROR(INDEX(TableRBVORP[BYE],MATCH(TableOverallMaster[[#This Row],[RK]],TableRBVORP[RK],0)),"")</f>
        <v>6</v>
      </c>
      <c r="AL134" s="158">
        <f>IFERROR(INDEX(TableRBVORP[FPS],MATCH(TableOverallMaster[[#This Row],[RK]],TableRBVORP[RK],0)),"")</f>
        <v>14.242156410960854</v>
      </c>
      <c r="AM134" s="159">
        <f>IFERROR(INDEX(TableRBVORP[VORP],MATCH(TableOverallMaster[[#This Row],[RK]],TableRBVORP[RK],0)),"")</f>
        <v>-71.81254625605321</v>
      </c>
      <c r="AO134" s="58">
        <v>133</v>
      </c>
      <c r="AP134" s="160" t="str">
        <f>IFERROR(INDEX(TableOverallMaster[OVERALL PLAYER],MATCH(TableOverallRank[[#This Row],[RK]],TableOverallMaster[OVR RK],0)),"")</f>
        <v>Greg Dulcich</v>
      </c>
      <c r="AQ134" s="161" t="str">
        <f>IFERROR(INDEX(TableOverallMaster[POS RK],MATCH(TableOverallRank[[#This Row],[OVERALL PLAYER]],TableOverallMaster[OVERALL PLAYER],0)),"")</f>
        <v>TE20</v>
      </c>
      <c r="AR134" s="162">
        <f>IFERROR(INDEX(TableOverallMaster[BYE],MATCH(TableOverallRank[[#This Row],[OVERALL PLAYER]],TableOverallMaster[OVERALL PLAYER],0)),"")</f>
        <v>6</v>
      </c>
      <c r="AS134" s="161">
        <f>IFERROR(INDEX(TableOverallMaster[Custom],MATCH(TableOverallRank[[#This Row],[OVERALL PLAYER]],TableOverallMaster[OVERALL PLAYER],0)),"")</f>
        <v>110.66370102094356</v>
      </c>
      <c r="AT134" s="163">
        <f>IFERROR(INDEX(TableOverallMaster[VORP],MATCH(TableOverallRank[[#This Row],[OVERALL PLAYER]],TableOverallMaster[OVERALL PLAYER],0)),"")</f>
        <v>32.777907044701877</v>
      </c>
      <c r="AV134" s="58">
        <v>133</v>
      </c>
      <c r="AW134" s="164" t="str">
        <f>IFERROR(INDEX(TableWRTECalcPts[PLAYER],MATCH(TableWRTERank[[#This Row],[RK]],TableWRTECalcPts[RK],0)),"")</f>
        <v>Chris Bell</v>
      </c>
      <c r="AX134" s="164" t="str">
        <f>IFERROR(INDEX(TableWRTECalcPts[POS RK],MATCH(TableWRTERank[[#This Row],[WR and TE COMBINED]],TableWRTECalcPts[PLAYER],0)),"")</f>
        <v>WR97</v>
      </c>
      <c r="AY134" s="164">
        <f>IFERROR(INDEX(TableWRTECalcPts[BYE],MATCH(TableWRTERank[[#This Row],[RK]],TableWRTECalcPts[RK],0)),"")</f>
        <v>6</v>
      </c>
      <c r="AZ134" s="165">
        <f>IFERROR(INDEX(TableWRTECalcPts[Custom],MATCH(TableWRTERank[[#This Row],[RK]],TableWRTECalcPts[RK],0)),"")</f>
        <v>53.023781179522445</v>
      </c>
      <c r="BA134" s="166">
        <f>IFERROR((TableWRTERank[[#This Row],[FPS]]-INDEX(TableWRTERank[FPS],MATCH(WRTEVORPCalc,TableWRTERank[RK],0))),"")</f>
        <v>-88.212590402769251</v>
      </c>
      <c r="BC134" s="58" t="s">
        <v>148</v>
      </c>
    </row>
    <row r="135" spans="8:55" x14ac:dyDescent="0.25">
      <c r="H135" s="58">
        <v>134</v>
      </c>
      <c r="I135" s="154" t="str">
        <f>IFERROR(INDEX(TableRBCalcPts[PLAYER],MATCH(TableRBVORP[[#This Row],[RK]],TableRBCalcPts[RK],0)),"")</f>
        <v/>
      </c>
      <c r="J135" s="154" t="str">
        <f>IFERROR(INDEX(TableRBCalcPts[TM],MATCH(TableRBVORP[[#This Row],[RK]],TableRBCalcPts[RK],0)),"")</f>
        <v/>
      </c>
      <c r="K135" s="154" t="str">
        <f>IFERROR(INDEX(TableRBCalcPts[BYE],MATCH(TableRBVORP[[#This Row],[RK]],TableRBCalcPts[RK],0)),"")</f>
        <v/>
      </c>
      <c r="L135" s="155" t="str">
        <f>IFERROR(INDEX(TableRBCalcPts[Custom],MATCH(TableRBVORP[[#This Row],[RK]],TableRBCalcPts[RK],0)),"")</f>
        <v/>
      </c>
      <c r="M135" s="156" t="e">
        <f>(IFERROR((TableRBVORP[[#This Row],[FPS]]-INDEX(TableRBVORP[FPS],MATCH(RBVORPCalc,TableRBVORP[RK],0))),""))*0.8</f>
        <v>#VALUE!</v>
      </c>
      <c r="O135" s="58">
        <v>134</v>
      </c>
      <c r="P135" s="154" t="str">
        <f>IFERROR(INDEX(TableWRCalcPts[PLAYER],MATCH(TableWRVORP[[#This Row],[RK]],TableWRCalcPts[RK],0)),"")</f>
        <v>Luke McCaffrey</v>
      </c>
      <c r="Q135" s="154" t="str">
        <f>IFERROR(INDEX(TableWRCalcPts[TM],MATCH(TableWRVORP[[#This Row],[RK]],TableWRCalcPts[RK],0)),"")</f>
        <v>WSH</v>
      </c>
      <c r="R135" s="154">
        <f>IFERROR(INDEX(TableWRCalcPts[BYE],MATCH(TableWRVORP[[#This Row],[RK]],TableWRCalcPts[RK],0)),"")</f>
        <v>7</v>
      </c>
      <c r="S135" s="155">
        <f>IFERROR(INDEX(TableWRCalcPts[Custom],MATCH(TableWRVORP[[#This Row],[RK]],TableWRCalcPts[RK],0)),"")</f>
        <v>16.997646659839997</v>
      </c>
      <c r="T135" s="156">
        <f>(IFERROR((TableWRVORP[[#This Row],[FPS]]-INDEX(TableWRVORP[FPS],MATCH(WRVORPCalc,TableWRVORP[RK],0))),""))</f>
        <v>-73.286538730526061</v>
      </c>
      <c r="AF135" s="58" t="s">
        <v>147</v>
      </c>
      <c r="AG135" s="58">
        <v>94</v>
      </c>
      <c r="AH135" s="100">
        <f>RANK(TableOverallMaster[[#This Row],[VORP]],TableOverallMaster[VORP])+COUNTIF($AM$2:AM135,AM135)-1</f>
        <v>284</v>
      </c>
      <c r="AI135" s="157" t="str">
        <f>IFERROR(INDEX(TableRBVORP[RUNNING BACK],MATCH(TableOverallMaster[[#This Row],[RK]],TableRBVORP[RK],0)),"")</f>
        <v>Trevor Etienne</v>
      </c>
      <c r="AJ135" s="157" t="str">
        <f t="shared" si="2"/>
        <v>RB94</v>
      </c>
      <c r="AK135" s="157">
        <f>IFERROR(INDEX(TableRBVORP[BYE],MATCH(TableOverallMaster[[#This Row],[RK]],TableRBVORP[RK],0)),"")</f>
        <v>5</v>
      </c>
      <c r="AL135" s="158">
        <f>IFERROR(INDEX(TableRBVORP[FPS],MATCH(TableOverallMaster[[#This Row],[RK]],TableRBVORP[RK],0)),"")</f>
        <v>13.911921761422212</v>
      </c>
      <c r="AM135" s="159">
        <f>IFERROR(INDEX(TableRBVORP[VORP],MATCH(TableOverallMaster[[#This Row],[RK]],TableRBVORP[RK],0)),"")</f>
        <v>-72.076733975684135</v>
      </c>
      <c r="AO135" s="58">
        <v>134</v>
      </c>
      <c r="AP135" s="160" t="str">
        <f>IFERROR(INDEX(TableOverallMaster[OVERALL PLAYER],MATCH(TableOverallRank[[#This Row],[RK]],TableOverallMaster[OVR RK],0)),"")</f>
        <v>Matthew Golden</v>
      </c>
      <c r="AQ135" s="161" t="str">
        <f>IFERROR(INDEX(TableOverallMaster[POS RK],MATCH(TableOverallRank[[#This Row],[OVERALL PLAYER]],TableOverallMaster[OVERALL PLAYER],0)),"")</f>
        <v>WR55</v>
      </c>
      <c r="AR135" s="162">
        <f>IFERROR(INDEX(TableOverallMaster[BYE],MATCH(TableOverallRank[[#This Row],[OVERALL PLAYER]],TableOverallMaster[OVERALL PLAYER],0)),"")</f>
        <v>11</v>
      </c>
      <c r="AS135" s="161">
        <f>IFERROR(INDEX(TableOverallMaster[Custom],MATCH(TableOverallRank[[#This Row],[OVERALL PLAYER]],TableOverallMaster[OVERALL PLAYER],0)),"")</f>
        <v>121.76900567298148</v>
      </c>
      <c r="AT135" s="163">
        <f>IFERROR(INDEX(TableOverallMaster[VORP],MATCH(TableOverallRank[[#This Row],[OVERALL PLAYER]],TableOverallMaster[OVERALL PLAYER],0)),"")</f>
        <v>31.484820282615416</v>
      </c>
      <c r="AV135" s="58">
        <v>134</v>
      </c>
      <c r="AW135" s="164" t="str">
        <f>IFERROR(INDEX(TableWRTECalcPts[PLAYER],MATCH(TableWRTERank[[#This Row],[RK]],TableWRTECalcPts[RK],0)),"")</f>
        <v>Ja'Tavion Sanders</v>
      </c>
      <c r="AX135" s="164" t="str">
        <f>IFERROR(INDEX(TableWRTECalcPts[POS RK],MATCH(TableWRTERank[[#This Row],[WR and TE COMBINED]],TableWRTECalcPts[PLAYER],0)),"")</f>
        <v>TE37</v>
      </c>
      <c r="AY135" s="164">
        <f>IFERROR(INDEX(TableWRTECalcPts[BYE],MATCH(TableWRTERank[[#This Row],[RK]],TableWRTECalcPts[RK],0)),"")</f>
        <v>5</v>
      </c>
      <c r="AZ135" s="165">
        <f>IFERROR(INDEX(TableWRTECalcPts[Custom],MATCH(TableWRTERank[[#This Row],[RK]],TableWRTECalcPts[RK],0)),"")</f>
        <v>52.136489551557439</v>
      </c>
      <c r="BA135" s="166">
        <f>IFERROR((TableWRTERank[[#This Row],[FPS]]-INDEX(TableWRTERank[FPS],MATCH(WRTEVORPCalc,TableWRTERank[RK],0))),"")</f>
        <v>-89.09988203073425</v>
      </c>
      <c r="BC135" s="58" t="s">
        <v>148</v>
      </c>
    </row>
    <row r="136" spans="8:55" x14ac:dyDescent="0.25">
      <c r="H136" s="58">
        <v>135</v>
      </c>
      <c r="I136" s="154" t="str">
        <f>IFERROR(INDEX(TableRBCalcPts[PLAYER],MATCH(TableRBVORP[[#This Row],[RK]],TableRBCalcPts[RK],0)),"")</f>
        <v/>
      </c>
      <c r="J136" s="154" t="str">
        <f>IFERROR(INDEX(TableRBCalcPts[TM],MATCH(TableRBVORP[[#This Row],[RK]],TableRBCalcPts[RK],0)),"")</f>
        <v/>
      </c>
      <c r="K136" s="154" t="str">
        <f>IFERROR(INDEX(TableRBCalcPts[BYE],MATCH(TableRBVORP[[#This Row],[RK]],TableRBCalcPts[RK],0)),"")</f>
        <v/>
      </c>
      <c r="L136" s="155" t="str">
        <f>IFERROR(INDEX(TableRBCalcPts[Custom],MATCH(TableRBVORP[[#This Row],[RK]],TableRBCalcPts[RK],0)),"")</f>
        <v/>
      </c>
      <c r="M136" s="156" t="e">
        <f>(IFERROR((TableRBVORP[[#This Row],[FPS]]-INDEX(TableRBVORP[FPS],MATCH(RBVORPCalc,TableRBVORP[RK],0))),""))*0.8</f>
        <v>#VALUE!</v>
      </c>
      <c r="O136" s="58">
        <v>135</v>
      </c>
      <c r="P136" s="154" t="str">
        <f>IFERROR(INDEX(TableWRCalcPts[PLAYER],MATCH(TableWRVORP[[#This Row],[RK]],TableWRCalcPts[RK],0)),"")</f>
        <v>Xavier Smith</v>
      </c>
      <c r="Q136" s="154" t="str">
        <f>IFERROR(INDEX(TableWRCalcPts[TM],MATCH(TableWRVORP[[#This Row],[RK]],TableWRCalcPts[RK],0)),"")</f>
        <v>LAR</v>
      </c>
      <c r="R136" s="154">
        <f>IFERROR(INDEX(TableWRCalcPts[BYE],MATCH(TableWRVORP[[#This Row],[RK]],TableWRCalcPts[RK],0)),"")</f>
        <v>11</v>
      </c>
      <c r="S136" s="155">
        <f>IFERROR(INDEX(TableWRCalcPts[Custom],MATCH(TableWRVORP[[#This Row],[RK]],TableWRCalcPts[RK],0)),"")</f>
        <v>16.653893820591978</v>
      </c>
      <c r="T136" s="156">
        <f>(IFERROR((TableWRVORP[[#This Row],[FPS]]-INDEX(TableWRVORP[FPS],MATCH(WRVORPCalc,TableWRVORP[RK],0))),""))</f>
        <v>-73.630291569774087</v>
      </c>
      <c r="AF136" s="58" t="s">
        <v>147</v>
      </c>
      <c r="AG136" s="58">
        <v>95</v>
      </c>
      <c r="AH136" s="100">
        <f>RANK(TableOverallMaster[[#This Row],[VORP]],TableOverallMaster[VORP])+COUNTIF($AM$2:AM136,AM136)-1</f>
        <v>285</v>
      </c>
      <c r="AI136" s="157" t="str">
        <f>IFERROR(INDEX(TableRBVORP[RUNNING BACK],MATCH(TableOverallMaster[[#This Row],[RK]],TableRBVORP[RK],0)),"")</f>
        <v>Jam Miller</v>
      </c>
      <c r="AJ136" s="157" t="str">
        <f t="shared" si="2"/>
        <v>RB95</v>
      </c>
      <c r="AK136" s="157">
        <f>IFERROR(INDEX(TableRBVORP[BYE],MATCH(TableOverallMaster[[#This Row],[RK]],TableRBVORP[RK],0)),"")</f>
        <v>11</v>
      </c>
      <c r="AL136" s="158">
        <f>IFERROR(INDEX(TableRBVORP[FPS],MATCH(TableOverallMaster[[#This Row],[RK]],TableRBVORP[RK],0)),"")</f>
        <v>13.865478244445967</v>
      </c>
      <c r="AM136" s="159">
        <f>IFERROR(INDEX(TableRBVORP[VORP],MATCH(TableOverallMaster[[#This Row],[RK]],TableRBVORP[RK],0)),"")</f>
        <v>-72.113888789265133</v>
      </c>
      <c r="AO136" s="58">
        <v>135</v>
      </c>
      <c r="AP136" s="160" t="str">
        <f>IFERROR(INDEX(TableOverallMaster[OVERALL PLAYER],MATCH(TableOverallRank[[#This Row],[RK]],TableOverallMaster[OVR RK],0)),"")</f>
        <v>Pat Freiermuth</v>
      </c>
      <c r="AQ136" s="161" t="str">
        <f>IFERROR(INDEX(TableOverallMaster[POS RK],MATCH(TableOverallRank[[#This Row],[OVERALL PLAYER]],TableOverallMaster[OVERALL PLAYER],0)),"")</f>
        <v>TE21</v>
      </c>
      <c r="AR136" s="162">
        <f>IFERROR(INDEX(TableOverallMaster[BYE],MATCH(TableOverallRank[[#This Row],[OVERALL PLAYER]],TableOverallMaster[OVERALL PLAYER],0)),"")</f>
        <v>9</v>
      </c>
      <c r="AS136" s="161">
        <f>IFERROR(INDEX(TableOverallMaster[Custom],MATCH(TableOverallRank[[#This Row],[OVERALL PLAYER]],TableOverallMaster[OVERALL PLAYER],0)),"")</f>
        <v>109.06915797030996</v>
      </c>
      <c r="AT136" s="163">
        <f>IFERROR(INDEX(TableOverallMaster[VORP],MATCH(TableOverallRank[[#This Row],[OVERALL PLAYER]],TableOverallMaster[OVERALL PLAYER],0)),"")</f>
        <v>31.183363994068273</v>
      </c>
      <c r="AV136" s="58">
        <v>135</v>
      </c>
      <c r="AW136" s="164" t="str">
        <f>IFERROR(INDEX(TableWRTECalcPts[PLAYER],MATCH(TableWRTERank[[#This Row],[RK]],TableWRTECalcPts[RK],0)),"")</f>
        <v>Dontayvion Wicks</v>
      </c>
      <c r="AX136" s="164" t="str">
        <f>IFERROR(INDEX(TableWRTECalcPts[POS RK],MATCH(TableWRTERank[[#This Row],[WR and TE COMBINED]],TableWRTECalcPts[PLAYER],0)),"")</f>
        <v>WR98</v>
      </c>
      <c r="AY136" s="164">
        <f>IFERROR(INDEX(TableWRTECalcPts[BYE],MATCH(TableWRTERank[[#This Row],[RK]],TableWRTECalcPts[RK],0)),"")</f>
        <v>10</v>
      </c>
      <c r="AZ136" s="165">
        <f>IFERROR(INDEX(TableWRTECalcPts[Custom],MATCH(TableWRTERank[[#This Row],[RK]],TableWRTECalcPts[RK],0)),"")</f>
        <v>52.067609080945914</v>
      </c>
      <c r="BA136" s="166">
        <f>IFERROR((TableWRTERank[[#This Row],[FPS]]-INDEX(TableWRTERank[FPS],MATCH(WRTEVORPCalc,TableWRTERank[RK],0))),"")</f>
        <v>-89.168762501345782</v>
      </c>
      <c r="BC136" s="58" t="s">
        <v>148</v>
      </c>
    </row>
    <row r="137" spans="8:55" x14ac:dyDescent="0.25">
      <c r="H137" s="58">
        <v>136</v>
      </c>
      <c r="I137" s="154" t="str">
        <f>IFERROR(INDEX(TableRBCalcPts[PLAYER],MATCH(TableRBVORP[[#This Row],[RK]],TableRBCalcPts[RK],0)),"")</f>
        <v/>
      </c>
      <c r="J137" s="154" t="str">
        <f>IFERROR(INDEX(TableRBCalcPts[TM],MATCH(TableRBVORP[[#This Row],[RK]],TableRBCalcPts[RK],0)),"")</f>
        <v/>
      </c>
      <c r="K137" s="154" t="str">
        <f>IFERROR(INDEX(TableRBCalcPts[BYE],MATCH(TableRBVORP[[#This Row],[RK]],TableRBCalcPts[RK],0)),"")</f>
        <v/>
      </c>
      <c r="L137" s="155" t="str">
        <f>IFERROR(INDEX(TableRBCalcPts[Custom],MATCH(TableRBVORP[[#This Row],[RK]],TableRBCalcPts[RK],0)),"")</f>
        <v/>
      </c>
      <c r="M137" s="156" t="e">
        <f>(IFERROR((TableRBVORP[[#This Row],[FPS]]-INDEX(TableRBVORP[FPS],MATCH(RBVORPCalc,TableRBVORP[RK],0))),""))*0.8</f>
        <v>#VALUE!</v>
      </c>
      <c r="O137" s="58">
        <v>136</v>
      </c>
      <c r="P137" s="154" t="str">
        <f>IFERROR(INDEX(TableWRCalcPts[PLAYER],MATCH(TableWRVORP[[#This Row],[RK]],TableWRCalcPts[RK],0)),"")</f>
        <v>Ashton Dulin</v>
      </c>
      <c r="Q137" s="154" t="str">
        <f>IFERROR(INDEX(TableWRCalcPts[TM],MATCH(TableWRVORP[[#This Row],[RK]],TableWRCalcPts[RK],0)),"")</f>
        <v>IND</v>
      </c>
      <c r="R137" s="154">
        <f>IFERROR(INDEX(TableWRCalcPts[BYE],MATCH(TableWRVORP[[#This Row],[RK]],TableWRCalcPts[RK],0)),"")</f>
        <v>13</v>
      </c>
      <c r="S137" s="155">
        <f>IFERROR(INDEX(TableWRCalcPts[Custom],MATCH(TableWRVORP[[#This Row],[RK]],TableWRCalcPts[RK],0)),"")</f>
        <v>15.8948597865901</v>
      </c>
      <c r="T137" s="156">
        <f>(IFERROR((TableWRVORP[[#This Row],[FPS]]-INDEX(TableWRVORP[FPS],MATCH(WRVORPCalc,TableWRVORP[RK],0))),""))</f>
        <v>-74.389325603775958</v>
      </c>
      <c r="AF137" s="58" t="s">
        <v>147</v>
      </c>
      <c r="AG137" s="58">
        <v>96</v>
      </c>
      <c r="AH137" s="100">
        <f>RANK(TableOverallMaster[[#This Row],[VORP]],TableOverallMaster[VORP])+COUNTIF($AM$2:AM137,AM137)-1</f>
        <v>286</v>
      </c>
      <c r="AI137" s="157" t="str">
        <f>IFERROR(INDEX(TableRBVORP[RUNNING BACK],MATCH(TableOverallMaster[[#This Row],[RK]],TableRBVORP[RK],0)),"")</f>
        <v>James Conner</v>
      </c>
      <c r="AJ137" s="157" t="str">
        <f t="shared" si="2"/>
        <v>RB96</v>
      </c>
      <c r="AK137" s="157">
        <f>IFERROR(INDEX(TableRBVORP[BYE],MATCH(TableOverallMaster[[#This Row],[RK]],TableRBVORP[RK],0)),"")</f>
        <v>14</v>
      </c>
      <c r="AL137" s="158">
        <f>IFERROR(INDEX(TableRBVORP[FPS],MATCH(TableOverallMaster[[#This Row],[RK]],TableRBVORP[RK],0)),"")</f>
        <v>13.772880264725597</v>
      </c>
      <c r="AM137" s="159">
        <f>IFERROR(INDEX(TableRBVORP[VORP],MATCH(TableOverallMaster[[#This Row],[RK]],TableRBVORP[RK],0)),"")</f>
        <v>-72.187967173041429</v>
      </c>
      <c r="AO137" s="58">
        <v>136</v>
      </c>
      <c r="AP137" s="160" t="str">
        <f>IFERROR(INDEX(TableOverallMaster[OVERALL PLAYER],MATCH(TableOverallRank[[#This Row],[RK]],TableOverallMaster[OVR RK],0)),"")</f>
        <v>Rashid Shaheed</v>
      </c>
      <c r="AQ137" s="161" t="str">
        <f>IFERROR(INDEX(TableOverallMaster[POS RK],MATCH(TableOverallRank[[#This Row],[OVERALL PLAYER]],TableOverallMaster[OVERALL PLAYER],0)),"")</f>
        <v>WR56</v>
      </c>
      <c r="AR137" s="162">
        <f>IFERROR(INDEX(TableOverallMaster[BYE],MATCH(TableOverallRank[[#This Row],[OVERALL PLAYER]],TableOverallMaster[OVERALL PLAYER],0)),"")</f>
        <v>11</v>
      </c>
      <c r="AS137" s="161">
        <f>IFERROR(INDEX(TableOverallMaster[Custom],MATCH(TableOverallRank[[#This Row],[OVERALL PLAYER]],TableOverallMaster[OVERALL PLAYER],0)),"")</f>
        <v>119.41105593447746</v>
      </c>
      <c r="AT137" s="163">
        <f>IFERROR(INDEX(TableOverallMaster[VORP],MATCH(TableOverallRank[[#This Row],[OVERALL PLAYER]],TableOverallMaster[OVERALL PLAYER],0)),"")</f>
        <v>29.126870544111398</v>
      </c>
      <c r="AV137" s="58">
        <v>136</v>
      </c>
      <c r="AW137" s="164" t="str">
        <f>IFERROR(INDEX(TableWRTECalcPts[PLAYER],MATCH(TableWRTERank[[#This Row],[RK]],TableWRTECalcPts[RK],0)),"")</f>
        <v>Pat Bryant</v>
      </c>
      <c r="AX137" s="164" t="str">
        <f>IFERROR(INDEX(TableWRTECalcPts[POS RK],MATCH(TableWRTERank[[#This Row],[WR and TE COMBINED]],TableWRTECalcPts[PLAYER],0)),"")</f>
        <v>WR99</v>
      </c>
      <c r="AY137" s="164">
        <f>IFERROR(INDEX(TableWRTECalcPts[BYE],MATCH(TableWRTERank[[#This Row],[RK]],TableWRTECalcPts[RK],0)),"")</f>
        <v>10</v>
      </c>
      <c r="AZ137" s="165">
        <f>IFERROR(INDEX(TableWRTECalcPts[Custom],MATCH(TableWRTERank[[#This Row],[RK]],TableWRTECalcPts[RK],0)),"")</f>
        <v>51.354758488633621</v>
      </c>
      <c r="BA137" s="166">
        <f>IFERROR((TableWRTERank[[#This Row],[FPS]]-INDEX(TableWRTERank[FPS],MATCH(WRTEVORPCalc,TableWRTERank[RK],0))),"")</f>
        <v>-89.881613093658075</v>
      </c>
      <c r="BC137" s="58" t="s">
        <v>148</v>
      </c>
    </row>
    <row r="138" spans="8:55" x14ac:dyDescent="0.25">
      <c r="H138" s="58">
        <v>137</v>
      </c>
      <c r="I138" s="154" t="str">
        <f>IFERROR(INDEX(TableRBCalcPts[PLAYER],MATCH(TableRBVORP[[#This Row],[RK]],TableRBCalcPts[RK],0)),"")</f>
        <v/>
      </c>
      <c r="J138" s="154" t="str">
        <f>IFERROR(INDEX(TableRBCalcPts[TM],MATCH(TableRBVORP[[#This Row],[RK]],TableRBCalcPts[RK],0)),"")</f>
        <v/>
      </c>
      <c r="K138" s="154" t="str">
        <f>IFERROR(INDEX(TableRBCalcPts[BYE],MATCH(TableRBVORP[[#This Row],[RK]],TableRBCalcPts[RK],0)),"")</f>
        <v/>
      </c>
      <c r="L138" s="155" t="str">
        <f>IFERROR(INDEX(TableRBCalcPts[Custom],MATCH(TableRBVORP[[#This Row],[RK]],TableRBCalcPts[RK],0)),"")</f>
        <v/>
      </c>
      <c r="M138" s="156" t="e">
        <f>(IFERROR((TableRBVORP[[#This Row],[FPS]]-INDEX(TableRBVORP[FPS],MATCH(RBVORPCalc,TableRBVORP[RK],0))),""))*0.8</f>
        <v>#VALUE!</v>
      </c>
      <c r="O138" s="58">
        <v>137</v>
      </c>
      <c r="P138" s="154" t="str">
        <f>IFERROR(INDEX(TableWRCalcPts[PLAYER],MATCH(TableWRVORP[[#This Row],[RK]],TableWRCalcPts[RK],0)),"")</f>
        <v>Ben Skowronek</v>
      </c>
      <c r="Q138" s="154" t="str">
        <f>IFERROR(INDEX(TableWRCalcPts[TM],MATCH(TableWRVORP[[#This Row],[RK]],TableWRCalcPts[RK],0)),"")</f>
        <v>PIT</v>
      </c>
      <c r="R138" s="154">
        <f>IFERROR(INDEX(TableWRCalcPts[BYE],MATCH(TableWRVORP[[#This Row],[RK]],TableWRCalcPts[RK],0)),"")</f>
        <v>9</v>
      </c>
      <c r="S138" s="155">
        <f>IFERROR(INDEX(TableWRCalcPts[Custom],MATCH(TableWRVORP[[#This Row],[RK]],TableWRCalcPts[RK],0)),"")</f>
        <v>14.542424820000003</v>
      </c>
      <c r="T138" s="156">
        <f>(IFERROR((TableWRVORP[[#This Row],[FPS]]-INDEX(TableWRVORP[FPS],MATCH(WRVORPCalc,TableWRVORP[RK],0))),""))</f>
        <v>-75.741760570366054</v>
      </c>
      <c r="AF138" s="58" t="s">
        <v>147</v>
      </c>
      <c r="AG138" s="58">
        <v>97</v>
      </c>
      <c r="AH138" s="100">
        <f>RANK(TableOverallMaster[[#This Row],[VORP]],TableOverallMaster[VORP])+COUNTIF($AM$2:AM138,AM138)-1</f>
        <v>287</v>
      </c>
      <c r="AI138" s="157" t="str">
        <f>IFERROR(INDEX(TableRBVORP[RUNNING BACK],MATCH(TableOverallMaster[[#This Row],[RK]],TableRBVORP[RK],0)),"")</f>
        <v>Will Shipley</v>
      </c>
      <c r="AJ138" s="157" t="str">
        <f t="shared" si="2"/>
        <v>RB97</v>
      </c>
      <c r="AK138" s="157">
        <f>IFERROR(INDEX(TableRBVORP[BYE],MATCH(TableOverallMaster[[#This Row],[RK]],TableRBVORP[RK],0)),"")</f>
        <v>10</v>
      </c>
      <c r="AL138" s="158">
        <f>IFERROR(INDEX(TableRBVORP[FPS],MATCH(TableOverallMaster[[#This Row],[RK]],TableRBVORP[RK],0)),"")</f>
        <v>13.630349818932</v>
      </c>
      <c r="AM138" s="159">
        <f>IFERROR(INDEX(TableRBVORP[VORP],MATCH(TableOverallMaster[[#This Row],[RK]],TableRBVORP[RK],0)),"")</f>
        <v>-72.3019915296763</v>
      </c>
      <c r="AO138" s="58">
        <v>137</v>
      </c>
      <c r="AP138" s="160" t="str">
        <f>IFERROR(INDEX(TableOverallMaster[OVERALL PLAYER],MATCH(TableOverallRank[[#This Row],[RK]],TableOverallMaster[OVR RK],0)),"")</f>
        <v>Bryce Young</v>
      </c>
      <c r="AQ138" s="161" t="str">
        <f>IFERROR(INDEX(TableOverallMaster[POS RK],MATCH(TableOverallRank[[#This Row],[OVERALL PLAYER]],TableOverallMaster[OVERALL PLAYER],0)),"")</f>
        <v>QB26</v>
      </c>
      <c r="AR138" s="162">
        <f>IFERROR(INDEX(TableOverallMaster[BYE],MATCH(TableOverallRank[[#This Row],[OVERALL PLAYER]],TableOverallMaster[OVERALL PLAYER],0)),"")</f>
        <v>5</v>
      </c>
      <c r="AS138" s="161">
        <f>IFERROR(INDEX(TableOverallMaster[Custom],MATCH(TableOverallRank[[#This Row],[OVERALL PLAYER]],TableOverallMaster[OVERALL PLAYER],0)),"")</f>
        <v>337.50119842358561</v>
      </c>
      <c r="AT138" s="163">
        <f>IFERROR(INDEX(TableOverallMaster[VORP],MATCH(TableOverallRank[[#This Row],[OVERALL PLAYER]],TableOverallMaster[OVERALL PLAYER],0)),"")</f>
        <v>28.01520826581045</v>
      </c>
      <c r="AV138" s="58">
        <v>137</v>
      </c>
      <c r="AW138" s="164" t="str">
        <f>IFERROR(INDEX(TableWRTECalcPts[PLAYER],MATCH(TableWRTERank[[#This Row],[RK]],TableWRTECalcPts[RK],0)),"")</f>
        <v>Devaughn Vele</v>
      </c>
      <c r="AX138" s="164" t="str">
        <f>IFERROR(INDEX(TableWRTECalcPts[POS RK],MATCH(TableWRTERank[[#This Row],[WR and TE COMBINED]],TableWRTECalcPts[PLAYER],0)),"")</f>
        <v>WR100</v>
      </c>
      <c r="AY138" s="164">
        <f>IFERROR(INDEX(TableWRTECalcPts[BYE],MATCH(TableWRTERank[[#This Row],[RK]],TableWRTECalcPts[RK],0)),"")</f>
        <v>8</v>
      </c>
      <c r="AZ138" s="165">
        <f>IFERROR(INDEX(TableWRTECalcPts[Custom],MATCH(TableWRTERank[[#This Row],[RK]],TableWRTECalcPts[RK],0)),"")</f>
        <v>51.274309412403603</v>
      </c>
      <c r="BA138" s="166">
        <f>IFERROR((TableWRTERank[[#This Row],[FPS]]-INDEX(TableWRTERank[FPS],MATCH(WRTEVORPCalc,TableWRTERank[RK],0))),"")</f>
        <v>-89.9620621698881</v>
      </c>
      <c r="BC138" s="58" t="s">
        <v>148</v>
      </c>
    </row>
    <row r="139" spans="8:55" x14ac:dyDescent="0.25">
      <c r="H139" s="58">
        <v>138</v>
      </c>
      <c r="I139" s="154" t="str">
        <f>IFERROR(INDEX(TableRBCalcPts[PLAYER],MATCH(TableRBVORP[[#This Row],[RK]],TableRBCalcPts[RK],0)),"")</f>
        <v/>
      </c>
      <c r="J139" s="154" t="str">
        <f>IFERROR(INDEX(TableRBCalcPts[TM],MATCH(TableRBVORP[[#This Row],[RK]],TableRBCalcPts[RK],0)),"")</f>
        <v/>
      </c>
      <c r="K139" s="154" t="str">
        <f>IFERROR(INDEX(TableRBCalcPts[BYE],MATCH(TableRBVORP[[#This Row],[RK]],TableRBCalcPts[RK],0)),"")</f>
        <v/>
      </c>
      <c r="L139" s="155" t="str">
        <f>IFERROR(INDEX(TableRBCalcPts[Custom],MATCH(TableRBVORP[[#This Row],[RK]],TableRBCalcPts[RK],0)),"")</f>
        <v/>
      </c>
      <c r="M139" s="156" t="e">
        <f>(IFERROR((TableRBVORP[[#This Row],[FPS]]-INDEX(TableRBVORP[FPS],MATCH(RBVORPCalc,TableRBVORP[RK],0))),""))*0.8</f>
        <v>#VALUE!</v>
      </c>
      <c r="O139" s="58">
        <v>138</v>
      </c>
      <c r="P139" s="154" t="str">
        <f>IFERROR(INDEX(TableWRCalcPts[PLAYER],MATCH(TableWRVORP[[#This Row],[RK]],TableWRCalcPts[RK],0)),"")</f>
        <v>Elijah Moore</v>
      </c>
      <c r="Q139" s="154" t="str">
        <f>IFERROR(INDEX(TableWRCalcPts[TM],MATCH(TableWRVORP[[#This Row],[RK]],TableWRCalcPts[RK],0)),"")</f>
        <v>PHI</v>
      </c>
      <c r="R139" s="154">
        <f>IFERROR(INDEX(TableWRCalcPts[BYE],MATCH(TableWRVORP[[#This Row],[RK]],TableWRCalcPts[RK],0)),"")</f>
        <v>10</v>
      </c>
      <c r="S139" s="155">
        <f>IFERROR(INDEX(TableWRCalcPts[Custom],MATCH(TableWRVORP[[#This Row],[RK]],TableWRCalcPts[RK],0)),"")</f>
        <v>14.119421015700002</v>
      </c>
      <c r="T139" s="156">
        <f>(IFERROR((TableWRVORP[[#This Row],[FPS]]-INDEX(TableWRVORP[FPS],MATCH(WRVORPCalc,TableWRVORP[RK],0))),""))</f>
        <v>-76.164764374666063</v>
      </c>
      <c r="AF139" s="58" t="s">
        <v>147</v>
      </c>
      <c r="AG139" s="58">
        <v>98</v>
      </c>
      <c r="AH139" s="100">
        <f>RANK(TableOverallMaster[[#This Row],[VORP]],TableOverallMaster[VORP])+COUNTIF($AM$2:AM139,AM139)-1</f>
        <v>288</v>
      </c>
      <c r="AI139" s="157" t="str">
        <f>IFERROR(INDEX(TableRBVORP[RUNNING BACK],MATCH(TableOverallMaster[[#This Row],[RK]],TableRBVORP[RK],0)),"")</f>
        <v>George Holani</v>
      </c>
      <c r="AJ139" s="157" t="str">
        <f t="shared" si="2"/>
        <v>RB98</v>
      </c>
      <c r="AK139" s="157">
        <f>IFERROR(INDEX(TableRBVORP[BYE],MATCH(TableOverallMaster[[#This Row],[RK]],TableRBVORP[RK],0)),"")</f>
        <v>11</v>
      </c>
      <c r="AL139" s="158">
        <f>IFERROR(INDEX(TableRBVORP[FPS],MATCH(TableOverallMaster[[#This Row],[RK]],TableRBVORP[RK],0)),"")</f>
        <v>12.132345115509112</v>
      </c>
      <c r="AM139" s="159">
        <f>IFERROR(INDEX(TableRBVORP[VORP],MATCH(TableOverallMaster[[#This Row],[RK]],TableRBVORP[RK],0)),"")</f>
        <v>-73.500395292414609</v>
      </c>
      <c r="AO139" s="58">
        <v>138</v>
      </c>
      <c r="AP139" s="160" t="str">
        <f>IFERROR(INDEX(TableOverallMaster[OVERALL PLAYER],MATCH(TableOverallRank[[#This Row],[RK]],TableOverallMaster[OVR RK],0)),"")</f>
        <v>Juwan Johnson</v>
      </c>
      <c r="AQ139" s="161" t="str">
        <f>IFERROR(INDEX(TableOverallMaster[POS RK],MATCH(TableOverallRank[[#This Row],[OVERALL PLAYER]],TableOverallMaster[OVERALL PLAYER],0)),"")</f>
        <v>TE22</v>
      </c>
      <c r="AR139" s="162">
        <f>IFERROR(INDEX(TableOverallMaster[BYE],MATCH(TableOverallRank[[#This Row],[OVERALL PLAYER]],TableOverallMaster[OVERALL PLAYER],0)),"")</f>
        <v>8</v>
      </c>
      <c r="AS139" s="161">
        <f>IFERROR(INDEX(TableOverallMaster[Custom],MATCH(TableOverallRank[[#This Row],[OVERALL PLAYER]],TableOverallMaster[OVERALL PLAYER],0)),"")</f>
        <v>100.82874804237828</v>
      </c>
      <c r="AT139" s="163">
        <f>IFERROR(INDEX(TableOverallMaster[VORP],MATCH(TableOverallRank[[#This Row],[OVERALL PLAYER]],TableOverallMaster[OVERALL PLAYER],0)),"")</f>
        <v>22.942954066136593</v>
      </c>
      <c r="AV139" s="58">
        <v>138</v>
      </c>
      <c r="AW139" s="164" t="str">
        <f>IFERROR(INDEX(TableWRTECalcPts[PLAYER],MATCH(TableWRTERank[[#This Row],[RK]],TableWRTECalcPts[RK],0)),"")</f>
        <v>Eli Raridon</v>
      </c>
      <c r="AX139" s="164" t="str">
        <f>IFERROR(INDEX(TableWRTECalcPts[POS RK],MATCH(TableWRTERank[[#This Row],[WR and TE COMBINED]],TableWRTECalcPts[PLAYER],0)),"")</f>
        <v>TE38</v>
      </c>
      <c r="AY139" s="164">
        <f>IFERROR(INDEX(TableWRTECalcPts[BYE],MATCH(TableWRTERank[[#This Row],[RK]],TableWRTECalcPts[RK],0)),"")</f>
        <v>11</v>
      </c>
      <c r="AZ139" s="165">
        <f>IFERROR(INDEX(TableWRTECalcPts[Custom],MATCH(TableWRTERank[[#This Row],[RK]],TableWRTECalcPts[RK],0)),"")</f>
        <v>50.386639635027102</v>
      </c>
      <c r="BA139" s="166">
        <f>IFERROR((TableWRTERank[[#This Row],[FPS]]-INDEX(TableWRTERank[FPS],MATCH(WRTEVORPCalc,TableWRTERank[RK],0))),"")</f>
        <v>-90.849731947264587</v>
      </c>
      <c r="BC139" s="58" t="s">
        <v>148</v>
      </c>
    </row>
    <row r="140" spans="8:55" x14ac:dyDescent="0.25">
      <c r="H140" s="58">
        <v>139</v>
      </c>
      <c r="I140" s="154" t="str">
        <f>IFERROR(INDEX(TableRBCalcPts[PLAYER],MATCH(TableRBVORP[[#This Row],[RK]],TableRBCalcPts[RK],0)),"")</f>
        <v/>
      </c>
      <c r="J140" s="154" t="str">
        <f>IFERROR(INDEX(TableRBCalcPts[TM],MATCH(TableRBVORP[[#This Row],[RK]],TableRBCalcPts[RK],0)),"")</f>
        <v/>
      </c>
      <c r="K140" s="154" t="str">
        <f>IFERROR(INDEX(TableRBCalcPts[BYE],MATCH(TableRBVORP[[#This Row],[RK]],TableRBCalcPts[RK],0)),"")</f>
        <v/>
      </c>
      <c r="L140" s="155" t="str">
        <f>IFERROR(INDEX(TableRBCalcPts[Custom],MATCH(TableRBVORP[[#This Row],[RK]],TableRBCalcPts[RK],0)),"")</f>
        <v/>
      </c>
      <c r="M140" s="156" t="e">
        <f>(IFERROR((TableRBVORP[[#This Row],[FPS]]-INDEX(TableRBVORP[FPS],MATCH(RBVORPCalc,TableRBVORP[RK],0))),""))*0.8</f>
        <v>#VALUE!</v>
      </c>
      <c r="O140" s="58">
        <v>139</v>
      </c>
      <c r="P140" s="154" t="str">
        <f>IFERROR(INDEX(TableWRCalcPts[PLAYER],MATCH(TableWRVORP[[#This Row],[RK]],TableWRCalcPts[RK],0)),"")</f>
        <v>Zavion Thomas</v>
      </c>
      <c r="Q140" s="154" t="str">
        <f>IFERROR(INDEX(TableWRCalcPts[TM],MATCH(TableWRVORP[[#This Row],[RK]],TableWRCalcPts[RK],0)),"")</f>
        <v>CHI</v>
      </c>
      <c r="R140" s="154">
        <f>IFERROR(INDEX(TableWRCalcPts[BYE],MATCH(TableWRVORP[[#This Row],[RK]],TableWRCalcPts[RK],0)),"")</f>
        <v>10</v>
      </c>
      <c r="S140" s="155">
        <f>IFERROR(INDEX(TableWRCalcPts[Custom],MATCH(TableWRVORP[[#This Row],[RK]],TableWRCalcPts[RK],0)),"")</f>
        <v>13.443018380953294</v>
      </c>
      <c r="T140" s="156">
        <f>(IFERROR((TableWRVORP[[#This Row],[FPS]]-INDEX(TableWRVORP[FPS],MATCH(WRVORPCalc,TableWRVORP[RK],0))),""))</f>
        <v>-76.841167009412771</v>
      </c>
      <c r="AF140" s="58" t="s">
        <v>147</v>
      </c>
      <c r="AG140" s="58">
        <v>99</v>
      </c>
      <c r="AH140" s="100">
        <f>RANK(TableOverallMaster[[#This Row],[VORP]],TableOverallMaster[VORP])+COUNTIF($AM$2:AM140,AM140)-1</f>
        <v>289</v>
      </c>
      <c r="AI140" s="157" t="str">
        <f>IFERROR(INDEX(TableRBVORP[RUNNING BACK],MATCH(TableOverallMaster[[#This Row],[RK]],TableRBVORP[RK],0)),"")</f>
        <v>Roschon Johnson</v>
      </c>
      <c r="AJ140" s="157" t="str">
        <f t="shared" si="2"/>
        <v>RB99</v>
      </c>
      <c r="AK140" s="157">
        <f>IFERROR(INDEX(TableRBVORP[BYE],MATCH(TableOverallMaster[[#This Row],[RK]],TableRBVORP[RK],0)),"")</f>
        <v>10</v>
      </c>
      <c r="AL140" s="158">
        <f>IFERROR(INDEX(TableRBVORP[FPS],MATCH(TableOverallMaster[[#This Row],[RK]],TableRBVORP[RK],0)),"")</f>
        <v>12.132202592868293</v>
      </c>
      <c r="AM140" s="159">
        <f>IFERROR(INDEX(TableRBVORP[VORP],MATCH(TableOverallMaster[[#This Row],[RK]],TableRBVORP[RK],0)),"")</f>
        <v>-73.500509310527264</v>
      </c>
      <c r="AO140" s="58">
        <v>139</v>
      </c>
      <c r="AP140" s="160" t="str">
        <f>IFERROR(INDEX(TableOverallMaster[OVERALL PLAYER],MATCH(TableOverallRank[[#This Row],[RK]],TableOverallMaster[OVR RK],0)),"")</f>
        <v>Jordan Mason</v>
      </c>
      <c r="AQ140" s="161" t="str">
        <f>IFERROR(INDEX(TableOverallMaster[POS RK],MATCH(TableOverallRank[[#This Row],[OVERALL PLAYER]],TableOverallMaster[OVERALL PLAYER],0)),"")</f>
        <v>RB35</v>
      </c>
      <c r="AR140" s="162">
        <f>IFERROR(INDEX(TableOverallMaster[BYE],MATCH(TableOverallRank[[#This Row],[OVERALL PLAYER]],TableOverallMaster[OVERALL PLAYER],0)),"")</f>
        <v>6</v>
      </c>
      <c r="AS140" s="161">
        <f>IFERROR(INDEX(TableOverallMaster[Custom],MATCH(TableOverallRank[[#This Row],[OVERALL PLAYER]],TableOverallMaster[OVERALL PLAYER],0)),"")</f>
        <v>132.30675892592791</v>
      </c>
      <c r="AT140" s="163">
        <f>IFERROR(INDEX(TableOverallMaster[VORP],MATCH(TableOverallRank[[#This Row],[OVERALL PLAYER]],TableOverallMaster[OVERALL PLAYER],0)),"")</f>
        <v>22.639135755920428</v>
      </c>
      <c r="AV140" s="58">
        <v>139</v>
      </c>
      <c r="AW140" s="164" t="str">
        <f>IFERROR(INDEX(TableWRTECalcPts[PLAYER],MATCH(TableWRTERank[[#This Row],[RK]],TableWRTECalcPts[RK],0)),"")</f>
        <v>Savion Williams</v>
      </c>
      <c r="AX140" s="164" t="str">
        <f>IFERROR(INDEX(TableWRTECalcPts[POS RK],MATCH(TableWRTERank[[#This Row],[WR and TE COMBINED]],TableWRTECalcPts[PLAYER],0)),"")</f>
        <v>WR101</v>
      </c>
      <c r="AY140" s="164">
        <f>IFERROR(INDEX(TableWRTECalcPts[BYE],MATCH(TableWRTERank[[#This Row],[RK]],TableWRTECalcPts[RK],0)),"")</f>
        <v>11</v>
      </c>
      <c r="AZ140" s="165">
        <f>IFERROR(INDEX(TableWRTECalcPts[Custom],MATCH(TableWRTERank[[#This Row],[RK]],TableWRTECalcPts[RK],0)),"")</f>
        <v>50.259188410268962</v>
      </c>
      <c r="BA140" s="166">
        <f>IFERROR((TableWRTERank[[#This Row],[FPS]]-INDEX(TableWRTERank[FPS],MATCH(WRTEVORPCalc,TableWRTERank[RK],0))),"")</f>
        <v>-90.977183172022734</v>
      </c>
      <c r="BC140" s="58" t="s">
        <v>148</v>
      </c>
    </row>
    <row r="141" spans="8:55" x14ac:dyDescent="0.25">
      <c r="H141" s="58">
        <v>140</v>
      </c>
      <c r="I141" s="154" t="str">
        <f>IFERROR(INDEX(TableRBCalcPts[PLAYER],MATCH(TableRBVORP[[#This Row],[RK]],TableRBCalcPts[RK],0)),"")</f>
        <v/>
      </c>
      <c r="J141" s="154" t="str">
        <f>IFERROR(INDEX(TableRBCalcPts[TM],MATCH(TableRBVORP[[#This Row],[RK]],TableRBCalcPts[RK],0)),"")</f>
        <v/>
      </c>
      <c r="K141" s="154" t="str">
        <f>IFERROR(INDEX(TableRBCalcPts[BYE],MATCH(TableRBVORP[[#This Row],[RK]],TableRBCalcPts[RK],0)),"")</f>
        <v/>
      </c>
      <c r="L141" s="155" t="str">
        <f>IFERROR(INDEX(TableRBCalcPts[Custom],MATCH(TableRBVORP[[#This Row],[RK]],TableRBCalcPts[RK],0)),"")</f>
        <v/>
      </c>
      <c r="M141" s="156" t="e">
        <f>(IFERROR((TableRBVORP[[#This Row],[FPS]]-INDEX(TableRBVORP[FPS],MATCH(RBVORPCalc,TableRBVORP[RK],0))),""))*0.8</f>
        <v>#VALUE!</v>
      </c>
      <c r="O141" s="58">
        <v>140</v>
      </c>
      <c r="P141" s="154" t="str">
        <f>IFERROR(INDEX(TableWRCalcPts[PLAYER],MATCH(TableWRVORP[[#This Row],[RK]],TableWRCalcPts[RK],0)),"")</f>
        <v>Dermarcus Robinson</v>
      </c>
      <c r="Q141" s="154" t="str">
        <f>IFERROR(INDEX(TableWRCalcPts[TM],MATCH(TableWRVORP[[#This Row],[RK]],TableWRCalcPts[RK],0)),"")</f>
        <v>SF</v>
      </c>
      <c r="R141" s="154">
        <f>IFERROR(INDEX(TableWRCalcPts[BYE],MATCH(TableWRVORP[[#This Row],[RK]],TableWRCalcPts[RK],0)),"")</f>
        <v>8</v>
      </c>
      <c r="S141" s="155">
        <f>IFERROR(INDEX(TableWRCalcPts[Custom],MATCH(TableWRVORP[[#This Row],[RK]],TableWRCalcPts[RK],0)),"")</f>
        <v>13.142608134655999</v>
      </c>
      <c r="T141" s="156">
        <f>(IFERROR((TableWRVORP[[#This Row],[FPS]]-INDEX(TableWRVORP[FPS],MATCH(WRVORPCalc,TableWRVORP[RK],0))),""))</f>
        <v>-77.141577255710061</v>
      </c>
      <c r="AF141" s="58" t="s">
        <v>147</v>
      </c>
      <c r="AG141" s="58">
        <v>100</v>
      </c>
      <c r="AH141" s="100">
        <f>RANK(TableOverallMaster[[#This Row],[VORP]],TableOverallMaster[VORP])+COUNTIF($AM$2:AM141,AM141)-1</f>
        <v>290</v>
      </c>
      <c r="AI141" s="157" t="str">
        <f>IFERROR(INDEX(TableRBVORP[RUNNING BACK],MATCH(TableOverallMaster[[#This Row],[RK]],TableRBVORP[RK],0)),"")</f>
        <v>AJ Dillon</v>
      </c>
      <c r="AJ141" s="157" t="str">
        <f t="shared" si="2"/>
        <v>RB100</v>
      </c>
      <c r="AK141" s="157">
        <f>IFERROR(INDEX(TableRBVORP[BYE],MATCH(TableOverallMaster[[#This Row],[RK]],TableRBVORP[RK],0)),"")</f>
        <v>5</v>
      </c>
      <c r="AL141" s="158">
        <f>IFERROR(INDEX(TableRBVORP[FPS],MATCH(TableOverallMaster[[#This Row],[RK]],TableRBVORP[RK],0)),"")</f>
        <v>11.967500160000002</v>
      </c>
      <c r="AM141" s="159">
        <f>IFERROR(INDEX(TableRBVORP[VORP],MATCH(TableOverallMaster[[#This Row],[RK]],TableRBVORP[RK],0)),"")</f>
        <v>-73.632271256821909</v>
      </c>
      <c r="AO141" s="58">
        <v>140</v>
      </c>
      <c r="AP141" s="160" t="str">
        <f>IFERROR(INDEX(TableOverallMaster[OVERALL PLAYER],MATCH(TableOverallRank[[#This Row],[RK]],TableOverallMaster[OVR RK],0)),"")</f>
        <v>Blake Corum</v>
      </c>
      <c r="AQ141" s="161" t="str">
        <f>IFERROR(INDEX(TableOverallMaster[POS RK],MATCH(TableOverallRank[[#This Row],[OVERALL PLAYER]],TableOverallMaster[OVERALL PLAYER],0)),"")</f>
        <v>RB36</v>
      </c>
      <c r="AR141" s="162">
        <f>IFERROR(INDEX(TableOverallMaster[BYE],MATCH(TableOverallRank[[#This Row],[OVERALL PLAYER]],TableOverallMaster[OVERALL PLAYER],0)),"")</f>
        <v>11</v>
      </c>
      <c r="AS141" s="161">
        <f>IFERROR(INDEX(TableOverallMaster[Custom],MATCH(TableOverallRank[[#This Row],[OVERALL PLAYER]],TableOverallMaster[OVERALL PLAYER],0)),"")</f>
        <v>132.20471392634317</v>
      </c>
      <c r="AT141" s="163">
        <f>IFERROR(INDEX(TableOverallMaster[VORP],MATCH(TableOverallRank[[#This Row],[OVERALL PLAYER]],TableOverallMaster[OVERALL PLAYER],0)),"")</f>
        <v>22.557499756252639</v>
      </c>
      <c r="AV141" s="58">
        <v>140</v>
      </c>
      <c r="AW141" s="164" t="str">
        <f>IFERROR(INDEX(TableWRTECalcPts[PLAYER],MATCH(TableWRTERank[[#This Row],[RK]],TableWRTECalcPts[RK],0)),"")</f>
        <v>Dyami Brown</v>
      </c>
      <c r="AX141" s="164" t="str">
        <f>IFERROR(INDEX(TableWRTECalcPts[POS RK],MATCH(TableWRTERank[[#This Row],[WR and TE COMBINED]],TableWRTECalcPts[PLAYER],0)),"")</f>
        <v>WR102</v>
      </c>
      <c r="AY141" s="164">
        <f>IFERROR(INDEX(TableWRTECalcPts[BYE],MATCH(TableWRTERank[[#This Row],[RK]],TableWRTECalcPts[RK],0)),"")</f>
        <v>7</v>
      </c>
      <c r="AZ141" s="165">
        <f>IFERROR(INDEX(TableWRTECalcPts[Custom],MATCH(TableWRTERank[[#This Row],[RK]],TableWRTECalcPts[RK],0)),"")</f>
        <v>50.015364219898544</v>
      </c>
      <c r="BA141" s="166">
        <f>IFERROR((TableWRTERank[[#This Row],[FPS]]-INDEX(TableWRTERank[FPS],MATCH(WRTEVORPCalc,TableWRTERank[RK],0))),"")</f>
        <v>-91.221007362393152</v>
      </c>
      <c r="BC141" s="58" t="s">
        <v>148</v>
      </c>
    </row>
    <row r="142" spans="8:55" x14ac:dyDescent="0.25">
      <c r="H142" s="58">
        <v>141</v>
      </c>
      <c r="I142" s="154" t="str">
        <f>IFERROR(INDEX(TableRBCalcPts[PLAYER],MATCH(TableRBVORP[[#This Row],[RK]],TableRBCalcPts[RK],0)),"")</f>
        <v/>
      </c>
      <c r="J142" s="154" t="str">
        <f>IFERROR(INDEX(TableRBCalcPts[TM],MATCH(TableRBVORP[[#This Row],[RK]],TableRBCalcPts[RK],0)),"")</f>
        <v/>
      </c>
      <c r="K142" s="154" t="str">
        <f>IFERROR(INDEX(TableRBCalcPts[BYE],MATCH(TableRBVORP[[#This Row],[RK]],TableRBCalcPts[RK],0)),"")</f>
        <v/>
      </c>
      <c r="L142" s="155" t="str">
        <f>IFERROR(INDEX(TableRBCalcPts[Custom],MATCH(TableRBVORP[[#This Row],[RK]],TableRBCalcPts[RK],0)),"")</f>
        <v/>
      </c>
      <c r="M142" s="156" t="e">
        <f>(IFERROR((TableRBVORP[[#This Row],[FPS]]-INDEX(TableRBVORP[FPS],MATCH(RBVORPCalc,TableRBVORP[RK],0))),""))*0.8</f>
        <v>#VALUE!</v>
      </c>
      <c r="O142" s="58">
        <v>141</v>
      </c>
      <c r="P142" s="154" t="str">
        <f>IFERROR(INDEX(TableWRCalcPts[PLAYER],MATCH(TableWRVORP[[#This Row],[RK]],TableWRCalcPts[RK],0)),"")</f>
        <v>KeAndre Lambert-Smith</v>
      </c>
      <c r="Q142" s="154" t="str">
        <f>IFERROR(INDEX(TableWRCalcPts[TM],MATCH(TableWRVORP[[#This Row],[RK]],TableWRCalcPts[RK],0)),"")</f>
        <v>LAC</v>
      </c>
      <c r="R142" s="154">
        <f>IFERROR(INDEX(TableWRCalcPts[BYE],MATCH(TableWRVORP[[#This Row],[RK]],TableWRCalcPts[RK],0)),"")</f>
        <v>7</v>
      </c>
      <c r="S142" s="155">
        <f>IFERROR(INDEX(TableWRCalcPts[Custom],MATCH(TableWRVORP[[#This Row],[RK]],TableWRCalcPts[RK],0)),"")</f>
        <v>12.662289954847298</v>
      </c>
      <c r="T142" s="156">
        <f>(IFERROR((TableWRVORP[[#This Row],[FPS]]-INDEX(TableWRVORP[FPS],MATCH(WRVORPCalc,TableWRVORP[RK],0))),""))</f>
        <v>-77.621895435518766</v>
      </c>
      <c r="AF142" s="58" t="s">
        <v>148</v>
      </c>
      <c r="AG142" s="58">
        <v>1</v>
      </c>
      <c r="AH142" s="100">
        <f>RANK(TableOverallMaster[[#This Row],[VORP]],TableOverallMaster[VORP])+COUNTIF($AM$2:AM142,AM142)-1</f>
        <v>2</v>
      </c>
      <c r="AI142" s="157" t="str">
        <f>IFERROR(INDEX(TableWRVORP[WIDE RECEIVER],MATCH(TableOverallMaster[[#This Row],[RK]],TableWRVORP[RK],0)),"")</f>
        <v>Jaxon Smith-Njigba</v>
      </c>
      <c r="AJ142" s="157" t="str">
        <f t="shared" si="2"/>
        <v>WR1</v>
      </c>
      <c r="AK142" s="157">
        <f>IFERROR(INDEX(TableWRVORP[BYE],MATCH(TableOverallMaster[[#This Row],[RK]],TableWRVORP[RK],0)),"")</f>
        <v>11</v>
      </c>
      <c r="AL142" s="158">
        <f>IFERROR(INDEX(TableWRVORP[FPS],MATCH(TableOverallMaster[[#This Row],[RK]],TableWRVORP[RK],0)),"")</f>
        <v>300.17510590598198</v>
      </c>
      <c r="AM142" s="159">
        <f>IFERROR(INDEX(TableWRVORP[VORP],MATCH(TableOverallMaster[[#This Row],[RK]],TableWRVORP[RK],0)),"")</f>
        <v>209.8909205156159</v>
      </c>
      <c r="AO142" s="58">
        <v>141</v>
      </c>
      <c r="AP142" s="160" t="str">
        <f>IFERROR(INDEX(TableOverallMaster[OVERALL PLAYER],MATCH(TableOverallRank[[#This Row],[RK]],TableOverallMaster[OVR RK],0)),"")</f>
        <v>Terrance Ferguson</v>
      </c>
      <c r="AQ142" s="161" t="str">
        <f>IFERROR(INDEX(TableOverallMaster[POS RK],MATCH(TableOverallRank[[#This Row],[OVERALL PLAYER]],TableOverallMaster[OVERALL PLAYER],0)),"")</f>
        <v>TE23</v>
      </c>
      <c r="AR142" s="162">
        <f>IFERROR(INDEX(TableOverallMaster[BYE],MATCH(TableOverallRank[[#This Row],[OVERALL PLAYER]],TableOverallMaster[OVERALL PLAYER],0)),"")</f>
        <v>11</v>
      </c>
      <c r="AS142" s="161">
        <f>IFERROR(INDEX(TableOverallMaster[Custom],MATCH(TableOverallRank[[#This Row],[OVERALL PLAYER]],TableOverallMaster[OVERALL PLAYER],0)),"")</f>
        <v>99.499741342592898</v>
      </c>
      <c r="AT142" s="163">
        <f>IFERROR(INDEX(TableOverallMaster[VORP],MATCH(TableOverallRank[[#This Row],[OVERALL PLAYER]],TableOverallMaster[OVERALL PLAYER],0)),"")</f>
        <v>21.613947366351212</v>
      </c>
      <c r="AV142" s="58">
        <v>141</v>
      </c>
      <c r="AW142" s="164" t="str">
        <f>IFERROR(INDEX(TableWRTECalcPts[PLAYER],MATCH(TableWRTERank[[#This Row],[RK]],TableWRTECalcPts[RK],0)),"")</f>
        <v>Keon Coleman</v>
      </c>
      <c r="AX142" s="164" t="str">
        <f>IFERROR(INDEX(TableWRTECalcPts[POS RK],MATCH(TableWRTERank[[#This Row],[WR and TE COMBINED]],TableWRTECalcPts[PLAYER],0)),"")</f>
        <v>WR103</v>
      </c>
      <c r="AY142" s="164">
        <f>IFERROR(INDEX(TableWRTECalcPts[BYE],MATCH(TableWRTERank[[#This Row],[RK]],TableWRTECalcPts[RK],0)),"")</f>
        <v>7</v>
      </c>
      <c r="AZ142" s="165">
        <f>IFERROR(INDEX(TableWRTECalcPts[Custom],MATCH(TableWRTERank[[#This Row],[RK]],TableWRTECalcPts[RK],0)),"")</f>
        <v>49.820494964486386</v>
      </c>
      <c r="BA142" s="166">
        <f>IFERROR((TableWRTERank[[#This Row],[FPS]]-INDEX(TableWRTERank[FPS],MATCH(WRTEVORPCalc,TableWRTERank[RK],0))),"")</f>
        <v>-91.41587661780531</v>
      </c>
      <c r="BC142" s="58" t="s">
        <v>148</v>
      </c>
    </row>
    <row r="143" spans="8:55" x14ac:dyDescent="0.25">
      <c r="H143" s="58">
        <v>142</v>
      </c>
      <c r="I143" s="154" t="str">
        <f>IFERROR(INDEX(TableRBCalcPts[PLAYER],MATCH(TableRBVORP[[#This Row],[RK]],TableRBCalcPts[RK],0)),"")</f>
        <v/>
      </c>
      <c r="J143" s="154" t="str">
        <f>IFERROR(INDEX(TableRBCalcPts[TM],MATCH(TableRBVORP[[#This Row],[RK]],TableRBCalcPts[RK],0)),"")</f>
        <v/>
      </c>
      <c r="K143" s="154" t="str">
        <f>IFERROR(INDEX(TableRBCalcPts[BYE],MATCH(TableRBVORP[[#This Row],[RK]],TableRBCalcPts[RK],0)),"")</f>
        <v/>
      </c>
      <c r="L143" s="155" t="str">
        <f>IFERROR(INDEX(TableRBCalcPts[Custom],MATCH(TableRBVORP[[#This Row],[RK]],TableRBCalcPts[RK],0)),"")</f>
        <v/>
      </c>
      <c r="M143" s="156" t="e">
        <f>(IFERROR((TableRBVORP[[#This Row],[FPS]]-INDEX(TableRBVORP[FPS],MATCH(RBVORPCalc,TableRBVORP[RK],0))),""))*0.8</f>
        <v>#VALUE!</v>
      </c>
      <c r="O143" s="58">
        <v>142</v>
      </c>
      <c r="P143" s="154" t="str">
        <f>IFERROR(INDEX(TableWRCalcPts[PLAYER],MATCH(TableWRVORP[[#This Row],[RK]],TableWRCalcPts[RK],0)),"")</f>
        <v>Calvin Austin</v>
      </c>
      <c r="Q143" s="154" t="str">
        <f>IFERROR(INDEX(TableWRCalcPts[TM],MATCH(TableWRVORP[[#This Row],[RK]],TableWRCalcPts[RK],0)),"")</f>
        <v>NYG</v>
      </c>
      <c r="R143" s="154">
        <f>IFERROR(INDEX(TableWRCalcPts[BYE],MATCH(TableWRVORP[[#This Row],[RK]],TableWRCalcPts[RK],0)),"")</f>
        <v>8</v>
      </c>
      <c r="S143" s="155">
        <f>IFERROR(INDEX(TableWRCalcPts[Custom],MATCH(TableWRVORP[[#This Row],[RK]],TableWRCalcPts[RK],0)),"")</f>
        <v>12.083934808922724</v>
      </c>
      <c r="T143" s="156">
        <f>(IFERROR((TableWRVORP[[#This Row],[FPS]]-INDEX(TableWRVORP[FPS],MATCH(WRVORPCalc,TableWRVORP[RK],0))),""))</f>
        <v>-78.200250581443342</v>
      </c>
      <c r="AF143" s="58" t="s">
        <v>148</v>
      </c>
      <c r="AG143" s="58">
        <v>2</v>
      </c>
      <c r="AH143" s="100">
        <f>RANK(TableOverallMaster[[#This Row],[VORP]],TableOverallMaster[VORP])+COUNTIF($AM$2:AM143,AM143)-1</f>
        <v>3</v>
      </c>
      <c r="AI143" s="157" t="str">
        <f>IFERROR(INDEX(TableWRVORP[WIDE RECEIVER],MATCH(TableOverallMaster[[#This Row],[RK]],TableWRVORP[RK],0)),"")</f>
        <v>Ja'Marr Chase</v>
      </c>
      <c r="AJ143" s="157" t="str">
        <f t="shared" si="2"/>
        <v>WR2</v>
      </c>
      <c r="AK143" s="157">
        <f>IFERROR(INDEX(TableWRVORP[BYE],MATCH(TableOverallMaster[[#This Row],[RK]],TableWRVORP[RK],0)),"")</f>
        <v>6</v>
      </c>
      <c r="AL143" s="158">
        <f>IFERROR(INDEX(TableWRVORP[FPS],MATCH(TableOverallMaster[[#This Row],[RK]],TableWRVORP[RK],0)),"")</f>
        <v>298.87383220968559</v>
      </c>
      <c r="AM143" s="159">
        <f>IFERROR(INDEX(TableWRVORP[VORP],MATCH(TableOverallMaster[[#This Row],[RK]],TableWRVORP[RK],0)),"")</f>
        <v>208.58964681931951</v>
      </c>
      <c r="AO143" s="58">
        <v>142</v>
      </c>
      <c r="AP143" s="160" t="str">
        <f>IFERROR(INDEX(TableOverallMaster[OVERALL PLAYER],MATCH(TableOverallRank[[#This Row],[RK]],TableOverallMaster[OVR RK],0)),"")</f>
        <v>Aaron Jones</v>
      </c>
      <c r="AQ143" s="161" t="str">
        <f>IFERROR(INDEX(TableOverallMaster[POS RK],MATCH(TableOverallRank[[#This Row],[OVERALL PLAYER]],TableOverallMaster[OVERALL PLAYER],0)),"")</f>
        <v>RB37</v>
      </c>
      <c r="AR143" s="162">
        <f>IFERROR(INDEX(TableOverallMaster[BYE],MATCH(TableOverallRank[[#This Row],[OVERALL PLAYER]],TableOverallMaster[OVERALL PLAYER],0)),"")</f>
        <v>6</v>
      </c>
      <c r="AS143" s="161">
        <f>IFERROR(INDEX(TableOverallMaster[Custom],MATCH(TableOverallRank[[#This Row],[OVERALL PLAYER]],TableOverallMaster[OVERALL PLAYER],0)),"")</f>
        <v>130.92158640534046</v>
      </c>
      <c r="AT143" s="163">
        <f>IFERROR(INDEX(TableOverallMaster[VORP],MATCH(TableOverallRank[[#This Row],[OVERALL PLAYER]],TableOverallMaster[OVERALL PLAYER],0)),"")</f>
        <v>21.53099773945047</v>
      </c>
      <c r="AV143" s="58">
        <v>142</v>
      </c>
      <c r="AW143" s="164" t="str">
        <f>IFERROR(INDEX(TableWRTECalcPts[PLAYER],MATCH(TableWRTERank[[#This Row],[RK]],TableWRTECalcPts[RK],0)),"")</f>
        <v>Noah Gray</v>
      </c>
      <c r="AX143" s="164" t="str">
        <f>IFERROR(INDEX(TableWRTECalcPts[POS RK],MATCH(TableWRTERank[[#This Row],[WR and TE COMBINED]],TableWRTECalcPts[PLAYER],0)),"")</f>
        <v>TE39</v>
      </c>
      <c r="AY143" s="164">
        <f>IFERROR(INDEX(TableWRTECalcPts[BYE],MATCH(TableWRTERank[[#This Row],[RK]],TableWRTECalcPts[RK],0)),"")</f>
        <v>5</v>
      </c>
      <c r="AZ143" s="165">
        <f>IFERROR(INDEX(TableWRTECalcPts[Custom],MATCH(TableWRTERank[[#This Row],[RK]],TableWRTECalcPts[RK],0)),"")</f>
        <v>49.391673692991986</v>
      </c>
      <c r="BA143" s="166">
        <f>IFERROR((TableWRTERank[[#This Row],[FPS]]-INDEX(TableWRTERank[FPS],MATCH(WRTEVORPCalc,TableWRTERank[RK],0))),"")</f>
        <v>-91.844697889299709</v>
      </c>
      <c r="BC143" s="58" t="s">
        <v>148</v>
      </c>
    </row>
    <row r="144" spans="8:55" x14ac:dyDescent="0.25">
      <c r="H144" s="58">
        <v>143</v>
      </c>
      <c r="I144" s="154" t="str">
        <f>IFERROR(INDEX(TableRBCalcPts[PLAYER],MATCH(TableRBVORP[[#This Row],[RK]],TableRBCalcPts[RK],0)),"")</f>
        <v/>
      </c>
      <c r="J144" s="154" t="str">
        <f>IFERROR(INDEX(TableRBCalcPts[TM],MATCH(TableRBVORP[[#This Row],[RK]],TableRBCalcPts[RK],0)),"")</f>
        <v/>
      </c>
      <c r="K144" s="154" t="str">
        <f>IFERROR(INDEX(TableRBCalcPts[BYE],MATCH(TableRBVORP[[#This Row],[RK]],TableRBCalcPts[RK],0)),"")</f>
        <v/>
      </c>
      <c r="L144" s="155" t="str">
        <f>IFERROR(INDEX(TableRBCalcPts[Custom],MATCH(TableRBVORP[[#This Row],[RK]],TableRBCalcPts[RK],0)),"")</f>
        <v/>
      </c>
      <c r="M144" s="156" t="e">
        <f>(IFERROR((TableRBVORP[[#This Row],[FPS]]-INDEX(TableRBVORP[FPS],MATCH(RBVORPCalc,TableRBVORP[RK],0))),""))*0.8</f>
        <v>#VALUE!</v>
      </c>
      <c r="O144" s="58">
        <v>143</v>
      </c>
      <c r="P144" s="154" t="str">
        <f>IFERROR(INDEX(TableWRCalcPts[PLAYER],MATCH(TableWRVORP[[#This Row],[RK]],TableWRCalcPts[RK],0)),"")</f>
        <v>Tez Johnson</v>
      </c>
      <c r="Q144" s="154" t="str">
        <f>IFERROR(INDEX(TableWRCalcPts[TM],MATCH(TableWRVORP[[#This Row],[RK]],TableWRCalcPts[RK],0)),"")</f>
        <v>TB</v>
      </c>
      <c r="R144" s="154">
        <f>IFERROR(INDEX(TableWRCalcPts[BYE],MATCH(TableWRVORP[[#This Row],[RK]],TableWRCalcPts[RK],0)),"")</f>
        <v>10</v>
      </c>
      <c r="S144" s="155">
        <f>IFERROR(INDEX(TableWRCalcPts[Custom],MATCH(TableWRVORP[[#This Row],[RK]],TableWRCalcPts[RK],0)),"")</f>
        <v>11.598759577124993</v>
      </c>
      <c r="T144" s="156">
        <f>(IFERROR((TableWRVORP[[#This Row],[FPS]]-INDEX(TableWRVORP[FPS],MATCH(WRVORPCalc,TableWRVORP[RK],0))),""))</f>
        <v>-78.685425813241068</v>
      </c>
      <c r="AF144" s="58" t="s">
        <v>148</v>
      </c>
      <c r="AG144" s="58">
        <v>3</v>
      </c>
      <c r="AH144" s="100">
        <f>RANK(TableOverallMaster[[#This Row],[VORP]],TableOverallMaster[VORP])+COUNTIF($AM$2:AM144,AM144)-1</f>
        <v>4</v>
      </c>
      <c r="AI144" s="157" t="str">
        <f>IFERROR(INDEX(TableWRVORP[WIDE RECEIVER],MATCH(TableOverallMaster[[#This Row],[RK]],TableWRVORP[RK],0)),"")</f>
        <v>Puka Nacua</v>
      </c>
      <c r="AJ144" s="157" t="str">
        <f t="shared" si="2"/>
        <v>WR3</v>
      </c>
      <c r="AK144" s="157">
        <f>IFERROR(INDEX(TableWRVORP[BYE],MATCH(TableOverallMaster[[#This Row],[RK]],TableWRVORP[RK],0)),"")</f>
        <v>11</v>
      </c>
      <c r="AL144" s="158">
        <f>IFERROR(INDEX(TableWRVORP[FPS],MATCH(TableOverallMaster[[#This Row],[RK]],TableWRVORP[RK],0)),"")</f>
        <v>288.94554919043696</v>
      </c>
      <c r="AM144" s="159">
        <f>IFERROR(INDEX(TableWRVORP[VORP],MATCH(TableOverallMaster[[#This Row],[RK]],TableWRVORP[RK],0)),"")</f>
        <v>198.66136380007089</v>
      </c>
      <c r="AO144" s="58">
        <v>143</v>
      </c>
      <c r="AP144" s="160" t="str">
        <f>IFERROR(INDEX(TableOverallMaster[OVERALL PLAYER],MATCH(TableOverallRank[[#This Row],[RK]],TableOverallMaster[OVR RK],0)),"")</f>
        <v>Brenton Strange</v>
      </c>
      <c r="AQ144" s="161" t="str">
        <f>IFERROR(INDEX(TableOverallMaster[POS RK],MATCH(TableOverallRank[[#This Row],[OVERALL PLAYER]],TableOverallMaster[OVERALL PLAYER],0)),"")</f>
        <v>TE24</v>
      </c>
      <c r="AR144" s="162">
        <f>IFERROR(INDEX(TableOverallMaster[BYE],MATCH(TableOverallRank[[#This Row],[OVERALL PLAYER]],TableOverallMaster[OVERALL PLAYER],0)),"")</f>
        <v>7</v>
      </c>
      <c r="AS144" s="161">
        <f>IFERROR(INDEX(TableOverallMaster[Custom],MATCH(TableOverallRank[[#This Row],[OVERALL PLAYER]],TableOverallMaster[OVERALL PLAYER],0)),"")</f>
        <v>99.194542803959408</v>
      </c>
      <c r="AT144" s="163">
        <f>IFERROR(INDEX(TableOverallMaster[VORP],MATCH(TableOverallRank[[#This Row],[OVERALL PLAYER]],TableOverallMaster[OVERALL PLAYER],0)),"")</f>
        <v>21.308748827717721</v>
      </c>
      <c r="AV144" s="58">
        <v>143</v>
      </c>
      <c r="AW144" s="164" t="str">
        <f>IFERROR(INDEX(TableWRTECalcPts[PLAYER],MATCH(TableWRTERank[[#This Row],[RK]],TableWRTECalcPts[RK],0)),"")</f>
        <v>Ted Hurst</v>
      </c>
      <c r="AX144" s="164" t="str">
        <f>IFERROR(INDEX(TableWRTECalcPts[POS RK],MATCH(TableWRTERank[[#This Row],[WR and TE COMBINED]],TableWRTECalcPts[PLAYER],0)),"")</f>
        <v>WR104</v>
      </c>
      <c r="AY144" s="164">
        <f>IFERROR(INDEX(TableWRTECalcPts[BYE],MATCH(TableWRTERank[[#This Row],[RK]],TableWRTECalcPts[RK],0)),"")</f>
        <v>10</v>
      </c>
      <c r="AZ144" s="165">
        <f>IFERROR(INDEX(TableWRTECalcPts[Custom],MATCH(TableWRTERank[[#This Row],[RK]],TableWRTECalcPts[RK],0)),"")</f>
        <v>47.619043990707816</v>
      </c>
      <c r="BA144" s="166">
        <f>IFERROR((TableWRTERank[[#This Row],[FPS]]-INDEX(TableWRTERank[FPS],MATCH(WRTEVORPCalc,TableWRTERank[RK],0))),"")</f>
        <v>-93.617327591583887</v>
      </c>
      <c r="BC144" s="58" t="s">
        <v>148</v>
      </c>
    </row>
    <row r="145" spans="8:55" x14ac:dyDescent="0.25">
      <c r="H145" s="58">
        <v>144</v>
      </c>
      <c r="I145" s="154" t="str">
        <f>IFERROR(INDEX(TableRBCalcPts[PLAYER],MATCH(TableRBVORP[[#This Row],[RK]],TableRBCalcPts[RK],0)),"")</f>
        <v/>
      </c>
      <c r="J145" s="154" t="str">
        <f>IFERROR(INDEX(TableRBCalcPts[TM],MATCH(TableRBVORP[[#This Row],[RK]],TableRBCalcPts[RK],0)),"")</f>
        <v/>
      </c>
      <c r="K145" s="154" t="str">
        <f>IFERROR(INDEX(TableRBCalcPts[BYE],MATCH(TableRBVORP[[#This Row],[RK]],TableRBCalcPts[RK],0)),"")</f>
        <v/>
      </c>
      <c r="L145" s="155" t="str">
        <f>IFERROR(INDEX(TableRBCalcPts[Custom],MATCH(TableRBVORP[[#This Row],[RK]],TableRBCalcPts[RK],0)),"")</f>
        <v/>
      </c>
      <c r="M145" s="156" t="e">
        <f>(IFERROR((TableRBVORP[[#This Row],[FPS]]-INDEX(TableRBVORP[FPS],MATCH(RBVORPCalc,TableRBVORP[RK],0))),""))*0.8</f>
        <v>#VALUE!</v>
      </c>
      <c r="O145" s="58">
        <v>144</v>
      </c>
      <c r="P145" s="154" t="str">
        <f>IFERROR(INDEX(TableWRCalcPts[PLAYER],MATCH(TableWRVORP[[#This Row],[RK]],TableWRCalcPts[RK],0)),"")</f>
        <v>Charlie Jones</v>
      </c>
      <c r="Q145" s="154" t="str">
        <f>IFERROR(INDEX(TableWRCalcPts[TM],MATCH(TableWRVORP[[#This Row],[RK]],TableWRCalcPts[RK],0)),"")</f>
        <v>CIN</v>
      </c>
      <c r="R145" s="154">
        <f>IFERROR(INDEX(TableWRCalcPts[BYE],MATCH(TableWRVORP[[#This Row],[RK]],TableWRCalcPts[RK],0)),"")</f>
        <v>6</v>
      </c>
      <c r="S145" s="155">
        <f>IFERROR(INDEX(TableWRCalcPts[Custom],MATCH(TableWRVORP[[#This Row],[RK]],TableWRCalcPts[RK],0)),"")</f>
        <v>11.123085750000001</v>
      </c>
      <c r="T145" s="156">
        <f>(IFERROR((TableWRVORP[[#This Row],[FPS]]-INDEX(TableWRVORP[FPS],MATCH(WRVORPCalc,TableWRVORP[RK],0))),""))</f>
        <v>-79.161099640366061</v>
      </c>
      <c r="AF145" s="58" t="s">
        <v>148</v>
      </c>
      <c r="AG145" s="58">
        <v>4</v>
      </c>
      <c r="AH145" s="100">
        <f>RANK(TableOverallMaster[[#This Row],[VORP]],TableOverallMaster[VORP])+COUNTIF($AM$2:AM145,AM145)-1</f>
        <v>9</v>
      </c>
      <c r="AI145" s="157" t="str">
        <f>IFERROR(INDEX(TableWRVORP[WIDE RECEIVER],MATCH(TableOverallMaster[[#This Row],[RK]],TableWRVORP[RK],0)),"")</f>
        <v>Amon-Ra St. Brown</v>
      </c>
      <c r="AJ145" s="157" t="str">
        <f t="shared" si="2"/>
        <v>WR4</v>
      </c>
      <c r="AK145" s="157">
        <f>IFERROR(INDEX(TableWRVORP[BYE],MATCH(TableOverallMaster[[#This Row],[RK]],TableWRVORP[RK],0)),"")</f>
        <v>6</v>
      </c>
      <c r="AL145" s="158">
        <f>IFERROR(INDEX(TableWRVORP[FPS],MATCH(TableOverallMaster[[#This Row],[RK]],TableWRVORP[RK],0)),"")</f>
        <v>263.19537961810715</v>
      </c>
      <c r="AM145" s="159">
        <f>IFERROR(INDEX(TableWRVORP[VORP],MATCH(TableOverallMaster[[#This Row],[RK]],TableWRVORP[RK],0)),"")</f>
        <v>172.91119422774108</v>
      </c>
      <c r="AO145" s="58">
        <v>144</v>
      </c>
      <c r="AP145" s="160" t="str">
        <f>IFERROR(INDEX(TableOverallMaster[OVERALL PLAYER],MATCH(TableOverallRank[[#This Row],[RK]],TableOverallMaster[OVR RK],0)),"")</f>
        <v>Oronde Gadsden</v>
      </c>
      <c r="AQ145" s="161" t="str">
        <f>IFERROR(INDEX(TableOverallMaster[POS RK],MATCH(TableOverallRank[[#This Row],[OVERALL PLAYER]],TableOverallMaster[OVERALL PLAYER],0)),"")</f>
        <v>TE25</v>
      </c>
      <c r="AR145" s="162">
        <f>IFERROR(INDEX(TableOverallMaster[BYE],MATCH(TableOverallRank[[#This Row],[OVERALL PLAYER]],TableOverallMaster[OVERALL PLAYER],0)),"")</f>
        <v>7</v>
      </c>
      <c r="AS145" s="161">
        <f>IFERROR(INDEX(TableOverallMaster[Custom],MATCH(TableOverallRank[[#This Row],[OVERALL PLAYER]],TableOverallMaster[OVERALL PLAYER],0)),"")</f>
        <v>97.774303753526368</v>
      </c>
      <c r="AT145" s="163">
        <f>IFERROR(INDEX(TableOverallMaster[VORP],MATCH(TableOverallRank[[#This Row],[OVERALL PLAYER]],TableOverallMaster[OVERALL PLAYER],0)),"")</f>
        <v>19.888509777284682</v>
      </c>
      <c r="AV145" s="58">
        <v>144</v>
      </c>
      <c r="AW145" s="164" t="str">
        <f>IFERROR(INDEX(TableWRTECalcPts[PLAYER],MATCH(TableWRTERank[[#This Row],[RK]],TableWRTECalcPts[RK],0)),"")</f>
        <v>Cole Kmet</v>
      </c>
      <c r="AX145" s="164" t="str">
        <f>IFERROR(INDEX(TableWRTECalcPts[POS RK],MATCH(TableWRTERank[[#This Row],[WR and TE COMBINED]],TableWRTECalcPts[PLAYER],0)),"")</f>
        <v>TE40</v>
      </c>
      <c r="AY145" s="164">
        <f>IFERROR(INDEX(TableWRTECalcPts[BYE],MATCH(TableWRTERank[[#This Row],[RK]],TableWRTECalcPts[RK],0)),"")</f>
        <v>10</v>
      </c>
      <c r="AZ145" s="165">
        <f>IFERROR(INDEX(TableWRTECalcPts[Custom],MATCH(TableWRTERank[[#This Row],[RK]],TableWRTECalcPts[RK],0)),"")</f>
        <v>47.577931581028814</v>
      </c>
      <c r="BA145" s="166">
        <f>IFERROR((TableWRTERank[[#This Row],[FPS]]-INDEX(TableWRTERank[FPS],MATCH(WRTEVORPCalc,TableWRTERank[RK],0))),"")</f>
        <v>-93.658440001262875</v>
      </c>
      <c r="BC145" s="58" t="s">
        <v>148</v>
      </c>
    </row>
    <row r="146" spans="8:55" x14ac:dyDescent="0.25">
      <c r="H146" s="58">
        <v>145</v>
      </c>
      <c r="I146" s="154" t="str">
        <f>IFERROR(INDEX(TableRBCalcPts[PLAYER],MATCH(TableRBVORP[[#This Row],[RK]],TableRBCalcPts[RK],0)),"")</f>
        <v/>
      </c>
      <c r="J146" s="154" t="str">
        <f>IFERROR(INDEX(TableRBCalcPts[TM],MATCH(TableRBVORP[[#This Row],[RK]],TableRBCalcPts[RK],0)),"")</f>
        <v/>
      </c>
      <c r="K146" s="154" t="str">
        <f>IFERROR(INDEX(TableRBCalcPts[BYE],MATCH(TableRBVORP[[#This Row],[RK]],TableRBCalcPts[RK],0)),"")</f>
        <v/>
      </c>
      <c r="L146" s="155" t="str">
        <f>IFERROR(INDEX(TableRBCalcPts[Custom],MATCH(TableRBVORP[[#This Row],[RK]],TableRBCalcPts[RK],0)),"")</f>
        <v/>
      </c>
      <c r="M146" s="156" t="e">
        <f>(IFERROR((TableRBVORP[[#This Row],[FPS]]-INDEX(TableRBVORP[FPS],MATCH(RBVORPCalc,TableRBVORP[RK],0))),""))*0.8</f>
        <v>#VALUE!</v>
      </c>
      <c r="O146" s="58">
        <v>145</v>
      </c>
      <c r="P146" s="154" t="str">
        <f>IFERROR(INDEX(TableWRCalcPts[PLAYER],MATCH(TableWRVORP[[#This Row],[RK]],TableWRCalcPts[RK],0)),"")</f>
        <v>K.J. Osborn</v>
      </c>
      <c r="Q146" s="154" t="str">
        <f>IFERROR(INDEX(TableWRCalcPts[TM],MATCH(TableWRVORP[[#This Row],[RK]],TableWRCalcPts[RK],0)),"")</f>
        <v>TEN</v>
      </c>
      <c r="R146" s="154">
        <f>IFERROR(INDEX(TableWRCalcPts[BYE],MATCH(TableWRVORP[[#This Row],[RK]],TableWRCalcPts[RK],0)),"")</f>
        <v>9</v>
      </c>
      <c r="S146" s="155">
        <f>IFERROR(INDEX(TableWRCalcPts[Custom],MATCH(TableWRVORP[[#This Row],[RK]],TableWRCalcPts[RK],0)),"")</f>
        <v>10.322717076403201</v>
      </c>
      <c r="T146" s="156">
        <f>(IFERROR((TableWRVORP[[#This Row],[FPS]]-INDEX(TableWRVORP[FPS],MATCH(WRVORPCalc,TableWRVORP[RK],0))),""))</f>
        <v>-79.961468313962854</v>
      </c>
      <c r="AF146" s="58" t="s">
        <v>148</v>
      </c>
      <c r="AG146" s="58">
        <v>5</v>
      </c>
      <c r="AH146" s="100">
        <f>RANK(TableOverallMaster[[#This Row],[VORP]],TableOverallMaster[VORP])+COUNTIF($AM$2:AM146,AM146)-1</f>
        <v>13</v>
      </c>
      <c r="AI146" s="157" t="str">
        <f>IFERROR(INDEX(TableWRVORP[WIDE RECEIVER],MATCH(TableOverallMaster[[#This Row],[RK]],TableWRVORP[RK],0)),"")</f>
        <v>George Pickens</v>
      </c>
      <c r="AJ146" s="157" t="str">
        <f t="shared" si="2"/>
        <v>WR5</v>
      </c>
      <c r="AK146" s="157">
        <f>IFERROR(INDEX(TableWRVORP[BYE],MATCH(TableOverallMaster[[#This Row],[RK]],TableWRVORP[RK],0)),"")</f>
        <v>14</v>
      </c>
      <c r="AL146" s="158">
        <f>IFERROR(INDEX(TableWRVORP[FPS],MATCH(TableOverallMaster[[#This Row],[RK]],TableWRVORP[RK],0)),"")</f>
        <v>232.51214033920755</v>
      </c>
      <c r="AM146" s="159">
        <f>IFERROR(INDEX(TableWRVORP[VORP],MATCH(TableOverallMaster[[#This Row],[RK]],TableWRVORP[RK],0)),"")</f>
        <v>142.2279549488415</v>
      </c>
      <c r="AO146" s="58">
        <v>145</v>
      </c>
      <c r="AP146" s="160" t="str">
        <f>IFERROR(INDEX(TableOverallMaster[OVERALL PLAYER],MATCH(TableOverallRank[[#This Row],[RK]],TableOverallMaster[OVR RK],0)),"")</f>
        <v>Jonathon Brooks</v>
      </c>
      <c r="AQ146" s="161" t="str">
        <f>IFERROR(INDEX(TableOverallMaster[POS RK],MATCH(TableOverallRank[[#This Row],[OVERALL PLAYER]],TableOverallMaster[OVERALL PLAYER],0)),"")</f>
        <v>RB38</v>
      </c>
      <c r="AR146" s="162">
        <f>IFERROR(INDEX(TableOverallMaster[BYE],MATCH(TableOverallRank[[#This Row],[OVERALL PLAYER]],TableOverallMaster[OVERALL PLAYER],0)),"")</f>
        <v>5</v>
      </c>
      <c r="AS146" s="161">
        <f>IFERROR(INDEX(TableOverallMaster[Custom],MATCH(TableOverallRank[[#This Row],[OVERALL PLAYER]],TableOverallMaster[OVERALL PLAYER],0)),"")</f>
        <v>126.32116015930738</v>
      </c>
      <c r="AT146" s="163">
        <f>IFERROR(INDEX(TableOverallMaster[VORP],MATCH(TableOverallRank[[#This Row],[OVERALL PLAYER]],TableOverallMaster[OVERALL PLAYER],0)),"")</f>
        <v>17.850656742624007</v>
      </c>
      <c r="AV146" s="58">
        <v>145</v>
      </c>
      <c r="AW146" s="164" t="str">
        <f>IFERROR(INDEX(TableWRTECalcPts[PLAYER],MATCH(TableWRTERank[[#This Row],[RK]],TableWRTECalcPts[RK],0)),"")</f>
        <v>Michael Mayer</v>
      </c>
      <c r="AX146" s="164" t="str">
        <f>IFERROR(INDEX(TableWRTECalcPts[POS RK],MATCH(TableWRTERank[[#This Row],[WR and TE COMBINED]],TableWRTECalcPts[PLAYER],0)),"")</f>
        <v>TE41</v>
      </c>
      <c r="AY146" s="164">
        <f>IFERROR(INDEX(TableWRTECalcPts[BYE],MATCH(TableWRTERank[[#This Row],[RK]],TableWRTECalcPts[RK],0)),"")</f>
        <v>13</v>
      </c>
      <c r="AZ146" s="165">
        <f>IFERROR(INDEX(TableWRTECalcPts[Custom],MATCH(TableWRTERank[[#This Row],[RK]],TableWRTECalcPts[RK],0)),"")</f>
        <v>46.282097929207907</v>
      </c>
      <c r="BA146" s="166">
        <f>IFERROR((TableWRTERank[[#This Row],[FPS]]-INDEX(TableWRTERank[FPS],MATCH(WRTEVORPCalc,TableWRTERank[RK],0))),"")</f>
        <v>-94.954273653083789</v>
      </c>
      <c r="BC146" s="58" t="s">
        <v>148</v>
      </c>
    </row>
    <row r="147" spans="8:55" x14ac:dyDescent="0.25">
      <c r="H147" s="58">
        <v>146</v>
      </c>
      <c r="I147" s="154" t="str">
        <f>IFERROR(INDEX(TableRBCalcPts[PLAYER],MATCH(TableRBVORP[[#This Row],[RK]],TableRBCalcPts[RK],0)),"")</f>
        <v/>
      </c>
      <c r="J147" s="154" t="str">
        <f>IFERROR(INDEX(TableRBCalcPts[TM],MATCH(TableRBVORP[[#This Row],[RK]],TableRBCalcPts[RK],0)),"")</f>
        <v/>
      </c>
      <c r="K147" s="154" t="str">
        <f>IFERROR(INDEX(TableRBCalcPts[BYE],MATCH(TableRBVORP[[#This Row],[RK]],TableRBCalcPts[RK],0)),"")</f>
        <v/>
      </c>
      <c r="L147" s="155" t="str">
        <f>IFERROR(INDEX(TableRBCalcPts[Custom],MATCH(TableRBVORP[[#This Row],[RK]],TableRBCalcPts[RK],0)),"")</f>
        <v/>
      </c>
      <c r="M147" s="156" t="e">
        <f>(IFERROR((TableRBVORP[[#This Row],[FPS]]-INDEX(TableRBVORP[FPS],MATCH(RBVORPCalc,TableRBVORP[RK],0))),""))*0.8</f>
        <v>#VALUE!</v>
      </c>
      <c r="O147" s="58">
        <v>146</v>
      </c>
      <c r="P147" s="154" t="str">
        <f>IFERROR(INDEX(TableWRCalcPts[PLAYER],MATCH(TableWRVORP[[#This Row],[RK]],TableWRCalcPts[RK],0)),"")</f>
        <v>Cyrus Allen</v>
      </c>
      <c r="Q147" s="154" t="str">
        <f>IFERROR(INDEX(TableWRCalcPts[TM],MATCH(TableWRVORP[[#This Row],[RK]],TableWRCalcPts[RK],0)),"")</f>
        <v>KC</v>
      </c>
      <c r="R147" s="154">
        <f>IFERROR(INDEX(TableWRCalcPts[BYE],MATCH(TableWRVORP[[#This Row],[RK]],TableWRCalcPts[RK],0)),"")</f>
        <v>5</v>
      </c>
      <c r="S147" s="155">
        <f>IFERROR(INDEX(TableWRCalcPts[Custom],MATCH(TableWRVORP[[#This Row],[RK]],TableWRCalcPts[RK],0)),"")</f>
        <v>9.8725740621899973</v>
      </c>
      <c r="T147" s="156">
        <f>(IFERROR((TableWRVORP[[#This Row],[FPS]]-INDEX(TableWRVORP[FPS],MATCH(WRVORPCalc,TableWRVORP[RK],0))),""))</f>
        <v>-80.411611328176065</v>
      </c>
      <c r="AF147" s="58" t="s">
        <v>148</v>
      </c>
      <c r="AG147" s="58">
        <v>6</v>
      </c>
      <c r="AH147" s="100">
        <f>RANK(TableOverallMaster[[#This Row],[VORP]],TableOverallMaster[VORP])+COUNTIF($AM$2:AM147,AM147)-1</f>
        <v>15</v>
      </c>
      <c r="AI147" s="157" t="str">
        <f>IFERROR(INDEX(TableWRVORP[WIDE RECEIVER],MATCH(TableOverallMaster[[#This Row],[RK]],TableWRVORP[RK],0)),"")</f>
        <v>Drake London</v>
      </c>
      <c r="AJ147" s="157" t="str">
        <f t="shared" si="2"/>
        <v>WR6</v>
      </c>
      <c r="AK147" s="157">
        <f>IFERROR(INDEX(TableWRVORP[BYE],MATCH(TableOverallMaster[[#This Row],[RK]],TableWRVORP[RK],0)),"")</f>
        <v>11</v>
      </c>
      <c r="AL147" s="158">
        <f>IFERROR(INDEX(TableWRVORP[FPS],MATCH(TableOverallMaster[[#This Row],[RK]],TableWRVORP[RK],0)),"")</f>
        <v>228.86490868413486</v>
      </c>
      <c r="AM147" s="159">
        <f>IFERROR(INDEX(TableWRVORP[VORP],MATCH(TableOverallMaster[[#This Row],[RK]],TableWRVORP[RK],0)),"")</f>
        <v>138.58072329376881</v>
      </c>
      <c r="AO147" s="58">
        <v>146</v>
      </c>
      <c r="AP147" s="160" t="str">
        <f>IFERROR(INDEX(TableOverallMaster[OVERALL PLAYER],MATCH(TableOverallRank[[#This Row],[RK]],TableOverallMaster[OVR RK],0)),"")</f>
        <v>Jalen McMillan</v>
      </c>
      <c r="AQ147" s="161" t="str">
        <f>IFERROR(INDEX(TableOverallMaster[POS RK],MATCH(TableOverallRank[[#This Row],[OVERALL PLAYER]],TableOverallMaster[OVERALL PLAYER],0)),"")</f>
        <v>WR57</v>
      </c>
      <c r="AR147" s="162">
        <f>IFERROR(INDEX(TableOverallMaster[BYE],MATCH(TableOverallRank[[#This Row],[OVERALL PLAYER]],TableOverallMaster[OVERALL PLAYER],0)),"")</f>
        <v>10</v>
      </c>
      <c r="AS147" s="161">
        <f>IFERROR(INDEX(TableOverallMaster[Custom],MATCH(TableOverallRank[[#This Row],[OVERALL PLAYER]],TableOverallMaster[OVERALL PLAYER],0)),"")</f>
        <v>108.1071908674808</v>
      </c>
      <c r="AT147" s="163">
        <f>IFERROR(INDEX(TableOverallMaster[VORP],MATCH(TableOverallRank[[#This Row],[OVERALL PLAYER]],TableOverallMaster[OVERALL PLAYER],0)),"")</f>
        <v>17.823005477114734</v>
      </c>
      <c r="AV147" s="58">
        <v>146</v>
      </c>
      <c r="AW147" s="164" t="str">
        <f>IFERROR(INDEX(TableWRTECalcPts[PLAYER],MATCH(TableWRTERank[[#This Row],[RK]],TableWRTECalcPts[RK],0)),"")</f>
        <v>Travis Hunter</v>
      </c>
      <c r="AX147" s="164" t="str">
        <f>IFERROR(INDEX(TableWRTECalcPts[POS RK],MATCH(TableWRTERank[[#This Row],[WR and TE COMBINED]],TableWRTECalcPts[PLAYER],0)),"")</f>
        <v>WR105</v>
      </c>
      <c r="AY147" s="164">
        <f>IFERROR(INDEX(TableWRTECalcPts[BYE],MATCH(TableWRTERank[[#This Row],[RK]],TableWRTECalcPts[RK],0)),"")</f>
        <v>7</v>
      </c>
      <c r="AZ147" s="165">
        <f>IFERROR(INDEX(TableWRTECalcPts[Custom],MATCH(TableWRTERank[[#This Row],[RK]],TableWRTECalcPts[RK],0)),"")</f>
        <v>45.395094095769608</v>
      </c>
      <c r="BA147" s="166">
        <f>IFERROR((TableWRTERank[[#This Row],[FPS]]-INDEX(TableWRTERank[FPS],MATCH(WRTEVORPCalc,TableWRTERank[RK],0))),"")</f>
        <v>-95.841277486522088</v>
      </c>
      <c r="BC147" s="58" t="s">
        <v>148</v>
      </c>
    </row>
    <row r="148" spans="8:55" x14ac:dyDescent="0.25">
      <c r="H148" s="58">
        <v>147</v>
      </c>
      <c r="I148" s="154" t="str">
        <f>IFERROR(INDEX(TableRBCalcPts[PLAYER],MATCH(TableRBVORP[[#This Row],[RK]],TableRBCalcPts[RK],0)),"")</f>
        <v/>
      </c>
      <c r="J148" s="154" t="str">
        <f>IFERROR(INDEX(TableRBCalcPts[TM],MATCH(TableRBVORP[[#This Row],[RK]],TableRBCalcPts[RK],0)),"")</f>
        <v/>
      </c>
      <c r="K148" s="154" t="str">
        <f>IFERROR(INDEX(TableRBCalcPts[BYE],MATCH(TableRBVORP[[#This Row],[RK]],TableRBCalcPts[RK],0)),"")</f>
        <v/>
      </c>
      <c r="L148" s="155" t="str">
        <f>IFERROR(INDEX(TableRBCalcPts[Custom],MATCH(TableRBVORP[[#This Row],[RK]],TableRBCalcPts[RK],0)),"")</f>
        <v/>
      </c>
      <c r="M148" s="156" t="e">
        <f>(IFERROR((TableRBVORP[[#This Row],[FPS]]-INDEX(TableRBVORP[FPS],MATCH(RBVORPCalc,TableRBVORP[RK],0))),""))*0.8</f>
        <v>#VALUE!</v>
      </c>
      <c r="O148" s="58">
        <v>147</v>
      </c>
      <c r="P148" s="154" t="str">
        <f>IFERROR(INDEX(TableWRCalcPts[PLAYER],MATCH(TableWRVORP[[#This Row],[RK]],TableWRCalcPts[RK],0)),"")</f>
        <v>Tai Felton</v>
      </c>
      <c r="Q148" s="154" t="str">
        <f>IFERROR(INDEX(TableWRCalcPts[TM],MATCH(TableWRVORP[[#This Row],[RK]],TableWRCalcPts[RK],0)),"")</f>
        <v>MIN</v>
      </c>
      <c r="R148" s="154">
        <f>IFERROR(INDEX(TableWRCalcPts[BYE],MATCH(TableWRVORP[[#This Row],[RK]],TableWRCalcPts[RK],0)),"")</f>
        <v>6</v>
      </c>
      <c r="S148" s="155">
        <f>IFERROR(INDEX(TableWRCalcPts[Custom],MATCH(TableWRVORP[[#This Row],[RK]],TableWRCalcPts[RK],0)),"")</f>
        <v>9.7061602971908254</v>
      </c>
      <c r="T148" s="156">
        <f>(IFERROR((TableWRVORP[[#This Row],[FPS]]-INDEX(TableWRVORP[FPS],MATCH(WRVORPCalc,TableWRVORP[RK],0))),""))</f>
        <v>-80.578025093175242</v>
      </c>
      <c r="AF148" s="58" t="s">
        <v>148</v>
      </c>
      <c r="AG148" s="58">
        <v>7</v>
      </c>
      <c r="AH148" s="100">
        <f>RANK(TableOverallMaster[[#This Row],[VORP]],TableOverallMaster[VORP])+COUNTIF($AM$2:AM148,AM148)-1</f>
        <v>17</v>
      </c>
      <c r="AI148" s="157" t="str">
        <f>IFERROR(INDEX(TableWRVORP[WIDE RECEIVER],MATCH(TableOverallMaster[[#This Row],[RK]],TableWRVORP[RK],0)),"")</f>
        <v>Justin Jefferson</v>
      </c>
      <c r="AJ148" s="157" t="str">
        <f t="shared" si="2"/>
        <v>WR7</v>
      </c>
      <c r="AK148" s="157">
        <f>IFERROR(INDEX(TableWRVORP[BYE],MATCH(TableOverallMaster[[#This Row],[RK]],TableWRVORP[RK],0)),"")</f>
        <v>6</v>
      </c>
      <c r="AL148" s="158">
        <f>IFERROR(INDEX(TableWRVORP[FPS],MATCH(TableOverallMaster[[#This Row],[RK]],TableWRVORP[RK],0)),"")</f>
        <v>223.24740739596288</v>
      </c>
      <c r="AM148" s="159">
        <f>IFERROR(INDEX(TableWRVORP[VORP],MATCH(TableOverallMaster[[#This Row],[RK]],TableWRVORP[RK],0)),"")</f>
        <v>132.96322200559683</v>
      </c>
      <c r="AO148" s="58">
        <v>147</v>
      </c>
      <c r="AP148" s="160" t="str">
        <f>IFERROR(INDEX(TableOverallMaster[OVERALL PLAYER],MATCH(TableOverallRank[[#This Row],[RK]],TableOverallMaster[OVR RK],0)),"")</f>
        <v>Rachaad White</v>
      </c>
      <c r="AQ148" s="161" t="str">
        <f>IFERROR(INDEX(TableOverallMaster[POS RK],MATCH(TableOverallRank[[#This Row],[OVERALL PLAYER]],TableOverallMaster[OVERALL PLAYER],0)),"")</f>
        <v>RB39</v>
      </c>
      <c r="AR148" s="162">
        <f>IFERROR(INDEX(TableOverallMaster[BYE],MATCH(TableOverallRank[[#This Row],[OVERALL PLAYER]],TableOverallMaster[OVERALL PLAYER],0)),"")</f>
        <v>7</v>
      </c>
      <c r="AS148" s="161">
        <f>IFERROR(INDEX(TableOverallMaster[Custom],MATCH(TableOverallRank[[#This Row],[OVERALL PLAYER]],TableOverallMaster[OVERALL PLAYER],0)),"")</f>
        <v>124.03637026247482</v>
      </c>
      <c r="AT148" s="163">
        <f>IFERROR(INDEX(TableOverallMaster[VORP],MATCH(TableOverallRank[[#This Row],[OVERALL PLAYER]],TableOverallMaster[OVERALL PLAYER],0)),"")</f>
        <v>16.022824825157954</v>
      </c>
      <c r="AV148" s="58">
        <v>147</v>
      </c>
      <c r="AW148" s="164" t="str">
        <f>IFERROR(INDEX(TableWRTECalcPts[PLAYER],MATCH(TableWRTERank[[#This Row],[RK]],TableWRTECalcPts[RK],0)),"")</f>
        <v>De'Zhaun Stribling</v>
      </c>
      <c r="AX148" s="164" t="str">
        <f>IFERROR(INDEX(TableWRTECalcPts[POS RK],MATCH(TableWRTERank[[#This Row],[WR and TE COMBINED]],TableWRTECalcPts[PLAYER],0)),"")</f>
        <v>WR106</v>
      </c>
      <c r="AY148" s="164">
        <f>IFERROR(INDEX(TableWRTECalcPts[BYE],MATCH(TableWRTERank[[#This Row],[RK]],TableWRTECalcPts[RK],0)),"")</f>
        <v>8</v>
      </c>
      <c r="AZ148" s="165">
        <f>IFERROR(INDEX(TableWRTECalcPts[Custom],MATCH(TableWRTERank[[#This Row],[RK]],TableWRTECalcPts[RK],0)),"")</f>
        <v>45.1604312615232</v>
      </c>
      <c r="BA148" s="166">
        <f>IFERROR((TableWRTERank[[#This Row],[FPS]]-INDEX(TableWRTERank[FPS],MATCH(WRTEVORPCalc,TableWRTERank[RK],0))),"")</f>
        <v>-96.075940320768495</v>
      </c>
      <c r="BC148" s="58" t="s">
        <v>148</v>
      </c>
    </row>
    <row r="149" spans="8:55" x14ac:dyDescent="0.25">
      <c r="H149" s="58">
        <v>148</v>
      </c>
      <c r="I149" s="154" t="str">
        <f>IFERROR(INDEX(TableRBCalcPts[PLAYER],MATCH(TableRBVORP[[#This Row],[RK]],TableRBCalcPts[RK],0)),"")</f>
        <v/>
      </c>
      <c r="J149" s="154" t="str">
        <f>IFERROR(INDEX(TableRBCalcPts[TM],MATCH(TableRBVORP[[#This Row],[RK]],TableRBCalcPts[RK],0)),"")</f>
        <v/>
      </c>
      <c r="K149" s="154" t="str">
        <f>IFERROR(INDEX(TableRBCalcPts[BYE],MATCH(TableRBVORP[[#This Row],[RK]],TableRBCalcPts[RK],0)),"")</f>
        <v/>
      </c>
      <c r="L149" s="155" t="str">
        <f>IFERROR(INDEX(TableRBCalcPts[Custom],MATCH(TableRBVORP[[#This Row],[RK]],TableRBCalcPts[RK],0)),"")</f>
        <v/>
      </c>
      <c r="M149" s="156" t="e">
        <f>(IFERROR((TableRBVORP[[#This Row],[FPS]]-INDEX(TableRBVORP[FPS],MATCH(RBVORPCalc,TableRBVORP[RK],0))),""))*0.8</f>
        <v>#VALUE!</v>
      </c>
      <c r="O149" s="58">
        <v>148</v>
      </c>
      <c r="P149" s="154" t="str">
        <f>IFERROR(INDEX(TableWRCalcPts[PLAYER],MATCH(TableWRVORP[[#This Row],[RK]],TableWRCalcPts[RK],0)),"")</f>
        <v>Mecole Hardman</v>
      </c>
      <c r="Q149" s="154" t="str">
        <f>IFERROR(INDEX(TableWRCalcPts[TM],MATCH(TableWRVORP[[#This Row],[RK]],TableWRCalcPts[RK],0)),"")</f>
        <v>BUF</v>
      </c>
      <c r="R149" s="154">
        <f>IFERROR(INDEX(TableWRCalcPts[BYE],MATCH(TableWRVORP[[#This Row],[RK]],TableWRCalcPts[RK],0)),"")</f>
        <v>7</v>
      </c>
      <c r="S149" s="155">
        <f>IFERROR(INDEX(TableWRCalcPts[Custom],MATCH(TableWRVORP[[#This Row],[RK]],TableWRCalcPts[RK],0)),"")</f>
        <v>9.1560975886379978</v>
      </c>
      <c r="T149" s="156">
        <f>(IFERROR((TableWRVORP[[#This Row],[FPS]]-INDEX(TableWRVORP[FPS],MATCH(WRVORPCalc,TableWRVORP[RK],0))),""))</f>
        <v>-81.128087801728071</v>
      </c>
      <c r="AF149" s="58" t="s">
        <v>148</v>
      </c>
      <c r="AG149" s="58">
        <v>8</v>
      </c>
      <c r="AH149" s="100">
        <f>RANK(TableOverallMaster[[#This Row],[VORP]],TableOverallMaster[VORP])+COUNTIF($AM$2:AM149,AM149)-1</f>
        <v>18</v>
      </c>
      <c r="AI149" s="157" t="str">
        <f>IFERROR(INDEX(TableWRVORP[WIDE RECEIVER],MATCH(TableOverallMaster[[#This Row],[RK]],TableWRVORP[RK],0)),"")</f>
        <v>CeeDee Lamb</v>
      </c>
      <c r="AJ149" s="157" t="str">
        <f t="shared" si="2"/>
        <v>WR8</v>
      </c>
      <c r="AK149" s="157">
        <f>IFERROR(INDEX(TableWRVORP[BYE],MATCH(TableOverallMaster[[#This Row],[RK]],TableWRVORP[RK],0)),"")</f>
        <v>14</v>
      </c>
      <c r="AL149" s="158">
        <f>IFERROR(INDEX(TableWRVORP[FPS],MATCH(TableOverallMaster[[#This Row],[RK]],TableWRVORP[RK],0)),"")</f>
        <v>223.24357321838613</v>
      </c>
      <c r="AM149" s="159">
        <f>IFERROR(INDEX(TableWRVORP[VORP],MATCH(TableOverallMaster[[#This Row],[RK]],TableWRVORP[RK],0)),"")</f>
        <v>132.95938782802006</v>
      </c>
      <c r="AO149" s="58">
        <v>148</v>
      </c>
      <c r="AP149" s="160" t="str">
        <f>IFERROR(INDEX(TableOverallMaster[OVERALL PLAYER],MATCH(TableOverallRank[[#This Row],[RK]],TableOverallMaster[OVR RK],0)),"")</f>
        <v>Jacory Croskey-Merritt</v>
      </c>
      <c r="AQ149" s="161" t="str">
        <f>IFERROR(INDEX(TableOverallMaster[POS RK],MATCH(TableOverallRank[[#This Row],[OVERALL PLAYER]],TableOverallMaster[OVERALL PLAYER],0)),"")</f>
        <v>RB40</v>
      </c>
      <c r="AR149" s="162">
        <f>IFERROR(INDEX(TableOverallMaster[BYE],MATCH(TableOverallRank[[#This Row],[OVERALL PLAYER]],TableOverallMaster[OVERALL PLAYER],0)),"")</f>
        <v>7</v>
      </c>
      <c r="AS149" s="161">
        <f>IFERROR(INDEX(TableOverallMaster[Custom],MATCH(TableOverallRank[[#This Row],[OVERALL PLAYER]],TableOverallMaster[OVERALL PLAYER],0)),"")</f>
        <v>123.7224200487051</v>
      </c>
      <c r="AT149" s="163">
        <f>IFERROR(INDEX(TableOverallMaster[VORP],MATCH(TableOverallRank[[#This Row],[OVERALL PLAYER]],TableOverallMaster[OVERALL PLAYER],0)),"")</f>
        <v>15.771664654142183</v>
      </c>
      <c r="AV149" s="58">
        <v>148</v>
      </c>
      <c r="AW149" s="164" t="str">
        <f>IFERROR(INDEX(TableWRTECalcPts[PLAYER],MATCH(TableWRTERank[[#This Row],[RK]],TableWRTECalcPts[RK],0)),"")</f>
        <v>John Metchie</v>
      </c>
      <c r="AX149" s="164" t="str">
        <f>IFERROR(INDEX(TableWRTECalcPts[POS RK],MATCH(TableWRTERank[[#This Row],[WR and TE COMBINED]],TableWRTECalcPts[PLAYER],0)),"")</f>
        <v>WR107</v>
      </c>
      <c r="AY149" s="164">
        <f>IFERROR(INDEX(TableWRTECalcPts[BYE],MATCH(TableWRTERank[[#This Row],[RK]],TableWRTECalcPts[RK],0)),"")</f>
        <v>5</v>
      </c>
      <c r="AZ149" s="165">
        <f>IFERROR(INDEX(TableWRTECalcPts[Custom],MATCH(TableWRTERank[[#This Row],[RK]],TableWRTECalcPts[RK],0)),"")</f>
        <v>44.115849021183735</v>
      </c>
      <c r="BA149" s="166">
        <f>IFERROR((TableWRTERank[[#This Row],[FPS]]-INDEX(TableWRTERank[FPS],MATCH(WRTEVORPCalc,TableWRTERank[RK],0))),"")</f>
        <v>-97.120522561107961</v>
      </c>
      <c r="BC149" s="58" t="s">
        <v>148</v>
      </c>
    </row>
    <row r="150" spans="8:55" x14ac:dyDescent="0.25">
      <c r="H150" s="58">
        <v>149</v>
      </c>
      <c r="I150" s="154" t="str">
        <f>IFERROR(INDEX(TableRBCalcPts[PLAYER],MATCH(TableRBVORP[[#This Row],[RK]],TableRBCalcPts[RK],0)),"")</f>
        <v/>
      </c>
      <c r="J150" s="154" t="str">
        <f>IFERROR(INDEX(TableRBCalcPts[TM],MATCH(TableRBVORP[[#This Row],[RK]],TableRBCalcPts[RK],0)),"")</f>
        <v/>
      </c>
      <c r="K150" s="154" t="str">
        <f>IFERROR(INDEX(TableRBCalcPts[BYE],MATCH(TableRBVORP[[#This Row],[RK]],TableRBCalcPts[RK],0)),"")</f>
        <v/>
      </c>
      <c r="L150" s="155" t="str">
        <f>IFERROR(INDEX(TableRBCalcPts[Custom],MATCH(TableRBVORP[[#This Row],[RK]],TableRBCalcPts[RK],0)),"")</f>
        <v/>
      </c>
      <c r="M150" s="156" t="e">
        <f>(IFERROR((TableRBVORP[[#This Row],[FPS]]-INDEX(TableRBVORP[FPS],MATCH(RBVORPCalc,TableRBVORP[RK],0))),""))*0.8</f>
        <v>#VALUE!</v>
      </c>
      <c r="O150" s="58">
        <v>149</v>
      </c>
      <c r="P150" s="154" t="str">
        <f>IFERROR(INDEX(TableWRCalcPts[PLAYER],MATCH(TableWRVORP[[#This Row],[RK]],TableWRCalcPts[RK],0)),"")</f>
        <v>Jimmy Horn</v>
      </c>
      <c r="Q150" s="154" t="str">
        <f>IFERROR(INDEX(TableWRCalcPts[TM],MATCH(TableWRVORP[[#This Row],[RK]],TableWRCalcPts[RK],0)),"")</f>
        <v>CAR</v>
      </c>
      <c r="R150" s="154">
        <f>IFERROR(INDEX(TableWRCalcPts[BYE],MATCH(TableWRVORP[[#This Row],[RK]],TableWRCalcPts[RK],0)),"")</f>
        <v>5</v>
      </c>
      <c r="S150" s="155">
        <f>IFERROR(INDEX(TableWRCalcPts[Custom],MATCH(TableWRVORP[[#This Row],[RK]],TableWRCalcPts[RK],0)),"")</f>
        <v>8.7033181439178939</v>
      </c>
      <c r="T150" s="156">
        <f>(IFERROR((TableWRVORP[[#This Row],[FPS]]-INDEX(TableWRVORP[FPS],MATCH(WRVORPCalc,TableWRVORP[RK],0))),""))</f>
        <v>-81.580867246448165</v>
      </c>
      <c r="AF150" s="58" t="s">
        <v>148</v>
      </c>
      <c r="AG150" s="58">
        <v>9</v>
      </c>
      <c r="AH150" s="100">
        <f>RANK(TableOverallMaster[[#This Row],[VORP]],TableOverallMaster[VORP])+COUNTIF($AM$2:AM150,AM150)-1</f>
        <v>20</v>
      </c>
      <c r="AI150" s="157" t="str">
        <f>IFERROR(INDEX(TableWRVORP[WIDE RECEIVER],MATCH(TableOverallMaster[[#This Row],[RK]],TableWRVORP[RK],0)),"")</f>
        <v>A.J. Brown</v>
      </c>
      <c r="AJ150" s="157" t="str">
        <f t="shared" si="2"/>
        <v>WR9</v>
      </c>
      <c r="AK150" s="157">
        <f>IFERROR(INDEX(TableWRVORP[BYE],MATCH(TableOverallMaster[[#This Row],[RK]],TableWRVORP[RK],0)),"")</f>
        <v>11</v>
      </c>
      <c r="AL150" s="158">
        <f>IFERROR(INDEX(TableWRVORP[FPS],MATCH(TableOverallMaster[[#This Row],[RK]],TableWRVORP[RK],0)),"")</f>
        <v>221.00500461508548</v>
      </c>
      <c r="AM150" s="159">
        <f>IFERROR(INDEX(TableWRVORP[VORP],MATCH(TableOverallMaster[[#This Row],[RK]],TableWRVORP[RK],0)),"")</f>
        <v>130.72081922471943</v>
      </c>
      <c r="AO150" s="58">
        <v>149</v>
      </c>
      <c r="AP150" s="160" t="str">
        <f>IFERROR(INDEX(TableOverallMaster[OVERALL PLAYER],MATCH(TableOverallRank[[#This Row],[RK]],TableOverallMaster[OVR RK],0)),"")</f>
        <v>Tyquan Thornton</v>
      </c>
      <c r="AQ150" s="161" t="str">
        <f>IFERROR(INDEX(TableOverallMaster[POS RK],MATCH(TableOverallRank[[#This Row],[OVERALL PLAYER]],TableOverallMaster[OVERALL PLAYER],0)),"")</f>
        <v>WR58</v>
      </c>
      <c r="AR150" s="162">
        <f>IFERROR(INDEX(TableOverallMaster[BYE],MATCH(TableOverallRank[[#This Row],[OVERALL PLAYER]],TableOverallMaster[OVERALL PLAYER],0)),"")</f>
        <v>5</v>
      </c>
      <c r="AS150" s="161">
        <f>IFERROR(INDEX(TableOverallMaster[Custom],MATCH(TableOverallRank[[#This Row],[OVERALL PLAYER]],TableOverallMaster[OVERALL PLAYER],0)),"")</f>
        <v>105.42376555000021</v>
      </c>
      <c r="AT150" s="163">
        <f>IFERROR(INDEX(TableOverallMaster[VORP],MATCH(TableOverallRank[[#This Row],[OVERALL PLAYER]],TableOverallMaster[OVERALL PLAYER],0)),"")</f>
        <v>15.13958015963415</v>
      </c>
      <c r="AV150" s="58">
        <v>149</v>
      </c>
      <c r="AW150" s="164" t="str">
        <f>IFERROR(INDEX(TableWRTECalcPts[PLAYER],MATCH(TableWRTERank[[#This Row],[RK]],TableWRTECalcPts[RK],0)),"")</f>
        <v>Mack Hollins</v>
      </c>
      <c r="AX150" s="164" t="str">
        <f>IFERROR(INDEX(TableWRTECalcPts[POS RK],MATCH(TableWRTERank[[#This Row],[WR and TE COMBINED]],TableWRTECalcPts[PLAYER],0)),"")</f>
        <v>WR108</v>
      </c>
      <c r="AY150" s="164">
        <f>IFERROR(INDEX(TableWRTECalcPts[BYE],MATCH(TableWRTERank[[#This Row],[RK]],TableWRTECalcPts[RK],0)),"")</f>
        <v>11</v>
      </c>
      <c r="AZ150" s="165">
        <f>IFERROR(INDEX(TableWRTECalcPts[Custom],MATCH(TableWRTERank[[#This Row],[RK]],TableWRTECalcPts[RK],0)),"")</f>
        <v>42.408964281509647</v>
      </c>
      <c r="BA150" s="166">
        <f>IFERROR((TableWRTERank[[#This Row],[FPS]]-INDEX(TableWRTERank[FPS],MATCH(WRTEVORPCalc,TableWRTERank[RK],0))),"")</f>
        <v>-98.827407300782056</v>
      </c>
      <c r="BC150" s="58" t="s">
        <v>148</v>
      </c>
    </row>
    <row r="151" spans="8:55" x14ac:dyDescent="0.25">
      <c r="H151" s="58">
        <v>150</v>
      </c>
      <c r="I151" s="154" t="str">
        <f>IFERROR(INDEX(TableRBCalcPts[PLAYER],MATCH(TableRBVORP[[#This Row],[RK]],TableRBCalcPts[RK],0)),"")</f>
        <v/>
      </c>
      <c r="J151" s="154" t="str">
        <f>IFERROR(INDEX(TableRBCalcPts[TM],MATCH(TableRBVORP[[#This Row],[RK]],TableRBCalcPts[RK],0)),"")</f>
        <v/>
      </c>
      <c r="K151" s="154" t="str">
        <f>IFERROR(INDEX(TableRBCalcPts[BYE],MATCH(TableRBVORP[[#This Row],[RK]],TableRBCalcPts[RK],0)),"")</f>
        <v/>
      </c>
      <c r="L151" s="155" t="str">
        <f>IFERROR(INDEX(TableRBCalcPts[Custom],MATCH(TableRBVORP[[#This Row],[RK]],TableRBCalcPts[RK],0)),"")</f>
        <v/>
      </c>
      <c r="M151" s="156" t="e">
        <f>(IFERROR((TableRBVORP[[#This Row],[FPS]]-INDEX(TableRBVORP[FPS],MATCH(RBVORPCalc,TableRBVORP[RK],0))),""))*0.8</f>
        <v>#VALUE!</v>
      </c>
      <c r="O151" s="58">
        <v>150</v>
      </c>
      <c r="P151" s="154" t="str">
        <f>IFERROR(INDEX(TableWRCalcPts[PLAYER],MATCH(TableWRVORP[[#This Row],[RK]],TableWRCalcPts[RK],0)),"")</f>
        <v>Jonathan Mingo</v>
      </c>
      <c r="Q151" s="154" t="str">
        <f>IFERROR(INDEX(TableWRCalcPts[TM],MATCH(TableWRVORP[[#This Row],[RK]],TableWRCalcPts[RK],0)),"")</f>
        <v>DAL</v>
      </c>
      <c r="R151" s="154">
        <f>IFERROR(INDEX(TableWRCalcPts[BYE],MATCH(TableWRVORP[[#This Row],[RK]],TableWRCalcPts[RK],0)),"")</f>
        <v>14</v>
      </c>
      <c r="S151" s="155">
        <f>IFERROR(INDEX(TableWRCalcPts[Custom],MATCH(TableWRVORP[[#This Row],[RK]],TableWRCalcPts[RK],0)),"")</f>
        <v>8.6646782331413945</v>
      </c>
      <c r="T151" s="156">
        <f>(IFERROR((TableWRVORP[[#This Row],[FPS]]-INDEX(TableWRVORP[FPS],MATCH(WRVORPCalc,TableWRVORP[RK],0))),""))</f>
        <v>-81.61950715722466</v>
      </c>
      <c r="AF151" s="58" t="s">
        <v>148</v>
      </c>
      <c r="AG151" s="58">
        <v>10</v>
      </c>
      <c r="AH151" s="100">
        <f>RANK(TableOverallMaster[[#This Row],[VORP]],TableOverallMaster[VORP])+COUNTIF($AM$2:AM151,AM151)-1</f>
        <v>23</v>
      </c>
      <c r="AI151" s="157" t="str">
        <f>IFERROR(INDEX(TableWRVORP[WIDE RECEIVER],MATCH(TableOverallMaster[[#This Row],[RK]],TableWRVORP[RK],0)),"")</f>
        <v>Nico Collins</v>
      </c>
      <c r="AJ151" s="157" t="str">
        <f t="shared" si="2"/>
        <v>WR10</v>
      </c>
      <c r="AK151" s="157">
        <f>IFERROR(INDEX(TableWRVORP[BYE],MATCH(TableOverallMaster[[#This Row],[RK]],TableWRVORP[RK],0)),"")</f>
        <v>8</v>
      </c>
      <c r="AL151" s="158">
        <f>IFERROR(INDEX(TableWRVORP[FPS],MATCH(TableOverallMaster[[#This Row],[RK]],TableWRVORP[RK],0)),"")</f>
        <v>212.48861218175085</v>
      </c>
      <c r="AM151" s="159">
        <f>IFERROR(INDEX(TableWRVORP[VORP],MATCH(TableOverallMaster[[#This Row],[RK]],TableWRVORP[RK],0)),"")</f>
        <v>122.20442679138479</v>
      </c>
      <c r="AO151" s="58">
        <v>150</v>
      </c>
      <c r="AP151" s="160" t="str">
        <f>IFERROR(INDEX(TableOverallMaster[OVERALL PLAYER],MATCH(TableOverallRank[[#This Row],[RK]],TableOverallMaster[OVR RK],0)),"")</f>
        <v>Calvin Ridley</v>
      </c>
      <c r="AQ151" s="161" t="str">
        <f>IFERROR(INDEX(TableOverallMaster[POS RK],MATCH(TableOverallRank[[#This Row],[OVERALL PLAYER]],TableOverallMaster[OVERALL PLAYER],0)),"")</f>
        <v>WR59</v>
      </c>
      <c r="AR151" s="162">
        <f>IFERROR(INDEX(TableOverallMaster[BYE],MATCH(TableOverallRank[[#This Row],[OVERALL PLAYER]],TableOverallMaster[OVERALL PLAYER],0)),"")</f>
        <v>9</v>
      </c>
      <c r="AS151" s="161">
        <f>IFERROR(INDEX(TableOverallMaster[Custom],MATCH(TableOverallRank[[#This Row],[OVERALL PLAYER]],TableOverallMaster[OVERALL PLAYER],0)),"")</f>
        <v>105.40024930600705</v>
      </c>
      <c r="AT151" s="163">
        <f>IFERROR(INDEX(TableOverallMaster[VORP],MATCH(TableOverallRank[[#This Row],[OVERALL PLAYER]],TableOverallMaster[OVERALL PLAYER],0)),"")</f>
        <v>15.116063915640993</v>
      </c>
      <c r="AV151" s="58">
        <v>150</v>
      </c>
      <c r="AW151" s="164" t="str">
        <f>IFERROR(INDEX(TableWRTECalcPts[PLAYER],MATCH(TableWRTERank[[#This Row],[RK]],TableWRTECalcPts[RK],0)),"")</f>
        <v>Elic Ayomanor</v>
      </c>
      <c r="AX151" s="164" t="str">
        <f>IFERROR(INDEX(TableWRTECalcPts[POS RK],MATCH(TableWRTERank[[#This Row],[WR and TE COMBINED]],TableWRTECalcPts[PLAYER],0)),"")</f>
        <v>WR109</v>
      </c>
      <c r="AY151" s="164">
        <f>IFERROR(INDEX(TableWRTECalcPts[BYE],MATCH(TableWRTERank[[#This Row],[RK]],TableWRTECalcPts[RK],0)),"")</f>
        <v>9</v>
      </c>
      <c r="AZ151" s="165">
        <f>IFERROR(INDEX(TableWRTECalcPts[Custom],MATCH(TableWRTERank[[#This Row],[RK]],TableWRTECalcPts[RK],0)),"")</f>
        <v>42.293158152537607</v>
      </c>
      <c r="BA151" s="166">
        <f>IFERROR((TableWRTERank[[#This Row],[FPS]]-INDEX(TableWRTERank[FPS],MATCH(WRTEVORPCalc,TableWRTERank[RK],0))),"")</f>
        <v>-98.943213429754081</v>
      </c>
      <c r="BC151" s="58" t="s">
        <v>148</v>
      </c>
    </row>
    <row r="152" spans="8:55" x14ac:dyDescent="0.25">
      <c r="H152" s="58">
        <v>151</v>
      </c>
      <c r="I152" s="154" t="str">
        <f>IFERROR(INDEX(TableRBCalcPts[PLAYER],MATCH(TableRBVORP[[#This Row],[RK]],TableRBCalcPts[RK],0)),"")</f>
        <v/>
      </c>
      <c r="J152" s="154" t="str">
        <f>IFERROR(INDEX(TableRBCalcPts[TM],MATCH(TableRBVORP[[#This Row],[RK]],TableRBCalcPts[RK],0)),"")</f>
        <v/>
      </c>
      <c r="K152" s="154" t="str">
        <f>IFERROR(INDEX(TableRBCalcPts[BYE],MATCH(TableRBVORP[[#This Row],[RK]],TableRBCalcPts[RK],0)),"")</f>
        <v/>
      </c>
      <c r="L152" s="155" t="str">
        <f>IFERROR(INDEX(TableRBCalcPts[Custom],MATCH(TableRBVORP[[#This Row],[RK]],TableRBCalcPts[RK],0)),"")</f>
        <v/>
      </c>
      <c r="M152" s="156" t="e">
        <f>(IFERROR((TableRBVORP[[#This Row],[FPS]]-INDEX(TableRBVORP[FPS],MATCH(RBVORPCalc,TableRBVORP[RK],0))),""))*0.8</f>
        <v>#VALUE!</v>
      </c>
      <c r="O152" s="58">
        <v>151</v>
      </c>
      <c r="P152" s="154" t="str">
        <f>IFERROR(INDEX(TableWRCalcPts[PLAYER],MATCH(TableWRVORP[[#This Row],[RK]],TableWRCalcPts[RK],0)),"")</f>
        <v>Cedric Tillman</v>
      </c>
      <c r="Q152" s="154" t="str">
        <f>IFERROR(INDEX(TableWRCalcPts[TM],MATCH(TableWRVORP[[#This Row],[RK]],TableWRCalcPts[RK],0)),"")</f>
        <v>CLE</v>
      </c>
      <c r="R152" s="154">
        <f>IFERROR(INDEX(TableWRCalcPts[BYE],MATCH(TableWRVORP[[#This Row],[RK]],TableWRCalcPts[RK],0)),"")</f>
        <v>11</v>
      </c>
      <c r="S152" s="155">
        <f>IFERROR(INDEX(TableWRCalcPts[Custom],MATCH(TableWRVORP[[#This Row],[RK]],TableWRCalcPts[RK],0)),"")</f>
        <v>8.6514761718000006</v>
      </c>
      <c r="T152" s="156">
        <f>(IFERROR((TableWRVORP[[#This Row],[FPS]]-INDEX(TableWRVORP[FPS],MATCH(WRVORPCalc,TableWRVORP[RK],0))),""))</f>
        <v>-81.632709218566063</v>
      </c>
      <c r="AF152" s="58" t="s">
        <v>148</v>
      </c>
      <c r="AG152" s="58">
        <v>11</v>
      </c>
      <c r="AH152" s="100">
        <f>RANK(TableOverallMaster[[#This Row],[VORP]],TableOverallMaster[VORP])+COUNTIF($AM$2:AM152,AM152)-1</f>
        <v>25</v>
      </c>
      <c r="AI152" s="157" t="str">
        <f>IFERROR(INDEX(TableWRVORP[WIDE RECEIVER],MATCH(TableOverallMaster[[#This Row],[RK]],TableWRVORP[RK],0)),"")</f>
        <v>Tee Higgins</v>
      </c>
      <c r="AJ152" s="157" t="str">
        <f t="shared" si="2"/>
        <v>WR11</v>
      </c>
      <c r="AK152" s="157">
        <f>IFERROR(INDEX(TableWRVORP[BYE],MATCH(TableOverallMaster[[#This Row],[RK]],TableWRVORP[RK],0)),"")</f>
        <v>6</v>
      </c>
      <c r="AL152" s="158">
        <f>IFERROR(INDEX(TableWRVORP[FPS],MATCH(TableOverallMaster[[#This Row],[RK]],TableWRVORP[RK],0)),"")</f>
        <v>210.32382984378648</v>
      </c>
      <c r="AM152" s="159">
        <f>IFERROR(INDEX(TableWRVORP[VORP],MATCH(TableOverallMaster[[#This Row],[RK]],TableWRVORP[RK],0)),"")</f>
        <v>120.03964445342042</v>
      </c>
      <c r="AO152" s="58">
        <v>151</v>
      </c>
      <c r="AP152" s="160" t="str">
        <f>IFERROR(INDEX(TableOverallMaster[OVERALL PLAYER],MATCH(TableOverallRank[[#This Row],[RK]],TableOverallMaster[OVR RK],0)),"")</f>
        <v>Antonio Williams</v>
      </c>
      <c r="AQ152" s="161" t="str">
        <f>IFERROR(INDEX(TableOverallMaster[POS RK],MATCH(TableOverallRank[[#This Row],[OVERALL PLAYER]],TableOverallMaster[OVERALL PLAYER],0)),"")</f>
        <v>WR60</v>
      </c>
      <c r="AR152" s="162">
        <f>IFERROR(INDEX(TableOverallMaster[BYE],MATCH(TableOverallRank[[#This Row],[OVERALL PLAYER]],TableOverallMaster[OVERALL PLAYER],0)),"")</f>
        <v>7</v>
      </c>
      <c r="AS152" s="161">
        <f>IFERROR(INDEX(TableOverallMaster[Custom],MATCH(TableOverallRank[[#This Row],[OVERALL PLAYER]],TableOverallMaster[OVERALL PLAYER],0)),"")</f>
        <v>103.72050015538173</v>
      </c>
      <c r="AT152" s="163">
        <f>IFERROR(INDEX(TableOverallMaster[VORP],MATCH(TableOverallRank[[#This Row],[OVERALL PLAYER]],TableOverallMaster[OVERALL PLAYER],0)),"")</f>
        <v>13.436314765015666</v>
      </c>
      <c r="AV152" s="58">
        <v>151</v>
      </c>
      <c r="AW152" s="164" t="str">
        <f>IFERROR(INDEX(TableWRTECalcPts[PLAYER],MATCH(TableWRTERank[[#This Row],[RK]],TableWRTECalcPts[RK],0)),"")</f>
        <v>Kalif Raymond</v>
      </c>
      <c r="AX152" s="164" t="str">
        <f>IFERROR(INDEX(TableWRTECalcPts[POS RK],MATCH(TableWRTERank[[#This Row],[WR and TE COMBINED]],TableWRTECalcPts[PLAYER],0)),"")</f>
        <v>WR110</v>
      </c>
      <c r="AY152" s="164">
        <f>IFERROR(INDEX(TableWRTECalcPts[BYE],MATCH(TableWRTERank[[#This Row],[RK]],TableWRTECalcPts[RK],0)),"")</f>
        <v>10</v>
      </c>
      <c r="AZ152" s="165">
        <f>IFERROR(INDEX(TableWRTECalcPts[Custom],MATCH(TableWRTERank[[#This Row],[RK]],TableWRTECalcPts[RK],0)),"")</f>
        <v>41.749922059333976</v>
      </c>
      <c r="BA152" s="166">
        <f>IFERROR((TableWRTERank[[#This Row],[FPS]]-INDEX(TableWRTERank[FPS],MATCH(WRTEVORPCalc,TableWRTERank[RK],0))),"")</f>
        <v>-99.486449522957713</v>
      </c>
      <c r="BC152" s="58" t="s">
        <v>148</v>
      </c>
    </row>
    <row r="153" spans="8:55" x14ac:dyDescent="0.25">
      <c r="H153" s="58">
        <v>152</v>
      </c>
      <c r="I153" s="154" t="str">
        <f>IFERROR(INDEX(TableRBCalcPts[PLAYER],MATCH(TableRBVORP[[#This Row],[RK]],TableRBCalcPts[RK],0)),"")</f>
        <v/>
      </c>
      <c r="J153" s="154" t="str">
        <f>IFERROR(INDEX(TableRBCalcPts[TM],MATCH(TableRBVORP[[#This Row],[RK]],TableRBCalcPts[RK],0)),"")</f>
        <v/>
      </c>
      <c r="K153" s="154" t="str">
        <f>IFERROR(INDEX(TableRBCalcPts[BYE],MATCH(TableRBVORP[[#This Row],[RK]],TableRBCalcPts[RK],0)),"")</f>
        <v/>
      </c>
      <c r="L153" s="155" t="str">
        <f>IFERROR(INDEX(TableRBCalcPts[Custom],MATCH(TableRBVORP[[#This Row],[RK]],TableRBCalcPts[RK],0)),"")</f>
        <v/>
      </c>
      <c r="M153" s="156" t="e">
        <f>(IFERROR((TableRBVORP[[#This Row],[FPS]]-INDEX(TableRBVORP[FPS],MATCH(RBVORPCalc,TableRBVORP[RK],0))),""))*0.8</f>
        <v>#VALUE!</v>
      </c>
      <c r="O153" s="58">
        <v>152</v>
      </c>
      <c r="P153" s="154" t="str">
        <f>IFERROR(INDEX(TableWRCalcPts[PLAYER],MATCH(TableWRVORP[[#This Row],[RK]],TableWRCalcPts[RK],0)),"")</f>
        <v>Beaux Collins</v>
      </c>
      <c r="Q153" s="154" t="str">
        <f>IFERROR(INDEX(TableWRCalcPts[TM],MATCH(TableWRVORP[[#This Row],[RK]],TableWRCalcPts[RK],0)),"")</f>
        <v>NYG</v>
      </c>
      <c r="R153" s="154">
        <f>IFERROR(INDEX(TableWRCalcPts[BYE],MATCH(TableWRVORP[[#This Row],[RK]],TableWRCalcPts[RK],0)),"")</f>
        <v>8</v>
      </c>
      <c r="S153" s="155">
        <f>IFERROR(INDEX(TableWRCalcPts[Custom],MATCH(TableWRVORP[[#This Row],[RK]],TableWRCalcPts[RK],0)),"")</f>
        <v>8.3371175754971993</v>
      </c>
      <c r="T153" s="156">
        <f>(IFERROR((TableWRVORP[[#This Row],[FPS]]-INDEX(TableWRVORP[FPS],MATCH(WRVORPCalc,TableWRVORP[RK],0))),""))</f>
        <v>-81.947067814868859</v>
      </c>
      <c r="AF153" s="58" t="s">
        <v>148</v>
      </c>
      <c r="AG153" s="58">
        <v>12</v>
      </c>
      <c r="AH153" s="100">
        <f>RANK(TableOverallMaster[[#This Row],[VORP]],TableOverallMaster[VORP])+COUNTIF($AM$2:AM153,AM153)-1</f>
        <v>28</v>
      </c>
      <c r="AI153" s="157" t="str">
        <f>IFERROR(INDEX(TableWRVORP[WIDE RECEIVER],MATCH(TableOverallMaster[[#This Row],[RK]],TableWRVORP[RK],0)),"")</f>
        <v>Tetairoa McMillan</v>
      </c>
      <c r="AJ153" s="157" t="str">
        <f t="shared" si="2"/>
        <v>WR12</v>
      </c>
      <c r="AK153" s="157">
        <f>IFERROR(INDEX(TableWRVORP[BYE],MATCH(TableOverallMaster[[#This Row],[RK]],TableWRVORP[RK],0)),"")</f>
        <v>5</v>
      </c>
      <c r="AL153" s="158">
        <f>IFERROR(INDEX(TableWRVORP[FPS],MATCH(TableOverallMaster[[#This Row],[RK]],TableWRVORP[RK],0)),"")</f>
        <v>207.85591546371469</v>
      </c>
      <c r="AM153" s="159">
        <f>IFERROR(INDEX(TableWRVORP[VORP],MATCH(TableOverallMaster[[#This Row],[RK]],TableWRVORP[RK],0)),"")</f>
        <v>117.57173007334863</v>
      </c>
      <c r="AO153" s="58">
        <v>152</v>
      </c>
      <c r="AP153" s="160" t="str">
        <f>IFERROR(INDEX(TableOverallMaster[OVERALL PLAYER],MATCH(TableOverallRank[[#This Row],[RK]],TableOverallMaster[OVR RK],0)),"")</f>
        <v>J.K. Dobbins</v>
      </c>
      <c r="AQ153" s="161" t="str">
        <f>IFERROR(INDEX(TableOverallMaster[POS RK],MATCH(TableOverallRank[[#This Row],[OVERALL PLAYER]],TableOverallMaster[OVERALL PLAYER],0)),"")</f>
        <v>RB41</v>
      </c>
      <c r="AR153" s="162">
        <f>IFERROR(INDEX(TableOverallMaster[BYE],MATCH(TableOverallRank[[#This Row],[OVERALL PLAYER]],TableOverallMaster[OVERALL PLAYER],0)),"")</f>
        <v>10</v>
      </c>
      <c r="AS153" s="161">
        <f>IFERROR(INDEX(TableOverallMaster[Custom],MATCH(TableOverallRank[[#This Row],[OVERALL PLAYER]],TableOverallMaster[OVERALL PLAYER],0)),"")</f>
        <v>120.33039587802907</v>
      </c>
      <c r="AT153" s="163">
        <f>IFERROR(INDEX(TableOverallMaster[VORP],MATCH(TableOverallRank[[#This Row],[OVERALL PLAYER]],TableOverallMaster[OVERALL PLAYER],0)),"")</f>
        <v>13.058045317601353</v>
      </c>
      <c r="AV153" s="58">
        <v>152</v>
      </c>
      <c r="AW153" s="164" t="str">
        <f>IFERROR(INDEX(TableWRTECalcPts[PLAYER],MATCH(TableWRTERank[[#This Row],[RK]],TableWRTECalcPts[RK],0)),"")</f>
        <v>Elijah Arroyo</v>
      </c>
      <c r="AX153" s="164" t="str">
        <f>IFERROR(INDEX(TableWRTECalcPts[POS RK],MATCH(TableWRTERank[[#This Row],[WR and TE COMBINED]],TableWRTECalcPts[PLAYER],0)),"")</f>
        <v>TE42</v>
      </c>
      <c r="AY153" s="164">
        <f>IFERROR(INDEX(TableWRTECalcPts[BYE],MATCH(TableWRTERank[[#This Row],[RK]],TableWRTECalcPts[RK],0)),"")</f>
        <v>11</v>
      </c>
      <c r="AZ153" s="165">
        <f>IFERROR(INDEX(TableWRTECalcPts[Custom],MATCH(TableWRTERank[[#This Row],[RK]],TableWRTECalcPts[RK],0)),"")</f>
        <v>41.558434084112932</v>
      </c>
      <c r="BA153" s="166">
        <f>IFERROR((TableWRTERank[[#This Row],[FPS]]-INDEX(TableWRTERank[FPS],MATCH(WRTEVORPCalc,TableWRTERank[RK],0))),"")</f>
        <v>-99.677937498178764</v>
      </c>
      <c r="BC153" s="58" t="s">
        <v>148</v>
      </c>
    </row>
    <row r="154" spans="8:55" x14ac:dyDescent="0.25">
      <c r="H154" s="58">
        <v>153</v>
      </c>
      <c r="I154" s="154" t="str">
        <f>IFERROR(INDEX(TableRBCalcPts[PLAYER],MATCH(TableRBVORP[[#This Row],[RK]],TableRBCalcPts[RK],0)),"")</f>
        <v/>
      </c>
      <c r="J154" s="154" t="str">
        <f>IFERROR(INDEX(TableRBCalcPts[TM],MATCH(TableRBVORP[[#This Row],[RK]],TableRBCalcPts[RK],0)),"")</f>
        <v/>
      </c>
      <c r="K154" s="154" t="str">
        <f>IFERROR(INDEX(TableRBCalcPts[BYE],MATCH(TableRBVORP[[#This Row],[RK]],TableRBCalcPts[RK],0)),"")</f>
        <v/>
      </c>
      <c r="L154" s="155" t="str">
        <f>IFERROR(INDEX(TableRBCalcPts[Custom],MATCH(TableRBVORP[[#This Row],[RK]],TableRBCalcPts[RK],0)),"")</f>
        <v/>
      </c>
      <c r="M154" s="156" t="e">
        <f>(IFERROR((TableRBVORP[[#This Row],[FPS]]-INDEX(TableRBVORP[FPS],MATCH(RBVORPCalc,TableRBVORP[RK],0))),""))*0.8</f>
        <v>#VALUE!</v>
      </c>
      <c r="O154" s="58">
        <v>153</v>
      </c>
      <c r="P154" s="154" t="str">
        <f>IFERROR(INDEX(TableWRCalcPts[PLAYER],MATCH(TableWRVORP[[#This Row],[RK]],TableWRCalcPts[RK],0)),"")</f>
        <v>Darius Cooper</v>
      </c>
      <c r="Q154" s="154" t="str">
        <f>IFERROR(INDEX(TableWRCalcPts[TM],MATCH(TableWRVORP[[#This Row],[RK]],TableWRCalcPts[RK],0)),"")</f>
        <v>PHI</v>
      </c>
      <c r="R154" s="154">
        <f>IFERROR(INDEX(TableWRCalcPts[BYE],MATCH(TableWRVORP[[#This Row],[RK]],TableWRCalcPts[RK],0)),"")</f>
        <v>10</v>
      </c>
      <c r="S154" s="155">
        <f>IFERROR(INDEX(TableWRCalcPts[Custom],MATCH(TableWRVORP[[#This Row],[RK]],TableWRCalcPts[RK],0)),"")</f>
        <v>8.0354077095599976</v>
      </c>
      <c r="T154" s="156">
        <f>(IFERROR((TableWRVORP[[#This Row],[FPS]]-INDEX(TableWRVORP[FPS],MATCH(WRVORPCalc,TableWRVORP[RK],0))),""))</f>
        <v>-82.248777680806057</v>
      </c>
      <c r="AF154" s="58" t="s">
        <v>148</v>
      </c>
      <c r="AG154" s="58">
        <v>13</v>
      </c>
      <c r="AH154" s="100">
        <f>RANK(TableOverallMaster[[#This Row],[VORP]],TableOverallMaster[VORP])+COUNTIF($AM$2:AM154,AM154)-1</f>
        <v>33</v>
      </c>
      <c r="AI154" s="157" t="str">
        <f>IFERROR(INDEX(TableWRVORP[WIDE RECEIVER],MATCH(TableOverallMaster[[#This Row],[RK]],TableWRVORP[RK],0)),"")</f>
        <v>Zay Flowers</v>
      </c>
      <c r="AJ154" s="157" t="str">
        <f t="shared" si="2"/>
        <v>WR13</v>
      </c>
      <c r="AK154" s="157">
        <f>IFERROR(INDEX(TableWRVORP[BYE],MATCH(TableOverallMaster[[#This Row],[RK]],TableWRVORP[RK],0)),"")</f>
        <v>13</v>
      </c>
      <c r="AL154" s="158">
        <f>IFERROR(INDEX(TableWRVORP[FPS],MATCH(TableOverallMaster[[#This Row],[RK]],TableWRVORP[RK],0)),"")</f>
        <v>204.82728652227939</v>
      </c>
      <c r="AM154" s="159">
        <f>IFERROR(INDEX(TableWRVORP[VORP],MATCH(TableOverallMaster[[#This Row],[RK]],TableWRVORP[RK],0)),"")</f>
        <v>114.54310113191333</v>
      </c>
      <c r="AO154" s="58">
        <v>153</v>
      </c>
      <c r="AP154" s="160" t="str">
        <f>IFERROR(INDEX(TableOverallMaster[OVERALL PLAYER],MATCH(TableOverallRank[[#This Row],[RK]],TableOverallMaster[OVR RK],0)),"")</f>
        <v>Jalen Nailor</v>
      </c>
      <c r="AQ154" s="161" t="str">
        <f>IFERROR(INDEX(TableOverallMaster[POS RK],MATCH(TableOverallRank[[#This Row],[OVERALL PLAYER]],TableOverallMaster[OVERALL PLAYER],0)),"")</f>
        <v>WR61</v>
      </c>
      <c r="AR154" s="162">
        <f>IFERROR(INDEX(TableOverallMaster[BYE],MATCH(TableOverallRank[[#This Row],[OVERALL PLAYER]],TableOverallMaster[OVERALL PLAYER],0)),"")</f>
        <v>13</v>
      </c>
      <c r="AS154" s="161">
        <f>IFERROR(INDEX(TableOverallMaster[Custom],MATCH(TableOverallRank[[#This Row],[OVERALL PLAYER]],TableOverallMaster[OVERALL PLAYER],0)),"")</f>
        <v>103.21973275557887</v>
      </c>
      <c r="AT154" s="163">
        <f>IFERROR(INDEX(TableOverallMaster[VORP],MATCH(TableOverallRank[[#This Row],[OVERALL PLAYER]],TableOverallMaster[OVERALL PLAYER],0)),"")</f>
        <v>12.935547365212813</v>
      </c>
      <c r="AV154" s="58">
        <v>153</v>
      </c>
      <c r="AW154" s="164" t="str">
        <f>IFERROR(INDEX(TableWRTECalcPts[PLAYER],MATCH(TableWRTERank[[#This Row],[RK]],TableWRTECalcPts[RK],0)),"")</f>
        <v>Tommy Tremble</v>
      </c>
      <c r="AX154" s="164" t="str">
        <f>IFERROR(INDEX(TableWRTECalcPts[POS RK],MATCH(TableWRTERank[[#This Row],[WR and TE COMBINED]],TableWRTECalcPts[PLAYER],0)),"")</f>
        <v>TE43</v>
      </c>
      <c r="AY154" s="164">
        <f>IFERROR(INDEX(TableWRTECalcPts[BYE],MATCH(TableWRTERank[[#This Row],[RK]],TableWRTECalcPts[RK],0)),"")</f>
        <v>5</v>
      </c>
      <c r="AZ154" s="165">
        <f>IFERROR(INDEX(TableWRTECalcPts[Custom],MATCH(TableWRTERank[[#This Row],[RK]],TableWRTECalcPts[RK],0)),"")</f>
        <v>41.058899402597987</v>
      </c>
      <c r="BA154" s="166">
        <f>IFERROR((TableWRTERank[[#This Row],[FPS]]-INDEX(TableWRTERank[FPS],MATCH(WRTEVORPCalc,TableWRTERank[RK],0))),"")</f>
        <v>-100.17747217969371</v>
      </c>
      <c r="BC154" s="58" t="s">
        <v>148</v>
      </c>
    </row>
    <row r="155" spans="8:55" x14ac:dyDescent="0.25">
      <c r="H155" s="58">
        <v>154</v>
      </c>
      <c r="I155" s="154" t="str">
        <f>IFERROR(INDEX(TableRBCalcPts[PLAYER],MATCH(TableRBVORP[[#This Row],[RK]],TableRBCalcPts[RK],0)),"")</f>
        <v/>
      </c>
      <c r="J155" s="154" t="str">
        <f>IFERROR(INDEX(TableRBCalcPts[TM],MATCH(TableRBVORP[[#This Row],[RK]],TableRBCalcPts[RK],0)),"")</f>
        <v/>
      </c>
      <c r="K155" s="154" t="str">
        <f>IFERROR(INDEX(TableRBCalcPts[BYE],MATCH(TableRBVORP[[#This Row],[RK]],TableRBCalcPts[RK],0)),"")</f>
        <v/>
      </c>
      <c r="L155" s="155" t="str">
        <f>IFERROR(INDEX(TableRBCalcPts[Custom],MATCH(TableRBVORP[[#This Row],[RK]],TableRBCalcPts[RK],0)),"")</f>
        <v/>
      </c>
      <c r="M155" s="156" t="e">
        <f>(IFERROR((TableRBVORP[[#This Row],[FPS]]-INDEX(TableRBVORP[FPS],MATCH(RBVORPCalc,TableRBVORP[RK],0))),""))*0.8</f>
        <v>#VALUE!</v>
      </c>
      <c r="O155" s="58">
        <v>154</v>
      </c>
      <c r="P155" s="154" t="str">
        <f>IFERROR(INDEX(TableWRCalcPts[PLAYER],MATCH(TableWRVORP[[#This Row],[RK]],TableWRCalcPts[RK],0)),"")</f>
        <v>Cedrick Wilson</v>
      </c>
      <c r="Q155" s="154" t="str">
        <f>IFERROR(INDEX(TableWRCalcPts[TM],MATCH(TableWRVORP[[#This Row],[RK]],TableWRCalcPts[RK],0)),"")</f>
        <v>DET</v>
      </c>
      <c r="R155" s="154">
        <f>IFERROR(INDEX(TableWRCalcPts[BYE],MATCH(TableWRVORP[[#This Row],[RK]],TableWRCalcPts[RK],0)),"")</f>
        <v>6</v>
      </c>
      <c r="S155" s="155">
        <f>IFERROR(INDEX(TableWRCalcPts[Custom],MATCH(TableWRVORP[[#This Row],[RK]],TableWRCalcPts[RK],0)),"")</f>
        <v>7.9979096735999979</v>
      </c>
      <c r="T155" s="156">
        <f>(IFERROR((TableWRVORP[[#This Row],[FPS]]-INDEX(TableWRVORP[FPS],MATCH(WRVORPCalc,TableWRVORP[RK],0))),""))</f>
        <v>-82.28627571676607</v>
      </c>
      <c r="AF155" s="58" t="s">
        <v>148</v>
      </c>
      <c r="AG155" s="58">
        <v>14</v>
      </c>
      <c r="AH155" s="100">
        <f>RANK(TableOverallMaster[[#This Row],[VORP]],TableOverallMaster[VORP])+COUNTIF($AM$2:AM155,AM155)-1</f>
        <v>35</v>
      </c>
      <c r="AI155" s="157" t="str">
        <f>IFERROR(INDEX(TableWRVORP[WIDE RECEIVER],MATCH(TableOverallMaster[[#This Row],[RK]],TableWRVORP[RK],0)),"")</f>
        <v>Jaylen Waddle</v>
      </c>
      <c r="AJ155" s="157" t="str">
        <f t="shared" si="2"/>
        <v>WR14</v>
      </c>
      <c r="AK155" s="157">
        <f>IFERROR(INDEX(TableWRVORP[BYE],MATCH(TableOverallMaster[[#This Row],[RK]],TableWRVORP[RK],0)),"")</f>
        <v>10</v>
      </c>
      <c r="AL155" s="158">
        <f>IFERROR(INDEX(TableWRVORP[FPS],MATCH(TableOverallMaster[[#This Row],[RK]],TableWRVORP[RK],0)),"")</f>
        <v>200.8042267743339</v>
      </c>
      <c r="AM155" s="159">
        <f>IFERROR(INDEX(TableWRVORP[VORP],MATCH(TableOverallMaster[[#This Row],[RK]],TableWRVORP[RK],0)),"")</f>
        <v>110.52004138396784</v>
      </c>
      <c r="AO155" s="58">
        <v>154</v>
      </c>
      <c r="AP155" s="160" t="str">
        <f>IFERROR(INDEX(TableOverallMaster[OVERALL PLAYER],MATCH(TableOverallRank[[#This Row],[RK]],TableOverallMaster[OVR RK],0)),"")</f>
        <v>Adonai Mitchell</v>
      </c>
      <c r="AQ155" s="161" t="str">
        <f>IFERROR(INDEX(TableOverallMaster[POS RK],MATCH(TableOverallRank[[#This Row],[OVERALL PLAYER]],TableOverallMaster[OVERALL PLAYER],0)),"")</f>
        <v>WR62</v>
      </c>
      <c r="AR155" s="162">
        <f>IFERROR(INDEX(TableOverallMaster[BYE],MATCH(TableOverallRank[[#This Row],[OVERALL PLAYER]],TableOverallMaster[OVERALL PLAYER],0)),"")</f>
        <v>13</v>
      </c>
      <c r="AS155" s="161">
        <f>IFERROR(INDEX(TableOverallMaster[Custom],MATCH(TableOverallRank[[#This Row],[OVERALL PLAYER]],TableOverallMaster[OVERALL PLAYER],0)),"")</f>
        <v>101.89531015054624</v>
      </c>
      <c r="AT155" s="163">
        <f>IFERROR(INDEX(TableOverallMaster[VORP],MATCH(TableOverallRank[[#This Row],[OVERALL PLAYER]],TableOverallMaster[OVERALL PLAYER],0)),"")</f>
        <v>11.611124760180175</v>
      </c>
      <c r="AV155" s="58">
        <v>154</v>
      </c>
      <c r="AW155" s="164" t="str">
        <f>IFERROR(INDEX(TableWRTECalcPts[PLAYER],MATCH(TableWRTERank[[#This Row],[RK]],TableWRTECalcPts[RK],0)),"")</f>
        <v>Theo Johnson</v>
      </c>
      <c r="AX155" s="164" t="str">
        <f>IFERROR(INDEX(TableWRTECalcPts[POS RK],MATCH(TableWRTERank[[#This Row],[WR and TE COMBINED]],TableWRTECalcPts[PLAYER],0)),"")</f>
        <v>TE44</v>
      </c>
      <c r="AY155" s="164">
        <f>IFERROR(INDEX(TableWRTECalcPts[BYE],MATCH(TableWRTERank[[#This Row],[RK]],TableWRTECalcPts[RK],0)),"")</f>
        <v>8</v>
      </c>
      <c r="AZ155" s="165">
        <f>IFERROR(INDEX(TableWRTECalcPts[Custom],MATCH(TableWRTERank[[#This Row],[RK]],TableWRTECalcPts[RK],0)),"")</f>
        <v>41.026183631433959</v>
      </c>
      <c r="BA155" s="166">
        <f>IFERROR((TableWRTERank[[#This Row],[FPS]]-INDEX(TableWRTERank[FPS],MATCH(WRTEVORPCalc,TableWRTERank[RK],0))),"")</f>
        <v>-100.21018795085774</v>
      </c>
      <c r="BC155" s="58" t="s">
        <v>148</v>
      </c>
    </row>
    <row r="156" spans="8:55" x14ac:dyDescent="0.25">
      <c r="H156" s="58">
        <v>155</v>
      </c>
      <c r="I156" s="154" t="str">
        <f>IFERROR(INDEX(TableRBCalcPts[PLAYER],MATCH(TableRBVORP[[#This Row],[RK]],TableRBCalcPts[RK],0)),"")</f>
        <v/>
      </c>
      <c r="J156" s="154" t="str">
        <f>IFERROR(INDEX(TableRBCalcPts[TM],MATCH(TableRBVORP[[#This Row],[RK]],TableRBCalcPts[RK],0)),"")</f>
        <v/>
      </c>
      <c r="K156" s="154" t="str">
        <f>IFERROR(INDEX(TableRBCalcPts[BYE],MATCH(TableRBVORP[[#This Row],[RK]],TableRBCalcPts[RK],0)),"")</f>
        <v/>
      </c>
      <c r="L156" s="155" t="str">
        <f>IFERROR(INDEX(TableRBCalcPts[Custom],MATCH(TableRBVORP[[#This Row],[RK]],TableRBCalcPts[RK],0)),"")</f>
        <v/>
      </c>
      <c r="M156" s="156" t="e">
        <f>(IFERROR((TableRBVORP[[#This Row],[FPS]]-INDEX(TableRBVORP[FPS],MATCH(RBVORPCalc,TableRBVORP[RK],0))),""))*0.8</f>
        <v>#VALUE!</v>
      </c>
      <c r="O156" s="58">
        <v>155</v>
      </c>
      <c r="P156" s="154" t="str">
        <f>IFERROR(INDEX(TableWRCalcPts[PLAYER],MATCH(TableWRVORP[[#This Row],[RK]],TableWRCalcPts[RK],0)),"")</f>
        <v>Bo Melton</v>
      </c>
      <c r="Q156" s="154" t="str">
        <f>IFERROR(INDEX(TableWRCalcPts[TM],MATCH(TableWRVORP[[#This Row],[RK]],TableWRCalcPts[RK],0)),"")</f>
        <v>GB</v>
      </c>
      <c r="R156" s="154">
        <f>IFERROR(INDEX(TableWRCalcPts[BYE],MATCH(TableWRVORP[[#This Row],[RK]],TableWRCalcPts[RK],0)),"")</f>
        <v>11</v>
      </c>
      <c r="S156" s="155">
        <f>IFERROR(INDEX(TableWRCalcPts[Custom],MATCH(TableWRVORP[[#This Row],[RK]],TableWRCalcPts[RK],0)),"")</f>
        <v>7.8853193424873274</v>
      </c>
      <c r="T156" s="156">
        <f>(IFERROR((TableWRVORP[[#This Row],[FPS]]-INDEX(TableWRVORP[FPS],MATCH(WRVORPCalc,TableWRVORP[RK],0))),""))</f>
        <v>-82.398866047878741</v>
      </c>
      <c r="AF156" s="58" t="s">
        <v>148</v>
      </c>
      <c r="AG156" s="58">
        <v>15</v>
      </c>
      <c r="AH156" s="100">
        <f>RANK(TableOverallMaster[[#This Row],[VORP]],TableOverallMaster[VORP])+COUNTIF($AM$2:AM156,AM156)-1</f>
        <v>36</v>
      </c>
      <c r="AI156" s="157" t="str">
        <f>IFERROR(INDEX(TableWRVORP[WIDE RECEIVER],MATCH(TableOverallMaster[[#This Row],[RK]],TableWRVORP[RK],0)),"")</f>
        <v>Terry McLaurin</v>
      </c>
      <c r="AJ156" s="157" t="str">
        <f t="shared" si="2"/>
        <v>WR15</v>
      </c>
      <c r="AK156" s="157">
        <f>IFERROR(INDEX(TableWRVORP[BYE],MATCH(TableOverallMaster[[#This Row],[RK]],TableWRVORP[RK],0)),"")</f>
        <v>7</v>
      </c>
      <c r="AL156" s="158">
        <f>IFERROR(INDEX(TableWRVORP[FPS],MATCH(TableOverallMaster[[#This Row],[RK]],TableWRVORP[RK],0)),"")</f>
        <v>200.39780956148348</v>
      </c>
      <c r="AM156" s="159">
        <f>IFERROR(INDEX(TableWRVORP[VORP],MATCH(TableOverallMaster[[#This Row],[RK]],TableWRVORP[RK],0)),"")</f>
        <v>110.11362417111742</v>
      </c>
      <c r="AO156" s="58">
        <v>155</v>
      </c>
      <c r="AP156" s="160" t="str">
        <f>IFERROR(INDEX(TableOverallMaster[OVERALL PLAYER],MATCH(TableOverallRank[[#This Row],[RK]],TableOverallMaster[OVR RK],0)),"")</f>
        <v>Aaron Rodgers</v>
      </c>
      <c r="AQ156" s="161" t="str">
        <f>IFERROR(INDEX(TableOverallMaster[POS RK],MATCH(TableOverallRank[[#This Row],[OVERALL PLAYER]],TableOverallMaster[OVERALL PLAYER],0)),"")</f>
        <v>QB27</v>
      </c>
      <c r="AR156" s="162">
        <f>IFERROR(INDEX(TableOverallMaster[BYE],MATCH(TableOverallRank[[#This Row],[OVERALL PLAYER]],TableOverallMaster[OVERALL PLAYER],0)),"")</f>
        <v>9</v>
      </c>
      <c r="AS156" s="161">
        <f>IFERROR(INDEX(TableOverallMaster[Custom],MATCH(TableOverallRank[[#This Row],[OVERALL PLAYER]],TableOverallMaster[OVERALL PLAYER],0)),"")</f>
        <v>321.29714883383383</v>
      </c>
      <c r="AT156" s="163">
        <f>IFERROR(INDEX(TableOverallMaster[VORP],MATCH(TableOverallRank[[#This Row],[OVERALL PLAYER]],TableOverallMaster[OVERALL PLAYER],0)),"")</f>
        <v>11.559906320580179</v>
      </c>
      <c r="AV156" s="58">
        <v>155</v>
      </c>
      <c r="AW156" s="164" t="str">
        <f>IFERROR(INDEX(TableWRTECalcPts[PLAYER],MATCH(TableWRTERank[[#This Row],[RK]],TableWRTECalcPts[RK],0)),"")</f>
        <v>Devontez Walker</v>
      </c>
      <c r="AX156" s="164" t="str">
        <f>IFERROR(INDEX(TableWRTECalcPts[POS RK],MATCH(TableWRTERank[[#This Row],[WR and TE COMBINED]],TableWRTECalcPts[PLAYER],0)),"")</f>
        <v>WR111</v>
      </c>
      <c r="AY156" s="164">
        <f>IFERROR(INDEX(TableWRTECalcPts[BYE],MATCH(TableWRTERank[[#This Row],[RK]],TableWRTECalcPts[RK],0)),"")</f>
        <v>13</v>
      </c>
      <c r="AZ156" s="165">
        <f>IFERROR(INDEX(TableWRTECalcPts[Custom],MATCH(TableWRTERank[[#This Row],[RK]],TableWRTECalcPts[RK],0)),"")</f>
        <v>40.708507950084538</v>
      </c>
      <c r="BA156" s="166">
        <f>IFERROR((TableWRTERank[[#This Row],[FPS]]-INDEX(TableWRTERank[FPS],MATCH(WRTEVORPCalc,TableWRTERank[RK],0))),"")</f>
        <v>-100.52786363220716</v>
      </c>
      <c r="BC156" s="58" t="s">
        <v>148</v>
      </c>
    </row>
    <row r="157" spans="8:55" x14ac:dyDescent="0.25">
      <c r="H157" s="58">
        <v>156</v>
      </c>
      <c r="I157" s="154" t="str">
        <f>IFERROR(INDEX(TableRBCalcPts[PLAYER],MATCH(TableRBVORP[[#This Row],[RK]],TableRBCalcPts[RK],0)),"")</f>
        <v/>
      </c>
      <c r="J157" s="154" t="str">
        <f>IFERROR(INDEX(TableRBCalcPts[TM],MATCH(TableRBVORP[[#This Row],[RK]],TableRBCalcPts[RK],0)),"")</f>
        <v/>
      </c>
      <c r="K157" s="154" t="str">
        <f>IFERROR(INDEX(TableRBCalcPts[BYE],MATCH(TableRBVORP[[#This Row],[RK]],TableRBCalcPts[RK],0)),"")</f>
        <v/>
      </c>
      <c r="L157" s="155" t="str">
        <f>IFERROR(INDEX(TableRBCalcPts[Custom],MATCH(TableRBVORP[[#This Row],[RK]],TableRBCalcPts[RK],0)),"")</f>
        <v/>
      </c>
      <c r="M157" s="156" t="e">
        <f>(IFERROR((TableRBVORP[[#This Row],[FPS]]-INDEX(TableRBVORP[FPS],MATCH(RBVORPCalc,TableRBVORP[RK],0))),""))*0.8</f>
        <v>#VALUE!</v>
      </c>
      <c r="O157" s="58">
        <v>156</v>
      </c>
      <c r="P157" s="154" t="str">
        <f>IFERROR(INDEX(TableWRCalcPts[PLAYER],MATCH(TableWRVORP[[#This Row],[RK]],TableWRCalcPts[RK],0)),"")</f>
        <v>Roman Wilson</v>
      </c>
      <c r="Q157" s="154" t="str">
        <f>IFERROR(INDEX(TableWRCalcPts[TM],MATCH(TableWRVORP[[#This Row],[RK]],TableWRCalcPts[RK],0)),"")</f>
        <v>PIT</v>
      </c>
      <c r="R157" s="154">
        <f>IFERROR(INDEX(TableWRCalcPts[BYE],MATCH(TableWRVORP[[#This Row],[RK]],TableWRCalcPts[RK],0)),"")</f>
        <v>9</v>
      </c>
      <c r="S157" s="155">
        <f>IFERROR(INDEX(TableWRCalcPts[Custom],MATCH(TableWRVORP[[#This Row],[RK]],TableWRCalcPts[RK],0)),"")</f>
        <v>7.8258581215897616</v>
      </c>
      <c r="T157" s="156">
        <f>(IFERROR((TableWRVORP[[#This Row],[FPS]]-INDEX(TableWRVORP[FPS],MATCH(WRVORPCalc,TableWRVORP[RK],0))),""))</f>
        <v>-82.458327268776301</v>
      </c>
      <c r="AF157" s="58" t="s">
        <v>148</v>
      </c>
      <c r="AG157" s="58">
        <v>16</v>
      </c>
      <c r="AH157" s="100">
        <f>RANK(TableOverallMaster[[#This Row],[VORP]],TableOverallMaster[VORP])+COUNTIF($AM$2:AM157,AM157)-1</f>
        <v>38</v>
      </c>
      <c r="AI157" s="157" t="str">
        <f>IFERROR(INDEX(TableWRVORP[WIDE RECEIVER],MATCH(TableOverallMaster[[#This Row],[RK]],TableWRVORP[RK],0)),"")</f>
        <v>DeVonta Smith</v>
      </c>
      <c r="AJ157" s="157" t="str">
        <f t="shared" si="2"/>
        <v>WR16</v>
      </c>
      <c r="AK157" s="157">
        <f>IFERROR(INDEX(TableWRVORP[BYE],MATCH(TableOverallMaster[[#This Row],[RK]],TableWRVORP[RK],0)),"")</f>
        <v>10</v>
      </c>
      <c r="AL157" s="158">
        <f>IFERROR(INDEX(TableWRVORP[FPS],MATCH(TableOverallMaster[[#This Row],[RK]],TableWRVORP[RK],0)),"")</f>
        <v>198.11700522987917</v>
      </c>
      <c r="AM157" s="159">
        <f>IFERROR(INDEX(TableWRVORP[VORP],MATCH(TableOverallMaster[[#This Row],[RK]],TableWRVORP[RK],0)),"")</f>
        <v>107.83281983951311</v>
      </c>
      <c r="AO157" s="58">
        <v>156</v>
      </c>
      <c r="AP157" s="160" t="str">
        <f>IFERROR(INDEX(TableOverallMaster[OVERALL PLAYER],MATCH(TableOverallRank[[#This Row],[RK]],TableOverallMaster[OVR RK],0)),"")</f>
        <v>Jack Bech</v>
      </c>
      <c r="AQ157" s="161" t="str">
        <f>IFERROR(INDEX(TableOverallMaster[POS RK],MATCH(TableOverallRank[[#This Row],[OVERALL PLAYER]],TableOverallMaster[OVERALL PLAYER],0)),"")</f>
        <v>WR63</v>
      </c>
      <c r="AR157" s="162">
        <f>IFERROR(INDEX(TableOverallMaster[BYE],MATCH(TableOverallRank[[#This Row],[OVERALL PLAYER]],TableOverallMaster[OVERALL PLAYER],0)),"")</f>
        <v>13</v>
      </c>
      <c r="AS157" s="161">
        <f>IFERROR(INDEX(TableOverallMaster[Custom],MATCH(TableOverallRank[[#This Row],[OVERALL PLAYER]],TableOverallMaster[OVERALL PLAYER],0)),"")</f>
        <v>101.30747732999711</v>
      </c>
      <c r="AT157" s="163">
        <f>IFERROR(INDEX(TableOverallMaster[VORP],MATCH(TableOverallRank[[#This Row],[OVERALL PLAYER]],TableOverallMaster[OVERALL PLAYER],0)),"")</f>
        <v>11.023291939631051</v>
      </c>
      <c r="AV157" s="58">
        <v>156</v>
      </c>
      <c r="AW157" s="164" t="str">
        <f>IFERROR(INDEX(TableWRTECalcPts[PLAYER],MATCH(TableWRTERank[[#This Row],[RK]],TableWRTECalcPts[RK],0)),"")</f>
        <v>Tory Horton</v>
      </c>
      <c r="AX157" s="164" t="str">
        <f>IFERROR(INDEX(TableWRTECalcPts[POS RK],MATCH(TableWRTERank[[#This Row],[WR and TE COMBINED]],TableWRTECalcPts[PLAYER],0)),"")</f>
        <v>WR112</v>
      </c>
      <c r="AY157" s="164">
        <f>IFERROR(INDEX(TableWRTECalcPts[BYE],MATCH(TableWRTERank[[#This Row],[RK]],TableWRTECalcPts[RK],0)),"")</f>
        <v>11</v>
      </c>
      <c r="AZ157" s="165">
        <f>IFERROR(INDEX(TableWRTECalcPts[Custom],MATCH(TableWRTERank[[#This Row],[RK]],TableWRTECalcPts[RK],0)),"")</f>
        <v>39.720708971919365</v>
      </c>
      <c r="BA157" s="166">
        <f>IFERROR((TableWRTERank[[#This Row],[FPS]]-INDEX(TableWRTERank[FPS],MATCH(WRTEVORPCalc,TableWRTERank[RK],0))),"")</f>
        <v>-101.51566261037233</v>
      </c>
      <c r="BC157" s="58" t="s">
        <v>148</v>
      </c>
    </row>
    <row r="158" spans="8:55" x14ac:dyDescent="0.25">
      <c r="H158" s="58">
        <v>157</v>
      </c>
      <c r="I158" s="154" t="str">
        <f>IFERROR(INDEX(TableRBCalcPts[PLAYER],MATCH(TableRBVORP[[#This Row],[RK]],TableRBCalcPts[RK],0)),"")</f>
        <v/>
      </c>
      <c r="J158" s="154" t="str">
        <f>IFERROR(INDEX(TableRBCalcPts[TM],MATCH(TableRBVORP[[#This Row],[RK]],TableRBCalcPts[RK],0)),"")</f>
        <v/>
      </c>
      <c r="K158" s="154" t="str">
        <f>IFERROR(INDEX(TableRBCalcPts[BYE],MATCH(TableRBVORP[[#This Row],[RK]],TableRBCalcPts[RK],0)),"")</f>
        <v/>
      </c>
      <c r="L158" s="155" t="str">
        <f>IFERROR(INDEX(TableRBCalcPts[Custom],MATCH(TableRBVORP[[#This Row],[RK]],TableRBCalcPts[RK],0)),"")</f>
        <v/>
      </c>
      <c r="M158" s="156" t="e">
        <f>(IFERROR((TableRBVORP[[#This Row],[FPS]]-INDEX(TableRBVORP[FPS],MATCH(RBVORPCalc,TableRBVORP[RK],0))),""))*0.8</f>
        <v>#VALUE!</v>
      </c>
      <c r="O158" s="58">
        <v>157</v>
      </c>
      <c r="P158" s="154" t="str">
        <f>IFERROR(INDEX(TableWRCalcPts[PLAYER],MATCH(TableWRVORP[[#This Row],[RK]],TableWRCalcPts[RK],0)),"")</f>
        <v>Reggie Virgil</v>
      </c>
      <c r="Q158" s="154" t="str">
        <f>IFERROR(INDEX(TableWRCalcPts[TM],MATCH(TableWRVORP[[#This Row],[RK]],TableWRCalcPts[RK],0)),"")</f>
        <v>ARI</v>
      </c>
      <c r="R158" s="154">
        <f>IFERROR(INDEX(TableWRCalcPts[BYE],MATCH(TableWRVORP[[#This Row],[RK]],TableWRCalcPts[RK],0)),"")</f>
        <v>14</v>
      </c>
      <c r="S158" s="155">
        <f>IFERROR(INDEX(TableWRCalcPts[Custom],MATCH(TableWRVORP[[#This Row],[RK]],TableWRCalcPts[RK],0)),"")</f>
        <v>7.6309495955056024</v>
      </c>
      <c r="T158" s="156">
        <f>(IFERROR((TableWRVORP[[#This Row],[FPS]]-INDEX(TableWRVORP[FPS],MATCH(WRVORPCalc,TableWRVORP[RK],0))),""))</f>
        <v>-82.653235794860464</v>
      </c>
      <c r="AF158" s="58" t="s">
        <v>148</v>
      </c>
      <c r="AG158" s="58">
        <v>17</v>
      </c>
      <c r="AH158" s="100">
        <f>RANK(TableOverallMaster[[#This Row],[VORP]],TableOverallMaster[VORP])+COUNTIF($AM$2:AM158,AM158)-1</f>
        <v>40</v>
      </c>
      <c r="AI158" s="157" t="str">
        <f>IFERROR(INDEX(TableWRVORP[WIDE RECEIVER],MATCH(TableOverallMaster[[#This Row],[RK]],TableWRVORP[RK],0)),"")</f>
        <v>Rashee Rice</v>
      </c>
      <c r="AJ158" s="157" t="str">
        <f t="shared" si="2"/>
        <v>WR17</v>
      </c>
      <c r="AK158" s="157">
        <f>IFERROR(INDEX(TableWRVORP[BYE],MATCH(TableOverallMaster[[#This Row],[RK]],TableWRVORP[RK],0)),"")</f>
        <v>5</v>
      </c>
      <c r="AL158" s="158">
        <f>IFERROR(INDEX(TableWRVORP[FPS],MATCH(TableOverallMaster[[#This Row],[RK]],TableWRVORP[RK],0)),"")</f>
        <v>197.06183681925825</v>
      </c>
      <c r="AM158" s="159">
        <f>IFERROR(INDEX(TableWRVORP[VORP],MATCH(TableOverallMaster[[#This Row],[RK]],TableWRVORP[RK],0)),"")</f>
        <v>106.77765142889218</v>
      </c>
      <c r="AO158" s="58">
        <v>157</v>
      </c>
      <c r="AP158" s="160" t="str">
        <f>IFERROR(INDEX(TableOverallMaster[OVERALL PLAYER],MATCH(TableOverallRank[[#This Row],[RK]],TableOverallMaster[OVR RK],0)),"")</f>
        <v>Andrei Iosivas</v>
      </c>
      <c r="AQ158" s="161" t="str">
        <f>IFERROR(INDEX(TableOverallMaster[POS RK],MATCH(TableOverallRank[[#This Row],[OVERALL PLAYER]],TableOverallMaster[OVERALL PLAYER],0)),"")</f>
        <v>WR64</v>
      </c>
      <c r="AR158" s="162">
        <f>IFERROR(INDEX(TableOverallMaster[BYE],MATCH(TableOverallRank[[#This Row],[OVERALL PLAYER]],TableOverallMaster[OVERALL PLAYER],0)),"")</f>
        <v>6</v>
      </c>
      <c r="AS158" s="161">
        <f>IFERROR(INDEX(TableOverallMaster[Custom],MATCH(TableOverallRank[[#This Row],[OVERALL PLAYER]],TableOverallMaster[OVERALL PLAYER],0)),"")</f>
        <v>101.18003586602683</v>
      </c>
      <c r="AT158" s="163">
        <f>IFERROR(INDEX(TableOverallMaster[VORP],MATCH(TableOverallRank[[#This Row],[OVERALL PLAYER]],TableOverallMaster[OVERALL PLAYER],0)),"")</f>
        <v>10.895850475660765</v>
      </c>
      <c r="AV158" s="58">
        <v>157</v>
      </c>
      <c r="AW158" s="164" t="str">
        <f>IFERROR(INDEX(TableWRTECalcPts[PLAYER],MATCH(TableWRTERank[[#This Row],[RK]],TableWRTECalcPts[RK],0)),"")</f>
        <v>Konata Mumpfield</v>
      </c>
      <c r="AX158" s="164" t="str">
        <f>IFERROR(INDEX(TableWRTECalcPts[POS RK],MATCH(TableWRTERank[[#This Row],[WR and TE COMBINED]],TableWRTECalcPts[PLAYER],0)),"")</f>
        <v>WR113</v>
      </c>
      <c r="AY158" s="164">
        <f>IFERROR(INDEX(TableWRTECalcPts[BYE],MATCH(TableWRTERank[[#This Row],[RK]],TableWRTECalcPts[RK],0)),"")</f>
        <v>11</v>
      </c>
      <c r="AZ158" s="165">
        <f>IFERROR(INDEX(TableWRTECalcPts[Custom],MATCH(TableWRTERank[[#This Row],[RK]],TableWRTECalcPts[RK],0)),"")</f>
        <v>39.670482529071322</v>
      </c>
      <c r="BA158" s="166">
        <f>IFERROR((TableWRTERank[[#This Row],[FPS]]-INDEX(TableWRTERank[FPS],MATCH(WRTEVORPCalc,TableWRTERank[RK],0))),"")</f>
        <v>-101.56588905322037</v>
      </c>
      <c r="BC158" s="58" t="s">
        <v>148</v>
      </c>
    </row>
    <row r="159" spans="8:55" x14ac:dyDescent="0.25">
      <c r="H159" s="58">
        <v>158</v>
      </c>
      <c r="I159" s="154" t="str">
        <f>IFERROR(INDEX(TableRBCalcPts[PLAYER],MATCH(TableRBVORP[[#This Row],[RK]],TableRBCalcPts[RK],0)),"")</f>
        <v/>
      </c>
      <c r="J159" s="154" t="str">
        <f>IFERROR(INDEX(TableRBCalcPts[TM],MATCH(TableRBVORP[[#This Row],[RK]],TableRBCalcPts[RK],0)),"")</f>
        <v/>
      </c>
      <c r="K159" s="154" t="str">
        <f>IFERROR(INDEX(TableRBCalcPts[BYE],MATCH(TableRBVORP[[#This Row],[RK]],TableRBCalcPts[RK],0)),"")</f>
        <v/>
      </c>
      <c r="L159" s="155" t="str">
        <f>IFERROR(INDEX(TableRBCalcPts[Custom],MATCH(TableRBVORP[[#This Row],[RK]],TableRBCalcPts[RK],0)),"")</f>
        <v/>
      </c>
      <c r="M159" s="156" t="e">
        <f>(IFERROR((TableRBVORP[[#This Row],[FPS]]-INDEX(TableRBVORP[FPS],MATCH(RBVORPCalc,TableRBVORP[RK],0))),""))*0.8</f>
        <v>#VALUE!</v>
      </c>
      <c r="O159" s="58">
        <v>158</v>
      </c>
      <c r="P159" s="154" t="str">
        <f>IFERROR(INDEX(TableWRCalcPts[PLAYER],MATCH(TableWRVORP[[#This Row],[RK]],TableWRCalcPts[RK],0)),"")</f>
        <v>Marquez Valdes-Scantling</v>
      </c>
      <c r="Q159" s="154" t="str">
        <f>IFERROR(INDEX(TableWRCalcPts[TM],MATCH(TableWRVORP[[#This Row],[RK]],TableWRCalcPts[RK],0)),"")</f>
        <v>DAL</v>
      </c>
      <c r="R159" s="154">
        <f>IFERROR(INDEX(TableWRCalcPts[BYE],MATCH(TableWRVORP[[#This Row],[RK]],TableWRCalcPts[RK],0)),"")</f>
        <v>14</v>
      </c>
      <c r="S159" s="155">
        <f>IFERROR(INDEX(TableWRCalcPts[Custom],MATCH(TableWRVORP[[#This Row],[RK]],TableWRCalcPts[RK],0)),"")</f>
        <v>7.5520263973000006</v>
      </c>
      <c r="T159" s="156">
        <f>(IFERROR((TableWRVORP[[#This Row],[FPS]]-INDEX(TableWRVORP[FPS],MATCH(WRVORPCalc,TableWRVORP[RK],0))),""))</f>
        <v>-82.732158993066065</v>
      </c>
      <c r="AF159" s="58" t="s">
        <v>148</v>
      </c>
      <c r="AG159" s="58">
        <v>18</v>
      </c>
      <c r="AH159" s="100">
        <f>RANK(TableOverallMaster[[#This Row],[VORP]],TableOverallMaster[VORP])+COUNTIF($AM$2:AM159,AM159)-1</f>
        <v>41</v>
      </c>
      <c r="AI159" s="157" t="str">
        <f>IFERROR(INDEX(TableWRVORP[WIDE RECEIVER],MATCH(TableOverallMaster[[#This Row],[RK]],TableWRVORP[RK],0)),"")</f>
        <v>Ladd McConkey</v>
      </c>
      <c r="AJ159" s="157" t="str">
        <f t="shared" si="2"/>
        <v>WR18</v>
      </c>
      <c r="AK159" s="157">
        <f>IFERROR(INDEX(TableWRVORP[BYE],MATCH(TableOverallMaster[[#This Row],[RK]],TableWRVORP[RK],0)),"")</f>
        <v>7</v>
      </c>
      <c r="AL159" s="158">
        <f>IFERROR(INDEX(TableWRVORP[FPS],MATCH(TableOverallMaster[[#This Row],[RK]],TableWRVORP[RK],0)),"")</f>
        <v>196.40430309354878</v>
      </c>
      <c r="AM159" s="159">
        <f>IFERROR(INDEX(TableWRVORP[VORP],MATCH(TableOverallMaster[[#This Row],[RK]],TableWRVORP[RK],0)),"")</f>
        <v>106.12011770318271</v>
      </c>
      <c r="AO159" s="58">
        <v>158</v>
      </c>
      <c r="AP159" s="160" t="str">
        <f>IFERROR(INDEX(TableOverallMaster[OVERALL PLAYER],MATCH(TableOverallRank[[#This Row],[RK]],TableOverallMaster[OVR RK],0)),"")</f>
        <v>Cade Otton</v>
      </c>
      <c r="AQ159" s="161" t="str">
        <f>IFERROR(INDEX(TableOverallMaster[POS RK],MATCH(TableOverallRank[[#This Row],[OVERALL PLAYER]],TableOverallMaster[OVERALL PLAYER],0)),"")</f>
        <v>TE26</v>
      </c>
      <c r="AR159" s="162">
        <f>IFERROR(INDEX(TableOverallMaster[BYE],MATCH(TableOverallRank[[#This Row],[OVERALL PLAYER]],TableOverallMaster[OVERALL PLAYER],0)),"")</f>
        <v>10</v>
      </c>
      <c r="AS159" s="161">
        <f>IFERROR(INDEX(TableOverallMaster[Custom],MATCH(TableOverallRank[[#This Row],[OVERALL PLAYER]],TableOverallMaster[OVERALL PLAYER],0)),"")</f>
        <v>87.892710735944519</v>
      </c>
      <c r="AT159" s="163">
        <f>IFERROR(INDEX(TableOverallMaster[VORP],MATCH(TableOverallRank[[#This Row],[OVERALL PLAYER]],TableOverallMaster[OVERALL PLAYER],0)),"")</f>
        <v>10.006916759702833</v>
      </c>
      <c r="AV159" s="58">
        <v>158</v>
      </c>
      <c r="AW159" s="164" t="str">
        <f>IFERROR(INDEX(TableWRTECalcPts[PLAYER],MATCH(TableWRTERank[[#This Row],[RK]],TableWRTECalcPts[RK],0)),"")</f>
        <v>Treylon Burks</v>
      </c>
      <c r="AX159" s="164" t="str">
        <f>IFERROR(INDEX(TableWRTECalcPts[POS RK],MATCH(TableWRTERank[[#This Row],[WR and TE COMBINED]],TableWRTECalcPts[PLAYER],0)),"")</f>
        <v>WR114</v>
      </c>
      <c r="AY159" s="164">
        <f>IFERROR(INDEX(TableWRTECalcPts[BYE],MATCH(TableWRTERank[[#This Row],[RK]],TableWRTECalcPts[RK],0)),"")</f>
        <v>7</v>
      </c>
      <c r="AZ159" s="165">
        <f>IFERROR(INDEX(TableWRTECalcPts[Custom],MATCH(TableWRTERank[[#This Row],[RK]],TableWRTECalcPts[RK],0)),"")</f>
        <v>39.492766813743984</v>
      </c>
      <c r="BA159" s="166">
        <f>IFERROR((TableWRTERank[[#This Row],[FPS]]-INDEX(TableWRTERank[FPS],MATCH(WRTEVORPCalc,TableWRTERank[RK],0))),"")</f>
        <v>-101.74360476854771</v>
      </c>
      <c r="BC159" s="58" t="s">
        <v>148</v>
      </c>
    </row>
    <row r="160" spans="8:55" x14ac:dyDescent="0.25">
      <c r="H160" s="58">
        <v>159</v>
      </c>
      <c r="I160" s="154" t="str">
        <f>IFERROR(INDEX(TableRBCalcPts[PLAYER],MATCH(TableRBVORP[[#This Row],[RK]],TableRBCalcPts[RK],0)),"")</f>
        <v/>
      </c>
      <c r="J160" s="154" t="str">
        <f>IFERROR(INDEX(TableRBCalcPts[TM],MATCH(TableRBVORP[[#This Row],[RK]],TableRBCalcPts[RK],0)),"")</f>
        <v/>
      </c>
      <c r="K160" s="154" t="str">
        <f>IFERROR(INDEX(TableRBCalcPts[BYE],MATCH(TableRBVORP[[#This Row],[RK]],TableRBCalcPts[RK],0)),"")</f>
        <v/>
      </c>
      <c r="L160" s="155" t="str">
        <f>IFERROR(INDEX(TableRBCalcPts[Custom],MATCH(TableRBVORP[[#This Row],[RK]],TableRBCalcPts[RK],0)),"")</f>
        <v/>
      </c>
      <c r="M160" s="156" t="e">
        <f>(IFERROR((TableRBVORP[[#This Row],[FPS]]-INDEX(TableRBVORP[FPS],MATCH(RBVORPCalc,TableRBVORP[RK],0))),""))*0.8</f>
        <v>#VALUE!</v>
      </c>
      <c r="O160" s="58">
        <v>159</v>
      </c>
      <c r="P160" s="154" t="str">
        <f>IFERROR(INDEX(TableWRCalcPts[PLAYER],MATCH(TableWRVORP[[#This Row],[RK]],TableWRCalcPts[RK],0)),"")</f>
        <v>Casey Washington</v>
      </c>
      <c r="Q160" s="154" t="str">
        <f>IFERROR(INDEX(TableWRCalcPts[TM],MATCH(TableWRVORP[[#This Row],[RK]],TableWRCalcPts[RK],0)),"")</f>
        <v>ATL</v>
      </c>
      <c r="R160" s="154">
        <f>IFERROR(INDEX(TableWRCalcPts[BYE],MATCH(TableWRVORP[[#This Row],[RK]],TableWRCalcPts[RK],0)),"")</f>
        <v>11</v>
      </c>
      <c r="S160" s="155">
        <f>IFERROR(INDEX(TableWRCalcPts[Custom],MATCH(TableWRVORP[[#This Row],[RK]],TableWRCalcPts[RK],0)),"")</f>
        <v>7.5085715524680019</v>
      </c>
      <c r="T160" s="156">
        <f>(IFERROR((TableWRVORP[[#This Row],[FPS]]-INDEX(TableWRVORP[FPS],MATCH(WRVORPCalc,TableWRVORP[RK],0))),""))</f>
        <v>-82.775613837898064</v>
      </c>
      <c r="AF160" s="58" t="s">
        <v>148</v>
      </c>
      <c r="AG160" s="58">
        <v>19</v>
      </c>
      <c r="AH160" s="100">
        <f>RANK(TableOverallMaster[[#This Row],[VORP]],TableOverallMaster[VORP])+COUNTIF($AM$2:AM160,AM160)-1</f>
        <v>48</v>
      </c>
      <c r="AI160" s="157" t="str">
        <f>IFERROR(INDEX(TableWRVORP[WIDE RECEIVER],MATCH(TableOverallMaster[[#This Row],[RK]],TableWRVORP[RK],0)),"")</f>
        <v>Chris Olave</v>
      </c>
      <c r="AJ160" s="157" t="str">
        <f t="shared" si="2"/>
        <v>WR19</v>
      </c>
      <c r="AK160" s="157">
        <f>IFERROR(INDEX(TableWRVORP[BYE],MATCH(TableOverallMaster[[#This Row],[RK]],TableWRVORP[RK],0)),"")</f>
        <v>8</v>
      </c>
      <c r="AL160" s="158">
        <f>IFERROR(INDEX(TableWRVORP[FPS],MATCH(TableOverallMaster[[#This Row],[RK]],TableWRVORP[RK],0)),"")</f>
        <v>193.42620577280005</v>
      </c>
      <c r="AM160" s="159">
        <f>IFERROR(INDEX(TableWRVORP[VORP],MATCH(TableOverallMaster[[#This Row],[RK]],TableWRVORP[RK],0)),"")</f>
        <v>103.14202038243398</v>
      </c>
      <c r="AO160" s="58">
        <v>159</v>
      </c>
      <c r="AP160" s="160" t="str">
        <f>IFERROR(INDEX(TableOverallMaster[OVERALL PLAYER],MATCH(TableOverallRank[[#This Row],[RK]],TableOverallMaster[OVR RK],0)),"")</f>
        <v>Denzel Boston</v>
      </c>
      <c r="AQ160" s="161" t="str">
        <f>IFERROR(INDEX(TableOverallMaster[POS RK],MATCH(TableOverallRank[[#This Row],[OVERALL PLAYER]],TableOverallMaster[OVERALL PLAYER],0)),"")</f>
        <v>WR65</v>
      </c>
      <c r="AR160" s="162">
        <f>IFERROR(INDEX(TableOverallMaster[BYE],MATCH(TableOverallRank[[#This Row],[OVERALL PLAYER]],TableOverallMaster[OVERALL PLAYER],0)),"")</f>
        <v>11</v>
      </c>
      <c r="AS160" s="161">
        <f>IFERROR(INDEX(TableOverallMaster[Custom],MATCH(TableOverallRank[[#This Row],[OVERALL PLAYER]],TableOverallMaster[OVERALL PLAYER],0)),"")</f>
        <v>100.10786563008</v>
      </c>
      <c r="AT160" s="163">
        <f>IFERROR(INDEX(TableOverallMaster[VORP],MATCH(TableOverallRank[[#This Row],[OVERALL PLAYER]],TableOverallMaster[OVERALL PLAYER],0)),"")</f>
        <v>9.8236802397139371</v>
      </c>
      <c r="AV160" s="58">
        <v>159</v>
      </c>
      <c r="AW160" s="164" t="str">
        <f>IFERROR(INDEX(TableWRTECalcPts[PLAYER],MATCH(TableWRTERank[[#This Row],[RK]],TableWRTECalcPts[RK],0)),"")</f>
        <v>DeMario Douglas</v>
      </c>
      <c r="AX160" s="164" t="str">
        <f>IFERROR(INDEX(TableWRTECalcPts[POS RK],MATCH(TableWRTERank[[#This Row],[WR and TE COMBINED]],TableWRTECalcPts[PLAYER],0)),"")</f>
        <v>WR115</v>
      </c>
      <c r="AY160" s="164">
        <f>IFERROR(INDEX(TableWRTECalcPts[BYE],MATCH(TableWRTERank[[#This Row],[RK]],TableWRTECalcPts[RK],0)),"")</f>
        <v>11</v>
      </c>
      <c r="AZ160" s="165">
        <f>IFERROR(INDEX(TableWRTECalcPts[Custom],MATCH(TableWRTERank[[#This Row],[RK]],TableWRTECalcPts[RK],0)),"")</f>
        <v>39.490949945018883</v>
      </c>
      <c r="BA160" s="166">
        <f>IFERROR((TableWRTERank[[#This Row],[FPS]]-INDEX(TableWRTERank[FPS],MATCH(WRTEVORPCalc,TableWRTERank[RK],0))),"")</f>
        <v>-101.74542163727281</v>
      </c>
      <c r="BC160" s="58" t="s">
        <v>148</v>
      </c>
    </row>
    <row r="161" spans="8:55" x14ac:dyDescent="0.25">
      <c r="H161" s="58">
        <v>160</v>
      </c>
      <c r="I161" s="154" t="str">
        <f>IFERROR(INDEX(TableRBCalcPts[PLAYER],MATCH(TableRBVORP[[#This Row],[RK]],TableRBCalcPts[RK],0)),"")</f>
        <v/>
      </c>
      <c r="J161" s="154" t="str">
        <f>IFERROR(INDEX(TableRBCalcPts[TM],MATCH(TableRBVORP[[#This Row],[RK]],TableRBCalcPts[RK],0)),"")</f>
        <v/>
      </c>
      <c r="K161" s="154" t="str">
        <f>IFERROR(INDEX(TableRBCalcPts[BYE],MATCH(TableRBVORP[[#This Row],[RK]],TableRBCalcPts[RK],0)),"")</f>
        <v/>
      </c>
      <c r="L161" s="155" t="str">
        <f>IFERROR(INDEX(TableRBCalcPts[Custom],MATCH(TableRBVORP[[#This Row],[RK]],TableRBCalcPts[RK],0)),"")</f>
        <v/>
      </c>
      <c r="M161" s="156" t="e">
        <f>(IFERROR((TableRBVORP[[#This Row],[FPS]]-INDEX(TableRBVORP[FPS],MATCH(RBVORPCalc,TableRBVORP[RK],0))),""))*0.8</f>
        <v>#VALUE!</v>
      </c>
      <c r="O161" s="58">
        <v>160</v>
      </c>
      <c r="P161" s="154" t="str">
        <f>IFERROR(INDEX(TableWRCalcPts[PLAYER],MATCH(TableWRVORP[[#This Row],[RK]],TableWRCalcPts[RK],0)),"")</f>
        <v>Jahdae Walker</v>
      </c>
      <c r="Q161" s="154" t="str">
        <f>IFERROR(INDEX(TableWRCalcPts[TM],MATCH(TableWRVORP[[#This Row],[RK]],TableWRCalcPts[RK],0)),"")</f>
        <v>CHI</v>
      </c>
      <c r="R161" s="154">
        <f>IFERROR(INDEX(TableWRCalcPts[BYE],MATCH(TableWRVORP[[#This Row],[RK]],TableWRCalcPts[RK],0)),"")</f>
        <v>10</v>
      </c>
      <c r="S161" s="155">
        <f>IFERROR(INDEX(TableWRCalcPts[Custom],MATCH(TableWRVORP[[#This Row],[RK]],TableWRCalcPts[RK],0)),"")</f>
        <v>7.3437099440049272</v>
      </c>
      <c r="T161" s="156">
        <f>(IFERROR((TableWRVORP[[#This Row],[FPS]]-INDEX(TableWRVORP[FPS],MATCH(WRVORPCalc,TableWRVORP[RK],0))),""))</f>
        <v>-82.940475446361134</v>
      </c>
      <c r="AF161" s="58" t="s">
        <v>148</v>
      </c>
      <c r="AG161" s="58">
        <v>20</v>
      </c>
      <c r="AH161" s="100">
        <f>RANK(TableOverallMaster[[#This Row],[VORP]],TableOverallMaster[VORP])+COUNTIF($AM$2:AM161,AM161)-1</f>
        <v>49</v>
      </c>
      <c r="AI161" s="157" t="str">
        <f>IFERROR(INDEX(TableWRVORP[WIDE RECEIVER],MATCH(TableOverallMaster[[#This Row],[RK]],TableWRVORP[RK],0)),"")</f>
        <v>Mike Evans</v>
      </c>
      <c r="AJ161" s="157" t="str">
        <f t="shared" si="2"/>
        <v>WR20</v>
      </c>
      <c r="AK161" s="157">
        <f>IFERROR(INDEX(TableWRVORP[BYE],MATCH(TableOverallMaster[[#This Row],[RK]],TableWRVORP[RK],0)),"")</f>
        <v>8</v>
      </c>
      <c r="AL161" s="158">
        <f>IFERROR(INDEX(TableWRVORP[FPS],MATCH(TableOverallMaster[[#This Row],[RK]],TableWRVORP[RK],0)),"")</f>
        <v>192.40786039577091</v>
      </c>
      <c r="AM161" s="159">
        <f>IFERROR(INDEX(TableWRVORP[VORP],MATCH(TableOverallMaster[[#This Row],[RK]],TableWRVORP[RK],0)),"")</f>
        <v>102.12367500540485</v>
      </c>
      <c r="AO161" s="58">
        <v>160</v>
      </c>
      <c r="AP161" s="160" t="str">
        <f>IFERROR(INDEX(TableOverallMaster[OVERALL PLAYER],MATCH(TableOverallRank[[#This Row],[RK]],TableOverallMaster[OVR RK],0)),"")</f>
        <v>Mike Gesicki</v>
      </c>
      <c r="AQ161" s="161" t="str">
        <f>IFERROR(INDEX(TableOverallMaster[POS RK],MATCH(TableOverallRank[[#This Row],[OVERALL PLAYER]],TableOverallMaster[OVERALL PLAYER],0)),"")</f>
        <v>TE27</v>
      </c>
      <c r="AR161" s="162">
        <f>IFERROR(INDEX(TableOverallMaster[BYE],MATCH(TableOverallRank[[#This Row],[OVERALL PLAYER]],TableOverallMaster[OVERALL PLAYER],0)),"")</f>
        <v>6</v>
      </c>
      <c r="AS161" s="161">
        <f>IFERROR(INDEX(TableOverallMaster[Custom],MATCH(TableOverallRank[[#This Row],[OVERALL PLAYER]],TableOverallMaster[OVERALL PLAYER],0)),"")</f>
        <v>87.626855526529326</v>
      </c>
      <c r="AT161" s="163">
        <f>IFERROR(INDEX(TableOverallMaster[VORP],MATCH(TableOverallRank[[#This Row],[OVERALL PLAYER]],TableOverallMaster[OVERALL PLAYER],0)),"")</f>
        <v>9.7410615502876396</v>
      </c>
      <c r="AV161" s="58">
        <v>160</v>
      </c>
      <c r="AW161" s="164" t="str">
        <f>IFERROR(INDEX(TableWRTECalcPts[PLAYER],MATCH(TableWRTERank[[#This Row],[RK]],TableWRTECalcPts[RK],0)),"")</f>
        <v>Christian Kirk</v>
      </c>
      <c r="AX161" s="164" t="str">
        <f>IFERROR(INDEX(TableWRTECalcPts[POS RK],MATCH(TableWRTERank[[#This Row],[WR and TE COMBINED]],TableWRTECalcPts[PLAYER],0)),"")</f>
        <v>WR116</v>
      </c>
      <c r="AY161" s="164">
        <f>IFERROR(INDEX(TableWRTECalcPts[BYE],MATCH(TableWRTERank[[#This Row],[RK]],TableWRTECalcPts[RK],0)),"")</f>
        <v>8</v>
      </c>
      <c r="AZ161" s="165">
        <f>IFERROR(INDEX(TableWRTECalcPts[Custom],MATCH(TableWRTERank[[#This Row],[RK]],TableWRTECalcPts[RK],0)),"")</f>
        <v>38.671375046540604</v>
      </c>
      <c r="BA161" s="166">
        <f>IFERROR((TableWRTERank[[#This Row],[FPS]]-INDEX(TableWRTERank[FPS],MATCH(WRTEVORPCalc,TableWRTERank[RK],0))),"")</f>
        <v>-102.56499653575109</v>
      </c>
      <c r="BC161" s="58" t="s">
        <v>148</v>
      </c>
    </row>
    <row r="162" spans="8:55" x14ac:dyDescent="0.25">
      <c r="H162" s="58">
        <v>161</v>
      </c>
      <c r="I162" s="154" t="str">
        <f>IFERROR(INDEX(TableRBCalcPts[PLAYER],MATCH(TableRBVORP[[#This Row],[RK]],TableRBCalcPts[RK],0)),"")</f>
        <v/>
      </c>
      <c r="J162" s="154" t="str">
        <f>IFERROR(INDEX(TableRBCalcPts[TM],MATCH(TableRBVORP[[#This Row],[RK]],TableRBCalcPts[RK],0)),"")</f>
        <v/>
      </c>
      <c r="K162" s="154" t="str">
        <f>IFERROR(INDEX(TableRBCalcPts[BYE],MATCH(TableRBVORP[[#This Row],[RK]],TableRBCalcPts[RK],0)),"")</f>
        <v/>
      </c>
      <c r="L162" s="155" t="str">
        <f>IFERROR(INDEX(TableRBCalcPts[Custom],MATCH(TableRBVORP[[#This Row],[RK]],TableRBCalcPts[RK],0)),"")</f>
        <v/>
      </c>
      <c r="M162" s="156" t="e">
        <f>(IFERROR((TableRBVORP[[#This Row],[FPS]]-INDEX(TableRBVORP[FPS],MATCH(RBVORPCalc,TableRBVORP[RK],0))),""))*0.8</f>
        <v>#VALUE!</v>
      </c>
      <c r="O162" s="58">
        <v>161</v>
      </c>
      <c r="P162" s="154" t="str">
        <f>IFERROR(INDEX(TableWRCalcPts[PLAYER],MATCH(TableWRVORP[[#This Row],[RK]],TableWRCalcPts[RK],0)),"")</f>
        <v>Jake Bobo</v>
      </c>
      <c r="Q162" s="154" t="str">
        <f>IFERROR(INDEX(TableWRCalcPts[TM],MATCH(TableWRVORP[[#This Row],[RK]],TableWRCalcPts[RK],0)),"")</f>
        <v>SEA</v>
      </c>
      <c r="R162" s="154">
        <f>IFERROR(INDEX(TableWRCalcPts[BYE],MATCH(TableWRVORP[[#This Row],[RK]],TableWRCalcPts[RK],0)),"")</f>
        <v>11</v>
      </c>
      <c r="S162" s="155">
        <f>IFERROR(INDEX(TableWRCalcPts[Custom],MATCH(TableWRVORP[[#This Row],[RK]],TableWRCalcPts[RK],0)),"")</f>
        <v>7.1671548843720014</v>
      </c>
      <c r="T162" s="156">
        <f>(IFERROR((TableWRVORP[[#This Row],[FPS]]-INDEX(TableWRVORP[FPS],MATCH(WRVORPCalc,TableWRVORP[RK],0))),""))</f>
        <v>-83.117030505994066</v>
      </c>
      <c r="AF162" s="58" t="s">
        <v>148</v>
      </c>
      <c r="AG162" s="58">
        <v>21</v>
      </c>
      <c r="AH162" s="100">
        <f>RANK(TableOverallMaster[[#This Row],[VORP]],TableOverallMaster[VORP])+COUNTIF($AM$2:AM162,AM162)-1</f>
        <v>50</v>
      </c>
      <c r="AI162" s="157" t="str">
        <f>IFERROR(INDEX(TableWRVORP[WIDE RECEIVER],MATCH(TableOverallMaster[[#This Row],[RK]],TableWRVORP[RK],0)),"")</f>
        <v>Luther Burden</v>
      </c>
      <c r="AJ162" s="157" t="str">
        <f t="shared" si="2"/>
        <v>WR21</v>
      </c>
      <c r="AK162" s="157">
        <f>IFERROR(INDEX(TableWRVORP[BYE],MATCH(TableOverallMaster[[#This Row],[RK]],TableWRVORP[RK],0)),"")</f>
        <v>10</v>
      </c>
      <c r="AL162" s="158">
        <f>IFERROR(INDEX(TableWRVORP[FPS],MATCH(TableOverallMaster[[#This Row],[RK]],TableWRVORP[RK],0)),"")</f>
        <v>192.08515296732605</v>
      </c>
      <c r="AM162" s="159">
        <f>IFERROR(INDEX(TableWRVORP[VORP],MATCH(TableOverallMaster[[#This Row],[RK]],TableWRVORP[RK],0)),"")</f>
        <v>101.80096757695999</v>
      </c>
      <c r="AO162" s="58">
        <v>161</v>
      </c>
      <c r="AP162" s="160" t="str">
        <f>IFERROR(INDEX(TableOverallMaster[OVERALL PLAYER],MATCH(TableOverallRank[[#This Row],[RK]],TableOverallMaster[OVR RK],0)),"")</f>
        <v>KC Concepcion</v>
      </c>
      <c r="AQ162" s="161" t="str">
        <f>IFERROR(INDEX(TableOverallMaster[POS RK],MATCH(TableOverallRank[[#This Row],[OVERALL PLAYER]],TableOverallMaster[OVERALL PLAYER],0)),"")</f>
        <v>WR66</v>
      </c>
      <c r="AR162" s="162">
        <f>IFERROR(INDEX(TableOverallMaster[BYE],MATCH(TableOverallRank[[#This Row],[OVERALL PLAYER]],TableOverallMaster[OVERALL PLAYER],0)),"")</f>
        <v>11</v>
      </c>
      <c r="AS162" s="161">
        <f>IFERROR(INDEX(TableOverallMaster[Custom],MATCH(TableOverallRank[[#This Row],[OVERALL PLAYER]],TableOverallMaster[OVERALL PLAYER],0)),"")</f>
        <v>99.98152645746832</v>
      </c>
      <c r="AT162" s="163">
        <f>IFERROR(INDEX(TableOverallMaster[VORP],MATCH(TableOverallRank[[#This Row],[OVERALL PLAYER]],TableOverallMaster[OVERALL PLAYER],0)),"")</f>
        <v>9.6973410671022577</v>
      </c>
      <c r="AV162" s="58">
        <v>161</v>
      </c>
      <c r="AW162" s="164" t="str">
        <f>IFERROR(INDEX(TableWRTECalcPts[PLAYER],MATCH(TableWRTERank[[#This Row],[RK]],TableWRTECalcPts[RK],0)),"")</f>
        <v>Joshua Palmer</v>
      </c>
      <c r="AX162" s="164" t="str">
        <f>IFERROR(INDEX(TableWRTECalcPts[POS RK],MATCH(TableWRTERank[[#This Row],[WR and TE COMBINED]],TableWRTECalcPts[PLAYER],0)),"")</f>
        <v>WR117</v>
      </c>
      <c r="AY162" s="164">
        <f>IFERROR(INDEX(TableWRTECalcPts[BYE],MATCH(TableWRTERank[[#This Row],[RK]],TableWRTECalcPts[RK],0)),"")</f>
        <v>7</v>
      </c>
      <c r="AZ162" s="165">
        <f>IFERROR(INDEX(TableWRTECalcPts[Custom],MATCH(TableWRTERank[[#This Row],[RK]],TableWRTECalcPts[RK],0)),"")</f>
        <v>37.047699019147593</v>
      </c>
      <c r="BA162" s="166">
        <f>IFERROR((TableWRTERank[[#This Row],[FPS]]-INDEX(TableWRTERank[FPS],MATCH(WRTEVORPCalc,TableWRTERank[RK],0))),"")</f>
        <v>-104.18867256314411</v>
      </c>
      <c r="BC162" s="58" t="s">
        <v>148</v>
      </c>
    </row>
    <row r="163" spans="8:55" x14ac:dyDescent="0.25">
      <c r="H163" s="58">
        <v>162</v>
      </c>
      <c r="I163" s="154" t="str">
        <f>IFERROR(INDEX(TableRBCalcPts[PLAYER],MATCH(TableRBVORP[[#This Row],[RK]],TableRBCalcPts[RK],0)),"")</f>
        <v/>
      </c>
      <c r="J163" s="154" t="str">
        <f>IFERROR(INDEX(TableRBCalcPts[TM],MATCH(TableRBVORP[[#This Row],[RK]],TableRBCalcPts[RK],0)),"")</f>
        <v/>
      </c>
      <c r="K163" s="154" t="str">
        <f>IFERROR(INDEX(TableRBCalcPts[BYE],MATCH(TableRBVORP[[#This Row],[RK]],TableRBCalcPts[RK],0)),"")</f>
        <v/>
      </c>
      <c r="L163" s="155" t="str">
        <f>IFERROR(INDEX(TableRBCalcPts[Custom],MATCH(TableRBVORP[[#This Row],[RK]],TableRBCalcPts[RK],0)),"")</f>
        <v/>
      </c>
      <c r="M163" s="156" t="e">
        <f>(IFERROR((TableRBVORP[[#This Row],[FPS]]-INDEX(TableRBVORP[FPS],MATCH(RBVORPCalc,TableRBVORP[RK],0))),""))*0.8</f>
        <v>#VALUE!</v>
      </c>
      <c r="O163" s="58">
        <v>162</v>
      </c>
      <c r="P163" s="154" t="str">
        <f>IFERROR(INDEX(TableWRCalcPts[PLAYER],MATCH(TableWRVORP[[#This Row],[RK]],TableWRCalcPts[RK],0)),"")</f>
        <v>Kyle Williams</v>
      </c>
      <c r="Q163" s="154" t="str">
        <f>IFERROR(INDEX(TableWRCalcPts[TM],MATCH(TableWRVORP[[#This Row],[RK]],TableWRCalcPts[RK],0)),"")</f>
        <v>NE</v>
      </c>
      <c r="R163" s="154">
        <f>IFERROR(INDEX(TableWRCalcPts[BYE],MATCH(TableWRVORP[[#This Row],[RK]],TableWRCalcPts[RK],0)),"")</f>
        <v>11</v>
      </c>
      <c r="S163" s="155">
        <f>IFERROR(INDEX(TableWRCalcPts[Custom],MATCH(TableWRVORP[[#This Row],[RK]],TableWRCalcPts[RK],0)),"")</f>
        <v>7.1026774721279979</v>
      </c>
      <c r="T163" s="156">
        <f>(IFERROR((TableWRVORP[[#This Row],[FPS]]-INDEX(TableWRVORP[FPS],MATCH(WRVORPCalc,TableWRVORP[RK],0))),""))</f>
        <v>-83.181507918238069</v>
      </c>
      <c r="AF163" s="58" t="s">
        <v>148</v>
      </c>
      <c r="AG163" s="58">
        <v>22</v>
      </c>
      <c r="AH163" s="100">
        <f>RANK(TableOverallMaster[[#This Row],[VORP]],TableOverallMaster[VORP])+COUNTIF($AM$2:AM163,AM163)-1</f>
        <v>52</v>
      </c>
      <c r="AI163" s="157" t="str">
        <f>IFERROR(INDEX(TableWRVORP[WIDE RECEIVER],MATCH(TableOverallMaster[[#This Row],[RK]],TableWRVORP[RK],0)),"")</f>
        <v>Davante Adams</v>
      </c>
      <c r="AJ163" s="157" t="str">
        <f t="shared" si="2"/>
        <v>WR22</v>
      </c>
      <c r="AK163" s="157">
        <f>IFERROR(INDEX(TableWRVORP[BYE],MATCH(TableOverallMaster[[#This Row],[RK]],TableWRVORP[RK],0)),"")</f>
        <v>11</v>
      </c>
      <c r="AL163" s="158">
        <f>IFERROR(INDEX(TableWRVORP[FPS],MATCH(TableOverallMaster[[#This Row],[RK]],TableWRVORP[RK],0)),"")</f>
        <v>189.81633003807275</v>
      </c>
      <c r="AM163" s="159">
        <f>IFERROR(INDEX(TableWRVORP[VORP],MATCH(TableOverallMaster[[#This Row],[RK]],TableWRVORP[RK],0)),"")</f>
        <v>99.532144647706687</v>
      </c>
      <c r="AO163" s="58">
        <v>162</v>
      </c>
      <c r="AP163" s="160" t="str">
        <f>IFERROR(INDEX(TableOverallMaster[OVERALL PLAYER],MATCH(TableOverallRank[[#This Row],[RK]],TableOverallMaster[OVR RK],0)),"")</f>
        <v>Jalen Tolbert</v>
      </c>
      <c r="AQ163" s="161" t="str">
        <f>IFERROR(INDEX(TableOverallMaster[POS RK],MATCH(TableOverallRank[[#This Row],[OVERALL PLAYER]],TableOverallMaster[OVERALL PLAYER],0)),"")</f>
        <v>WR67</v>
      </c>
      <c r="AR163" s="162">
        <f>IFERROR(INDEX(TableOverallMaster[BYE],MATCH(TableOverallRank[[#This Row],[OVERALL PLAYER]],TableOverallMaster[OVERALL PLAYER],0)),"")</f>
        <v>6</v>
      </c>
      <c r="AS163" s="161">
        <f>IFERROR(INDEX(TableOverallMaster[Custom],MATCH(TableOverallRank[[#This Row],[OVERALL PLAYER]],TableOverallMaster[OVERALL PLAYER],0)),"")</f>
        <v>99.819665152542697</v>
      </c>
      <c r="AT163" s="163">
        <f>IFERROR(INDEX(TableOverallMaster[VORP],MATCH(TableOverallRank[[#This Row],[OVERALL PLAYER]],TableOverallMaster[OVERALL PLAYER],0)),"")</f>
        <v>9.5354797621766352</v>
      </c>
      <c r="AV163" s="58">
        <v>162</v>
      </c>
      <c r="AW163" s="164" t="str">
        <f>IFERROR(INDEX(TableWRTECalcPts[PLAYER],MATCH(TableWRTERank[[#This Row],[RK]],TableWRTECalcPts[RK],0)),"")</f>
        <v>Max Klare</v>
      </c>
      <c r="AX163" s="164" t="str">
        <f>IFERROR(INDEX(TableWRTECalcPts[POS RK],MATCH(TableWRTERank[[#This Row],[WR and TE COMBINED]],TableWRTECalcPts[PLAYER],0)),"")</f>
        <v>TE45</v>
      </c>
      <c r="AY163" s="164">
        <f>IFERROR(INDEX(TableWRTECalcPts[BYE],MATCH(TableWRTERank[[#This Row],[RK]],TableWRTECalcPts[RK],0)),"")</f>
        <v>11</v>
      </c>
      <c r="AZ163" s="165">
        <f>IFERROR(INDEX(TableWRTECalcPts[Custom],MATCH(TableWRTERank[[#This Row],[RK]],TableWRTECalcPts[RK],0)),"")</f>
        <v>35.785164132437984</v>
      </c>
      <c r="BA163" s="166">
        <f>IFERROR((TableWRTERank[[#This Row],[FPS]]-INDEX(TableWRTERank[FPS],MATCH(WRTEVORPCalc,TableWRTERank[RK],0))),"")</f>
        <v>-105.45120744985371</v>
      </c>
      <c r="BC163" s="58" t="s">
        <v>148</v>
      </c>
    </row>
    <row r="164" spans="8:55" x14ac:dyDescent="0.25">
      <c r="H164" s="58">
        <v>163</v>
      </c>
      <c r="I164" s="154" t="str">
        <f>IFERROR(INDEX(TableRBCalcPts[PLAYER],MATCH(TableRBVORP[[#This Row],[RK]],TableRBCalcPts[RK],0)),"")</f>
        <v/>
      </c>
      <c r="J164" s="154" t="str">
        <f>IFERROR(INDEX(TableRBCalcPts[TM],MATCH(TableRBVORP[[#This Row],[RK]],TableRBCalcPts[RK],0)),"")</f>
        <v/>
      </c>
      <c r="K164" s="154" t="str">
        <f>IFERROR(INDEX(TableRBCalcPts[BYE],MATCH(TableRBVORP[[#This Row],[RK]],TableRBCalcPts[RK],0)),"")</f>
        <v/>
      </c>
      <c r="L164" s="155" t="str">
        <f>IFERROR(INDEX(TableRBCalcPts[Custom],MATCH(TableRBVORP[[#This Row],[RK]],TableRBCalcPts[RK],0)),"")</f>
        <v/>
      </c>
      <c r="M164" s="156" t="e">
        <f>(IFERROR((TableRBVORP[[#This Row],[FPS]]-INDEX(TableRBVORP[FPS],MATCH(RBVORPCalc,TableRBVORP[RK],0))),""))*0.8</f>
        <v>#VALUE!</v>
      </c>
      <c r="O164" s="58">
        <v>163</v>
      </c>
      <c r="P164" s="154" t="str">
        <f>IFERROR(INDEX(TableWRCalcPts[PLAYER],MATCH(TableWRVORP[[#This Row],[RK]],TableWRCalcPts[RK],0)),"")</f>
        <v>Mason Tipton</v>
      </c>
      <c r="Q164" s="154" t="str">
        <f>IFERROR(INDEX(TableWRCalcPts[TM],MATCH(TableWRVORP[[#This Row],[RK]],TableWRCalcPts[RK],0)),"")</f>
        <v>NO</v>
      </c>
      <c r="R164" s="154">
        <f>IFERROR(INDEX(TableWRCalcPts[BYE],MATCH(TableWRVORP[[#This Row],[RK]],TableWRCalcPts[RK],0)),"")</f>
        <v>8</v>
      </c>
      <c r="S164" s="155">
        <f>IFERROR(INDEX(TableWRCalcPts[Custom],MATCH(TableWRVORP[[#This Row],[RK]],TableWRCalcPts[RK],0)),"")</f>
        <v>6.7051481333759995</v>
      </c>
      <c r="T164" s="156">
        <f>(IFERROR((TableWRVORP[[#This Row],[FPS]]-INDEX(TableWRVORP[FPS],MATCH(WRVORPCalc,TableWRVORP[RK],0))),""))</f>
        <v>-83.579037256990063</v>
      </c>
      <c r="AF164" s="58" t="s">
        <v>148</v>
      </c>
      <c r="AG164" s="58">
        <v>23</v>
      </c>
      <c r="AH164" s="100">
        <f>RANK(TableOverallMaster[[#This Row],[VORP]],TableOverallMaster[VORP])+COUNTIF($AM$2:AM164,AM164)-1</f>
        <v>53</v>
      </c>
      <c r="AI164" s="157" t="str">
        <f>IFERROR(INDEX(TableWRVORP[WIDE RECEIVER],MATCH(TableOverallMaster[[#This Row],[RK]],TableWRVORP[RK],0)),"")</f>
        <v>Garrett Wilson</v>
      </c>
      <c r="AJ164" s="157" t="str">
        <f t="shared" si="2"/>
        <v>WR23</v>
      </c>
      <c r="AK164" s="157">
        <f>IFERROR(INDEX(TableWRVORP[BYE],MATCH(TableOverallMaster[[#This Row],[RK]],TableWRVORP[RK],0)),"")</f>
        <v>13</v>
      </c>
      <c r="AL164" s="158">
        <f>IFERROR(INDEX(TableWRVORP[FPS],MATCH(TableOverallMaster[[#This Row],[RK]],TableWRVORP[RK],0)),"")</f>
        <v>189.14773728625423</v>
      </c>
      <c r="AM164" s="159">
        <f>IFERROR(INDEX(TableWRVORP[VORP],MATCH(TableOverallMaster[[#This Row],[RK]],TableWRVORP[RK],0)),"")</f>
        <v>98.863551895888165</v>
      </c>
      <c r="AO164" s="58">
        <v>163</v>
      </c>
      <c r="AP164" s="160" t="str">
        <f>IFERROR(INDEX(TableOverallMaster[OVERALL PLAYER],MATCH(TableOverallRank[[#This Row],[RK]],TableOverallMaster[OVR RK],0)),"")</f>
        <v>Kenyon Sadiq</v>
      </c>
      <c r="AQ164" s="161" t="str">
        <f>IFERROR(INDEX(TableOverallMaster[POS RK],MATCH(TableOverallRank[[#This Row],[OVERALL PLAYER]],TableOverallMaster[OVERALL PLAYER],0)),"")</f>
        <v>TE28</v>
      </c>
      <c r="AR164" s="162">
        <f>IFERROR(INDEX(TableOverallMaster[BYE],MATCH(TableOverallRank[[#This Row],[OVERALL PLAYER]],TableOverallMaster[OVERALL PLAYER],0)),"")</f>
        <v>13</v>
      </c>
      <c r="AS164" s="161">
        <f>IFERROR(INDEX(TableOverallMaster[Custom],MATCH(TableOverallRank[[#This Row],[OVERALL PLAYER]],TableOverallMaster[OVERALL PLAYER],0)),"")</f>
        <v>86.789669330026697</v>
      </c>
      <c r="AT164" s="163">
        <f>IFERROR(INDEX(TableOverallMaster[VORP],MATCH(TableOverallRank[[#This Row],[OVERALL PLAYER]],TableOverallMaster[OVERALL PLAYER],0)),"")</f>
        <v>8.9038753537850113</v>
      </c>
      <c r="AV164" s="58">
        <v>163</v>
      </c>
      <c r="AW164" s="164" t="str">
        <f>IFERROR(INDEX(TableWRTECalcPts[PLAYER],MATCH(TableWRTERank[[#This Row],[RK]],TableWRTECalcPts[RK],0)),"")</f>
        <v>Jaylin Lane</v>
      </c>
      <c r="AX164" s="164" t="str">
        <f>IFERROR(INDEX(TableWRTECalcPts[POS RK],MATCH(TableWRTERank[[#This Row],[WR and TE COMBINED]],TableWRTECalcPts[PLAYER],0)),"")</f>
        <v>WR118</v>
      </c>
      <c r="AY164" s="164">
        <f>IFERROR(INDEX(TableWRTECalcPts[BYE],MATCH(TableWRTERank[[#This Row],[RK]],TableWRTECalcPts[RK],0)),"")</f>
        <v>7</v>
      </c>
      <c r="AZ164" s="165">
        <f>IFERROR(INDEX(TableWRTECalcPts[Custom],MATCH(TableWRTERank[[#This Row],[RK]],TableWRTECalcPts[RK],0)),"")</f>
        <v>33.911979493432312</v>
      </c>
      <c r="BA164" s="166">
        <f>IFERROR((TableWRTERank[[#This Row],[FPS]]-INDEX(TableWRTERank[FPS],MATCH(WRTEVORPCalc,TableWRTERank[RK],0))),"")</f>
        <v>-107.32439208885938</v>
      </c>
      <c r="BC164" s="58" t="s">
        <v>148</v>
      </c>
    </row>
    <row r="165" spans="8:55" x14ac:dyDescent="0.25">
      <c r="H165" s="58">
        <v>164</v>
      </c>
      <c r="I165" s="154" t="str">
        <f>IFERROR(INDEX(TableRBCalcPts[PLAYER],MATCH(TableRBVORP[[#This Row],[RK]],TableRBCalcPts[RK],0)),"")</f>
        <v/>
      </c>
      <c r="J165" s="154" t="str">
        <f>IFERROR(INDEX(TableRBCalcPts[TM],MATCH(TableRBVORP[[#This Row],[RK]],TableRBCalcPts[RK],0)),"")</f>
        <v/>
      </c>
      <c r="K165" s="154" t="str">
        <f>IFERROR(INDEX(TableRBCalcPts[BYE],MATCH(TableRBVORP[[#This Row],[RK]],TableRBCalcPts[RK],0)),"")</f>
        <v/>
      </c>
      <c r="L165" s="155" t="str">
        <f>IFERROR(INDEX(TableRBCalcPts[Custom],MATCH(TableRBVORP[[#This Row],[RK]],TableRBCalcPts[RK],0)),"")</f>
        <v/>
      </c>
      <c r="M165" s="156" t="e">
        <f>(IFERROR((TableRBVORP[[#This Row],[FPS]]-INDEX(TableRBVORP[FPS],MATCH(RBVORPCalc,TableRBVORP[RK],0))),""))*0.8</f>
        <v>#VALUE!</v>
      </c>
      <c r="O165" s="58">
        <v>164</v>
      </c>
      <c r="P165" s="154" t="str">
        <f>IFERROR(INDEX(TableWRCalcPts[PLAYER],MATCH(TableWRVORP[[#This Row],[RK]],TableWRCalcPts[RK],0)),"")</f>
        <v>Jordan Watkins</v>
      </c>
      <c r="Q165" s="154" t="str">
        <f>IFERROR(INDEX(TableWRCalcPts[TM],MATCH(TableWRVORP[[#This Row],[RK]],TableWRCalcPts[RK],0)),"")</f>
        <v>SF</v>
      </c>
      <c r="R165" s="154">
        <f>IFERROR(INDEX(TableWRCalcPts[BYE],MATCH(TableWRVORP[[#This Row],[RK]],TableWRCalcPts[RK],0)),"")</f>
        <v>8</v>
      </c>
      <c r="S165" s="155">
        <f>IFERROR(INDEX(TableWRCalcPts[Custom],MATCH(TableWRVORP[[#This Row],[RK]],TableWRCalcPts[RK],0)),"")</f>
        <v>6.6859447263304252</v>
      </c>
      <c r="T165" s="156">
        <f>(IFERROR((TableWRVORP[[#This Row],[FPS]]-INDEX(TableWRVORP[FPS],MATCH(WRVORPCalc,TableWRVORP[RK],0))),""))</f>
        <v>-83.598240664035643</v>
      </c>
      <c r="AF165" s="58" t="s">
        <v>148</v>
      </c>
      <c r="AG165" s="58">
        <v>24</v>
      </c>
      <c r="AH165" s="100">
        <f>RANK(TableOverallMaster[[#This Row],[VORP]],TableOverallMaster[VORP])+COUNTIF($AM$2:AM165,AM165)-1</f>
        <v>55</v>
      </c>
      <c r="AI165" s="157" t="str">
        <f>IFERROR(INDEX(TableWRVORP[WIDE RECEIVER],MATCH(TableOverallMaster[[#This Row],[RK]],TableWRVORP[RK],0)),"")</f>
        <v>Parker Washington</v>
      </c>
      <c r="AJ165" s="157" t="str">
        <f t="shared" si="2"/>
        <v>WR24</v>
      </c>
      <c r="AK165" s="157">
        <f>IFERROR(INDEX(TableWRVORP[BYE],MATCH(TableOverallMaster[[#This Row],[RK]],TableWRVORP[RK],0)),"")</f>
        <v>7</v>
      </c>
      <c r="AL165" s="158">
        <f>IFERROR(INDEX(TableWRVORP[FPS],MATCH(TableOverallMaster[[#This Row],[RK]],TableWRVORP[RK],0)),"")</f>
        <v>188.01132302400001</v>
      </c>
      <c r="AM165" s="159">
        <f>IFERROR(INDEX(TableWRVORP[VORP],MATCH(TableOverallMaster[[#This Row],[RK]],TableWRVORP[RK],0)),"")</f>
        <v>97.727137633633944</v>
      </c>
      <c r="AO165" s="58">
        <v>164</v>
      </c>
      <c r="AP165" s="160" t="str">
        <f>IFERROR(INDEX(TableOverallMaster[OVERALL PLAYER],MATCH(TableOverallRank[[#This Row],[RK]],TableOverallMaster[OVR RK],0)),"")</f>
        <v>Emanuel Wilson</v>
      </c>
      <c r="AQ165" s="161" t="str">
        <f>IFERROR(INDEX(TableOverallMaster[POS RK],MATCH(TableOverallRank[[#This Row],[OVERALL PLAYER]],TableOverallMaster[OVERALL PLAYER],0)),"")</f>
        <v>RB42</v>
      </c>
      <c r="AR165" s="162">
        <f>IFERROR(INDEX(TableOverallMaster[BYE],MATCH(TableOverallRank[[#This Row],[OVERALL PLAYER]],TableOverallMaster[OVERALL PLAYER],0)),"")</f>
        <v>11</v>
      </c>
      <c r="AS165" s="161">
        <f>IFERROR(INDEX(TableOverallMaster[Custom],MATCH(TableOverallRank[[#This Row],[OVERALL PLAYER]],TableOverallMaster[OVERALL PLAYER],0)),"")</f>
        <v>113.57008395871891</v>
      </c>
      <c r="AT165" s="163">
        <f>IFERROR(INDEX(TableOverallMaster[VORP],MATCH(TableOverallRank[[#This Row],[OVERALL PLAYER]],TableOverallMaster[OVERALL PLAYER],0)),"")</f>
        <v>7.6497957821532285</v>
      </c>
      <c r="AV165" s="58">
        <v>164</v>
      </c>
      <c r="AW165" s="164" t="str">
        <f>IFERROR(INDEX(TableWRTECalcPts[PLAYER],MATCH(TableWRTERank[[#This Row],[RK]],TableWRTECalcPts[RK],0)),"")</f>
        <v>Marvin Mims</v>
      </c>
      <c r="AX165" s="164" t="str">
        <f>IFERROR(INDEX(TableWRTECalcPts[POS RK],MATCH(TableWRTERank[[#This Row],[WR and TE COMBINED]],TableWRTECalcPts[PLAYER],0)),"")</f>
        <v>WR119</v>
      </c>
      <c r="AY165" s="164">
        <f>IFERROR(INDEX(TableWRTECalcPts[BYE],MATCH(TableWRTERank[[#This Row],[RK]],TableWRTECalcPts[RK],0)),"")</f>
        <v>10</v>
      </c>
      <c r="AZ165" s="165">
        <f>IFERROR(INDEX(TableWRTECalcPts[Custom],MATCH(TableWRTERank[[#This Row],[RK]],TableWRTECalcPts[RK],0)),"")</f>
        <v>33.661668735305163</v>
      </c>
      <c r="BA165" s="166">
        <f>IFERROR((TableWRTERank[[#This Row],[FPS]]-INDEX(TableWRTERank[FPS],MATCH(WRTEVORPCalc,TableWRTERank[RK],0))),"")</f>
        <v>-107.57470284698653</v>
      </c>
      <c r="BC165" s="58" t="s">
        <v>148</v>
      </c>
    </row>
    <row r="166" spans="8:55" x14ac:dyDescent="0.25">
      <c r="H166" s="58">
        <v>165</v>
      </c>
      <c r="I166" s="154" t="str">
        <f>IFERROR(INDEX(TableRBCalcPts[PLAYER],MATCH(TableRBVORP[[#This Row],[RK]],TableRBCalcPts[RK],0)),"")</f>
        <v/>
      </c>
      <c r="J166" s="154" t="str">
        <f>IFERROR(INDEX(TableRBCalcPts[TM],MATCH(TableRBVORP[[#This Row],[RK]],TableRBCalcPts[RK],0)),"")</f>
        <v/>
      </c>
      <c r="K166" s="154" t="str">
        <f>IFERROR(INDEX(TableRBCalcPts[BYE],MATCH(TableRBVORP[[#This Row],[RK]],TableRBCalcPts[RK],0)),"")</f>
        <v/>
      </c>
      <c r="L166" s="155" t="str">
        <f>IFERROR(INDEX(TableRBCalcPts[Custom],MATCH(TableRBVORP[[#This Row],[RK]],TableRBCalcPts[RK],0)),"")</f>
        <v/>
      </c>
      <c r="M166" s="156" t="e">
        <f>(IFERROR((TableRBVORP[[#This Row],[FPS]]-INDEX(TableRBVORP[FPS],MATCH(RBVORPCalc,TableRBVORP[RK],0))),""))*0.8</f>
        <v>#VALUE!</v>
      </c>
      <c r="O166" s="58">
        <v>165</v>
      </c>
      <c r="P166" s="154" t="str">
        <f>IFERROR(INDEX(TableWRCalcPts[PLAYER],MATCH(TableWRVORP[[#This Row],[RK]],TableWRCalcPts[RK],0)),"")</f>
        <v>CJ Daniels</v>
      </c>
      <c r="Q166" s="154" t="str">
        <f>IFERROR(INDEX(TableWRCalcPts[TM],MATCH(TableWRVORP[[#This Row],[RK]],TableWRCalcPts[RK],0)),"")</f>
        <v>LAR</v>
      </c>
      <c r="R166" s="154">
        <f>IFERROR(INDEX(TableWRCalcPts[BYE],MATCH(TableWRVORP[[#This Row],[RK]],TableWRCalcPts[RK],0)),"")</f>
        <v>11</v>
      </c>
      <c r="S166" s="155">
        <f>IFERROR(INDEX(TableWRCalcPts[Custom],MATCH(TableWRVORP[[#This Row],[RK]],TableWRCalcPts[RK],0)),"")</f>
        <v>6.4120360256657101</v>
      </c>
      <c r="T166" s="156">
        <f>(IFERROR((TableWRVORP[[#This Row],[FPS]]-INDEX(TableWRVORP[FPS],MATCH(WRVORPCalc,TableWRVORP[RK],0))),""))</f>
        <v>-83.872149364700348</v>
      </c>
      <c r="AF166" s="58" t="s">
        <v>148</v>
      </c>
      <c r="AG166" s="58">
        <v>25</v>
      </c>
      <c r="AH166" s="100">
        <f>RANK(TableOverallMaster[[#This Row],[VORP]],TableOverallMaster[VORP])+COUNTIF($AM$2:AM166,AM166)-1</f>
        <v>56</v>
      </c>
      <c r="AI166" s="157" t="str">
        <f>IFERROR(INDEX(TableWRVORP[WIDE RECEIVER],MATCH(TableOverallMaster[[#This Row],[RK]],TableWRVORP[RK],0)),"")</f>
        <v>Emeka Egbuka</v>
      </c>
      <c r="AJ166" s="157" t="str">
        <f t="shared" si="2"/>
        <v>WR25</v>
      </c>
      <c r="AK166" s="157">
        <f>IFERROR(INDEX(TableWRVORP[BYE],MATCH(TableOverallMaster[[#This Row],[RK]],TableWRVORP[RK],0)),"")</f>
        <v>10</v>
      </c>
      <c r="AL166" s="158">
        <f>IFERROR(INDEX(TableWRVORP[FPS],MATCH(TableOverallMaster[[#This Row],[RK]],TableWRVORP[RK],0)),"")</f>
        <v>187.69417440185407</v>
      </c>
      <c r="AM166" s="159">
        <f>IFERROR(INDEX(TableWRVORP[VORP],MATCH(TableOverallMaster[[#This Row],[RK]],TableWRVORP[RK],0)),"")</f>
        <v>97.409989011488008</v>
      </c>
      <c r="AO166" s="58">
        <v>165</v>
      </c>
      <c r="AP166" s="160" t="str">
        <f>IFERROR(INDEX(TableOverallMaster[OVERALL PLAYER],MATCH(TableOverallRank[[#This Row],[RK]],TableOverallMaster[OVR RK],0)),"")</f>
        <v>AJ Barner</v>
      </c>
      <c r="AQ166" s="161" t="str">
        <f>IFERROR(INDEX(TableOverallMaster[POS RK],MATCH(TableOverallRank[[#This Row],[OVERALL PLAYER]],TableOverallMaster[OVERALL PLAYER],0)),"")</f>
        <v>TE29</v>
      </c>
      <c r="AR166" s="162">
        <f>IFERROR(INDEX(TableOverallMaster[BYE],MATCH(TableOverallRank[[#This Row],[OVERALL PLAYER]],TableOverallMaster[OVERALL PLAYER],0)),"")</f>
        <v>11</v>
      </c>
      <c r="AS166" s="161">
        <f>IFERROR(INDEX(TableOverallMaster[Custom],MATCH(TableOverallRank[[#This Row],[OVERALL PLAYER]],TableOverallMaster[OVERALL PLAYER],0)),"")</f>
        <v>84.45884130942207</v>
      </c>
      <c r="AT166" s="163">
        <f>IFERROR(INDEX(TableOverallMaster[VORP],MATCH(TableOverallRank[[#This Row],[OVERALL PLAYER]],TableOverallMaster[OVERALL PLAYER],0)),"")</f>
        <v>6.5730473331803836</v>
      </c>
      <c r="AV166" s="58">
        <v>165</v>
      </c>
      <c r="AW166" s="164" t="str">
        <f>IFERROR(INDEX(TableWRTECalcPts[PLAYER],MATCH(TableWRTERank[[#This Row],[RK]],TableWRTECalcPts[RK],0)),"")</f>
        <v>Austin Hooper</v>
      </c>
      <c r="AX166" s="164" t="str">
        <f>IFERROR(INDEX(TableWRTECalcPts[POS RK],MATCH(TableWRTERank[[#This Row],[WR and TE COMBINED]],TableWRTECalcPts[PLAYER],0)),"")</f>
        <v>TE46</v>
      </c>
      <c r="AY166" s="164">
        <f>IFERROR(INDEX(TableWRTECalcPts[BYE],MATCH(TableWRTERank[[#This Row],[RK]],TableWRTECalcPts[RK],0)),"")</f>
        <v>11</v>
      </c>
      <c r="AZ166" s="165">
        <f>IFERROR(INDEX(TableWRTECalcPts[Custom],MATCH(TableWRTERank[[#This Row],[RK]],TableWRTECalcPts[RK],0)),"")</f>
        <v>33.184453283020098</v>
      </c>
      <c r="BA166" s="166">
        <f>IFERROR((TableWRTERank[[#This Row],[FPS]]-INDEX(TableWRTERank[FPS],MATCH(WRTEVORPCalc,TableWRTERank[RK],0))),"")</f>
        <v>-108.05191829927159</v>
      </c>
      <c r="BC166" s="58" t="s">
        <v>148</v>
      </c>
    </row>
    <row r="167" spans="8:55" x14ac:dyDescent="0.25">
      <c r="H167" s="58">
        <v>166</v>
      </c>
      <c r="I167" s="154" t="str">
        <f>IFERROR(INDEX(TableRBCalcPts[PLAYER],MATCH(TableRBVORP[[#This Row],[RK]],TableRBCalcPts[RK],0)),"")</f>
        <v/>
      </c>
      <c r="J167" s="154" t="str">
        <f>IFERROR(INDEX(TableRBCalcPts[TM],MATCH(TableRBVORP[[#This Row],[RK]],TableRBCalcPts[RK],0)),"")</f>
        <v/>
      </c>
      <c r="K167" s="154" t="str">
        <f>IFERROR(INDEX(TableRBCalcPts[BYE],MATCH(TableRBVORP[[#This Row],[RK]],TableRBCalcPts[RK],0)),"")</f>
        <v/>
      </c>
      <c r="L167" s="155" t="str">
        <f>IFERROR(INDEX(TableRBCalcPts[Custom],MATCH(TableRBVORP[[#This Row],[RK]],TableRBCalcPts[RK],0)),"")</f>
        <v/>
      </c>
      <c r="M167" s="156" t="e">
        <f>(IFERROR((TableRBVORP[[#This Row],[FPS]]-INDEX(TableRBVORP[FPS],MATCH(RBVORPCalc,TableRBVORP[RK],0))),""))*0.8</f>
        <v>#VALUE!</v>
      </c>
      <c r="O167" s="58">
        <v>166</v>
      </c>
      <c r="P167" s="154" t="str">
        <f>IFERROR(INDEX(TableWRCalcPts[PLAYER],MATCH(TableWRVORP[[#This Row],[RK]],TableWRCalcPts[RK],0)),"")</f>
        <v>Kameron Johnson</v>
      </c>
      <c r="Q167" s="154" t="str">
        <f>IFERROR(INDEX(TableWRCalcPts[TM],MATCH(TableWRVORP[[#This Row],[RK]],TableWRCalcPts[RK],0)),"")</f>
        <v>TB</v>
      </c>
      <c r="R167" s="154">
        <f>IFERROR(INDEX(TableWRCalcPts[BYE],MATCH(TableWRVORP[[#This Row],[RK]],TableWRCalcPts[RK],0)),"")</f>
        <v>10</v>
      </c>
      <c r="S167" s="155">
        <f>IFERROR(INDEX(TableWRCalcPts[Custom],MATCH(TableWRVORP[[#This Row],[RK]],TableWRCalcPts[RK],0)),"")</f>
        <v>6.3680204445311972</v>
      </c>
      <c r="T167" s="156">
        <f>(IFERROR((TableWRVORP[[#This Row],[FPS]]-INDEX(TableWRVORP[FPS],MATCH(WRVORPCalc,TableWRVORP[RK],0))),""))</f>
        <v>-83.916164945834865</v>
      </c>
      <c r="AF167" s="58" t="s">
        <v>148</v>
      </c>
      <c r="AG167" s="58">
        <v>26</v>
      </c>
      <c r="AH167" s="100">
        <f>RANK(TableOverallMaster[[#This Row],[VORP]],TableOverallMaster[VORP])+COUNTIF($AM$2:AM167,AM167)-1</f>
        <v>57</v>
      </c>
      <c r="AI167" s="157" t="str">
        <f>IFERROR(INDEX(TableWRVORP[WIDE RECEIVER],MATCH(TableOverallMaster[[#This Row],[RK]],TableWRVORP[RK],0)),"")</f>
        <v>Carnell Tate</v>
      </c>
      <c r="AJ167" s="157" t="str">
        <f t="shared" si="2"/>
        <v>WR26</v>
      </c>
      <c r="AK167" s="157">
        <f>IFERROR(INDEX(TableWRVORP[BYE],MATCH(TableOverallMaster[[#This Row],[RK]],TableWRVORP[RK],0)),"")</f>
        <v>9</v>
      </c>
      <c r="AL167" s="158">
        <f>IFERROR(INDEX(TableWRVORP[FPS],MATCH(TableOverallMaster[[#This Row],[RK]],TableWRVORP[RK],0)),"")</f>
        <v>186.69245943108095</v>
      </c>
      <c r="AM167" s="159">
        <f>IFERROR(INDEX(TableWRVORP[VORP],MATCH(TableOverallMaster[[#This Row],[RK]],TableWRVORP[RK],0)),"")</f>
        <v>96.408274040714886</v>
      </c>
      <c r="AO167" s="58">
        <v>166</v>
      </c>
      <c r="AP167" s="160" t="str">
        <f>IFERROR(INDEX(TableOverallMaster[OVERALL PLAYER],MATCH(TableOverallRank[[#This Row],[RK]],TableOverallMaster[OVR RK],0)),"")</f>
        <v>Caleb Douglas</v>
      </c>
      <c r="AQ167" s="161" t="str">
        <f>IFERROR(INDEX(TableOverallMaster[POS RK],MATCH(TableOverallRank[[#This Row],[OVERALL PLAYER]],TableOverallMaster[OVERALL PLAYER],0)),"")</f>
        <v>WR68</v>
      </c>
      <c r="AR167" s="162">
        <f>IFERROR(INDEX(TableOverallMaster[BYE],MATCH(TableOverallRank[[#This Row],[OVERALL PLAYER]],TableOverallMaster[OVERALL PLAYER],0)),"")</f>
        <v>6</v>
      </c>
      <c r="AS167" s="161">
        <f>IFERROR(INDEX(TableOverallMaster[Custom],MATCH(TableOverallRank[[#This Row],[OVERALL PLAYER]],TableOverallMaster[OVERALL PLAYER],0)),"")</f>
        <v>95.519069823491961</v>
      </c>
      <c r="AT167" s="163">
        <f>IFERROR(INDEX(TableOverallMaster[VORP],MATCH(TableOverallRank[[#This Row],[OVERALL PLAYER]],TableOverallMaster[OVERALL PLAYER],0)),"")</f>
        <v>5.2348844331258988</v>
      </c>
      <c r="AV167" s="58">
        <v>166</v>
      </c>
      <c r="AW167" s="164" t="str">
        <f>IFERROR(INDEX(TableWRTECalcPts[PLAYER],MATCH(TableWRTERank[[#This Row],[RK]],TableWRTECalcPts[RK],0)),"")</f>
        <v>Jalen Royals</v>
      </c>
      <c r="AX167" s="164" t="str">
        <f>IFERROR(INDEX(TableWRTECalcPts[POS RK],MATCH(TableWRTERank[[#This Row],[WR and TE COMBINED]],TableWRTECalcPts[PLAYER],0)),"")</f>
        <v>WR120</v>
      </c>
      <c r="AY167" s="164">
        <f>IFERROR(INDEX(TableWRTECalcPts[BYE],MATCH(TableWRTERank[[#This Row],[RK]],TableWRTECalcPts[RK],0)),"")</f>
        <v>5</v>
      </c>
      <c r="AZ167" s="165">
        <f>IFERROR(INDEX(TableWRTECalcPts[Custom],MATCH(TableWRTERank[[#This Row],[RK]],TableWRTECalcPts[RK],0)),"")</f>
        <v>33.070103720230257</v>
      </c>
      <c r="BA167" s="166">
        <f>IFERROR((TableWRTERank[[#This Row],[FPS]]-INDEX(TableWRTERank[FPS],MATCH(WRTEVORPCalc,TableWRTERank[RK],0))),"")</f>
        <v>-108.16626786206143</v>
      </c>
      <c r="BC167" s="58" t="s">
        <v>148</v>
      </c>
    </row>
    <row r="168" spans="8:55" x14ac:dyDescent="0.25">
      <c r="H168" s="58">
        <v>167</v>
      </c>
      <c r="I168" s="154" t="str">
        <f>IFERROR(INDEX(TableRBCalcPts[PLAYER],MATCH(TableRBVORP[[#This Row],[RK]],TableRBCalcPts[RK],0)),"")</f>
        <v/>
      </c>
      <c r="J168" s="154" t="str">
        <f>IFERROR(INDEX(TableRBCalcPts[TM],MATCH(TableRBVORP[[#This Row],[RK]],TableRBCalcPts[RK],0)),"")</f>
        <v/>
      </c>
      <c r="K168" s="154" t="str">
        <f>IFERROR(INDEX(TableRBCalcPts[BYE],MATCH(TableRBVORP[[#This Row],[RK]],TableRBCalcPts[RK],0)),"")</f>
        <v/>
      </c>
      <c r="L168" s="155" t="str">
        <f>IFERROR(INDEX(TableRBCalcPts[Custom],MATCH(TableRBVORP[[#This Row],[RK]],TableRBCalcPts[RK],0)),"")</f>
        <v/>
      </c>
      <c r="M168" s="156" t="e">
        <f>(IFERROR((TableRBVORP[[#This Row],[FPS]]-INDEX(TableRBVORP[FPS],MATCH(RBVORPCalc,TableRBVORP[RK],0))),""))*0.8</f>
        <v>#VALUE!</v>
      </c>
      <c r="O168" s="58">
        <v>167</v>
      </c>
      <c r="P168" s="154" t="str">
        <f>IFERROR(INDEX(TableWRCalcPts[PLAYER],MATCH(TableWRVORP[[#This Row],[RK]],TableWRCalcPts[RK],0)),"")</f>
        <v>Justin Watson</v>
      </c>
      <c r="Q168" s="154" t="str">
        <f>IFERROR(INDEX(TableWRCalcPts[TM],MATCH(TableWRVORP[[#This Row],[RK]],TableWRCalcPts[RK],0)),"")</f>
        <v>HOU</v>
      </c>
      <c r="R168" s="154">
        <f>IFERROR(INDEX(TableWRCalcPts[BYE],MATCH(TableWRVORP[[#This Row],[RK]],TableWRCalcPts[RK],0)),"")</f>
        <v>8</v>
      </c>
      <c r="S168" s="155">
        <f>IFERROR(INDEX(TableWRCalcPts[Custom],MATCH(TableWRVORP[[#This Row],[RK]],TableWRCalcPts[RK],0)),"")</f>
        <v>6.2971187382564455</v>
      </c>
      <c r="T168" s="156">
        <f>(IFERROR((TableWRVORP[[#This Row],[FPS]]-INDEX(TableWRVORP[FPS],MATCH(WRVORPCalc,TableWRVORP[RK],0))),""))</f>
        <v>-83.987066652109618</v>
      </c>
      <c r="AF168" s="58" t="s">
        <v>148</v>
      </c>
      <c r="AG168" s="58">
        <v>27</v>
      </c>
      <c r="AH168" s="100">
        <f>RANK(TableOverallMaster[[#This Row],[VORP]],TableOverallMaster[VORP])+COUNTIF($AM$2:AM168,AM168)-1</f>
        <v>60</v>
      </c>
      <c r="AI168" s="157" t="str">
        <f>IFERROR(INDEX(TableWRVORP[WIDE RECEIVER],MATCH(TableOverallMaster[[#This Row],[RK]],TableWRVORP[RK],0)),"")</f>
        <v>DJ Moore</v>
      </c>
      <c r="AJ168" s="157" t="str">
        <f t="shared" si="2"/>
        <v>WR27</v>
      </c>
      <c r="AK168" s="157">
        <f>IFERROR(INDEX(TableWRVORP[BYE],MATCH(TableOverallMaster[[#This Row],[RK]],TableWRVORP[RK],0)),"")</f>
        <v>7</v>
      </c>
      <c r="AL168" s="158">
        <f>IFERROR(INDEX(TableWRVORP[FPS],MATCH(TableOverallMaster[[#This Row],[RK]],TableWRVORP[RK],0)),"")</f>
        <v>185.89535424952149</v>
      </c>
      <c r="AM168" s="159">
        <f>IFERROR(INDEX(TableWRVORP[VORP],MATCH(TableOverallMaster[[#This Row],[RK]],TableWRVORP[RK],0)),"")</f>
        <v>95.611168859155427</v>
      </c>
      <c r="AO168" s="58">
        <v>167</v>
      </c>
      <c r="AP168" s="160" t="str">
        <f>IFERROR(INDEX(TableOverallMaster[OVERALL PLAYER],MATCH(TableOverallRank[[#This Row],[RK]],TableOverallMaster[OVR RK],0)),"")</f>
        <v>Jerry Jeudy</v>
      </c>
      <c r="AQ168" s="161" t="str">
        <f>IFERROR(INDEX(TableOverallMaster[POS RK],MATCH(TableOverallRank[[#This Row],[OVERALL PLAYER]],TableOverallMaster[OVERALL PLAYER],0)),"")</f>
        <v>WR69</v>
      </c>
      <c r="AR168" s="162">
        <f>IFERROR(INDEX(TableOverallMaster[BYE],MATCH(TableOverallRank[[#This Row],[OVERALL PLAYER]],TableOverallMaster[OVERALL PLAYER],0)),"")</f>
        <v>11</v>
      </c>
      <c r="AS168" s="161">
        <f>IFERROR(INDEX(TableOverallMaster[Custom],MATCH(TableOverallRank[[#This Row],[OVERALL PLAYER]],TableOverallMaster[OVERALL PLAYER],0)),"")</f>
        <v>95.245616587967987</v>
      </c>
      <c r="AT168" s="163">
        <f>IFERROR(INDEX(TableOverallMaster[VORP],MATCH(TableOverallRank[[#This Row],[OVERALL PLAYER]],TableOverallMaster[OVERALL PLAYER],0)),"")</f>
        <v>4.9614311976019252</v>
      </c>
      <c r="AV168" s="58">
        <v>167</v>
      </c>
      <c r="AW168" s="164" t="str">
        <f>IFERROR(INDEX(TableWRTECalcPts[PLAYER],MATCH(TableWRTERank[[#This Row],[RK]],TableWRTECalcPts[RK],0)),"")</f>
        <v>Tutu Atwell</v>
      </c>
      <c r="AX168" s="164" t="str">
        <f>IFERROR(INDEX(TableWRTECalcPts[POS RK],MATCH(TableWRTERank[[#This Row],[WR and TE COMBINED]],TableWRTECalcPts[PLAYER],0)),"")</f>
        <v>WR121</v>
      </c>
      <c r="AY168" s="164">
        <f>IFERROR(INDEX(TableWRTECalcPts[BYE],MATCH(TableWRTERank[[#This Row],[RK]],TableWRTECalcPts[RK],0)),"")</f>
        <v>6</v>
      </c>
      <c r="AZ168" s="165">
        <f>IFERROR(INDEX(TableWRTECalcPts[Custom],MATCH(TableWRTERank[[#This Row],[RK]],TableWRTECalcPts[RK],0)),"")</f>
        <v>32.392578640116241</v>
      </c>
      <c r="BA168" s="166">
        <f>IFERROR((TableWRTERank[[#This Row],[FPS]]-INDEX(TableWRTERank[FPS],MATCH(WRTEVORPCalc,TableWRTERank[RK],0))),"")</f>
        <v>-108.84379294217545</v>
      </c>
      <c r="BC168" s="58" t="s">
        <v>148</v>
      </c>
    </row>
    <row r="169" spans="8:55" x14ac:dyDescent="0.25">
      <c r="H169" s="58">
        <v>168</v>
      </c>
      <c r="I169" s="154" t="str">
        <f>IFERROR(INDEX(TableRBCalcPts[PLAYER],MATCH(TableRBVORP[[#This Row],[RK]],TableRBCalcPts[RK],0)),"")</f>
        <v/>
      </c>
      <c r="J169" s="154" t="str">
        <f>IFERROR(INDEX(TableRBCalcPts[TM],MATCH(TableRBVORP[[#This Row],[RK]],TableRBCalcPts[RK],0)),"")</f>
        <v/>
      </c>
      <c r="K169" s="154" t="str">
        <f>IFERROR(INDEX(TableRBCalcPts[BYE],MATCH(TableRBVORP[[#This Row],[RK]],TableRBCalcPts[RK],0)),"")</f>
        <v/>
      </c>
      <c r="L169" s="155" t="str">
        <f>IFERROR(INDEX(TableRBCalcPts[Custom],MATCH(TableRBVORP[[#This Row],[RK]],TableRBCalcPts[RK],0)),"")</f>
        <v/>
      </c>
      <c r="M169" s="156" t="e">
        <f>(IFERROR((TableRBVORP[[#This Row],[FPS]]-INDEX(TableRBVORP[FPS],MATCH(RBVORPCalc,TableRBVORP[RK],0))),""))*0.8</f>
        <v>#VALUE!</v>
      </c>
      <c r="O169" s="58">
        <v>168</v>
      </c>
      <c r="P169" s="154" t="str">
        <f>IFERROR(INDEX(TableWRCalcPts[PLAYER],MATCH(TableWRVORP[[#This Row],[RK]],TableWRCalcPts[RK],0)),"")</f>
        <v>Isaiah Williams</v>
      </c>
      <c r="Q169" s="154" t="str">
        <f>IFERROR(INDEX(TableWRCalcPts[TM],MATCH(TableWRVORP[[#This Row],[RK]],TableWRCalcPts[RK],0)),"")</f>
        <v>NYJ</v>
      </c>
      <c r="R169" s="154">
        <f>IFERROR(INDEX(TableWRCalcPts[BYE],MATCH(TableWRVORP[[#This Row],[RK]],TableWRCalcPts[RK],0)),"")</f>
        <v>13</v>
      </c>
      <c r="S169" s="155">
        <f>IFERROR(INDEX(TableWRCalcPts[Custom],MATCH(TableWRVORP[[#This Row],[RK]],TableWRCalcPts[RK],0)),"")</f>
        <v>6.2127515792074117</v>
      </c>
      <c r="T169" s="156">
        <f>(IFERROR((TableWRVORP[[#This Row],[FPS]]-INDEX(TableWRVORP[FPS],MATCH(WRVORPCalc,TableWRVORP[RK],0))),""))</f>
        <v>-84.071433811158656</v>
      </c>
      <c r="AF169" s="58" t="s">
        <v>148</v>
      </c>
      <c r="AG169" s="58">
        <v>28</v>
      </c>
      <c r="AH169" s="100">
        <f>RANK(TableOverallMaster[[#This Row],[VORP]],TableOverallMaster[VORP])+COUNTIF($AM$2:AM169,AM169)-1</f>
        <v>62</v>
      </c>
      <c r="AI169" s="157" t="str">
        <f>IFERROR(INDEX(TableWRVORP[WIDE RECEIVER],MATCH(TableOverallMaster[[#This Row],[RK]],TableWRVORP[RK],0)),"")</f>
        <v>Jameson Williams</v>
      </c>
      <c r="AJ169" s="157" t="str">
        <f t="shared" si="2"/>
        <v>WR28</v>
      </c>
      <c r="AK169" s="157">
        <f>IFERROR(INDEX(TableWRVORP[BYE],MATCH(TableOverallMaster[[#This Row],[RK]],TableWRVORP[RK],0)),"")</f>
        <v>6</v>
      </c>
      <c r="AL169" s="158">
        <f>IFERROR(INDEX(TableWRVORP[FPS],MATCH(TableOverallMaster[[#This Row],[RK]],TableWRVORP[RK],0)),"")</f>
        <v>184.03111003656136</v>
      </c>
      <c r="AM169" s="159">
        <f>IFERROR(INDEX(TableWRVORP[VORP],MATCH(TableOverallMaster[[#This Row],[RK]],TableWRVORP[RK],0)),"")</f>
        <v>93.746924646195296</v>
      </c>
      <c r="AO169" s="58">
        <v>168</v>
      </c>
      <c r="AP169" s="160" t="str">
        <f>IFERROR(INDEX(TableOverallMaster[OVERALL PLAYER],MATCH(TableOverallRank[[#This Row],[RK]],TableOverallMaster[OVR RK],0)),"")</f>
        <v>Tre Tucker</v>
      </c>
      <c r="AQ169" s="161" t="str">
        <f>IFERROR(INDEX(TableOverallMaster[POS RK],MATCH(TableOverallRank[[#This Row],[OVERALL PLAYER]],TableOverallMaster[OVERALL PLAYER],0)),"")</f>
        <v>WR70</v>
      </c>
      <c r="AR169" s="162">
        <f>IFERROR(INDEX(TableOverallMaster[BYE],MATCH(TableOverallRank[[#This Row],[OVERALL PLAYER]],TableOverallMaster[OVERALL PLAYER],0)),"")</f>
        <v>13</v>
      </c>
      <c r="AS169" s="161">
        <f>IFERROR(INDEX(TableOverallMaster[Custom],MATCH(TableOverallRank[[#This Row],[OVERALL PLAYER]],TableOverallMaster[OVERALL PLAYER],0)),"")</f>
        <v>92.360874869434014</v>
      </c>
      <c r="AT169" s="163">
        <f>IFERROR(INDEX(TableOverallMaster[VORP],MATCH(TableOverallRank[[#This Row],[OVERALL PLAYER]],TableOverallMaster[OVERALL PLAYER],0)),"")</f>
        <v>2.0766894790679515</v>
      </c>
      <c r="AV169" s="58">
        <v>168</v>
      </c>
      <c r="AW169" s="164" t="str">
        <f>IFERROR(INDEX(TableWRTECalcPts[PLAYER],MATCH(TableWRTERank[[#This Row],[RK]],TableWRTECalcPts[RK],0)),"")</f>
        <v>Justin Joly</v>
      </c>
      <c r="AX169" s="164" t="str">
        <f>IFERROR(INDEX(TableWRTECalcPts[POS RK],MATCH(TableWRTERank[[#This Row],[WR and TE COMBINED]],TableWRTECalcPts[PLAYER],0)),"")</f>
        <v>TE47</v>
      </c>
      <c r="AY169" s="164">
        <f>IFERROR(INDEX(TableWRTECalcPts[BYE],MATCH(TableWRTERank[[#This Row],[RK]],TableWRTECalcPts[RK],0)),"")</f>
        <v>10</v>
      </c>
      <c r="AZ169" s="165">
        <f>IFERROR(INDEX(TableWRTECalcPts[Custom],MATCH(TableWRTERank[[#This Row],[RK]],TableWRTECalcPts[RK],0)),"")</f>
        <v>32.391832742321469</v>
      </c>
      <c r="BA169" s="166">
        <f>IFERROR((TableWRTERank[[#This Row],[FPS]]-INDEX(TableWRTERank[FPS],MATCH(WRTEVORPCalc,TableWRTERank[RK],0))),"")</f>
        <v>-108.84453883997023</v>
      </c>
      <c r="BC169" s="58" t="s">
        <v>148</v>
      </c>
    </row>
    <row r="170" spans="8:55" x14ac:dyDescent="0.25">
      <c r="H170" s="58">
        <v>169</v>
      </c>
      <c r="I170" s="154" t="str">
        <f>IFERROR(INDEX(TableRBCalcPts[PLAYER],MATCH(TableRBVORP[[#This Row],[RK]],TableRBCalcPts[RK],0)),"")</f>
        <v/>
      </c>
      <c r="J170" s="154" t="str">
        <f>IFERROR(INDEX(TableRBCalcPts[TM],MATCH(TableRBVORP[[#This Row],[RK]],TableRBCalcPts[RK],0)),"")</f>
        <v/>
      </c>
      <c r="K170" s="154" t="str">
        <f>IFERROR(INDEX(TableRBCalcPts[BYE],MATCH(TableRBVORP[[#This Row],[RK]],TableRBCalcPts[RK],0)),"")</f>
        <v/>
      </c>
      <c r="L170" s="155" t="str">
        <f>IFERROR(INDEX(TableRBCalcPts[Custom],MATCH(TableRBVORP[[#This Row],[RK]],TableRBCalcPts[RK],0)),"")</f>
        <v/>
      </c>
      <c r="M170" s="156" t="e">
        <f>(IFERROR((TableRBVORP[[#This Row],[FPS]]-INDEX(TableRBVORP[FPS],MATCH(RBVORPCalc,TableRBVORP[RK],0))),""))*0.8</f>
        <v>#VALUE!</v>
      </c>
      <c r="O170" s="58">
        <v>169</v>
      </c>
      <c r="P170" s="154" t="str">
        <f>IFERROR(INDEX(TableWRCalcPts[PLAYER],MATCH(TableWRVORP[[#This Row],[RK]],TableWRCalcPts[RK],0)),"")</f>
        <v>Scotty Miller</v>
      </c>
      <c r="Q170" s="154" t="str">
        <f>IFERROR(INDEX(TableWRCalcPts[TM],MATCH(TableWRVORP[[#This Row],[RK]],TableWRCalcPts[RK],0)),"")</f>
        <v>CHI</v>
      </c>
      <c r="R170" s="154">
        <f>IFERROR(INDEX(TableWRCalcPts[BYE],MATCH(TableWRVORP[[#This Row],[RK]],TableWRCalcPts[RK],0)),"")</f>
        <v>10</v>
      </c>
      <c r="S170" s="155">
        <f>IFERROR(INDEX(TableWRCalcPts[Custom],MATCH(TableWRVORP[[#This Row],[RK]],TableWRCalcPts[RK],0)),"")</f>
        <v>6.1120980110959993</v>
      </c>
      <c r="T170" s="156">
        <f>(IFERROR((TableWRVORP[[#This Row],[FPS]]-INDEX(TableWRVORP[FPS],MATCH(WRVORPCalc,TableWRVORP[RK],0))),""))</f>
        <v>-84.172087379270067</v>
      </c>
      <c r="AF170" s="58" t="s">
        <v>148</v>
      </c>
      <c r="AG170" s="58">
        <v>29</v>
      </c>
      <c r="AH170" s="100">
        <f>RANK(TableOverallMaster[[#This Row],[VORP]],TableOverallMaster[VORP])+COUNTIF($AM$2:AM170,AM170)-1</f>
        <v>66</v>
      </c>
      <c r="AI170" s="157" t="str">
        <f>IFERROR(INDEX(TableWRVORP[WIDE RECEIVER],MATCH(TableOverallMaster[[#This Row],[RK]],TableWRVORP[RK],0)),"")</f>
        <v>Christian Watson</v>
      </c>
      <c r="AJ170" s="157" t="str">
        <f t="shared" si="2"/>
        <v>WR29</v>
      </c>
      <c r="AK170" s="157">
        <f>IFERROR(INDEX(TableWRVORP[BYE],MATCH(TableOverallMaster[[#This Row],[RK]],TableWRVORP[RK],0)),"")</f>
        <v>11</v>
      </c>
      <c r="AL170" s="158">
        <f>IFERROR(INDEX(TableWRVORP[FPS],MATCH(TableOverallMaster[[#This Row],[RK]],TableWRVORP[RK],0)),"")</f>
        <v>180.53046356058982</v>
      </c>
      <c r="AM170" s="159">
        <f>IFERROR(INDEX(TableWRVORP[VORP],MATCH(TableOverallMaster[[#This Row],[RK]],TableWRVORP[RK],0)),"")</f>
        <v>90.246278170223761</v>
      </c>
      <c r="AO170" s="58">
        <v>169</v>
      </c>
      <c r="AP170" s="160" t="str">
        <f>IFERROR(INDEX(TableOverallMaster[OVERALL PLAYER],MATCH(TableOverallRank[[#This Row],[RK]],TableOverallMaster[OVR RK],0)),"")</f>
        <v>Isiah Pacheco</v>
      </c>
      <c r="AQ170" s="161" t="str">
        <f>IFERROR(INDEX(TableOverallMaster[POS RK],MATCH(TableOverallRank[[#This Row],[OVERALL PLAYER]],TableOverallMaster[OVERALL PLAYER],0)),"")</f>
        <v>RB43</v>
      </c>
      <c r="AR170" s="162">
        <f>IFERROR(INDEX(TableOverallMaster[BYE],MATCH(TableOverallRank[[#This Row],[OVERALL PLAYER]],TableOverallMaster[OVERALL PLAYER],0)),"")</f>
        <v>6</v>
      </c>
      <c r="AS170" s="161">
        <f>IFERROR(INDEX(TableOverallMaster[Custom],MATCH(TableOverallRank[[#This Row],[OVERALL PLAYER]],TableOverallMaster[OVERALL PLAYER],0)),"")</f>
        <v>106.43067468233848</v>
      </c>
      <c r="AT170" s="163">
        <f>IFERROR(INDEX(TableOverallMaster[VORP],MATCH(TableOverallRank[[#This Row],[OVERALL PLAYER]],TableOverallMaster[OVERALL PLAYER],0)),"")</f>
        <v>1.9382683610488813</v>
      </c>
      <c r="AV170" s="58">
        <v>169</v>
      </c>
      <c r="AW170" s="164" t="str">
        <f>IFERROR(INDEX(TableWRTECalcPts[PLAYER],MATCH(TableWRTERank[[#This Row],[RK]],TableWRTECalcPts[RK],0)),"")</f>
        <v>Jake Tonges</v>
      </c>
      <c r="AX170" s="164" t="str">
        <f>IFERROR(INDEX(TableWRTECalcPts[POS RK],MATCH(TableWRTERank[[#This Row],[WR and TE COMBINED]],TableWRTECalcPts[PLAYER],0)),"")</f>
        <v>TE48</v>
      </c>
      <c r="AY170" s="164">
        <f>IFERROR(INDEX(TableWRTECalcPts[BYE],MATCH(TableWRTERank[[#This Row],[RK]],TableWRTECalcPts[RK],0)),"")</f>
        <v>8</v>
      </c>
      <c r="AZ170" s="165">
        <f>IFERROR(INDEX(TableWRTECalcPts[Custom],MATCH(TableWRTERank[[#This Row],[RK]],TableWRTECalcPts[RK],0)),"")</f>
        <v>32.157489867619205</v>
      </c>
      <c r="BA170" s="166">
        <f>IFERROR((TableWRTERank[[#This Row],[FPS]]-INDEX(TableWRTERank[FPS],MATCH(WRTEVORPCalc,TableWRTERank[RK],0))),"")</f>
        <v>-109.07888171467249</v>
      </c>
      <c r="BC170" s="58" t="s">
        <v>148</v>
      </c>
    </row>
    <row r="171" spans="8:55" x14ac:dyDescent="0.25">
      <c r="H171" s="58">
        <v>170</v>
      </c>
      <c r="I171" s="154" t="str">
        <f>IFERROR(INDEX(TableRBCalcPts[PLAYER],MATCH(TableRBVORP[[#This Row],[RK]],TableRBCalcPts[RK],0)),"")</f>
        <v/>
      </c>
      <c r="J171" s="154" t="str">
        <f>IFERROR(INDEX(TableRBCalcPts[TM],MATCH(TableRBVORP[[#This Row],[RK]],TableRBCalcPts[RK],0)),"")</f>
        <v/>
      </c>
      <c r="K171" s="154" t="str">
        <f>IFERROR(INDEX(TableRBCalcPts[BYE],MATCH(TableRBVORP[[#This Row],[RK]],TableRBCalcPts[RK],0)),"")</f>
        <v/>
      </c>
      <c r="L171" s="155" t="str">
        <f>IFERROR(INDEX(TableRBCalcPts[Custom],MATCH(TableRBVORP[[#This Row],[RK]],TableRBCalcPts[RK],0)),"")</f>
        <v/>
      </c>
      <c r="M171" s="156" t="e">
        <f>(IFERROR((TableRBVORP[[#This Row],[FPS]]-INDEX(TableRBVORP[FPS],MATCH(RBVORPCalc,TableRBVORP[RK],0))),""))*0.8</f>
        <v>#VALUE!</v>
      </c>
      <c r="O171" s="58">
        <v>170</v>
      </c>
      <c r="P171" s="154" t="str">
        <f>IFERROR(INDEX(TableWRCalcPts[PLAYER],MATCH(TableWRVORP[[#This Row],[RK]],TableWRCalcPts[RK],0)),"")</f>
        <v>CJ Williams</v>
      </c>
      <c r="Q171" s="154" t="str">
        <f>IFERROR(INDEX(TableWRCalcPts[TM],MATCH(TableWRVORP[[#This Row],[RK]],TableWRCalcPts[RK],0)),"")</f>
        <v>JAX</v>
      </c>
      <c r="R171" s="154">
        <f>IFERROR(INDEX(TableWRCalcPts[BYE],MATCH(TableWRVORP[[#This Row],[RK]],TableWRCalcPts[RK],0)),"")</f>
        <v>7</v>
      </c>
      <c r="S171" s="155">
        <f>IFERROR(INDEX(TableWRCalcPts[Custom],MATCH(TableWRVORP[[#This Row],[RK]],TableWRCalcPts[RK],0)),"")</f>
        <v>5.9840247851999999</v>
      </c>
      <c r="T171" s="156">
        <f>(IFERROR((TableWRVORP[[#This Row],[FPS]]-INDEX(TableWRVORP[FPS],MATCH(WRVORPCalc,TableWRVORP[RK],0))),""))</f>
        <v>-84.300160605166056</v>
      </c>
      <c r="AF171" s="58" t="s">
        <v>148</v>
      </c>
      <c r="AG171" s="58">
        <v>30</v>
      </c>
      <c r="AH171" s="100">
        <f>RANK(TableOverallMaster[[#This Row],[VORP]],TableOverallMaster[VORP])+COUNTIF($AM$2:AM171,AM171)-1</f>
        <v>69</v>
      </c>
      <c r="AI171" s="157" t="str">
        <f>IFERROR(INDEX(TableWRVORP[WIDE RECEIVER],MATCH(TableOverallMaster[[#This Row],[RK]],TableWRVORP[RK],0)),"")</f>
        <v>Rome Odunze</v>
      </c>
      <c r="AJ171" s="157" t="str">
        <f t="shared" si="2"/>
        <v>WR30</v>
      </c>
      <c r="AK171" s="157">
        <f>IFERROR(INDEX(TableWRVORP[BYE],MATCH(TableOverallMaster[[#This Row],[RK]],TableWRVORP[RK],0)),"")</f>
        <v>10</v>
      </c>
      <c r="AL171" s="158">
        <f>IFERROR(INDEX(TableWRVORP[FPS],MATCH(TableOverallMaster[[#This Row],[RK]],TableWRVORP[RK],0)),"")</f>
        <v>174.03183456362797</v>
      </c>
      <c r="AM171" s="159">
        <f>IFERROR(INDEX(TableWRVORP[VORP],MATCH(TableOverallMaster[[#This Row],[RK]],TableWRVORP[RK],0)),"")</f>
        <v>83.747649173261905</v>
      </c>
      <c r="AO171" s="58">
        <v>170</v>
      </c>
      <c r="AP171" s="160" t="str">
        <f>IFERROR(INDEX(TableOverallMaster[OVERALL PLAYER],MATCH(TableOverallRank[[#This Row],[RK]],TableOverallMaster[OVR RK],0)),"")</f>
        <v>Germie Bernard</v>
      </c>
      <c r="AQ171" s="161" t="str">
        <f>IFERROR(INDEX(TableOverallMaster[POS RK],MATCH(TableOverallRank[[#This Row],[OVERALL PLAYER]],TableOverallMaster[OVERALL PLAYER],0)),"")</f>
        <v>WR71</v>
      </c>
      <c r="AR171" s="162">
        <f>IFERROR(INDEX(TableOverallMaster[BYE],MATCH(TableOverallRank[[#This Row],[OVERALL PLAYER]],TableOverallMaster[OVERALL PLAYER],0)),"")</f>
        <v>9</v>
      </c>
      <c r="AS171" s="161">
        <f>IFERROR(INDEX(TableOverallMaster[Custom],MATCH(TableOverallRank[[#This Row],[OVERALL PLAYER]],TableOverallMaster[OVERALL PLAYER],0)),"")</f>
        <v>91.944125838049231</v>
      </c>
      <c r="AT171" s="163">
        <f>IFERROR(INDEX(TableOverallMaster[VORP],MATCH(TableOverallRank[[#This Row],[OVERALL PLAYER]],TableOverallMaster[OVERALL PLAYER],0)),"")</f>
        <v>1.6599404476831694</v>
      </c>
      <c r="AV171" s="58">
        <v>170</v>
      </c>
      <c r="AW171" s="164" t="str">
        <f>IFERROR(INDEX(TableWRTECalcPts[PLAYER],MATCH(TableWRTERank[[#This Row],[RK]],TableWRTECalcPts[RK],0)),"")</f>
        <v>Eli Stowers</v>
      </c>
      <c r="AX171" s="164" t="str">
        <f>IFERROR(INDEX(TableWRTECalcPts[POS RK],MATCH(TableWRTERank[[#This Row],[WR and TE COMBINED]],TableWRTECalcPts[PLAYER],0)),"")</f>
        <v>TE49</v>
      </c>
      <c r="AY171" s="164">
        <f>IFERROR(INDEX(TableWRTECalcPts[BYE],MATCH(TableWRTERank[[#This Row],[RK]],TableWRTECalcPts[RK],0)),"")</f>
        <v>10</v>
      </c>
      <c r="AZ171" s="165">
        <f>IFERROR(INDEX(TableWRTECalcPts[Custom],MATCH(TableWRTERank[[#This Row],[RK]],TableWRTECalcPts[RK],0)),"")</f>
        <v>32.087305180512104</v>
      </c>
      <c r="BA171" s="166">
        <f>IFERROR((TableWRTERank[[#This Row],[FPS]]-INDEX(TableWRTERank[FPS],MATCH(WRTEVORPCalc,TableWRTERank[RK],0))),"")</f>
        <v>-109.14906640177959</v>
      </c>
      <c r="BC171" s="58" t="s">
        <v>148</v>
      </c>
    </row>
    <row r="172" spans="8:55" x14ac:dyDescent="0.25">
      <c r="H172" s="58">
        <v>171</v>
      </c>
      <c r="I172" s="154" t="str">
        <f>IFERROR(INDEX(TableRBCalcPts[PLAYER],MATCH(TableRBVORP[[#This Row],[RK]],TableRBCalcPts[RK],0)),"")</f>
        <v/>
      </c>
      <c r="J172" s="154" t="str">
        <f>IFERROR(INDEX(TableRBCalcPts[TM],MATCH(TableRBVORP[[#This Row],[RK]],TableRBCalcPts[RK],0)),"")</f>
        <v/>
      </c>
      <c r="K172" s="154" t="str">
        <f>IFERROR(INDEX(TableRBCalcPts[BYE],MATCH(TableRBVORP[[#This Row],[RK]],TableRBCalcPts[RK],0)),"")</f>
        <v/>
      </c>
      <c r="L172" s="155" t="str">
        <f>IFERROR(INDEX(TableRBCalcPts[Custom],MATCH(TableRBVORP[[#This Row],[RK]],TableRBCalcPts[RK],0)),"")</f>
        <v/>
      </c>
      <c r="M172" s="156" t="e">
        <f>(IFERROR((TableRBVORP[[#This Row],[FPS]]-INDEX(TableRBVORP[FPS],MATCH(RBVORPCalc,TableRBVORP[RK],0))),""))*0.8</f>
        <v>#VALUE!</v>
      </c>
      <c r="O172" s="58">
        <v>171</v>
      </c>
      <c r="P172" s="154" t="str">
        <f>IFERROR(INDEX(TableWRCalcPts[PLAYER],MATCH(TableWRVORP[[#This Row],[RK]],TableWRCalcPts[RK],0)),"")</f>
        <v>Jeshaun Jones</v>
      </c>
      <c r="Q172" s="154" t="str">
        <f>IFERROR(INDEX(TableWRCalcPts[TM],MATCH(TableWRVORP[[#This Row],[RK]],TableWRCalcPts[RK],0)),"")</f>
        <v>MIN</v>
      </c>
      <c r="R172" s="154">
        <f>IFERROR(INDEX(TableWRCalcPts[BYE],MATCH(TableWRVORP[[#This Row],[RK]],TableWRCalcPts[RK],0)),"")</f>
        <v>6</v>
      </c>
      <c r="S172" s="155">
        <f>IFERROR(INDEX(TableWRCalcPts[Custom],MATCH(TableWRVORP[[#This Row],[RK]],TableWRCalcPts[RK],0)),"")</f>
        <v>5.9596989836810934</v>
      </c>
      <c r="T172" s="156">
        <f>(IFERROR((TableWRVORP[[#This Row],[FPS]]-INDEX(TableWRVORP[FPS],MATCH(WRVORPCalc,TableWRVORP[RK],0))),""))</f>
        <v>-84.324486406684969</v>
      </c>
      <c r="AF172" s="58" t="s">
        <v>148</v>
      </c>
      <c r="AG172" s="58">
        <v>31</v>
      </c>
      <c r="AH172" s="100">
        <f>RANK(TableOverallMaster[[#This Row],[VORP]],TableOverallMaster[VORP])+COUNTIF($AM$2:AM172,AM172)-1</f>
        <v>70</v>
      </c>
      <c r="AI172" s="157" t="str">
        <f>IFERROR(INDEX(TableWRVORP[WIDE RECEIVER],MATCH(TableOverallMaster[[#This Row],[RK]],TableWRVORP[RK],0)),"")</f>
        <v>Alec Pierce</v>
      </c>
      <c r="AJ172" s="157" t="str">
        <f t="shared" si="2"/>
        <v>WR31</v>
      </c>
      <c r="AK172" s="157">
        <f>IFERROR(INDEX(TableWRVORP[BYE],MATCH(TableOverallMaster[[#This Row],[RK]],TableWRVORP[RK],0)),"")</f>
        <v>13</v>
      </c>
      <c r="AL172" s="158">
        <f>IFERROR(INDEX(TableWRVORP[FPS],MATCH(TableOverallMaster[[#This Row],[RK]],TableWRVORP[RK],0)),"")</f>
        <v>172.58925215568158</v>
      </c>
      <c r="AM172" s="159">
        <f>IFERROR(INDEX(TableWRVORP[VORP],MATCH(TableOverallMaster[[#This Row],[RK]],TableWRVORP[RK],0)),"")</f>
        <v>82.305066765315516</v>
      </c>
      <c r="AO172" s="58">
        <v>171</v>
      </c>
      <c r="AP172" s="160" t="str">
        <f>IFERROR(INDEX(TableOverallMaster[OVERALL PLAYER],MATCH(TableOverallRank[[#This Row],[RK]],TableOverallMaster[OVR RK],0)),"")</f>
        <v>Jacoby Brissett</v>
      </c>
      <c r="AQ172" s="161" t="str">
        <f>IFERROR(INDEX(TableOverallMaster[POS RK],MATCH(TableOverallRank[[#This Row],[OVERALL PLAYER]],TableOverallMaster[OVERALL PLAYER],0)),"")</f>
        <v>QB28</v>
      </c>
      <c r="AR172" s="162">
        <f>IFERROR(INDEX(TableOverallMaster[BYE],MATCH(TableOverallRank[[#This Row],[OVERALL PLAYER]],TableOverallMaster[OVERALL PLAYER],0)),"")</f>
        <v>14</v>
      </c>
      <c r="AS172" s="161">
        <f>IFERROR(INDEX(TableOverallMaster[Custom],MATCH(TableOverallRank[[#This Row],[OVERALL PLAYER]],TableOverallMaster[OVERALL PLAYER],0)),"")</f>
        <v>311.67500095651786</v>
      </c>
      <c r="AT172" s="163">
        <f>IFERROR(INDEX(TableOverallMaster[VORP],MATCH(TableOverallRank[[#This Row],[OVERALL PLAYER]],TableOverallMaster[OVERALL PLAYER],0)),"")</f>
        <v>1.5329202492154366</v>
      </c>
      <c r="AV172" s="58">
        <v>171</v>
      </c>
      <c r="AW172" s="164" t="str">
        <f>IFERROR(INDEX(TableWRTECalcPts[PLAYER],MATCH(TableWRTERank[[#This Row],[RK]],TableWRTECalcPts[RK],0)),"")</f>
        <v>Erick All</v>
      </c>
      <c r="AX172" s="164" t="str">
        <f>IFERROR(INDEX(TableWRTECalcPts[POS RK],MATCH(TableWRTERank[[#This Row],[WR and TE COMBINED]],TableWRTECalcPts[PLAYER],0)),"")</f>
        <v>TE50</v>
      </c>
      <c r="AY172" s="164">
        <f>IFERROR(INDEX(TableWRTECalcPts[BYE],MATCH(TableWRTERank[[#This Row],[RK]],TableWRTECalcPts[RK],0)),"")</f>
        <v>6</v>
      </c>
      <c r="AZ172" s="165">
        <f>IFERROR(INDEX(TableWRTECalcPts[Custom],MATCH(TableWRTERank[[#This Row],[RK]],TableWRTECalcPts[RK],0)),"")</f>
        <v>30.702244123332896</v>
      </c>
      <c r="BA172" s="166">
        <f>IFERROR((TableWRTERank[[#This Row],[FPS]]-INDEX(TableWRTERank[FPS],MATCH(WRTEVORPCalc,TableWRTERank[RK],0))),"")</f>
        <v>-110.53412745895881</v>
      </c>
      <c r="BC172" s="58" t="s">
        <v>148</v>
      </c>
    </row>
    <row r="173" spans="8:55" x14ac:dyDescent="0.25">
      <c r="H173" s="58">
        <v>172</v>
      </c>
      <c r="I173" s="154" t="str">
        <f>IFERROR(INDEX(TableRBCalcPts[PLAYER],MATCH(TableRBVORP[[#This Row],[RK]],TableRBCalcPts[RK],0)),"")</f>
        <v/>
      </c>
      <c r="J173" s="154" t="str">
        <f>IFERROR(INDEX(TableRBCalcPts[TM],MATCH(TableRBVORP[[#This Row],[RK]],TableRBCalcPts[RK],0)),"")</f>
        <v/>
      </c>
      <c r="K173" s="154" t="str">
        <f>IFERROR(INDEX(TableRBCalcPts[BYE],MATCH(TableRBVORP[[#This Row],[RK]],TableRBCalcPts[RK],0)),"")</f>
        <v/>
      </c>
      <c r="L173" s="155" t="str">
        <f>IFERROR(INDEX(TableRBCalcPts[Custom],MATCH(TableRBVORP[[#This Row],[RK]],TableRBCalcPts[RK],0)),"")</f>
        <v/>
      </c>
      <c r="M173" s="156" t="e">
        <f>(IFERROR((TableRBVORP[[#This Row],[FPS]]-INDEX(TableRBVORP[FPS],MATCH(RBVORPCalc,TableRBVORP[RK],0))),""))*0.8</f>
        <v>#VALUE!</v>
      </c>
      <c r="O173" s="58">
        <v>172</v>
      </c>
      <c r="P173" s="154" t="str">
        <f>IFERROR(INDEX(TableWRCalcPts[PLAYER],MATCH(TableWRVORP[[#This Row],[RK]],TableWRCalcPts[RK],0)),"")</f>
        <v>Dareke Young</v>
      </c>
      <c r="Q173" s="154" t="str">
        <f>IFERROR(INDEX(TableWRCalcPts[TM],MATCH(TableWRVORP[[#This Row],[RK]],TableWRCalcPts[RK],0)),"")</f>
        <v>LV</v>
      </c>
      <c r="R173" s="154">
        <f>IFERROR(INDEX(TableWRCalcPts[BYE],MATCH(TableWRVORP[[#This Row],[RK]],TableWRCalcPts[RK],0)),"")</f>
        <v>13</v>
      </c>
      <c r="S173" s="155">
        <f>IFERROR(INDEX(TableWRCalcPts[Custom],MATCH(TableWRVORP[[#This Row],[RK]],TableWRCalcPts[RK],0)),"")</f>
        <v>5.5403300973887992</v>
      </c>
      <c r="T173" s="156">
        <f>(IFERROR((TableWRVORP[[#This Row],[FPS]]-INDEX(TableWRVORP[FPS],MATCH(WRVORPCalc,TableWRVORP[RK],0))),""))</f>
        <v>-84.743855292977258</v>
      </c>
      <c r="AF173" s="58" t="s">
        <v>148</v>
      </c>
      <c r="AG173" s="58">
        <v>32</v>
      </c>
      <c r="AH173" s="100">
        <f>RANK(TableOverallMaster[[#This Row],[VORP]],TableOverallMaster[VORP])+COUNTIF($AM$2:AM173,AM173)-1</f>
        <v>72</v>
      </c>
      <c r="AI173" s="157" t="str">
        <f>IFERROR(INDEX(TableWRVORP[WIDE RECEIVER],MATCH(TableOverallMaster[[#This Row],[RK]],TableWRVORP[RK],0)),"")</f>
        <v>Courtland Sutton</v>
      </c>
      <c r="AJ173" s="157" t="str">
        <f t="shared" si="2"/>
        <v>WR32</v>
      </c>
      <c r="AK173" s="157">
        <f>IFERROR(INDEX(TableWRVORP[BYE],MATCH(TableOverallMaster[[#This Row],[RK]],TableWRVORP[RK],0)),"")</f>
        <v>10</v>
      </c>
      <c r="AL173" s="158">
        <f>IFERROR(INDEX(TableWRVORP[FPS],MATCH(TableOverallMaster[[#This Row],[RK]],TableWRVORP[RK],0)),"")</f>
        <v>170.42848543673475</v>
      </c>
      <c r="AM173" s="159">
        <f>IFERROR(INDEX(TableWRVORP[VORP],MATCH(TableOverallMaster[[#This Row],[RK]],TableWRVORP[RK],0)),"")</f>
        <v>80.144300046368684</v>
      </c>
      <c r="AO173" s="58">
        <v>172</v>
      </c>
      <c r="AP173" s="160" t="str">
        <f>IFERROR(INDEX(TableOverallMaster[OVERALL PLAYER],MATCH(TableOverallRank[[#This Row],[RK]],TableOverallMaster[OVR RK],0)),"")</f>
        <v>Cooper Kupp</v>
      </c>
      <c r="AQ173" s="161" t="str">
        <f>IFERROR(INDEX(TableOverallMaster[POS RK],MATCH(TableOverallRank[[#This Row],[OVERALL PLAYER]],TableOverallMaster[OVERALL PLAYER],0)),"")</f>
        <v>WR72</v>
      </c>
      <c r="AR173" s="162">
        <f>IFERROR(INDEX(TableOverallMaster[BYE],MATCH(TableOverallRank[[#This Row],[OVERALL PLAYER]],TableOverallMaster[OVERALL PLAYER],0)),"")</f>
        <v>11</v>
      </c>
      <c r="AS173" s="161">
        <f>IFERROR(INDEX(TableOverallMaster[Custom],MATCH(TableOverallRank[[#This Row],[OVERALL PLAYER]],TableOverallMaster[OVERALL PLAYER],0)),"")</f>
        <v>90.871065206669996</v>
      </c>
      <c r="AT173" s="163">
        <f>IFERROR(INDEX(TableOverallMaster[VORP],MATCH(TableOverallRank[[#This Row],[OVERALL PLAYER]],TableOverallMaster[OVERALL PLAYER],0)),"")</f>
        <v>0.58687981630393438</v>
      </c>
      <c r="AV173" s="58">
        <v>172</v>
      </c>
      <c r="AW173" s="164" t="str">
        <f>IFERROR(INDEX(TableWRTECalcPts[PLAYER],MATCH(TableWRTERank[[#This Row],[RK]],TableWRTECalcPts[RK],0)),"")</f>
        <v>Luke Musgrave</v>
      </c>
      <c r="AX173" s="164" t="str">
        <f>IFERROR(INDEX(TableWRTECalcPts[POS RK],MATCH(TableWRTERank[[#This Row],[WR and TE COMBINED]],TableWRTECalcPts[PLAYER],0)),"")</f>
        <v>TE51</v>
      </c>
      <c r="AY173" s="164">
        <f>IFERROR(INDEX(TableWRTECalcPts[BYE],MATCH(TableWRTERank[[#This Row],[RK]],TableWRTECalcPts[RK],0)),"")</f>
        <v>11</v>
      </c>
      <c r="AZ173" s="165">
        <f>IFERROR(INDEX(TableWRTECalcPts[Custom],MATCH(TableWRTERank[[#This Row],[RK]],TableWRTECalcPts[RK],0)),"")</f>
        <v>29.770886817973757</v>
      </c>
      <c r="BA173" s="166">
        <f>IFERROR((TableWRTERank[[#This Row],[FPS]]-INDEX(TableWRTERank[FPS],MATCH(WRTEVORPCalc,TableWRTERank[RK],0))),"")</f>
        <v>-111.46548476431794</v>
      </c>
      <c r="BC173" s="58" t="s">
        <v>148</v>
      </c>
    </row>
    <row r="174" spans="8:55" x14ac:dyDescent="0.25">
      <c r="H174" s="58">
        <v>173</v>
      </c>
      <c r="I174" s="154" t="str">
        <f>IFERROR(INDEX(TableRBCalcPts[PLAYER],MATCH(TableRBVORP[[#This Row],[RK]],TableRBCalcPts[RK],0)),"")</f>
        <v/>
      </c>
      <c r="J174" s="154" t="str">
        <f>IFERROR(INDEX(TableRBCalcPts[TM],MATCH(TableRBVORP[[#This Row],[RK]],TableRBCalcPts[RK],0)),"")</f>
        <v/>
      </c>
      <c r="K174" s="154" t="str">
        <f>IFERROR(INDEX(TableRBCalcPts[BYE],MATCH(TableRBVORP[[#This Row],[RK]],TableRBCalcPts[RK],0)),"")</f>
        <v/>
      </c>
      <c r="L174" s="155" t="str">
        <f>IFERROR(INDEX(TableRBCalcPts[Custom],MATCH(TableRBVORP[[#This Row],[RK]],TableRBCalcPts[RK],0)),"")</f>
        <v/>
      </c>
      <c r="M174" s="156" t="e">
        <f>(IFERROR((TableRBVORP[[#This Row],[FPS]]-INDEX(TableRBVORP[FPS],MATCH(RBVORPCalc,TableRBVORP[RK],0))),""))*0.8</f>
        <v>#VALUE!</v>
      </c>
      <c r="O174" s="58">
        <v>173</v>
      </c>
      <c r="P174" s="154" t="str">
        <f>IFERROR(INDEX(TableWRCalcPts[PLAYER],MATCH(TableWRVORP[[#This Row],[RK]],TableWRCalcPts[RK],0)),"")</f>
        <v>Devin Duvernay</v>
      </c>
      <c r="Q174" s="154" t="str">
        <f>IFERROR(INDEX(TableWRCalcPts[TM],MATCH(TableWRVORP[[#This Row],[RK]],TableWRCalcPts[RK],0)),"")</f>
        <v>ARI</v>
      </c>
      <c r="R174" s="154">
        <f>IFERROR(INDEX(TableWRCalcPts[BYE],MATCH(TableWRVORP[[#This Row],[RK]],TableWRCalcPts[RK],0)),"")</f>
        <v>14</v>
      </c>
      <c r="S174" s="155">
        <f>IFERROR(INDEX(TableWRCalcPts[Custom],MATCH(TableWRVORP[[#This Row],[RK]],TableWRCalcPts[RK],0)),"")</f>
        <v>5.4590765981733336</v>
      </c>
      <c r="T174" s="156">
        <f>(IFERROR((TableWRVORP[[#This Row],[FPS]]-INDEX(TableWRVORP[FPS],MATCH(WRVORPCalc,TableWRVORP[RK],0))),""))</f>
        <v>-84.825108792192722</v>
      </c>
      <c r="AF174" s="58" t="s">
        <v>148</v>
      </c>
      <c r="AG174" s="58">
        <v>33</v>
      </c>
      <c r="AH174" s="100">
        <f>RANK(TableOverallMaster[[#This Row],[VORP]],TableOverallMaster[VORP])+COUNTIF($AM$2:AM174,AM174)-1</f>
        <v>74</v>
      </c>
      <c r="AI174" s="157" t="str">
        <f>IFERROR(INDEX(TableWRVORP[WIDE RECEIVER],MATCH(TableOverallMaster[[#This Row],[RK]],TableWRVORP[RK],0)),"")</f>
        <v>Makai Lemon</v>
      </c>
      <c r="AJ174" s="157" t="str">
        <f t="shared" si="2"/>
        <v>WR33</v>
      </c>
      <c r="AK174" s="157">
        <f>IFERROR(INDEX(TableWRVORP[BYE],MATCH(TableOverallMaster[[#This Row],[RK]],TableWRVORP[RK],0)),"")</f>
        <v>10</v>
      </c>
      <c r="AL174" s="158">
        <f>IFERROR(INDEX(TableWRVORP[FPS],MATCH(TableOverallMaster[[#This Row],[RK]],TableWRVORP[RK],0)),"")</f>
        <v>169.40745113120846</v>
      </c>
      <c r="AM174" s="159">
        <f>IFERROR(INDEX(TableWRVORP[VORP],MATCH(TableOverallMaster[[#This Row],[RK]],TableWRVORP[RK],0)),"")</f>
        <v>79.123265740842399</v>
      </c>
      <c r="AO174" s="58">
        <v>173</v>
      </c>
      <c r="AP174" s="160" t="str">
        <f>IFERROR(INDEX(TableOverallMaster[OVERALL PLAYER],MATCH(TableOverallRank[[#This Row],[RK]],TableOverallMaster[OVR RK],0)),"")</f>
        <v>Alvin Kamara</v>
      </c>
      <c r="AQ174" s="161" t="str">
        <f>IFERROR(INDEX(TableOverallMaster[POS RK],MATCH(TableOverallRank[[#This Row],[OVERALL PLAYER]],TableOverallMaster[OVERALL PLAYER],0)),"")</f>
        <v>RB44</v>
      </c>
      <c r="AR174" s="162">
        <f>IFERROR(INDEX(TableOverallMaster[BYE],MATCH(TableOverallRank[[#This Row],[OVERALL PLAYER]],TableOverallMaster[OVERALL PLAYER],0)),"")</f>
        <v>8</v>
      </c>
      <c r="AS174" s="161">
        <f>IFERROR(INDEX(TableOverallMaster[Custom],MATCH(TableOverallRank[[#This Row],[OVERALL PLAYER]],TableOverallMaster[OVERALL PLAYER],0)),"")</f>
        <v>104.00783923102738</v>
      </c>
      <c r="AT174" s="163">
        <f>IFERROR(INDEX(TableOverallMaster[VORP],MATCH(TableOverallRank[[#This Row],[OVERALL PLAYER]],TableOverallMaster[OVERALL PLAYER],0)),"")</f>
        <v>0</v>
      </c>
      <c r="AV174" s="58">
        <v>173</v>
      </c>
      <c r="AW174" s="164" t="str">
        <f>IFERROR(INDEX(TableWRTECalcPts[PLAYER],MATCH(TableWRTERank[[#This Row],[RK]],TableWRTECalcPts[RK],0)),"")</f>
        <v>Mitchell Evans</v>
      </c>
      <c r="AX174" s="164" t="str">
        <f>IFERROR(INDEX(TableWRTECalcPts[POS RK],MATCH(TableWRTERank[[#This Row],[WR and TE COMBINED]],TableWRTECalcPts[PLAYER],0)),"")</f>
        <v>TE52</v>
      </c>
      <c r="AY174" s="164">
        <f>IFERROR(INDEX(TableWRTECalcPts[BYE],MATCH(TableWRTERank[[#This Row],[RK]],TableWRTECalcPts[RK],0)),"")</f>
        <v>5</v>
      </c>
      <c r="AZ174" s="165">
        <f>IFERROR(INDEX(TableWRTECalcPts[Custom],MATCH(TableWRTERank[[#This Row],[RK]],TableWRTECalcPts[RK],0)),"")</f>
        <v>29.061253155538388</v>
      </c>
      <c r="BA174" s="166">
        <f>IFERROR((TableWRTERank[[#This Row],[FPS]]-INDEX(TableWRTERank[FPS],MATCH(WRTEVORPCalc,TableWRTERank[RK],0))),"")</f>
        <v>-112.1751184267533</v>
      </c>
      <c r="BC174" s="58" t="s">
        <v>148</v>
      </c>
    </row>
    <row r="175" spans="8:55" x14ac:dyDescent="0.25">
      <c r="H175" s="58">
        <v>174</v>
      </c>
      <c r="I175" s="154" t="str">
        <f>IFERROR(INDEX(TableRBCalcPts[PLAYER],MATCH(TableRBVORP[[#This Row],[RK]],TableRBCalcPts[RK],0)),"")</f>
        <v/>
      </c>
      <c r="J175" s="154" t="str">
        <f>IFERROR(INDEX(TableRBCalcPts[TM],MATCH(TableRBVORP[[#This Row],[RK]],TableRBCalcPts[RK],0)),"")</f>
        <v/>
      </c>
      <c r="K175" s="154" t="str">
        <f>IFERROR(INDEX(TableRBCalcPts[BYE],MATCH(TableRBVORP[[#This Row],[RK]],TableRBCalcPts[RK],0)),"")</f>
        <v/>
      </c>
      <c r="L175" s="155" t="str">
        <f>IFERROR(INDEX(TableRBCalcPts[Custom],MATCH(TableRBVORP[[#This Row],[RK]],TableRBCalcPts[RK],0)),"")</f>
        <v/>
      </c>
      <c r="M175" s="156" t="e">
        <f>(IFERROR((TableRBVORP[[#This Row],[FPS]]-INDEX(TableRBVORP[FPS],MATCH(RBVORPCalc,TableRBVORP[RK],0))),""))*0.8</f>
        <v>#VALUE!</v>
      </c>
      <c r="O175" s="58">
        <v>174</v>
      </c>
      <c r="P175" s="154" t="str">
        <f>IFERROR(INDEX(TableWRCalcPts[PLAYER],MATCH(TableWRVORP[[#This Row],[RK]],TableWRCalcPts[RK],0)),"")</f>
        <v>Anthony Gould</v>
      </c>
      <c r="Q175" s="154" t="str">
        <f>IFERROR(INDEX(TableWRCalcPts[TM],MATCH(TableWRVORP[[#This Row],[RK]],TableWRCalcPts[RK],0)),"")</f>
        <v>IND</v>
      </c>
      <c r="R175" s="154">
        <f>IFERROR(INDEX(TableWRCalcPts[BYE],MATCH(TableWRVORP[[#This Row],[RK]],TableWRCalcPts[RK],0)),"")</f>
        <v>13</v>
      </c>
      <c r="S175" s="155">
        <f>IFERROR(INDEX(TableWRCalcPts[Custom],MATCH(TableWRVORP[[#This Row],[RK]],TableWRCalcPts[RK],0)),"")</f>
        <v>5.4349145164160007</v>
      </c>
      <c r="T175" s="156">
        <f>(IFERROR((TableWRVORP[[#This Row],[FPS]]-INDEX(TableWRVORP[FPS],MATCH(WRVORPCalc,TableWRVORP[RK],0))),""))</f>
        <v>-84.849270873950061</v>
      </c>
      <c r="AF175" s="58" t="s">
        <v>148</v>
      </c>
      <c r="AG175" s="58">
        <v>34</v>
      </c>
      <c r="AH175" s="100">
        <f>RANK(TableOverallMaster[[#This Row],[VORP]],TableOverallMaster[VORP])+COUNTIF($AM$2:AM175,AM175)-1</f>
        <v>75</v>
      </c>
      <c r="AI175" s="157" t="str">
        <f>IFERROR(INDEX(TableWRVORP[WIDE RECEIVER],MATCH(TableOverallMaster[[#This Row],[RK]],TableWRVORP[RK],0)),"")</f>
        <v>Jordan Addison</v>
      </c>
      <c r="AJ175" s="157" t="str">
        <f t="shared" si="2"/>
        <v>WR34</v>
      </c>
      <c r="AK175" s="157">
        <f>IFERROR(INDEX(TableWRVORP[BYE],MATCH(TableOverallMaster[[#This Row],[RK]],TableWRVORP[RK],0)),"")</f>
        <v>6</v>
      </c>
      <c r="AL175" s="158">
        <f>IFERROR(INDEX(TableWRVORP[FPS],MATCH(TableOverallMaster[[#This Row],[RK]],TableWRVORP[RK],0)),"")</f>
        <v>168.53891277683735</v>
      </c>
      <c r="AM175" s="159">
        <f>IFERROR(INDEX(TableWRVORP[VORP],MATCH(TableOverallMaster[[#This Row],[RK]],TableWRVORP[RK],0)),"")</f>
        <v>78.254727386471288</v>
      </c>
      <c r="AO175" s="58">
        <v>174</v>
      </c>
      <c r="AP175" s="160" t="str">
        <f>IFERROR(INDEX(TableOverallMaster[OVERALL PLAYER],MATCH(TableOverallRank[[#This Row],[RK]],TableOverallMaster[OVR RK],0)),"")</f>
        <v>Ryan Flournoy</v>
      </c>
      <c r="AQ175" s="161" t="str">
        <f>IFERROR(INDEX(TableOverallMaster[POS RK],MATCH(TableOverallRank[[#This Row],[OVERALL PLAYER]],TableOverallMaster[OVERALL PLAYER],0)),"")</f>
        <v>WR73</v>
      </c>
      <c r="AR175" s="162">
        <f>IFERROR(INDEX(TableOverallMaster[BYE],MATCH(TableOverallRank[[#This Row],[OVERALL PLAYER]],TableOverallMaster[OVERALL PLAYER],0)),"")</f>
        <v>14</v>
      </c>
      <c r="AS175" s="161">
        <f>IFERROR(INDEX(TableOverallMaster[Custom],MATCH(TableOverallRank[[#This Row],[OVERALL PLAYER]],TableOverallMaster[OVERALL PLAYER],0)),"")</f>
        <v>90.284185390366062</v>
      </c>
      <c r="AT175" s="163">
        <f>IFERROR(INDEX(TableOverallMaster[VORP],MATCH(TableOverallRank[[#This Row],[OVERALL PLAYER]],TableOverallMaster[OVERALL PLAYER],0)),"")</f>
        <v>0</v>
      </c>
      <c r="AV175" s="58">
        <v>174</v>
      </c>
      <c r="AW175" s="164" t="str">
        <f>IFERROR(INDEX(TableWRTECalcPts[PLAYER],MATCH(TableWRTERank[[#This Row],[RK]],TableWRTECalcPts[RK],0)),"")</f>
        <v>Skyler Bell</v>
      </c>
      <c r="AX175" s="164" t="str">
        <f>IFERROR(INDEX(TableWRTECalcPts[POS RK],MATCH(TableWRTERank[[#This Row],[WR and TE COMBINED]],TableWRTECalcPts[PLAYER],0)),"")</f>
        <v>WR122</v>
      </c>
      <c r="AY175" s="164">
        <f>IFERROR(INDEX(TableWRTECalcPts[BYE],MATCH(TableWRTERank[[#This Row],[RK]],TableWRTECalcPts[RK],0)),"")</f>
        <v>7</v>
      </c>
      <c r="AZ175" s="165">
        <f>IFERROR(INDEX(TableWRTECalcPts[Custom],MATCH(TableWRTERank[[#This Row],[RK]],TableWRTECalcPts[RK],0)),"")</f>
        <v>28.439761475201344</v>
      </c>
      <c r="BA175" s="166">
        <f>IFERROR((TableWRTERank[[#This Row],[FPS]]-INDEX(TableWRTERank[FPS],MATCH(WRTEVORPCalc,TableWRTERank[RK],0))),"")</f>
        <v>-112.79661010709034</v>
      </c>
      <c r="BC175" s="58" t="s">
        <v>148</v>
      </c>
    </row>
    <row r="176" spans="8:55" x14ac:dyDescent="0.25">
      <c r="H176" s="58">
        <v>175</v>
      </c>
      <c r="I176" s="154" t="str">
        <f>IFERROR(INDEX(TableRBCalcPts[PLAYER],MATCH(TableRBVORP[[#This Row],[RK]],TableRBCalcPts[RK],0)),"")</f>
        <v/>
      </c>
      <c r="J176" s="154" t="str">
        <f>IFERROR(INDEX(TableRBCalcPts[TM],MATCH(TableRBVORP[[#This Row],[RK]],TableRBCalcPts[RK],0)),"")</f>
        <v/>
      </c>
      <c r="K176" s="154" t="str">
        <f>IFERROR(INDEX(TableRBCalcPts[BYE],MATCH(TableRBVORP[[#This Row],[RK]],TableRBCalcPts[RK],0)),"")</f>
        <v/>
      </c>
      <c r="L176" s="155" t="str">
        <f>IFERROR(INDEX(TableRBCalcPts[Custom],MATCH(TableRBVORP[[#This Row],[RK]],TableRBCalcPts[RK],0)),"")</f>
        <v/>
      </c>
      <c r="M176" s="156" t="e">
        <f>(IFERROR((TableRBVORP[[#This Row],[FPS]]-INDEX(TableRBVORP[FPS],MATCH(RBVORPCalc,TableRBVORP[RK],0))),""))*0.8</f>
        <v>#VALUE!</v>
      </c>
      <c r="O176" s="58">
        <v>175</v>
      </c>
      <c r="P176" s="154" t="str">
        <f>IFERROR(INDEX(TableWRCalcPts[PLAYER],MATCH(TableWRVORP[[#This Row],[RK]],TableWRCalcPts[RK],0)),"")</f>
        <v>Tylan Wallace</v>
      </c>
      <c r="Q176" s="154" t="str">
        <f>IFERROR(INDEX(TableWRCalcPts[TM],MATCH(TableWRVORP[[#This Row],[RK]],TableWRCalcPts[RK],0)),"")</f>
        <v>CLE</v>
      </c>
      <c r="R176" s="154">
        <f>IFERROR(INDEX(TableWRCalcPts[BYE],MATCH(TableWRVORP[[#This Row],[RK]],TableWRCalcPts[RK],0)),"")</f>
        <v>11</v>
      </c>
      <c r="S176" s="155">
        <f>IFERROR(INDEX(TableWRCalcPts[Custom],MATCH(TableWRVORP[[#This Row],[RK]],TableWRCalcPts[RK],0)),"")</f>
        <v>5.0916214364399996</v>
      </c>
      <c r="T176" s="156">
        <f>(IFERROR((TableWRVORP[[#This Row],[FPS]]-INDEX(TableWRVORP[FPS],MATCH(WRVORPCalc,TableWRVORP[RK],0))),""))</f>
        <v>-85.192563953926069</v>
      </c>
      <c r="AF176" s="58" t="s">
        <v>148</v>
      </c>
      <c r="AG176" s="58">
        <v>35</v>
      </c>
      <c r="AH176" s="100">
        <f>RANK(TableOverallMaster[[#This Row],[VORP]],TableOverallMaster[VORP])+COUNTIF($AM$2:AM176,AM176)-1</f>
        <v>82</v>
      </c>
      <c r="AI176" s="157" t="str">
        <f>IFERROR(INDEX(TableWRVORP[WIDE RECEIVER],MATCH(TableOverallMaster[[#This Row],[RK]],TableWRVORP[RK],0)),"")</f>
        <v>Quentin Johnston</v>
      </c>
      <c r="AJ176" s="157" t="str">
        <f t="shared" si="2"/>
        <v>WR35</v>
      </c>
      <c r="AK176" s="157">
        <f>IFERROR(INDEX(TableWRVORP[BYE],MATCH(TableOverallMaster[[#This Row],[RK]],TableWRVORP[RK],0)),"")</f>
        <v>7</v>
      </c>
      <c r="AL176" s="158">
        <f>IFERROR(INDEX(TableWRVORP[FPS],MATCH(TableOverallMaster[[#This Row],[RK]],TableWRVORP[RK],0)),"")</f>
        <v>164.51076219862676</v>
      </c>
      <c r="AM176" s="159">
        <f>IFERROR(INDEX(TableWRVORP[VORP],MATCH(TableOverallMaster[[#This Row],[RK]],TableWRVORP[RK],0)),"")</f>
        <v>74.226576808260702</v>
      </c>
      <c r="AO176" s="58">
        <v>175</v>
      </c>
      <c r="AP176" s="160" t="str">
        <f>IFERROR(INDEX(TableOverallMaster[OVERALL PLAYER],MATCH(TableOverallRank[[#This Row],[RK]],TableOverallMaster[OVR RK],0)),"")</f>
        <v>Gunnar Helm</v>
      </c>
      <c r="AQ176" s="161" t="str">
        <f>IFERROR(INDEX(TableOverallMaster[POS RK],MATCH(TableOverallRank[[#This Row],[OVERALL PLAYER]],TableOverallMaster[OVERALL PLAYER],0)),"")</f>
        <v>TE30</v>
      </c>
      <c r="AR176" s="162">
        <f>IFERROR(INDEX(TableOverallMaster[BYE],MATCH(TableOverallRank[[#This Row],[OVERALL PLAYER]],TableOverallMaster[OVERALL PLAYER],0)),"")</f>
        <v>9</v>
      </c>
      <c r="AS176" s="161">
        <f>IFERROR(INDEX(TableOverallMaster[Custom],MATCH(TableOverallRank[[#This Row],[OVERALL PLAYER]],TableOverallMaster[OVERALL PLAYER],0)),"")</f>
        <v>77.885793976241686</v>
      </c>
      <c r="AT176" s="163">
        <f>IFERROR(INDEX(TableOverallMaster[VORP],MATCH(TableOverallRank[[#This Row],[OVERALL PLAYER]],TableOverallMaster[OVERALL PLAYER],0)),"")</f>
        <v>0</v>
      </c>
      <c r="AV176" s="58">
        <v>175</v>
      </c>
      <c r="AW176" s="164" t="str">
        <f>IFERROR(INDEX(TableWRTECalcPts[PLAYER],MATCH(TableWRTERank[[#This Row],[RK]],TableWRTECalcPts[RK],0)),"")</f>
        <v>Daniel Bellinger</v>
      </c>
      <c r="AX176" s="164" t="str">
        <f>IFERROR(INDEX(TableWRTECalcPts[POS RK],MATCH(TableWRTERank[[#This Row],[WR and TE COMBINED]],TableWRTECalcPts[PLAYER],0)),"")</f>
        <v>TE53</v>
      </c>
      <c r="AY176" s="164">
        <f>IFERROR(INDEX(TableWRTECalcPts[BYE],MATCH(TableWRTERank[[#This Row],[RK]],TableWRTECalcPts[RK],0)),"")</f>
        <v>9</v>
      </c>
      <c r="AZ176" s="165">
        <f>IFERROR(INDEX(TableWRTECalcPts[Custom],MATCH(TableWRTERank[[#This Row],[RK]],TableWRTECalcPts[RK],0)),"")</f>
        <v>27.803954362383365</v>
      </c>
      <c r="BA176" s="166">
        <f>IFERROR((TableWRTERank[[#This Row],[FPS]]-INDEX(TableWRTERank[FPS],MATCH(WRTEVORPCalc,TableWRTERank[RK],0))),"")</f>
        <v>-113.43241721990833</v>
      </c>
      <c r="BC176" s="58" t="s">
        <v>148</v>
      </c>
    </row>
    <row r="177" spans="15:55" x14ac:dyDescent="0.25">
      <c r="O177" s="58">
        <v>176</v>
      </c>
      <c r="P177" s="154" t="str">
        <f>IFERROR(INDEX(TableWRCalcPts[PLAYER],MATCH(TableWRVORP[[#This Row],[RK]],TableWRCalcPts[RK],0)),"")</f>
        <v>Josh Cameron</v>
      </c>
      <c r="Q177" s="154" t="str">
        <f>IFERROR(INDEX(TableWRCalcPts[TM],MATCH(TableWRVORP[[#This Row],[RK]],TableWRCalcPts[RK],0)),"")</f>
        <v>JAX</v>
      </c>
      <c r="R177" s="154">
        <f>IFERROR(INDEX(TableWRCalcPts[BYE],MATCH(TableWRVORP[[#This Row],[RK]],TableWRCalcPts[RK],0)),"")</f>
        <v>7</v>
      </c>
      <c r="S177" s="155">
        <f>IFERROR(INDEX(TableWRCalcPts[Custom],MATCH(TableWRVORP[[#This Row],[RK]],TableWRCalcPts[RK],0)),"")</f>
        <v>3.4133063186250001</v>
      </c>
      <c r="T177" s="156">
        <f>(IFERROR((TableWRVORP[[#This Row],[FPS]]-INDEX(TableWRVORP[FPS],MATCH(WRVORPCalc,TableWRVORP[RK],0))),""))</f>
        <v>-86.870879071741058</v>
      </c>
      <c r="AF177" s="58" t="s">
        <v>148</v>
      </c>
      <c r="AG177" s="58">
        <v>36</v>
      </c>
      <c r="AH177" s="100">
        <f>RANK(TableOverallMaster[[#This Row],[VORP]],TableOverallMaster[VORP])+COUNTIF($AM$2:AM177,AM177)-1</f>
        <v>83</v>
      </c>
      <c r="AI177" s="157" t="str">
        <f>IFERROR(INDEX(TableWRVORP[WIDE RECEIVER],MATCH(TableOverallMaster[[#This Row],[RK]],TableWRVORP[RK],0)),"")</f>
        <v>Jordyn Tyson</v>
      </c>
      <c r="AJ177" s="157" t="str">
        <f t="shared" si="2"/>
        <v>WR36</v>
      </c>
      <c r="AK177" s="157">
        <f>IFERROR(INDEX(TableWRVORP[BYE],MATCH(TableOverallMaster[[#This Row],[RK]],TableWRVORP[RK],0)),"")</f>
        <v>8</v>
      </c>
      <c r="AL177" s="158">
        <f>IFERROR(INDEX(TableWRVORP[FPS],MATCH(TableOverallMaster[[#This Row],[RK]],TableWRVORP[RK],0)),"")</f>
        <v>163.96882825838594</v>
      </c>
      <c r="AM177" s="159">
        <f>IFERROR(INDEX(TableWRVORP[VORP],MATCH(TableOverallMaster[[#This Row],[RK]],TableWRVORP[RK],0)),"")</f>
        <v>73.684642868019878</v>
      </c>
      <c r="AO177" s="58">
        <v>176</v>
      </c>
      <c r="AP177" s="160" t="str">
        <f>IFERROR(INDEX(TableOverallMaster[OVERALL PLAYER],MATCH(TableOverallRank[[#This Row],[RK]],TableOverallMaster[OVR RK],0)),"")</f>
        <v>Isaac TeSlaa</v>
      </c>
      <c r="AQ177" s="161" t="str">
        <f>IFERROR(INDEX(TableOverallMaster[POS RK],MATCH(TableOverallRank[[#This Row],[OVERALL PLAYER]],TableOverallMaster[OVERALL PLAYER],0)),"")</f>
        <v>WR74</v>
      </c>
      <c r="AR177" s="162">
        <f>IFERROR(INDEX(TableOverallMaster[BYE],MATCH(TableOverallRank[[#This Row],[OVERALL PLAYER]],TableOverallMaster[OVERALL PLAYER],0)),"")</f>
        <v>6</v>
      </c>
      <c r="AS177" s="161">
        <f>IFERROR(INDEX(TableOverallMaster[Custom],MATCH(TableOverallRank[[#This Row],[OVERALL PLAYER]],TableOverallMaster[OVERALL PLAYER],0)),"")</f>
        <v>88.820853202636783</v>
      </c>
      <c r="AT177" s="163">
        <f>IFERROR(INDEX(TableOverallMaster[VORP],MATCH(TableOverallRank[[#This Row],[OVERALL PLAYER]],TableOverallMaster[OVERALL PLAYER],0)),"")</f>
        <v>-1.4633321877292786</v>
      </c>
      <c r="AV177" s="58">
        <v>176</v>
      </c>
      <c r="AW177" s="164" t="str">
        <f>IFERROR(INDEX(TableWRTECalcPts[PLAYER],MATCH(TableWRTERank[[#This Row],[RK]],TableWRTECalcPts[RK],0)),"")</f>
        <v>Hollywood Brown</v>
      </c>
      <c r="AX177" s="164" t="str">
        <f>IFERROR(INDEX(TableWRTECalcPts[POS RK],MATCH(TableWRTERank[[#This Row],[WR and TE COMBINED]],TableWRTECalcPts[PLAYER],0)),"")</f>
        <v>WR123</v>
      </c>
      <c r="AY177" s="164">
        <f>IFERROR(INDEX(TableWRTECalcPts[BYE],MATCH(TableWRTERank[[#This Row],[RK]],TableWRTECalcPts[RK],0)),"")</f>
        <v>10</v>
      </c>
      <c r="AZ177" s="165">
        <f>IFERROR(INDEX(TableWRTECalcPts[Custom],MATCH(TableWRTERank[[#This Row],[RK]],TableWRTECalcPts[RK],0)),"")</f>
        <v>27.400382337814349</v>
      </c>
      <c r="BA177" s="166">
        <f>IFERROR((TableWRTERank[[#This Row],[FPS]]-INDEX(TableWRTERank[FPS],MATCH(WRTEVORPCalc,TableWRTERank[RK],0))),"")</f>
        <v>-113.83598924447735</v>
      </c>
      <c r="BC177" s="58" t="s">
        <v>148</v>
      </c>
    </row>
    <row r="178" spans="15:55" x14ac:dyDescent="0.25">
      <c r="O178" s="58">
        <v>177</v>
      </c>
      <c r="P178" s="154" t="str">
        <f>IFERROR(INDEX(TableWRCalcPts[PLAYER],MATCH(TableWRVORP[[#This Row],[RK]],TableWRCalcPts[RK],0)),"")</f>
        <v>Jeff Caldwell</v>
      </c>
      <c r="Q178" s="154" t="str">
        <f>IFERROR(INDEX(TableWRCalcPts[TM],MATCH(TableWRVORP[[#This Row],[RK]],TableWRCalcPts[RK],0)),"")</f>
        <v>KC</v>
      </c>
      <c r="R178" s="154">
        <f>IFERROR(INDEX(TableWRCalcPts[BYE],MATCH(TableWRVORP[[#This Row],[RK]],TableWRCalcPts[RK],0)),"")</f>
        <v>5</v>
      </c>
      <c r="S178" s="155">
        <f>IFERROR(INDEX(TableWRCalcPts[Custom],MATCH(TableWRVORP[[#This Row],[RK]],TableWRCalcPts[RK],0)),"")</f>
        <v>3.3126962941800002</v>
      </c>
      <c r="T178" s="156">
        <f>(IFERROR((TableWRVORP[[#This Row],[FPS]]-INDEX(TableWRVORP[FPS],MATCH(WRVORPCalc,TableWRVORP[RK],0))),""))</f>
        <v>-86.971489096186062</v>
      </c>
      <c r="AF178" s="58" t="s">
        <v>148</v>
      </c>
      <c r="AG178" s="58">
        <v>37</v>
      </c>
      <c r="AH178" s="100">
        <f>RANK(TableOverallMaster[[#This Row],[VORP]],TableOverallMaster[VORP])+COUNTIF($AM$2:AM178,AM178)-1</f>
        <v>85</v>
      </c>
      <c r="AI178" s="157" t="str">
        <f>IFERROR(INDEX(TableWRVORP[WIDE RECEIVER],MATCH(TableOverallMaster[[#This Row],[RK]],TableWRVORP[RK],0)),"")</f>
        <v>DK Metcalf</v>
      </c>
      <c r="AJ178" s="157" t="str">
        <f t="shared" si="2"/>
        <v>WR37</v>
      </c>
      <c r="AK178" s="157">
        <f>IFERROR(INDEX(TableWRVORP[BYE],MATCH(TableOverallMaster[[#This Row],[RK]],TableWRVORP[RK],0)),"")</f>
        <v>9</v>
      </c>
      <c r="AL178" s="158">
        <f>IFERROR(INDEX(TableWRVORP[FPS],MATCH(TableOverallMaster[[#This Row],[RK]],TableWRVORP[RK],0)),"")</f>
        <v>162.91605562564334</v>
      </c>
      <c r="AM178" s="159">
        <f>IFERROR(INDEX(TableWRVORP[VORP],MATCH(TableOverallMaster[[#This Row],[RK]],TableWRVORP[RK],0)),"")</f>
        <v>72.631870235277276</v>
      </c>
      <c r="AO178" s="58">
        <v>177</v>
      </c>
      <c r="AP178" s="160" t="str">
        <f>IFERROR(INDEX(TableOverallMaster[OVERALL PLAYER],MATCH(TableOverallRank[[#This Row],[RK]],TableOverallMaster[OVR RK],0)),"")</f>
        <v>Rashod Bateman</v>
      </c>
      <c r="AQ178" s="161" t="str">
        <f>IFERROR(INDEX(TableOverallMaster[POS RK],MATCH(TableOverallRank[[#This Row],[OVERALL PLAYER]],TableOverallMaster[OVERALL PLAYER],0)),"")</f>
        <v>WR75</v>
      </c>
      <c r="AR178" s="162">
        <f>IFERROR(INDEX(TableOverallMaster[BYE],MATCH(TableOverallRank[[#This Row],[OVERALL PLAYER]],TableOverallMaster[OVERALL PLAYER],0)),"")</f>
        <v>13</v>
      </c>
      <c r="AS178" s="161">
        <f>IFERROR(INDEX(TableOverallMaster[Custom],MATCH(TableOverallRank[[#This Row],[OVERALL PLAYER]],TableOverallMaster[OVERALL PLAYER],0)),"")</f>
        <v>88.222170607161729</v>
      </c>
      <c r="AT178" s="163">
        <f>IFERROR(INDEX(TableOverallMaster[VORP],MATCH(TableOverallRank[[#This Row],[OVERALL PLAYER]],TableOverallMaster[OVERALL PLAYER],0)),"")</f>
        <v>-2.062014783204333</v>
      </c>
      <c r="AV178" s="58">
        <v>177</v>
      </c>
      <c r="AW178" s="164" t="str">
        <f>IFERROR(INDEX(TableWRTECalcPts[PLAYER],MATCH(TableWRTERank[[#This Row],[RK]],TableWRTECalcPts[RK],0)),"")</f>
        <v>Brenen Thompson</v>
      </c>
      <c r="AX178" s="164" t="str">
        <f>IFERROR(INDEX(TableWRTECalcPts[POS RK],MATCH(TableWRTERank[[#This Row],[WR and TE COMBINED]],TableWRTECalcPts[PLAYER],0)),"")</f>
        <v>WR124</v>
      </c>
      <c r="AY178" s="164">
        <f>IFERROR(INDEX(TableWRTECalcPts[BYE],MATCH(TableWRTERank[[#This Row],[RK]],TableWRTECalcPts[RK],0)),"")</f>
        <v>7</v>
      </c>
      <c r="AZ178" s="165">
        <f>IFERROR(INDEX(TableWRTECalcPts[Custom],MATCH(TableWRTERank[[#This Row],[RK]],TableWRTECalcPts[RK],0)),"")</f>
        <v>26.470364031111</v>
      </c>
      <c r="BA178" s="166">
        <f>IFERROR((TableWRTERank[[#This Row],[FPS]]-INDEX(TableWRTERank[FPS],MATCH(WRTEVORPCalc,TableWRTERank[RK],0))),"")</f>
        <v>-114.76600755118069</v>
      </c>
      <c r="BC178" s="58" t="s">
        <v>148</v>
      </c>
    </row>
    <row r="179" spans="15:55" x14ac:dyDescent="0.25">
      <c r="O179" s="58">
        <v>178</v>
      </c>
      <c r="P179" s="154" t="str">
        <f>IFERROR(INDEX(TableWRCalcPts[PLAYER],MATCH(TableWRVORP[[#This Row],[RK]],TableWRCalcPts[RK],0)),"")</f>
        <v>Derius Davis</v>
      </c>
      <c r="Q179" s="154" t="str">
        <f>IFERROR(INDEX(TableWRCalcPts[TM],MATCH(TableWRVORP[[#This Row],[RK]],TableWRCalcPts[RK],0)),"")</f>
        <v>LAC</v>
      </c>
      <c r="R179" s="154">
        <f>IFERROR(INDEX(TableWRCalcPts[BYE],MATCH(TableWRVORP[[#This Row],[RK]],TableWRCalcPts[RK],0)),"")</f>
        <v>7</v>
      </c>
      <c r="S179" s="155">
        <f>IFERROR(INDEX(TableWRCalcPts[Custom],MATCH(TableWRVORP[[#This Row],[RK]],TableWRCalcPts[RK],0)),"")</f>
        <v>3.2245767982961859</v>
      </c>
      <c r="T179" s="156">
        <f>(IFERROR((TableWRVORP[[#This Row],[FPS]]-INDEX(TableWRVORP[FPS],MATCH(WRVORPCalc,TableWRVORP[RK],0))),""))</f>
        <v>-87.059608592069878</v>
      </c>
      <c r="AF179" s="58" t="s">
        <v>148</v>
      </c>
      <c r="AG179" s="58">
        <v>38</v>
      </c>
      <c r="AH179" s="100">
        <f>RANK(TableOverallMaster[[#This Row],[VORP]],TableOverallMaster[VORP])+COUNTIF($AM$2:AM179,AM179)-1</f>
        <v>86</v>
      </c>
      <c r="AI179" s="157" t="str">
        <f>IFERROR(INDEX(TableWRVORP[WIDE RECEIVER],MATCH(TableOverallMaster[[#This Row],[RK]],TableWRVORP[RK],0)),"")</f>
        <v>Michael Pittman</v>
      </c>
      <c r="AJ179" s="157" t="str">
        <f t="shared" si="2"/>
        <v>WR38</v>
      </c>
      <c r="AK179" s="157">
        <f>IFERROR(INDEX(TableWRVORP[BYE],MATCH(TableOverallMaster[[#This Row],[RK]],TableWRVORP[RK],0)),"")</f>
        <v>9</v>
      </c>
      <c r="AL179" s="158">
        <f>IFERROR(INDEX(TableWRVORP[FPS],MATCH(TableOverallMaster[[#This Row],[RK]],TableWRVORP[RK],0)),"")</f>
        <v>161.35338225495778</v>
      </c>
      <c r="AM179" s="159">
        <f>IFERROR(INDEX(TableWRVORP[VORP],MATCH(TableOverallMaster[[#This Row],[RK]],TableWRVORP[RK],0)),"")</f>
        <v>71.069196864591717</v>
      </c>
      <c r="AO179" s="58">
        <v>178</v>
      </c>
      <c r="AP179" s="160" t="str">
        <f>IFERROR(INDEX(TableOverallMaster[OVERALL PLAYER],MATCH(TableOverallRank[[#This Row],[RK]],TableOverallMaster[OVR RK],0)),"")</f>
        <v>Chris Rodriguez</v>
      </c>
      <c r="AQ179" s="161" t="str">
        <f>IFERROR(INDEX(TableOverallMaster[POS RK],MATCH(TableOverallRank[[#This Row],[OVERALL PLAYER]],TableOverallMaster[OVERALL PLAYER],0)),"")</f>
        <v>RB45</v>
      </c>
      <c r="AR179" s="162">
        <f>IFERROR(INDEX(TableOverallMaster[BYE],MATCH(TableOverallRank[[#This Row],[OVERALL PLAYER]],TableOverallMaster[OVERALL PLAYER],0)),"")</f>
        <v>7</v>
      </c>
      <c r="AS179" s="161">
        <f>IFERROR(INDEX(TableOverallMaster[Custom],MATCH(TableOverallRank[[#This Row],[OVERALL PLAYER]],TableOverallMaster[OVERALL PLAYER],0)),"")</f>
        <v>98.931403296779322</v>
      </c>
      <c r="AT179" s="163">
        <f>IFERROR(INDEX(TableOverallMaster[VORP],MATCH(TableOverallRank[[#This Row],[OVERALL PLAYER]],TableOverallMaster[OVERALL PLAYER],0)),"")</f>
        <v>-4.0611487473984429</v>
      </c>
      <c r="AV179" s="58">
        <v>178</v>
      </c>
      <c r="AW179" s="164" t="str">
        <f>IFERROR(INDEX(TableWRTECalcPts[PLAYER],MATCH(TableWRTERank[[#This Row],[RK]],TableWRTECalcPts[RK],0)),"")</f>
        <v>Luke Schoonmaker</v>
      </c>
      <c r="AX179" s="164" t="str">
        <f>IFERROR(INDEX(TableWRTECalcPts[POS RK],MATCH(TableWRTERank[[#This Row],[WR and TE COMBINED]],TableWRTECalcPts[PLAYER],0)),"")</f>
        <v>TE54</v>
      </c>
      <c r="AY179" s="164">
        <f>IFERROR(INDEX(TableWRTECalcPts[BYE],MATCH(TableWRTERank[[#This Row],[RK]],TableWRTECalcPts[RK],0)),"")</f>
        <v>14</v>
      </c>
      <c r="AZ179" s="165">
        <f>IFERROR(INDEX(TableWRTECalcPts[Custom],MATCH(TableWRTERank[[#This Row],[RK]],TableWRTECalcPts[RK],0)),"")</f>
        <v>25.414771732747063</v>
      </c>
      <c r="BA179" s="166">
        <f>IFERROR((TableWRTERank[[#This Row],[FPS]]-INDEX(TableWRTERank[FPS],MATCH(WRTEVORPCalc,TableWRTERank[RK],0))),"")</f>
        <v>-115.82159984954464</v>
      </c>
      <c r="BC179" s="58" t="s">
        <v>148</v>
      </c>
    </row>
    <row r="180" spans="15:55" x14ac:dyDescent="0.25">
      <c r="O180" s="58">
        <v>179</v>
      </c>
      <c r="P180" s="154" t="str">
        <f>IFERROR(INDEX(TableWRCalcPts[PLAYER],MATCH(TableWRVORP[[#This Row],[RK]],TableWRCalcPts[RK],0)),"")</f>
        <v>Malik Benson</v>
      </c>
      <c r="Q180" s="154" t="str">
        <f>IFERROR(INDEX(TableWRCalcPts[TM],MATCH(TableWRVORP[[#This Row],[RK]],TableWRCalcPts[RK],0)),"")</f>
        <v>LV</v>
      </c>
      <c r="R180" s="154">
        <f>IFERROR(INDEX(TableWRCalcPts[BYE],MATCH(TableWRVORP[[#This Row],[RK]],TableWRCalcPts[RK],0)),"")</f>
        <v>13</v>
      </c>
      <c r="S180" s="155">
        <f>IFERROR(INDEX(TableWRCalcPts[Custom],MATCH(TableWRVORP[[#This Row],[RK]],TableWRCalcPts[RK],0)),"")</f>
        <v>3.1943596859999999</v>
      </c>
      <c r="T180" s="156">
        <f>(IFERROR((TableWRVORP[[#This Row],[FPS]]-INDEX(TableWRVORP[FPS],MATCH(WRVORPCalc,TableWRVORP[RK],0))),""))</f>
        <v>-87.089825704366064</v>
      </c>
      <c r="AF180" s="58" t="s">
        <v>148</v>
      </c>
      <c r="AG180" s="58">
        <v>39</v>
      </c>
      <c r="AH180" s="100">
        <f>RANK(TableOverallMaster[[#This Row],[VORP]],TableOverallMaster[VORP])+COUNTIF($AM$2:AM180,AM180)-1</f>
        <v>90</v>
      </c>
      <c r="AI180" s="157" t="str">
        <f>IFERROR(INDEX(TableWRVORP[WIDE RECEIVER],MATCH(TableOverallMaster[[#This Row],[RK]],TableWRVORP[RK],0)),"")</f>
        <v>Marvin Harrison</v>
      </c>
      <c r="AJ180" s="157" t="str">
        <f t="shared" si="2"/>
        <v>WR39</v>
      </c>
      <c r="AK180" s="157">
        <f>IFERROR(INDEX(TableWRVORP[BYE],MATCH(TableOverallMaster[[#This Row],[RK]],TableWRVORP[RK],0)),"")</f>
        <v>14</v>
      </c>
      <c r="AL180" s="158">
        <f>IFERROR(INDEX(TableWRVORP[FPS],MATCH(TableOverallMaster[[#This Row],[RK]],TableWRVORP[RK],0)),"")</f>
        <v>159.00760212908483</v>
      </c>
      <c r="AM180" s="159">
        <f>IFERROR(INDEX(TableWRVORP[VORP],MATCH(TableOverallMaster[[#This Row],[RK]],TableWRVORP[RK],0)),"")</f>
        <v>68.723416738718768</v>
      </c>
      <c r="AO180" s="58">
        <v>179</v>
      </c>
      <c r="AP180" s="160" t="str">
        <f>IFERROR(INDEX(TableOverallMaster[OVERALL PLAYER],MATCH(TableOverallRank[[#This Row],[RK]],TableOverallMaster[OVR RK],0)),"")</f>
        <v>David Njoku</v>
      </c>
      <c r="AQ180" s="161" t="str">
        <f>IFERROR(INDEX(TableOverallMaster[POS RK],MATCH(TableOverallRank[[#This Row],[OVERALL PLAYER]],TableOverallMaster[OVERALL PLAYER],0)),"")</f>
        <v>TE31</v>
      </c>
      <c r="AR180" s="162">
        <f>IFERROR(INDEX(TableOverallMaster[BYE],MATCH(TableOverallRank[[#This Row],[OVERALL PLAYER]],TableOverallMaster[OVERALL PLAYER],0)),"")</f>
        <v>7</v>
      </c>
      <c r="AS180" s="161">
        <f>IFERROR(INDEX(TableOverallMaster[Custom],MATCH(TableOverallRank[[#This Row],[OVERALL PLAYER]],TableOverallMaster[OVERALL PLAYER],0)),"")</f>
        <v>71.842267786673858</v>
      </c>
      <c r="AT180" s="163">
        <f>IFERROR(INDEX(TableOverallMaster[VORP],MATCH(TableOverallRank[[#This Row],[OVERALL PLAYER]],TableOverallMaster[OVERALL PLAYER],0)),"")</f>
        <v>-6.0435261895678281</v>
      </c>
      <c r="AV180" s="58">
        <v>179</v>
      </c>
      <c r="AW180" s="164" t="str">
        <f>IFERROR(INDEX(TableWRTECalcPts[PLAYER],MATCH(TableWRTERank[[#This Row],[RK]],TableWRTECalcPts[RK],0)),"")</f>
        <v>Noah Fant</v>
      </c>
      <c r="AX180" s="164" t="str">
        <f>IFERROR(INDEX(TableWRTECalcPts[POS RK],MATCH(TableWRTERank[[#This Row],[WR and TE COMBINED]],TableWRTECalcPts[PLAYER],0)),"")</f>
        <v>TE55</v>
      </c>
      <c r="AY180" s="164">
        <f>IFERROR(INDEX(TableWRTECalcPts[BYE],MATCH(TableWRTERank[[#This Row],[RK]],TableWRTECalcPts[RK],0)),"")</f>
        <v>8</v>
      </c>
      <c r="AZ180" s="165">
        <f>IFERROR(INDEX(TableWRTECalcPts[Custom],MATCH(TableWRTERank[[#This Row],[RK]],TableWRTECalcPts[RK],0)),"")</f>
        <v>23.644709993235693</v>
      </c>
      <c r="BA180" s="166">
        <f>IFERROR((TableWRTERank[[#This Row],[FPS]]-INDEX(TableWRTERank[FPS],MATCH(WRTEVORPCalc,TableWRTERank[RK],0))),"")</f>
        <v>-117.591661589056</v>
      </c>
      <c r="BC180" s="58" t="s">
        <v>148</v>
      </c>
    </row>
    <row r="181" spans="15:55" x14ac:dyDescent="0.25">
      <c r="O181" s="58">
        <v>180</v>
      </c>
      <c r="P181" s="154" t="str">
        <f>IFERROR(INDEX(TableWRCalcPts[PLAYER],MATCH(TableWRVORP[[#This Row],[RK]],TableWRCalcPts[RK],0)),"")</f>
        <v>Xavier Weaver</v>
      </c>
      <c r="Q181" s="154" t="str">
        <f>IFERROR(INDEX(TableWRCalcPts[TM],MATCH(TableWRVORP[[#This Row],[RK]],TableWRCalcPts[RK],0)),"")</f>
        <v>ARI</v>
      </c>
      <c r="R181" s="154">
        <f>IFERROR(INDEX(TableWRCalcPts[BYE],MATCH(TableWRVORP[[#This Row],[RK]],TableWRCalcPts[RK],0)),"")</f>
        <v>14</v>
      </c>
      <c r="S181" s="155">
        <f>IFERROR(INDEX(TableWRCalcPts[Custom],MATCH(TableWRVORP[[#This Row],[RK]],TableWRCalcPts[RK],0)),"")</f>
        <v>3.0454781350000002</v>
      </c>
      <c r="T181" s="156">
        <f>(IFERROR((TableWRVORP[[#This Row],[FPS]]-INDEX(TableWRVORP[FPS],MATCH(WRVORPCalc,TableWRVORP[RK],0))),""))</f>
        <v>-87.238707255366066</v>
      </c>
      <c r="AF181" s="58" t="s">
        <v>148</v>
      </c>
      <c r="AG181" s="58">
        <v>40</v>
      </c>
      <c r="AH181" s="100">
        <f>RANK(TableOverallMaster[[#This Row],[VORP]],TableOverallMaster[VORP])+COUNTIF($AM$2:AM181,AM181)-1</f>
        <v>97</v>
      </c>
      <c r="AI181" s="157" t="str">
        <f>IFERROR(INDEX(TableWRVORP[WIDE RECEIVER],MATCH(TableOverallMaster[[#This Row],[RK]],TableWRVORP[RK],0)),"")</f>
        <v>Jayden Higgins</v>
      </c>
      <c r="AJ181" s="157" t="str">
        <f t="shared" si="2"/>
        <v>WR40</v>
      </c>
      <c r="AK181" s="157">
        <f>IFERROR(INDEX(TableWRVORP[BYE],MATCH(TableOverallMaster[[#This Row],[RK]],TableWRVORP[RK],0)),"")</f>
        <v>8</v>
      </c>
      <c r="AL181" s="158">
        <f>IFERROR(INDEX(TableWRVORP[FPS],MATCH(TableOverallMaster[[#This Row],[RK]],TableWRVORP[RK],0)),"")</f>
        <v>152.492255822088</v>
      </c>
      <c r="AM181" s="159">
        <f>IFERROR(INDEX(TableWRVORP[VORP],MATCH(TableOverallMaster[[#This Row],[RK]],TableWRVORP[RK],0)),"")</f>
        <v>62.208070431721936</v>
      </c>
      <c r="AO181" s="58">
        <v>180</v>
      </c>
      <c r="AP181" s="160" t="str">
        <f>IFERROR(INDEX(TableOverallMaster[OVERALL PLAYER],MATCH(TableOverallRank[[#This Row],[RK]],TableOverallMaster[OVR RK],0)),"")</f>
        <v>Evan Engram</v>
      </c>
      <c r="AQ181" s="161" t="str">
        <f>IFERROR(INDEX(TableOverallMaster[POS RK],MATCH(TableOverallRank[[#This Row],[OVERALL PLAYER]],TableOverallMaster[OVERALL PLAYER],0)),"")</f>
        <v>TE32</v>
      </c>
      <c r="AR181" s="162">
        <f>IFERROR(INDEX(TableOverallMaster[BYE],MATCH(TableOverallRank[[#This Row],[OVERALL PLAYER]],TableOverallMaster[OVERALL PLAYER],0)),"")</f>
        <v>10</v>
      </c>
      <c r="AS181" s="161">
        <f>IFERROR(INDEX(TableOverallMaster[Custom],MATCH(TableOverallRank[[#This Row],[OVERALL PLAYER]],TableOverallMaster[OVERALL PLAYER],0)),"")</f>
        <v>71.134066611231063</v>
      </c>
      <c r="AT181" s="163">
        <f>IFERROR(INDEX(TableOverallMaster[VORP],MATCH(TableOverallRank[[#This Row],[OVERALL PLAYER]],TableOverallMaster[OVERALL PLAYER],0)),"")</f>
        <v>-6.7517273650106233</v>
      </c>
      <c r="AV181" s="58">
        <v>180</v>
      </c>
      <c r="AW181" s="164" t="str">
        <f>IFERROR(INDEX(TableWRTECalcPts[PLAYER],MATCH(TableWRTERank[[#This Row],[RK]],TableWRTECalcPts[RK],0)),"")</f>
        <v>Durham Smythe</v>
      </c>
      <c r="AX181" s="164" t="str">
        <f>IFERROR(INDEX(TableWRTECalcPts[POS RK],MATCH(TableWRTERank[[#This Row],[WR and TE COMBINED]],TableWRTECalcPts[PLAYER],0)),"")</f>
        <v>TE56</v>
      </c>
      <c r="AY181" s="164">
        <f>IFERROR(INDEX(TableWRTECalcPts[BYE],MATCH(TableWRTERank[[#This Row],[RK]],TableWRTECalcPts[RK],0)),"")</f>
        <v>13</v>
      </c>
      <c r="AZ181" s="165">
        <f>IFERROR(INDEX(TableWRTECalcPts[Custom],MATCH(TableWRTERank[[#This Row],[RK]],TableWRTECalcPts[RK],0)),"")</f>
        <v>23.244352303853336</v>
      </c>
      <c r="BA181" s="166">
        <f>IFERROR((TableWRTERank[[#This Row],[FPS]]-INDEX(TableWRTERank[FPS],MATCH(WRTEVORPCalc,TableWRTERank[RK],0))),"")</f>
        <v>-117.99201927843836</v>
      </c>
      <c r="BC181" s="58" t="s">
        <v>148</v>
      </c>
    </row>
    <row r="182" spans="15:55" x14ac:dyDescent="0.25">
      <c r="O182" s="58">
        <v>181</v>
      </c>
      <c r="P182" s="154" t="str">
        <f>IFERROR(INDEX(TableWRCalcPts[PLAYER],MATCH(TableWRVORP[[#This Row],[RK]],TableWRCalcPts[RK],0)),"")</f>
        <v>Arian Smith</v>
      </c>
      <c r="Q182" s="154" t="str">
        <f>IFERROR(INDEX(TableWRCalcPts[TM],MATCH(TableWRVORP[[#This Row],[RK]],TableWRCalcPts[RK],0)),"")</f>
        <v>NYJ</v>
      </c>
      <c r="R182" s="154">
        <f>IFERROR(INDEX(TableWRCalcPts[BYE],MATCH(TableWRVORP[[#This Row],[RK]],TableWRCalcPts[RK],0)),"")</f>
        <v>13</v>
      </c>
      <c r="S182" s="155">
        <f>IFERROR(INDEX(TableWRCalcPts[Custom],MATCH(TableWRVORP[[#This Row],[RK]],TableWRCalcPts[RK],0)),"")</f>
        <v>2.818823583122898</v>
      </c>
      <c r="T182" s="156">
        <f>(IFERROR((TableWRVORP[[#This Row],[FPS]]-INDEX(TableWRVORP[FPS],MATCH(WRVORPCalc,TableWRVORP[RK],0))),""))</f>
        <v>-87.46536180724317</v>
      </c>
      <c r="AF182" s="58" t="s">
        <v>148</v>
      </c>
      <c r="AG182" s="58">
        <v>41</v>
      </c>
      <c r="AH182" s="100">
        <f>RANK(TableOverallMaster[[#This Row],[VORP]],TableOverallMaster[VORP])+COUNTIF($AM$2:AM182,AM182)-1</f>
        <v>98</v>
      </c>
      <c r="AI182" s="157" t="str">
        <f>IFERROR(INDEX(TableWRVORP[WIDE RECEIVER],MATCH(TableOverallMaster[[#This Row],[RK]],TableWRVORP[RK],0)),"")</f>
        <v>Wan'Dale Robinson</v>
      </c>
      <c r="AJ182" s="157" t="str">
        <f t="shared" si="2"/>
        <v>WR41</v>
      </c>
      <c r="AK182" s="157">
        <f>IFERROR(INDEX(TableWRVORP[BYE],MATCH(TableOverallMaster[[#This Row],[RK]],TableWRVORP[RK],0)),"")</f>
        <v>9</v>
      </c>
      <c r="AL182" s="158">
        <f>IFERROR(INDEX(TableWRVORP[FPS],MATCH(TableOverallMaster[[#This Row],[RK]],TableWRVORP[RK],0)),"")</f>
        <v>152.09749839836161</v>
      </c>
      <c r="AM182" s="159">
        <f>IFERROR(INDEX(TableWRVORP[VORP],MATCH(TableOverallMaster[[#This Row],[RK]],TableWRVORP[RK],0)),"")</f>
        <v>61.813313007995546</v>
      </c>
      <c r="AO182" s="58">
        <v>181</v>
      </c>
      <c r="AP182" s="160" t="str">
        <f>IFERROR(INDEX(TableOverallMaster[OVERALL PLAYER],MATCH(TableOverallRank[[#This Row],[RK]],TableOverallMaster[OVR RK],0)),"")</f>
        <v>Woody Marks</v>
      </c>
      <c r="AQ182" s="161" t="str">
        <f>IFERROR(INDEX(TableOverallMaster[POS RK],MATCH(TableOverallRank[[#This Row],[OVERALL PLAYER]],TableOverallMaster[OVERALL PLAYER],0)),"")</f>
        <v>RB46</v>
      </c>
      <c r="AR182" s="162">
        <f>IFERROR(INDEX(TableOverallMaster[BYE],MATCH(TableOverallRank[[#This Row],[OVERALL PLAYER]],TableOverallMaster[OVERALL PLAYER],0)),"")</f>
        <v>8</v>
      </c>
      <c r="AS182" s="161">
        <f>IFERROR(INDEX(TableOverallMaster[Custom],MATCH(TableOverallRank[[#This Row],[OVERALL PLAYER]],TableOverallMaster[OVERALL PLAYER],0)),"")</f>
        <v>95.059015145221139</v>
      </c>
      <c r="AT182" s="163">
        <f>IFERROR(INDEX(TableOverallMaster[VORP],MATCH(TableOverallRank[[#This Row],[OVERALL PLAYER]],TableOverallMaster[OVERALL PLAYER],0)),"")</f>
        <v>-7.1590592686449899</v>
      </c>
      <c r="AV182" s="58">
        <v>181</v>
      </c>
      <c r="AW182" s="164" t="str">
        <f>IFERROR(INDEX(TableWRTECalcPts[PLAYER],MATCH(TableWRTERank[[#This Row],[RK]],TableWRTECalcPts[RK],0)),"")</f>
        <v>Greg Dortch</v>
      </c>
      <c r="AX182" s="164" t="str">
        <f>IFERROR(INDEX(TableWRTECalcPts[POS RK],MATCH(TableWRTERank[[#This Row],[WR and TE COMBINED]],TableWRTECalcPts[PLAYER],0)),"")</f>
        <v>WR125</v>
      </c>
      <c r="AY182" s="164">
        <f>IFERROR(INDEX(TableWRTECalcPts[BYE],MATCH(TableWRTERank[[#This Row],[RK]],TableWRTECalcPts[RK],0)),"")</f>
        <v>6</v>
      </c>
      <c r="AZ182" s="165">
        <f>IFERROR(INDEX(TableWRTECalcPts[Custom],MATCH(TableWRTERank[[#This Row],[RK]],TableWRTECalcPts[RK],0)),"")</f>
        <v>22.326040630091825</v>
      </c>
      <c r="BA182" s="166">
        <f>IFERROR((TableWRTERank[[#This Row],[FPS]]-INDEX(TableWRTERank[FPS],MATCH(WRTEVORPCalc,TableWRTERank[RK],0))),"")</f>
        <v>-118.91033095219987</v>
      </c>
      <c r="BC182" s="58" t="s">
        <v>148</v>
      </c>
    </row>
    <row r="183" spans="15:55" x14ac:dyDescent="0.25">
      <c r="O183" s="58">
        <v>182</v>
      </c>
      <c r="P183" s="154" t="str">
        <f>IFERROR(INDEX(TableWRCalcPts[PLAYER],MATCH(TableWRVORP[[#This Row],[RK]],TableWRCalcPts[RK],0)),"")</f>
        <v>Skyy Moore</v>
      </c>
      <c r="Q183" s="154" t="str">
        <f>IFERROR(INDEX(TableWRCalcPts[TM],MATCH(TableWRVORP[[#This Row],[RK]],TableWRCalcPts[RK],0)),"")</f>
        <v>GB</v>
      </c>
      <c r="R183" s="154">
        <f>IFERROR(INDEX(TableWRCalcPts[BYE],MATCH(TableWRVORP[[#This Row],[RK]],TableWRCalcPts[RK],0)),"")</f>
        <v>11</v>
      </c>
      <c r="S183" s="155">
        <f>IFERROR(INDEX(TableWRCalcPts[Custom],MATCH(TableWRVORP[[#This Row],[RK]],TableWRCalcPts[RK],0)),"")</f>
        <v>0</v>
      </c>
      <c r="T183" s="156">
        <f>(IFERROR((TableWRVORP[[#This Row],[FPS]]-INDEX(TableWRVORP[FPS],MATCH(WRVORPCalc,TableWRVORP[RK],0))),""))</f>
        <v>-90.284185390366062</v>
      </c>
      <c r="AF183" s="58" t="s">
        <v>148</v>
      </c>
      <c r="AG183" s="58">
        <v>42</v>
      </c>
      <c r="AH183" s="100">
        <f>RANK(TableOverallMaster[[#This Row],[VORP]],TableOverallMaster[VORP])+COUNTIF($AM$2:AM183,AM183)-1</f>
        <v>101</v>
      </c>
      <c r="AI183" s="157" t="str">
        <f>IFERROR(INDEX(TableWRVORP[WIDE RECEIVER],MATCH(TableOverallMaster[[#This Row],[RK]],TableWRVORP[RK],0)),"")</f>
        <v>Deebo Samuel</v>
      </c>
      <c r="AJ183" s="157" t="str">
        <f t="shared" si="2"/>
        <v>WR42</v>
      </c>
      <c r="AK183" s="157">
        <f>IFERROR(INDEX(TableWRVORP[BYE],MATCH(TableOverallMaster[[#This Row],[RK]],TableWRVORP[RK],0)),"")</f>
        <v>8</v>
      </c>
      <c r="AL183" s="158">
        <f>IFERROR(INDEX(TableWRVORP[FPS],MATCH(TableOverallMaster[[#This Row],[RK]],TableWRVORP[RK],0)),"")</f>
        <v>150.71515766082945</v>
      </c>
      <c r="AM183" s="159">
        <f>IFERROR(INDEX(TableWRVORP[VORP],MATCH(TableOverallMaster[[#This Row],[RK]],TableWRVORP[RK],0)),"")</f>
        <v>60.430972270463386</v>
      </c>
      <c r="AO183" s="58">
        <v>182</v>
      </c>
      <c r="AP183" s="160" t="str">
        <f>IFERROR(INDEX(TableOverallMaster[OVERALL PLAYER],MATCH(TableOverallRank[[#This Row],[RK]],TableOverallMaster[OVR RK],0)),"")</f>
        <v>Jauan Jennings</v>
      </c>
      <c r="AQ183" s="161" t="str">
        <f>IFERROR(INDEX(TableOverallMaster[POS RK],MATCH(TableOverallRank[[#This Row],[OVERALL PLAYER]],TableOverallMaster[OVERALL PLAYER],0)),"")</f>
        <v>WR76</v>
      </c>
      <c r="AR183" s="162">
        <f>IFERROR(INDEX(TableOverallMaster[BYE],MATCH(TableOverallRank[[#This Row],[OVERALL PLAYER]],TableOverallMaster[OVERALL PLAYER],0)),"")</f>
        <v>6</v>
      </c>
      <c r="AS183" s="161">
        <f>IFERROR(INDEX(TableOverallMaster[Custom],MATCH(TableOverallRank[[#This Row],[OVERALL PLAYER]],TableOverallMaster[OVERALL PLAYER],0)),"")</f>
        <v>82.789156047990502</v>
      </c>
      <c r="AT183" s="163">
        <f>IFERROR(INDEX(TableOverallMaster[VORP],MATCH(TableOverallRank[[#This Row],[OVERALL PLAYER]],TableOverallMaster[OVERALL PLAYER],0)),"")</f>
        <v>-7.4950293423755596</v>
      </c>
      <c r="AV183" s="58">
        <v>182</v>
      </c>
      <c r="AW183" s="164" t="str">
        <f>IFERROR(INDEX(TableWRTECalcPts[PLAYER],MATCH(TableWRTERank[[#This Row],[RK]],TableWRTECalcPts[RK],0)),"")</f>
        <v>Will Kacmarek</v>
      </c>
      <c r="AX183" s="164" t="str">
        <f>IFERROR(INDEX(TableWRTECalcPts[POS RK],MATCH(TableWRTERank[[#This Row],[WR and TE COMBINED]],TableWRTECalcPts[PLAYER],0)),"")</f>
        <v>TE57</v>
      </c>
      <c r="AY183" s="164">
        <f>IFERROR(INDEX(TableWRTECalcPts[BYE],MATCH(TableWRTERank[[#This Row],[RK]],TableWRTECalcPts[RK],0)),"")</f>
        <v>6</v>
      </c>
      <c r="AZ183" s="165">
        <f>IFERROR(INDEX(TableWRTECalcPts[Custom],MATCH(TableWRTERank[[#This Row],[RK]],TableWRTECalcPts[RK],0)),"")</f>
        <v>21.932373717418365</v>
      </c>
      <c r="BA183" s="166">
        <f>IFERROR((TableWRTERank[[#This Row],[FPS]]-INDEX(TableWRTERank[FPS],MATCH(WRTEVORPCalc,TableWRTERank[RK],0))),"")</f>
        <v>-119.30399786487334</v>
      </c>
      <c r="BC183" s="58" t="s">
        <v>148</v>
      </c>
    </row>
    <row r="184" spans="15:55" x14ac:dyDescent="0.25">
      <c r="O184" s="58">
        <v>183</v>
      </c>
      <c r="P184" s="154" t="str">
        <f>IFERROR(INDEX(TableWRCalcPts[PLAYER],MATCH(TableWRVORP[[#This Row],[RK]],TableWRCalcPts[RK],0)),"")</f>
        <v/>
      </c>
      <c r="Q184" s="154" t="str">
        <f>IFERROR(INDEX(TableWRCalcPts[TM],MATCH(TableWRVORP[[#This Row],[RK]],TableWRCalcPts[RK],0)),"")</f>
        <v/>
      </c>
      <c r="R184" s="154" t="str">
        <f>IFERROR(INDEX(TableWRCalcPts[BYE],MATCH(TableWRVORP[[#This Row],[RK]],TableWRCalcPts[RK],0)),"")</f>
        <v/>
      </c>
      <c r="S184" s="155" t="str">
        <f>IFERROR(INDEX(TableWRCalcPts[Custom],MATCH(TableWRVORP[[#This Row],[RK]],TableWRCalcPts[RK],0)),"")</f>
        <v/>
      </c>
      <c r="T184" s="156" t="str">
        <f>(IFERROR((TableWRVORP[[#This Row],[FPS]]-INDEX(TableWRVORP[FPS],MATCH(WRVORPCalc,TableWRVORP[RK],0))),""))</f>
        <v/>
      </c>
      <c r="AF184" s="58" t="s">
        <v>148</v>
      </c>
      <c r="AG184" s="58">
        <v>43</v>
      </c>
      <c r="AH184" s="100">
        <f>RANK(TableOverallMaster[[#This Row],[VORP]],TableOverallMaster[VORP])+COUNTIF($AM$2:AM184,AM184)-1</f>
        <v>103</v>
      </c>
      <c r="AI184" s="157" t="str">
        <f>IFERROR(INDEX(TableWRVORP[WIDE RECEIVER],MATCH(TableOverallMaster[[#This Row],[RK]],TableWRVORP[RK],0)),"")</f>
        <v>Jayden Reed</v>
      </c>
      <c r="AJ184" s="157" t="str">
        <f t="shared" si="2"/>
        <v>WR43</v>
      </c>
      <c r="AK184" s="157">
        <f>IFERROR(INDEX(TableWRVORP[BYE],MATCH(TableOverallMaster[[#This Row],[RK]],TableWRVORP[RK],0)),"")</f>
        <v>11</v>
      </c>
      <c r="AL184" s="158">
        <f>IFERROR(INDEX(TableWRVORP[FPS],MATCH(TableOverallMaster[[#This Row],[RK]],TableWRVORP[RK],0)),"")</f>
        <v>148.99904400559308</v>
      </c>
      <c r="AM184" s="159">
        <f>IFERROR(INDEX(TableWRVORP[VORP],MATCH(TableOverallMaster[[#This Row],[RK]],TableWRVORP[RK],0)),"")</f>
        <v>58.714858615227016</v>
      </c>
      <c r="AO184" s="58">
        <v>183</v>
      </c>
      <c r="AP184" s="160" t="str">
        <f>IFERROR(INDEX(TableOverallMaster[OVERALL PLAYER],MATCH(TableOverallRank[[#This Row],[RK]],TableOverallMaster[OVR RK],0)),"")</f>
        <v>Braelon Allen</v>
      </c>
      <c r="AQ184" s="161" t="str">
        <f>IFERROR(INDEX(TableOverallMaster[POS RK],MATCH(TableOverallRank[[#This Row],[OVERALL PLAYER]],TableOverallMaster[OVERALL PLAYER],0)),"")</f>
        <v>RB47</v>
      </c>
      <c r="AR184" s="162">
        <f>IFERROR(INDEX(TableOverallMaster[BYE],MATCH(TableOverallRank[[#This Row],[OVERALL PLAYER]],TableOverallMaster[OVERALL PLAYER],0)),"")</f>
        <v>13</v>
      </c>
      <c r="AS184" s="161">
        <f>IFERROR(INDEX(TableOverallMaster[Custom],MATCH(TableOverallRank[[#This Row],[OVERALL PLAYER]],TableOverallMaster[OVERALL PLAYER],0)),"")</f>
        <v>93.604943826069501</v>
      </c>
      <c r="AT184" s="163">
        <f>IFERROR(INDEX(TableOverallMaster[VORP],MATCH(TableOverallRank[[#This Row],[OVERALL PLAYER]],TableOverallMaster[OVERALL PLAYER],0)),"")</f>
        <v>-8.3223163239662998</v>
      </c>
      <c r="AV184" s="58">
        <v>183</v>
      </c>
      <c r="AW184" s="164" t="str">
        <f>IFERROR(INDEX(TableWRTECalcPts[PLAYER],MATCH(TableWRTERank[[#This Row],[RK]],TableWRTECalcPts[RK],0)),"")</f>
        <v>Kevin Coleman</v>
      </c>
      <c r="AX184" s="164" t="str">
        <f>IFERROR(INDEX(TableWRTECalcPts[POS RK],MATCH(TableWRTERank[[#This Row],[WR and TE COMBINED]],TableWRTECalcPts[PLAYER],0)),"")</f>
        <v>WR126</v>
      </c>
      <c r="AY184" s="164">
        <f>IFERROR(INDEX(TableWRTECalcPts[BYE],MATCH(TableWRTERank[[#This Row],[RK]],TableWRTECalcPts[RK],0)),"")</f>
        <v>6</v>
      </c>
      <c r="AZ184" s="165">
        <f>IFERROR(INDEX(TableWRTECalcPts[Custom],MATCH(TableWRTERank[[#This Row],[RK]],TableWRTECalcPts[RK],0)),"")</f>
        <v>21.182855032088817</v>
      </c>
      <c r="BA184" s="166">
        <f>IFERROR((TableWRTERank[[#This Row],[FPS]]-INDEX(TableWRTERank[FPS],MATCH(WRTEVORPCalc,TableWRTERank[RK],0))),"")</f>
        <v>-120.05351655020289</v>
      </c>
      <c r="BC184" s="58" t="s">
        <v>148</v>
      </c>
    </row>
    <row r="185" spans="15:55" x14ac:dyDescent="0.25">
      <c r="O185" s="58">
        <v>184</v>
      </c>
      <c r="P185" s="154" t="str">
        <f>IFERROR(INDEX(TableWRCalcPts[PLAYER],MATCH(TableWRVORP[[#This Row],[RK]],TableWRCalcPts[RK],0)),"")</f>
        <v/>
      </c>
      <c r="Q185" s="154" t="str">
        <f>IFERROR(INDEX(TableWRCalcPts[TM],MATCH(TableWRVORP[[#This Row],[RK]],TableWRCalcPts[RK],0)),"")</f>
        <v/>
      </c>
      <c r="R185" s="154" t="str">
        <f>IFERROR(INDEX(TableWRCalcPts[BYE],MATCH(TableWRVORP[[#This Row],[RK]],TableWRCalcPts[RK],0)),"")</f>
        <v/>
      </c>
      <c r="S185" s="155" t="str">
        <f>IFERROR(INDEX(TableWRCalcPts[Custom],MATCH(TableWRVORP[[#This Row],[RK]],TableWRCalcPts[RK],0)),"")</f>
        <v/>
      </c>
      <c r="T185" s="156" t="str">
        <f>(IFERROR((TableWRVORP[[#This Row],[FPS]]-INDEX(TableWRVORP[FPS],MATCH(WRVORPCalc,TableWRVORP[RK],0))),""))</f>
        <v/>
      </c>
      <c r="AF185" s="58" t="s">
        <v>148</v>
      </c>
      <c r="AG185" s="58">
        <v>44</v>
      </c>
      <c r="AH185" s="100">
        <f>RANK(TableOverallMaster[[#This Row],[VORP]],TableOverallMaster[VORP])+COUNTIF($AM$2:AM185,AM185)-1</f>
        <v>104</v>
      </c>
      <c r="AI185" s="157" t="str">
        <f>IFERROR(INDEX(TableWRVORP[WIDE RECEIVER],MATCH(TableOverallMaster[[#This Row],[RK]],TableWRVORP[RK],0)),"")</f>
        <v>Josh Downs</v>
      </c>
      <c r="AJ185" s="157" t="str">
        <f t="shared" si="2"/>
        <v>WR44</v>
      </c>
      <c r="AK185" s="157">
        <f>IFERROR(INDEX(TableWRVORP[BYE],MATCH(TableOverallMaster[[#This Row],[RK]],TableWRVORP[RK],0)),"")</f>
        <v>13</v>
      </c>
      <c r="AL185" s="158">
        <f>IFERROR(INDEX(TableWRVORP[FPS],MATCH(TableOverallMaster[[#This Row],[RK]],TableWRVORP[RK],0)),"")</f>
        <v>148.75355445006602</v>
      </c>
      <c r="AM185" s="159">
        <f>IFERROR(INDEX(TableWRVORP[VORP],MATCH(TableOverallMaster[[#This Row],[RK]],TableWRVORP[RK],0)),"")</f>
        <v>58.469369059699957</v>
      </c>
      <c r="AO185" s="58">
        <v>184</v>
      </c>
      <c r="AP185" s="160" t="str">
        <f>IFERROR(INDEX(TableOverallMaster[OVERALL PLAYER],MATCH(TableOverallRank[[#This Row],[RK]],TableOverallMaster[OVR RK],0)),"")</f>
        <v>Geno Smith</v>
      </c>
      <c r="AQ185" s="161" t="str">
        <f>IFERROR(INDEX(TableOverallMaster[POS RK],MATCH(TableOverallRank[[#This Row],[OVERALL PLAYER]],TableOverallMaster[OVERALL PLAYER],0)),"")</f>
        <v>QB29</v>
      </c>
      <c r="AR185" s="162">
        <f>IFERROR(INDEX(TableOverallMaster[BYE],MATCH(TableOverallRank[[#This Row],[OVERALL PLAYER]],TableOverallMaster[OVERALL PLAYER],0)),"")</f>
        <v>13</v>
      </c>
      <c r="AS185" s="161">
        <f>IFERROR(INDEX(TableOverallMaster[Custom],MATCH(TableOverallRank[[#This Row],[OVERALL PLAYER]],TableOverallMaster[OVERALL PLAYER],0)),"")</f>
        <v>304.89003746282606</v>
      </c>
      <c r="AT185" s="163">
        <f>IFERROR(INDEX(TableOverallMaster[VORP],MATCH(TableOverallRank[[#This Row],[OVERALL PLAYER]],TableOverallMaster[OVERALL PLAYER],0)),"")</f>
        <v>-8.4212214396033112</v>
      </c>
      <c r="AV185" s="58">
        <v>184</v>
      </c>
      <c r="AW185" s="164" t="str">
        <f>IFERROR(INDEX(TableWRTECalcPts[PLAYER],MATCH(TableWRTERank[[#This Row],[RK]],TableWRTECalcPts[RK],0)),"")</f>
        <v>Josh Oliver</v>
      </c>
      <c r="AX185" s="164" t="str">
        <f>IFERROR(INDEX(TableWRTECalcPts[POS RK],MATCH(TableWRTERank[[#This Row],[WR and TE COMBINED]],TableWRTECalcPts[PLAYER],0)),"")</f>
        <v>TE58</v>
      </c>
      <c r="AY185" s="164">
        <f>IFERROR(INDEX(TableWRTECalcPts[BYE],MATCH(TableWRTERank[[#This Row],[RK]],TableWRTECalcPts[RK],0)),"")</f>
        <v>6</v>
      </c>
      <c r="AZ185" s="165">
        <f>IFERROR(INDEX(TableWRTECalcPts[Custom],MATCH(TableWRTERank[[#This Row],[RK]],TableWRTECalcPts[RK],0)),"")</f>
        <v>21.025707823411203</v>
      </c>
      <c r="BA185" s="166">
        <f>IFERROR((TableWRTERank[[#This Row],[FPS]]-INDEX(TableWRTERank[FPS],MATCH(WRTEVORPCalc,TableWRTERank[RK],0))),"")</f>
        <v>-120.21066375888049</v>
      </c>
      <c r="BC185" s="58" t="s">
        <v>148</v>
      </c>
    </row>
    <row r="186" spans="15:55" x14ac:dyDescent="0.25">
      <c r="O186" s="58">
        <v>185</v>
      </c>
      <c r="P186" s="154" t="str">
        <f>IFERROR(INDEX(TableWRCalcPts[PLAYER],MATCH(TableWRVORP[[#This Row],[RK]],TableWRCalcPts[RK],0)),"")</f>
        <v/>
      </c>
      <c r="Q186" s="154" t="str">
        <f>IFERROR(INDEX(TableWRCalcPts[TM],MATCH(TableWRVORP[[#This Row],[RK]],TableWRCalcPts[RK],0)),"")</f>
        <v/>
      </c>
      <c r="R186" s="154" t="str">
        <f>IFERROR(INDEX(TableWRCalcPts[BYE],MATCH(TableWRVORP[[#This Row],[RK]],TableWRCalcPts[RK],0)),"")</f>
        <v/>
      </c>
      <c r="S186" s="155" t="str">
        <f>IFERROR(INDEX(TableWRCalcPts[Custom],MATCH(TableWRVORP[[#This Row],[RK]],TableWRCalcPts[RK],0)),"")</f>
        <v/>
      </c>
      <c r="T186" s="156" t="str">
        <f>(IFERROR((TableWRVORP[[#This Row],[FPS]]-INDEX(TableWRVORP[FPS],MATCH(WRVORPCalc,TableWRVORP[RK],0))),""))</f>
        <v/>
      </c>
      <c r="AF186" s="58" t="s">
        <v>148</v>
      </c>
      <c r="AG186" s="58">
        <v>45</v>
      </c>
      <c r="AH186" s="100">
        <f>RANK(TableOverallMaster[[#This Row],[VORP]],TableOverallMaster[VORP])+COUNTIF($AM$2:AM186,AM186)-1</f>
        <v>106</v>
      </c>
      <c r="AI186" s="157" t="str">
        <f>IFERROR(INDEX(TableWRVORP[WIDE RECEIVER],MATCH(TableOverallMaster[[#This Row],[RK]],TableWRVORP[RK],0)),"")</f>
        <v>Malik Nabers</v>
      </c>
      <c r="AJ186" s="157" t="str">
        <f t="shared" si="2"/>
        <v>WR45</v>
      </c>
      <c r="AK186" s="157">
        <f>IFERROR(INDEX(TableWRVORP[BYE],MATCH(TableOverallMaster[[#This Row],[RK]],TableWRVORP[RK],0)),"")</f>
        <v>8</v>
      </c>
      <c r="AL186" s="158">
        <f>IFERROR(INDEX(TableWRVORP[FPS],MATCH(TableOverallMaster[[#This Row],[RK]],TableWRVORP[RK],0)),"")</f>
        <v>147.06776996248362</v>
      </c>
      <c r="AM186" s="159">
        <f>IFERROR(INDEX(TableWRVORP[VORP],MATCH(TableOverallMaster[[#This Row],[RK]],TableWRVORP[RK],0)),"")</f>
        <v>56.783584572117562</v>
      </c>
      <c r="AO186" s="58">
        <v>185</v>
      </c>
      <c r="AP186" s="160" t="str">
        <f>IFERROR(INDEX(TableOverallMaster[OVERALL PLAYER],MATCH(TableOverallRank[[#This Row],[RK]],TableOverallMaster[OVR RK],0)),"")</f>
        <v>Justice Hill</v>
      </c>
      <c r="AQ186" s="161" t="str">
        <f>IFERROR(INDEX(TableOverallMaster[POS RK],MATCH(TableOverallRank[[#This Row],[OVERALL PLAYER]],TableOverallMaster[OVERALL PLAYER],0)),"")</f>
        <v>RB48</v>
      </c>
      <c r="AR186" s="162">
        <f>IFERROR(INDEX(TableOverallMaster[BYE],MATCH(TableOverallRank[[#This Row],[OVERALL PLAYER]],TableOverallMaster[OVERALL PLAYER],0)),"")</f>
        <v>13</v>
      </c>
      <c r="AS186" s="161">
        <f>IFERROR(INDEX(TableOverallMaster[Custom],MATCH(TableOverallRank[[#This Row],[OVERALL PLAYER]],TableOverallMaster[OVERALL PLAYER],0)),"")</f>
        <v>92.574996556792598</v>
      </c>
      <c r="AT186" s="163">
        <f>IFERROR(INDEX(TableOverallMaster[VORP],MATCH(TableOverallRank[[#This Row],[OVERALL PLAYER]],TableOverallMaster[OVERALL PLAYER],0)),"")</f>
        <v>-9.1462741393878222</v>
      </c>
      <c r="AV186" s="58">
        <v>185</v>
      </c>
      <c r="AW186" s="164" t="str">
        <f>IFERROR(INDEX(TableWRTECalcPts[PLAYER],MATCH(TableWRTERank[[#This Row],[RK]],TableWRTECalcPts[RK],0)),"")</f>
        <v>Deion Burks</v>
      </c>
      <c r="AX186" s="164" t="str">
        <f>IFERROR(INDEX(TableWRTECalcPts[POS RK],MATCH(TableWRTERank[[#This Row],[WR and TE COMBINED]],TableWRTECalcPts[PLAYER],0)),"")</f>
        <v>WR127</v>
      </c>
      <c r="AY186" s="164">
        <f>IFERROR(INDEX(TableWRTECalcPts[BYE],MATCH(TableWRTERank[[#This Row],[RK]],TableWRTECalcPts[RK],0)),"")</f>
        <v>13</v>
      </c>
      <c r="AZ186" s="165">
        <f>IFERROR(INDEX(TableWRTECalcPts[Custom],MATCH(TableWRTERank[[#This Row],[RK]],TableWRTECalcPts[RK],0)),"")</f>
        <v>20.528811020256004</v>
      </c>
      <c r="BA186" s="166">
        <f>IFERROR((TableWRTERank[[#This Row],[FPS]]-INDEX(TableWRTERank[FPS],MATCH(WRTEVORPCalc,TableWRTERank[RK],0))),"")</f>
        <v>-120.7075605620357</v>
      </c>
      <c r="BC186" s="58" t="s">
        <v>148</v>
      </c>
    </row>
    <row r="187" spans="15:55" x14ac:dyDescent="0.25">
      <c r="O187" s="58">
        <v>186</v>
      </c>
      <c r="P187" s="154" t="str">
        <f>IFERROR(INDEX(TableWRCalcPts[PLAYER],MATCH(TableWRVORP[[#This Row],[RK]],TableWRCalcPts[RK],0)),"")</f>
        <v/>
      </c>
      <c r="Q187" s="154" t="str">
        <f>IFERROR(INDEX(TableWRCalcPts[TM],MATCH(TableWRVORP[[#This Row],[RK]],TableWRCalcPts[RK],0)),"")</f>
        <v/>
      </c>
      <c r="R187" s="154" t="str">
        <f>IFERROR(INDEX(TableWRCalcPts[BYE],MATCH(TableWRVORP[[#This Row],[RK]],TableWRCalcPts[RK],0)),"")</f>
        <v/>
      </c>
      <c r="S187" s="155" t="str">
        <f>IFERROR(INDEX(TableWRCalcPts[Custom],MATCH(TableWRVORP[[#This Row],[RK]],TableWRCalcPts[RK],0)),"")</f>
        <v/>
      </c>
      <c r="T187" s="156" t="str">
        <f>(IFERROR((TableWRVORP[[#This Row],[FPS]]-INDEX(TableWRVORP[FPS],MATCH(WRVORPCalc,TableWRVORP[RK],0))),""))</f>
        <v/>
      </c>
      <c r="AF187" s="58" t="s">
        <v>148</v>
      </c>
      <c r="AG187" s="58">
        <v>46</v>
      </c>
      <c r="AH187" s="100">
        <f>RANK(TableOverallMaster[[#This Row],[VORP]],TableOverallMaster[VORP])+COUNTIF($AM$2:AM187,AM187)-1</f>
        <v>108</v>
      </c>
      <c r="AI187" s="157" t="str">
        <f>IFERROR(INDEX(TableWRVORP[WIDE RECEIVER],MATCH(TableOverallMaster[[#This Row],[RK]],TableWRVORP[RK],0)),"")</f>
        <v>Brian Thomas</v>
      </c>
      <c r="AJ187" s="157" t="str">
        <f t="shared" si="2"/>
        <v>WR46</v>
      </c>
      <c r="AK187" s="157">
        <f>IFERROR(INDEX(TableWRVORP[BYE],MATCH(TableOverallMaster[[#This Row],[RK]],TableWRVORP[RK],0)),"")</f>
        <v>7</v>
      </c>
      <c r="AL187" s="158">
        <f>IFERROR(INDEX(TableWRVORP[FPS],MATCH(TableOverallMaster[[#This Row],[RK]],TableWRVORP[RK],0)),"")</f>
        <v>145.44104743852742</v>
      </c>
      <c r="AM187" s="159">
        <f>IFERROR(INDEX(TableWRVORP[VORP],MATCH(TableOverallMaster[[#This Row],[RK]],TableWRVORP[RK],0)),"")</f>
        <v>55.156862048161358</v>
      </c>
      <c r="AO187" s="58">
        <v>186</v>
      </c>
      <c r="AP187" s="160" t="str">
        <f>IFERROR(INDEX(TableOverallMaster[OVERALL PLAYER],MATCH(TableOverallRank[[#This Row],[RK]],TableOverallMaster[OVR RK],0)),"")</f>
        <v>Tua Tagovailoa</v>
      </c>
      <c r="AQ187" s="161" t="str">
        <f>IFERROR(INDEX(TableOverallMaster[POS RK],MATCH(TableOverallRank[[#This Row],[OVERALL PLAYER]],TableOverallMaster[OVERALL PLAYER],0)),"")</f>
        <v>QB30</v>
      </c>
      <c r="AR187" s="162">
        <f>IFERROR(INDEX(TableOverallMaster[BYE],MATCH(TableOverallRank[[#This Row],[OVERALL PLAYER]],TableOverallMaster[OVERALL PLAYER],0)),"")</f>
        <v>11</v>
      </c>
      <c r="AS187" s="161">
        <f>IFERROR(INDEX(TableOverallMaster[Custom],MATCH(TableOverallRank[[#This Row],[OVERALL PLAYER]],TableOverallMaster[OVERALL PLAYER],0)),"")</f>
        <v>304.17290688650468</v>
      </c>
      <c r="AT187" s="163">
        <f>IFERROR(INDEX(TableOverallMaster[VORP],MATCH(TableOverallRank[[#This Row],[OVERALL PLAYER]],TableOverallMaster[OVERALL PLAYER],0)),"")</f>
        <v>-9.6998207322909629</v>
      </c>
      <c r="AV187" s="58">
        <v>186</v>
      </c>
      <c r="AW187" s="164" t="str">
        <f>IFERROR(INDEX(TableWRTECalcPts[PLAYER],MATCH(TableWRTERank[[#This Row],[RK]],TableWRTECalcPts[RK],0)),"")</f>
        <v>Jordan Whittington</v>
      </c>
      <c r="AX187" s="164" t="str">
        <f>IFERROR(INDEX(TableWRTECalcPts[POS RK],MATCH(TableWRTERank[[#This Row],[WR and TE COMBINED]],TableWRTECalcPts[PLAYER],0)),"")</f>
        <v>WR128</v>
      </c>
      <c r="AY187" s="164">
        <f>IFERROR(INDEX(TableWRTECalcPts[BYE],MATCH(TableWRTERank[[#This Row],[RK]],TableWRTECalcPts[RK],0)),"")</f>
        <v>11</v>
      </c>
      <c r="AZ187" s="165">
        <f>IFERROR(INDEX(TableWRTECalcPts[Custom],MATCH(TableWRTERank[[#This Row],[RK]],TableWRTECalcPts[RK],0)),"")</f>
        <v>20.472066670981437</v>
      </c>
      <c r="BA187" s="166">
        <f>IFERROR((TableWRTERank[[#This Row],[FPS]]-INDEX(TableWRTERank[FPS],MATCH(WRTEVORPCalc,TableWRTERank[RK],0))),"")</f>
        <v>-120.76430491131026</v>
      </c>
      <c r="BC187" s="58" t="s">
        <v>148</v>
      </c>
    </row>
    <row r="188" spans="15:55" x14ac:dyDescent="0.25">
      <c r="O188" s="58">
        <v>187</v>
      </c>
      <c r="P188" s="154" t="str">
        <f>IFERROR(INDEX(TableWRCalcPts[PLAYER],MATCH(TableWRVORP[[#This Row],[RK]],TableWRCalcPts[RK],0)),"")</f>
        <v/>
      </c>
      <c r="Q188" s="154" t="str">
        <f>IFERROR(INDEX(TableWRCalcPts[TM],MATCH(TableWRVORP[[#This Row],[RK]],TableWRCalcPts[RK],0)),"")</f>
        <v/>
      </c>
      <c r="R188" s="154" t="str">
        <f>IFERROR(INDEX(TableWRCalcPts[BYE],MATCH(TableWRVORP[[#This Row],[RK]],TableWRCalcPts[RK],0)),"")</f>
        <v/>
      </c>
      <c r="S188" s="155" t="str">
        <f>IFERROR(INDEX(TableWRCalcPts[Custom],MATCH(TableWRVORP[[#This Row],[RK]],TableWRCalcPts[RK],0)),"")</f>
        <v/>
      </c>
      <c r="T188" s="156" t="str">
        <f>(IFERROR((TableWRVORP[[#This Row],[FPS]]-INDEX(TableWRVORP[FPS],MATCH(WRVORPCalc,TableWRVORP[RK],0))),""))</f>
        <v/>
      </c>
      <c r="AF188" s="58" t="s">
        <v>148</v>
      </c>
      <c r="AG188" s="58">
        <v>47</v>
      </c>
      <c r="AH188" s="100">
        <f>RANK(TableOverallMaster[[#This Row],[VORP]],TableOverallMaster[VORP])+COUNTIF($AM$2:AM188,AM188)-1</f>
        <v>109</v>
      </c>
      <c r="AI188" s="157" t="str">
        <f>IFERROR(INDEX(TableWRVORP[WIDE RECEIVER],MATCH(TableOverallMaster[[#This Row],[RK]],TableWRVORP[RK],0)),"")</f>
        <v>Chris Godwin</v>
      </c>
      <c r="AJ188" s="157" t="str">
        <f t="shared" si="2"/>
        <v>WR47</v>
      </c>
      <c r="AK188" s="157">
        <f>IFERROR(INDEX(TableWRVORP[BYE],MATCH(TableOverallMaster[[#This Row],[RK]],TableWRVORP[RK],0)),"")</f>
        <v>10</v>
      </c>
      <c r="AL188" s="158">
        <f>IFERROR(INDEX(TableWRVORP[FPS],MATCH(TableOverallMaster[[#This Row],[RK]],TableWRVORP[RK],0)),"")</f>
        <v>144.56829686906872</v>
      </c>
      <c r="AM188" s="159">
        <f>IFERROR(INDEX(TableWRVORP[VORP],MATCH(TableOverallMaster[[#This Row],[RK]],TableWRVORP[RK],0)),"")</f>
        <v>54.284111478702656</v>
      </c>
      <c r="AO188" s="58">
        <v>187</v>
      </c>
      <c r="AP188" s="160" t="str">
        <f>IFERROR(INDEX(TableOverallMaster[OVERALL PLAYER],MATCH(TableOverallRank[[#This Row],[RK]],TableOverallMaster[OVR RK],0)),"")</f>
        <v>Darnell Mooney</v>
      </c>
      <c r="AQ188" s="161" t="str">
        <f>IFERROR(INDEX(TableOverallMaster[POS RK],MATCH(TableOverallRank[[#This Row],[OVERALL PLAYER]],TableOverallMaster[OVERALL PLAYER],0)),"")</f>
        <v>WR77</v>
      </c>
      <c r="AR188" s="162">
        <f>IFERROR(INDEX(TableOverallMaster[BYE],MATCH(TableOverallRank[[#This Row],[OVERALL PLAYER]],TableOverallMaster[OVERALL PLAYER],0)),"")</f>
        <v>8</v>
      </c>
      <c r="AS188" s="161">
        <f>IFERROR(INDEX(TableOverallMaster[Custom],MATCH(TableOverallRank[[#This Row],[OVERALL PLAYER]],TableOverallMaster[OVERALL PLAYER],0)),"")</f>
        <v>80.506540304927114</v>
      </c>
      <c r="AT188" s="163">
        <f>IFERROR(INDEX(TableOverallMaster[VORP],MATCH(TableOverallRank[[#This Row],[OVERALL PLAYER]],TableOverallMaster[OVERALL PLAYER],0)),"")</f>
        <v>-9.7776450854389481</v>
      </c>
      <c r="AV188" s="58">
        <v>187</v>
      </c>
      <c r="AW188" s="164" t="str">
        <f>IFERROR(INDEX(TableWRTECalcPts[PLAYER],MATCH(TableWRTERank[[#This Row],[RK]],TableWRTECalcPts[RK],0)),"")</f>
        <v>Elijah Higgins</v>
      </c>
      <c r="AX188" s="164" t="str">
        <f>IFERROR(INDEX(TableWRTECalcPts[POS RK],MATCH(TableWRTERank[[#This Row],[WR and TE COMBINED]],TableWRTECalcPts[PLAYER],0)),"")</f>
        <v>TE59</v>
      </c>
      <c r="AY188" s="164">
        <f>IFERROR(INDEX(TableWRTECalcPts[BYE],MATCH(TableWRTERank[[#This Row],[RK]],TableWRTECalcPts[RK],0)),"")</f>
        <v>14</v>
      </c>
      <c r="AZ188" s="165">
        <f>IFERROR(INDEX(TableWRTECalcPts[Custom],MATCH(TableWRTERank[[#This Row],[RK]],TableWRTECalcPts[RK],0)),"")</f>
        <v>20.467085864788103</v>
      </c>
      <c r="BA188" s="166">
        <f>IFERROR((TableWRTERank[[#This Row],[FPS]]-INDEX(TableWRTERank[FPS],MATCH(WRTEVORPCalc,TableWRTERank[RK],0))),"")</f>
        <v>-120.76928571750359</v>
      </c>
      <c r="BC188" s="58" t="s">
        <v>148</v>
      </c>
    </row>
    <row r="189" spans="15:55" x14ac:dyDescent="0.25">
      <c r="O189" s="58">
        <v>188</v>
      </c>
      <c r="P189" s="154" t="str">
        <f>IFERROR(INDEX(TableWRCalcPts[PLAYER],MATCH(TableWRVORP[[#This Row],[RK]],TableWRCalcPts[RK],0)),"")</f>
        <v/>
      </c>
      <c r="Q189" s="154" t="str">
        <f>IFERROR(INDEX(TableWRCalcPts[TM],MATCH(TableWRVORP[[#This Row],[RK]],TableWRCalcPts[RK],0)),"")</f>
        <v/>
      </c>
      <c r="R189" s="154" t="str">
        <f>IFERROR(INDEX(TableWRCalcPts[BYE],MATCH(TableWRVORP[[#This Row],[RK]],TableWRCalcPts[RK],0)),"")</f>
        <v/>
      </c>
      <c r="S189" s="155" t="str">
        <f>IFERROR(INDEX(TableWRCalcPts[Custom],MATCH(TableWRVORP[[#This Row],[RK]],TableWRCalcPts[RK],0)),"")</f>
        <v/>
      </c>
      <c r="T189" s="156" t="str">
        <f>(IFERROR((TableWRVORP[[#This Row],[FPS]]-INDEX(TableWRVORP[FPS],MATCH(WRVORPCalc,TableWRVORP[RK],0))),""))</f>
        <v/>
      </c>
      <c r="AF189" s="58" t="s">
        <v>148</v>
      </c>
      <c r="AG189" s="58">
        <v>48</v>
      </c>
      <c r="AH189" s="100">
        <f>RANK(TableOverallMaster[[#This Row],[VORP]],TableOverallMaster[VORP])+COUNTIF($AM$2:AM189,AM189)-1</f>
        <v>111</v>
      </c>
      <c r="AI189" s="157" t="str">
        <f>IFERROR(INDEX(TableWRVORP[WIDE RECEIVER],MATCH(TableOverallMaster[[#This Row],[RK]],TableWRVORP[RK],0)),"")</f>
        <v>Michael Wilson</v>
      </c>
      <c r="AJ189" s="157" t="str">
        <f t="shared" si="2"/>
        <v>WR48</v>
      </c>
      <c r="AK189" s="157">
        <f>IFERROR(INDEX(TableWRVORP[BYE],MATCH(TableOverallMaster[[#This Row],[RK]],TableWRVORP[RK],0)),"")</f>
        <v>14</v>
      </c>
      <c r="AL189" s="158">
        <f>IFERROR(INDEX(TableWRVORP[FPS],MATCH(TableOverallMaster[[#This Row],[RK]],TableWRVORP[RK],0)),"")</f>
        <v>143.41848778330626</v>
      </c>
      <c r="AM189" s="159">
        <f>IFERROR(INDEX(TableWRVORP[VORP],MATCH(TableOverallMaster[[#This Row],[RK]],TableWRVORP[RK],0)),"")</f>
        <v>53.134302392940199</v>
      </c>
      <c r="AO189" s="58">
        <v>188</v>
      </c>
      <c r="AP189" s="160" t="str">
        <f>IFERROR(INDEX(TableOverallMaster[OVERALL PLAYER],MATCH(TableOverallRank[[#This Row],[RK]],TableOverallMaster[OVR RK],0)),"")</f>
        <v>Malik Washington</v>
      </c>
      <c r="AQ189" s="161" t="str">
        <f>IFERROR(INDEX(TableOverallMaster[POS RK],MATCH(TableOverallRank[[#This Row],[OVERALL PLAYER]],TableOverallMaster[OVERALL PLAYER],0)),"")</f>
        <v>WR78</v>
      </c>
      <c r="AR189" s="162">
        <f>IFERROR(INDEX(TableOverallMaster[BYE],MATCH(TableOverallRank[[#This Row],[OVERALL PLAYER]],TableOverallMaster[OVERALL PLAYER],0)),"")</f>
        <v>6</v>
      </c>
      <c r="AS189" s="161">
        <f>IFERROR(INDEX(TableOverallMaster[Custom],MATCH(TableOverallRank[[#This Row],[OVERALL PLAYER]],TableOverallMaster[OVERALL PLAYER],0)),"")</f>
        <v>80.337995544473287</v>
      </c>
      <c r="AT189" s="163">
        <f>IFERROR(INDEX(TableOverallMaster[VORP],MATCH(TableOverallRank[[#This Row],[OVERALL PLAYER]],TableOverallMaster[OVERALL PLAYER],0)),"")</f>
        <v>-9.9461898458927749</v>
      </c>
      <c r="AV189" s="58">
        <v>188</v>
      </c>
      <c r="AW189" s="164" t="str">
        <f>IFERROR(INDEX(TableWRTECalcPts[PLAYER],MATCH(TableWRTERank[[#This Row],[RK]],TableWRTECalcPts[RK],0)),"")</f>
        <v>Bryce Lance</v>
      </c>
      <c r="AX189" s="164" t="str">
        <f>IFERROR(INDEX(TableWRTECalcPts[POS RK],MATCH(TableWRTERank[[#This Row],[WR and TE COMBINED]],TableWRTECalcPts[PLAYER],0)),"")</f>
        <v>WR129</v>
      </c>
      <c r="AY189" s="164">
        <f>IFERROR(INDEX(TableWRTECalcPts[BYE],MATCH(TableWRTERank[[#This Row],[RK]],TableWRTECalcPts[RK],0)),"")</f>
        <v>8</v>
      </c>
      <c r="AZ189" s="165">
        <f>IFERROR(INDEX(TableWRTECalcPts[Custom],MATCH(TableWRTERank[[#This Row],[RK]],TableWRTECalcPts[RK],0)),"")</f>
        <v>20.315367916447233</v>
      </c>
      <c r="BA189" s="166">
        <f>IFERROR((TableWRTERank[[#This Row],[FPS]]-INDEX(TableWRTERank[FPS],MATCH(WRTEVORPCalc,TableWRTERank[RK],0))),"")</f>
        <v>-120.92100366584447</v>
      </c>
      <c r="BC189" s="58" t="s">
        <v>148</v>
      </c>
    </row>
    <row r="190" spans="15:55" x14ac:dyDescent="0.25">
      <c r="O190" s="58">
        <v>189</v>
      </c>
      <c r="P190" s="154" t="str">
        <f>IFERROR(INDEX(TableWRCalcPts[PLAYER],MATCH(TableWRVORP[[#This Row],[RK]],TableWRCalcPts[RK],0)),"")</f>
        <v/>
      </c>
      <c r="Q190" s="154" t="str">
        <f>IFERROR(INDEX(TableWRCalcPts[TM],MATCH(TableWRVORP[[#This Row],[RK]],TableWRCalcPts[RK],0)),"")</f>
        <v/>
      </c>
      <c r="R190" s="154" t="str">
        <f>IFERROR(INDEX(TableWRCalcPts[BYE],MATCH(TableWRVORP[[#This Row],[RK]],TableWRCalcPts[RK],0)),"")</f>
        <v/>
      </c>
      <c r="S190" s="155" t="str">
        <f>IFERROR(INDEX(TableWRCalcPts[Custom],MATCH(TableWRVORP[[#This Row],[RK]],TableWRCalcPts[RK],0)),"")</f>
        <v/>
      </c>
      <c r="T190" s="156" t="str">
        <f>(IFERROR((TableWRVORP[[#This Row],[FPS]]-INDEX(TableWRVORP[FPS],MATCH(WRVORPCalc,TableWRVORP[RK],0))),""))</f>
        <v/>
      </c>
      <c r="AF190" s="58" t="s">
        <v>148</v>
      </c>
      <c r="AG190" s="58">
        <v>49</v>
      </c>
      <c r="AH190" s="100">
        <f>RANK(TableOverallMaster[[#This Row],[VORP]],TableOverallMaster[VORP])+COUNTIF($AM$2:AM190,AM190)-1</f>
        <v>113</v>
      </c>
      <c r="AI190" s="157" t="str">
        <f>IFERROR(INDEX(TableWRVORP[WIDE RECEIVER],MATCH(TableOverallMaster[[#This Row],[RK]],TableWRVORP[RK],0)),"")</f>
        <v>Xavier Worthy</v>
      </c>
      <c r="AJ190" s="157" t="str">
        <f t="shared" si="2"/>
        <v>WR49</v>
      </c>
      <c r="AK190" s="157">
        <f>IFERROR(INDEX(TableWRVORP[BYE],MATCH(TableOverallMaster[[#This Row],[RK]],TableWRVORP[RK],0)),"")</f>
        <v>5</v>
      </c>
      <c r="AL190" s="158">
        <f>IFERROR(INDEX(TableWRVORP[FPS],MATCH(TableOverallMaster[[#This Row],[RK]],TableWRVORP[RK],0)),"")</f>
        <v>142.00991741360272</v>
      </c>
      <c r="AM190" s="159">
        <f>IFERROR(INDEX(TableWRVORP[VORP],MATCH(TableOverallMaster[[#This Row],[RK]],TableWRVORP[RK],0)),"")</f>
        <v>51.72573202323666</v>
      </c>
      <c r="AO190" s="58">
        <v>189</v>
      </c>
      <c r="AP190" s="160" t="str">
        <f>IFERROR(INDEX(TableOverallMaster[OVERALL PLAYER],MATCH(TableOverallRank[[#This Row],[RK]],TableOverallMaster[OVR RK],0)),"")</f>
        <v>Dylan Sampson</v>
      </c>
      <c r="AQ190" s="161" t="str">
        <f>IFERROR(INDEX(TableOverallMaster[POS RK],MATCH(TableOverallRank[[#This Row],[OVERALL PLAYER]],TableOverallMaster[OVERALL PLAYER],0)),"")</f>
        <v>RB49</v>
      </c>
      <c r="AR190" s="162">
        <f>IFERROR(INDEX(TableOverallMaster[BYE],MATCH(TableOverallRank[[#This Row],[OVERALL PLAYER]],TableOverallMaster[OVERALL PLAYER],0)),"")</f>
        <v>11</v>
      </c>
      <c r="AS190" s="161">
        <f>IFERROR(INDEX(TableOverallMaster[Custom],MATCH(TableOverallRank[[#This Row],[OVERALL PLAYER]],TableOverallMaster[OVERALL PLAYER],0)),"")</f>
        <v>91.113392963644444</v>
      </c>
      <c r="AT190" s="163">
        <f>IFERROR(INDEX(TableOverallMaster[VORP],MATCH(TableOverallRank[[#This Row],[OVERALL PLAYER]],TableOverallMaster[OVERALL PLAYER],0)),"")</f>
        <v>-10.315557013906346</v>
      </c>
      <c r="AV190" s="58">
        <v>189</v>
      </c>
      <c r="AW190" s="164" t="str">
        <f>IFERROR(INDEX(TableWRTECalcPts[PLAYER],MATCH(TableWRTERank[[#This Row],[RK]],TableWRTECalcPts[RK],0)),"")</f>
        <v>Adam Trautman</v>
      </c>
      <c r="AX190" s="164" t="str">
        <f>IFERROR(INDEX(TableWRTECalcPts[POS RK],MATCH(TableWRTERank[[#This Row],[WR and TE COMBINED]],TableWRTECalcPts[PLAYER],0)),"")</f>
        <v>TE60</v>
      </c>
      <c r="AY190" s="164">
        <f>IFERROR(INDEX(TableWRTECalcPts[BYE],MATCH(TableWRTERank[[#This Row],[RK]],TableWRTECalcPts[RK],0)),"")</f>
        <v>10</v>
      </c>
      <c r="AZ190" s="165">
        <f>IFERROR(INDEX(TableWRTECalcPts[Custom],MATCH(TableWRTERank[[#This Row],[RK]],TableWRTECalcPts[RK],0)),"")</f>
        <v>20.176940339267716</v>
      </c>
      <c r="BA190" s="166">
        <f>IFERROR((TableWRTERank[[#This Row],[FPS]]-INDEX(TableWRTERank[FPS],MATCH(WRTEVORPCalc,TableWRTERank[RK],0))),"")</f>
        <v>-121.05943124302398</v>
      </c>
      <c r="BC190" s="58" t="s">
        <v>148</v>
      </c>
    </row>
    <row r="191" spans="15:55" x14ac:dyDescent="0.25">
      <c r="O191" s="58">
        <v>190</v>
      </c>
      <c r="P191" s="154" t="str">
        <f>IFERROR(INDEX(TableWRCalcPts[PLAYER],MATCH(TableWRVORP[[#This Row],[RK]],TableWRCalcPts[RK],0)),"")</f>
        <v/>
      </c>
      <c r="Q191" s="154" t="str">
        <f>IFERROR(INDEX(TableWRCalcPts[TM],MATCH(TableWRVORP[[#This Row],[RK]],TableWRCalcPts[RK],0)),"")</f>
        <v/>
      </c>
      <c r="R191" s="154" t="str">
        <f>IFERROR(INDEX(TableWRCalcPts[BYE],MATCH(TableWRVORP[[#This Row],[RK]],TableWRCalcPts[RK],0)),"")</f>
        <v/>
      </c>
      <c r="S191" s="155" t="str">
        <f>IFERROR(INDEX(TableWRCalcPts[Custom],MATCH(TableWRVORP[[#This Row],[RK]],TableWRCalcPts[RK],0)),"")</f>
        <v/>
      </c>
      <c r="T191" s="156" t="str">
        <f>(IFERROR((TableWRVORP[[#This Row],[FPS]]-INDEX(TableWRVORP[FPS],MATCH(WRVORPCalc,TableWRVORP[RK],0))),""))</f>
        <v/>
      </c>
      <c r="AF191" s="58" t="s">
        <v>148</v>
      </c>
      <c r="AG191" s="58">
        <v>50</v>
      </c>
      <c r="AH191" s="100">
        <f>RANK(TableOverallMaster[[#This Row],[VORP]],TableOverallMaster[VORP])+COUNTIF($AM$2:AM191,AM191)-1</f>
        <v>120</v>
      </c>
      <c r="AI191" s="157" t="str">
        <f>IFERROR(INDEX(TableWRVORP[WIDE RECEIVER],MATCH(TableOverallMaster[[#This Row],[RK]],TableWRVORP[RK],0)),"")</f>
        <v>Jakobi Meyers</v>
      </c>
      <c r="AJ191" s="157" t="str">
        <f t="shared" si="2"/>
        <v>WR50</v>
      </c>
      <c r="AK191" s="157">
        <f>IFERROR(INDEX(TableWRVORP[BYE],MATCH(TableOverallMaster[[#This Row],[RK]],TableWRVORP[RK],0)),"")</f>
        <v>7</v>
      </c>
      <c r="AL191" s="158">
        <f>IFERROR(INDEX(TableWRVORP[FPS],MATCH(TableOverallMaster[[#This Row],[RK]],TableWRVORP[RK],0)),"")</f>
        <v>137.56599358807983</v>
      </c>
      <c r="AM191" s="159">
        <f>IFERROR(INDEX(TableWRVORP[VORP],MATCH(TableOverallMaster[[#This Row],[RK]],TableWRVORP[RK],0)),"")</f>
        <v>47.281808197713772</v>
      </c>
      <c r="AO191" s="58">
        <v>190</v>
      </c>
      <c r="AP191" s="160" t="str">
        <f>IFERROR(INDEX(TableOverallMaster[OVERALL PLAYER],MATCH(TableOverallRank[[#This Row],[RK]],TableOverallMaster[OVR RK],0)),"")</f>
        <v>Tyrone Tracy</v>
      </c>
      <c r="AQ191" s="161" t="str">
        <f>IFERROR(INDEX(TableOverallMaster[POS RK],MATCH(TableOverallRank[[#This Row],[OVERALL PLAYER]],TableOverallMaster[OVERALL PLAYER],0)),"")</f>
        <v>RB50</v>
      </c>
      <c r="AR191" s="162">
        <f>IFERROR(INDEX(TableOverallMaster[BYE],MATCH(TableOverallRank[[#This Row],[OVERALL PLAYER]],TableOverallMaster[OVERALL PLAYER],0)),"")</f>
        <v>8</v>
      </c>
      <c r="AS191" s="161">
        <f>IFERROR(INDEX(TableOverallMaster[Custom],MATCH(TableOverallRank[[#This Row],[OVERALL PLAYER]],TableOverallMaster[OVERALL PLAYER],0)),"")</f>
        <v>90.423360797211956</v>
      </c>
      <c r="AT191" s="163">
        <f>IFERROR(INDEX(TableOverallMaster[VORP],MATCH(TableOverallRank[[#This Row],[OVERALL PLAYER]],TableOverallMaster[OVERALL PLAYER],0)),"")</f>
        <v>-10.867582747052337</v>
      </c>
      <c r="AV191" s="58">
        <v>190</v>
      </c>
      <c r="AW191" s="164" t="str">
        <f>IFERROR(INDEX(TableWRTECalcPts[PLAYER],MATCH(TableWRTERank[[#This Row],[RK]],TableWRTECalcPts[RK],0)),"")</f>
        <v>Chimere Dike</v>
      </c>
      <c r="AX191" s="164" t="str">
        <f>IFERROR(INDEX(TableWRTECalcPts[POS RK],MATCH(TableWRTERank[[#This Row],[WR and TE COMBINED]],TableWRTECalcPts[PLAYER],0)),"")</f>
        <v>WR130</v>
      </c>
      <c r="AY191" s="164">
        <f>IFERROR(INDEX(TableWRTECalcPts[BYE],MATCH(TableWRTERank[[#This Row],[RK]],TableWRTECalcPts[RK],0)),"")</f>
        <v>9</v>
      </c>
      <c r="AZ191" s="165">
        <f>IFERROR(INDEX(TableWRTECalcPts[Custom],MATCH(TableWRTERank[[#This Row],[RK]],TableWRTECalcPts[RK],0)),"")</f>
        <v>19.953913792414774</v>
      </c>
      <c r="BA191" s="166">
        <f>IFERROR((TableWRTERank[[#This Row],[FPS]]-INDEX(TableWRTERank[FPS],MATCH(WRTEVORPCalc,TableWRTERank[RK],0))),"")</f>
        <v>-121.28245778987693</v>
      </c>
      <c r="BC191" s="58" t="s">
        <v>148</v>
      </c>
    </row>
    <row r="192" spans="15:55" x14ac:dyDescent="0.25">
      <c r="O192" s="58">
        <v>191</v>
      </c>
      <c r="P192" s="154" t="str">
        <f>IFERROR(INDEX(TableWRCalcPts[PLAYER],MATCH(TableWRVORP[[#This Row],[RK]],TableWRCalcPts[RK],0)),"")</f>
        <v/>
      </c>
      <c r="Q192" s="154" t="str">
        <f>IFERROR(INDEX(TableWRCalcPts[TM],MATCH(TableWRVORP[[#This Row],[RK]],TableWRCalcPts[RK],0)),"")</f>
        <v/>
      </c>
      <c r="R192" s="154" t="str">
        <f>IFERROR(INDEX(TableWRCalcPts[BYE],MATCH(TableWRVORP[[#This Row],[RK]],TableWRCalcPts[RK],0)),"")</f>
        <v/>
      </c>
      <c r="S192" s="155" t="str">
        <f>IFERROR(INDEX(TableWRCalcPts[Custom],MATCH(TableWRVORP[[#This Row],[RK]],TableWRCalcPts[RK],0)),"")</f>
        <v/>
      </c>
      <c r="T192" s="156" t="str">
        <f>(IFERROR((TableWRVORP[[#This Row],[FPS]]-INDEX(TableWRVORP[FPS],MATCH(WRVORPCalc,TableWRVORP[RK],0))),""))</f>
        <v/>
      </c>
      <c r="AF192" s="58" t="s">
        <v>148</v>
      </c>
      <c r="AG192" s="58">
        <v>51</v>
      </c>
      <c r="AH192" s="100">
        <f>RANK(TableOverallMaster[[#This Row],[VORP]],TableOverallMaster[VORP])+COUNTIF($AM$2:AM192,AM192)-1</f>
        <v>121</v>
      </c>
      <c r="AI192" s="157" t="str">
        <f>IFERROR(INDEX(TableWRVORP[WIDE RECEIVER],MATCH(TableOverallMaster[[#This Row],[RK]],TableWRVORP[RK],0)),"")</f>
        <v>Jalen Coker</v>
      </c>
      <c r="AJ192" s="157" t="str">
        <f t="shared" si="2"/>
        <v>WR51</v>
      </c>
      <c r="AK192" s="157">
        <f>IFERROR(INDEX(TableWRVORP[BYE],MATCH(TableOverallMaster[[#This Row],[RK]],TableWRVORP[RK],0)),"")</f>
        <v>5</v>
      </c>
      <c r="AL192" s="158">
        <f>IFERROR(INDEX(TableWRVORP[FPS],MATCH(TableOverallMaster[[#This Row],[RK]],TableWRVORP[RK],0)),"")</f>
        <v>136.0645177815</v>
      </c>
      <c r="AM192" s="159">
        <f>IFERROR(INDEX(TableWRVORP[VORP],MATCH(TableOverallMaster[[#This Row],[RK]],TableWRVORP[RK],0)),"")</f>
        <v>45.780332391133939</v>
      </c>
      <c r="AO192" s="58">
        <v>191</v>
      </c>
      <c r="AP192" s="160" t="str">
        <f>IFERROR(INDEX(TableOverallMaster[OVERALL PLAYER],MATCH(TableOverallRank[[#This Row],[RK]],TableOverallMaster[OVR RK],0)),"")</f>
        <v>Mason Taylor</v>
      </c>
      <c r="AQ192" s="161" t="str">
        <f>IFERROR(INDEX(TableOverallMaster[POS RK],MATCH(TableOverallRank[[#This Row],[OVERALL PLAYER]],TableOverallMaster[OVERALL PLAYER],0)),"")</f>
        <v>TE33</v>
      </c>
      <c r="AR192" s="162">
        <f>IFERROR(INDEX(TableOverallMaster[BYE],MATCH(TableOverallRank[[#This Row],[OVERALL PLAYER]],TableOverallMaster[OVERALL PLAYER],0)),"")</f>
        <v>13</v>
      </c>
      <c r="AS192" s="161">
        <f>IFERROR(INDEX(TableOverallMaster[Custom],MATCH(TableOverallRank[[#This Row],[OVERALL PLAYER]],TableOverallMaster[OVERALL PLAYER],0)),"")</f>
        <v>64.620107061078613</v>
      </c>
      <c r="AT192" s="163">
        <f>IFERROR(INDEX(TableOverallMaster[VORP],MATCH(TableOverallRank[[#This Row],[OVERALL PLAYER]],TableOverallMaster[OVERALL PLAYER],0)),"")</f>
        <v>-13.265686915163073</v>
      </c>
      <c r="AV192" s="58">
        <v>191</v>
      </c>
      <c r="AW192" s="164" t="str">
        <f>IFERROR(INDEX(TableWRTECalcPts[PLAYER],MATCH(TableWRTERank[[#This Row],[RK]],TableWRTECalcPts[RK],0)),"")</f>
        <v>Tanner Koziol</v>
      </c>
      <c r="AX192" s="164" t="str">
        <f>IFERROR(INDEX(TableWRTECalcPts[POS RK],MATCH(TableWRTERank[[#This Row],[WR and TE COMBINED]],TableWRTECalcPts[PLAYER],0)),"")</f>
        <v>TE61</v>
      </c>
      <c r="AY192" s="164">
        <f>IFERROR(INDEX(TableWRTECalcPts[BYE],MATCH(TableWRTERank[[#This Row],[RK]],TableWRTECalcPts[RK],0)),"")</f>
        <v>7</v>
      </c>
      <c r="AZ192" s="165">
        <f>IFERROR(INDEX(TableWRTECalcPts[Custom],MATCH(TableWRTERank[[#This Row],[RK]],TableWRTECalcPts[RK],0)),"")</f>
        <v>19.747819077336001</v>
      </c>
      <c r="BA192" s="166">
        <f>IFERROR((TableWRTERank[[#This Row],[FPS]]-INDEX(TableWRTERank[FPS],MATCH(WRTEVORPCalc,TableWRTERank[RK],0))),"")</f>
        <v>-121.48855250495569</v>
      </c>
      <c r="BC192" s="58" t="s">
        <v>148</v>
      </c>
    </row>
    <row r="193" spans="15:55" x14ac:dyDescent="0.25">
      <c r="O193" s="58">
        <v>192</v>
      </c>
      <c r="P193" s="154" t="str">
        <f>IFERROR(INDEX(TableWRCalcPts[PLAYER],MATCH(TableWRVORP[[#This Row],[RK]],TableWRCalcPts[RK],0)),"")</f>
        <v/>
      </c>
      <c r="Q193" s="154" t="str">
        <f>IFERROR(INDEX(TableWRCalcPts[TM],MATCH(TableWRVORP[[#This Row],[RK]],TableWRCalcPts[RK],0)),"")</f>
        <v/>
      </c>
      <c r="R193" s="154" t="str">
        <f>IFERROR(INDEX(TableWRCalcPts[BYE],MATCH(TableWRVORP[[#This Row],[RK]],TableWRCalcPts[RK],0)),"")</f>
        <v/>
      </c>
      <c r="S193" s="155" t="str">
        <f>IFERROR(INDEX(TableWRCalcPts[Custom],MATCH(TableWRVORP[[#This Row],[RK]],TableWRCalcPts[RK],0)),"")</f>
        <v/>
      </c>
      <c r="T193" s="156" t="str">
        <f>(IFERROR((TableWRVORP[[#This Row],[FPS]]-INDEX(TableWRVORP[FPS],MATCH(WRVORPCalc,TableWRVORP[RK],0))),""))</f>
        <v/>
      </c>
      <c r="AF193" s="58" t="s">
        <v>148</v>
      </c>
      <c r="AG193" s="58">
        <v>52</v>
      </c>
      <c r="AH193" s="100">
        <f>RANK(TableOverallMaster[[#This Row],[VORP]],TableOverallMaster[VORP])+COUNTIF($AM$2:AM193,AM193)-1</f>
        <v>127</v>
      </c>
      <c r="AI193" s="157" t="str">
        <f>IFERROR(INDEX(TableWRVORP[WIDE RECEIVER],MATCH(TableOverallMaster[[#This Row],[RK]],TableWRVORP[RK],0)),"")</f>
        <v>Romeo Doubs</v>
      </c>
      <c r="AJ193" s="157" t="str">
        <f t="shared" si="2"/>
        <v>WR52</v>
      </c>
      <c r="AK193" s="157">
        <f>IFERROR(INDEX(TableWRVORP[BYE],MATCH(TableOverallMaster[[#This Row],[RK]],TableWRVORP[RK],0)),"")</f>
        <v>11</v>
      </c>
      <c r="AL193" s="158">
        <f>IFERROR(INDEX(TableWRVORP[FPS],MATCH(TableOverallMaster[[#This Row],[RK]],TableWRVORP[RK],0)),"")</f>
        <v>131.55279041196593</v>
      </c>
      <c r="AM193" s="159">
        <f>IFERROR(INDEX(TableWRVORP[VORP],MATCH(TableOverallMaster[[#This Row],[RK]],TableWRVORP[RK],0)),"")</f>
        <v>41.268605021599868</v>
      </c>
      <c r="AO193" s="58">
        <v>192</v>
      </c>
      <c r="AP193" s="160" t="str">
        <f>IFERROR(INDEX(TableOverallMaster[OVERALL PLAYER],MATCH(TableOverallRank[[#This Row],[RK]],TableOverallMaster[OVR RK],0)),"")</f>
        <v>Darnell Washington</v>
      </c>
      <c r="AQ193" s="161" t="str">
        <f>IFERROR(INDEX(TableOverallMaster[POS RK],MATCH(TableOverallRank[[#This Row],[OVERALL PLAYER]],TableOverallMaster[OVERALL PLAYER],0)),"")</f>
        <v>TE34</v>
      </c>
      <c r="AR193" s="162">
        <f>IFERROR(INDEX(TableOverallMaster[BYE],MATCH(TableOverallRank[[#This Row],[OVERALL PLAYER]],TableOverallMaster[OVERALL PLAYER],0)),"")</f>
        <v>9</v>
      </c>
      <c r="AS193" s="161">
        <f>IFERROR(INDEX(TableOverallMaster[Custom],MATCH(TableOverallRank[[#This Row],[OVERALL PLAYER]],TableOverallMaster[OVERALL PLAYER],0)),"")</f>
        <v>63.316144832859713</v>
      </c>
      <c r="AT193" s="163">
        <f>IFERROR(INDEX(TableOverallMaster[VORP],MATCH(TableOverallRank[[#This Row],[OVERALL PLAYER]],TableOverallMaster[OVERALL PLAYER],0)),"")</f>
        <v>-14.569649143381973</v>
      </c>
      <c r="AV193" s="58">
        <v>192</v>
      </c>
      <c r="AW193" s="164" t="str">
        <f>IFERROR(INDEX(TableWRTECalcPts[PLAYER],MATCH(TableWRTERank[[#This Row],[RK]],TableWRTECalcPts[RK],0)),"")</f>
        <v>Xavier Hutchinson</v>
      </c>
      <c r="AX193" s="164" t="str">
        <f>IFERROR(INDEX(TableWRTECalcPts[POS RK],MATCH(TableWRTERank[[#This Row],[WR and TE COMBINED]],TableWRTECalcPts[PLAYER],0)),"")</f>
        <v>WR131</v>
      </c>
      <c r="AY193" s="164">
        <f>IFERROR(INDEX(TableWRTECalcPts[BYE],MATCH(TableWRTERank[[#This Row],[RK]],TableWRTECalcPts[RK],0)),"")</f>
        <v>8</v>
      </c>
      <c r="AZ193" s="165">
        <f>IFERROR(INDEX(TableWRTECalcPts[Custom],MATCH(TableWRTERank[[#This Row],[RK]],TableWRTECalcPts[RK],0)),"")</f>
        <v>19.341758900520006</v>
      </c>
      <c r="BA193" s="166">
        <f>IFERROR((TableWRTERank[[#This Row],[FPS]]-INDEX(TableWRTERank[FPS],MATCH(WRTEVORPCalc,TableWRTERank[RK],0))),"")</f>
        <v>-121.89461268177169</v>
      </c>
      <c r="BC193" s="58" t="s">
        <v>148</v>
      </c>
    </row>
    <row r="194" spans="15:55" x14ac:dyDescent="0.25">
      <c r="O194" s="58">
        <v>193</v>
      </c>
      <c r="P194" s="154" t="str">
        <f>IFERROR(INDEX(TableWRCalcPts[PLAYER],MATCH(TableWRVORP[[#This Row],[RK]],TableWRCalcPts[RK],0)),"")</f>
        <v/>
      </c>
      <c r="Q194" s="154" t="str">
        <f>IFERROR(INDEX(TableWRCalcPts[TM],MATCH(TableWRVORP[[#This Row],[RK]],TableWRCalcPts[RK],0)),"")</f>
        <v/>
      </c>
      <c r="R194" s="154" t="str">
        <f>IFERROR(INDEX(TableWRCalcPts[BYE],MATCH(TableWRVORP[[#This Row],[RK]],TableWRCalcPts[RK],0)),"")</f>
        <v/>
      </c>
      <c r="S194" s="155" t="str">
        <f>IFERROR(INDEX(TableWRCalcPts[Custom],MATCH(TableWRVORP[[#This Row],[RK]],TableWRCalcPts[RK],0)),"")</f>
        <v/>
      </c>
      <c r="T194" s="156" t="str">
        <f>(IFERROR((TableWRVORP[[#This Row],[FPS]]-INDEX(TableWRVORP[FPS],MATCH(WRVORPCalc,TableWRVORP[RK],0))),""))</f>
        <v/>
      </c>
      <c r="AF194" s="58" t="s">
        <v>148</v>
      </c>
      <c r="AG194" s="58">
        <v>53</v>
      </c>
      <c r="AH194" s="100">
        <f>RANK(TableOverallMaster[[#This Row],[VORP]],TableOverallMaster[VORP])+COUNTIF($AM$2:AM194,AM194)-1</f>
        <v>128</v>
      </c>
      <c r="AI194" s="157" t="str">
        <f>IFERROR(INDEX(TableWRVORP[WIDE RECEIVER],MATCH(TableOverallMaster[[#This Row],[RK]],TableWRVORP[RK],0)),"")</f>
        <v>Omar Cooper</v>
      </c>
      <c r="AJ194" s="157" t="str">
        <f t="shared" ref="AJ194:AJ257" si="3">CONCATENATE(AF194,AG194)</f>
        <v>WR53</v>
      </c>
      <c r="AK194" s="157">
        <f>IFERROR(INDEX(TableWRVORP[BYE],MATCH(TableOverallMaster[[#This Row],[RK]],TableWRVORP[RK],0)),"")</f>
        <v>13</v>
      </c>
      <c r="AL194" s="158">
        <f>IFERROR(INDEX(TableWRVORP[FPS],MATCH(TableOverallMaster[[#This Row],[RK]],TableWRVORP[RK],0)),"")</f>
        <v>131.08678629872901</v>
      </c>
      <c r="AM194" s="159">
        <f>IFERROR(INDEX(TableWRVORP[VORP],MATCH(TableOverallMaster[[#This Row],[RK]],TableWRVORP[RK],0)),"")</f>
        <v>40.802600908362948</v>
      </c>
      <c r="AO194" s="58">
        <v>193</v>
      </c>
      <c r="AP194" s="160" t="str">
        <f>IFERROR(INDEX(TableOverallMaster[OVERALL PLAYER],MATCH(TableOverallRank[[#This Row],[RK]],TableOverallMaster[OVR RK],0)),"")</f>
        <v>Samaje Perine</v>
      </c>
      <c r="AQ194" s="161" t="str">
        <f>IFERROR(INDEX(TableOverallMaster[POS RK],MATCH(TableOverallRank[[#This Row],[OVERALL PLAYER]],TableOverallMaster[OVERALL PLAYER],0)),"")</f>
        <v>RB51</v>
      </c>
      <c r="AR194" s="162">
        <f>IFERROR(INDEX(TableOverallMaster[BYE],MATCH(TableOverallRank[[#This Row],[OVERALL PLAYER]],TableOverallMaster[OVERALL PLAYER],0)),"")</f>
        <v>6</v>
      </c>
      <c r="AS194" s="161">
        <f>IFERROR(INDEX(TableOverallMaster[Custom],MATCH(TableOverallRank[[#This Row],[OVERALL PLAYER]],TableOverallMaster[OVERALL PLAYER],0)),"")</f>
        <v>85.611749481832177</v>
      </c>
      <c r="AT194" s="163">
        <f>IFERROR(INDEX(TableOverallMaster[VORP],MATCH(TableOverallRank[[#This Row],[OVERALL PLAYER]],TableOverallMaster[OVERALL PLAYER],0)),"")</f>
        <v>-14.716871799356159</v>
      </c>
      <c r="AV194" s="58">
        <v>193</v>
      </c>
      <c r="AW194" s="164" t="str">
        <f>IFERROR(INDEX(TableWRTECalcPts[PLAYER],MATCH(TableWRTERank[[#This Row],[RK]],TableWRTECalcPts[RK],0)),"")</f>
        <v>Brock Wright</v>
      </c>
      <c r="AX194" s="164" t="str">
        <f>IFERROR(INDEX(TableWRTECalcPts[POS RK],MATCH(TableWRTERank[[#This Row],[WR and TE COMBINED]],TableWRTECalcPts[PLAYER],0)),"")</f>
        <v>TE62</v>
      </c>
      <c r="AY194" s="164">
        <f>IFERROR(INDEX(TableWRTECalcPts[BYE],MATCH(TableWRTERank[[#This Row],[RK]],TableWRTECalcPts[RK],0)),"")</f>
        <v>6</v>
      </c>
      <c r="AZ194" s="165">
        <f>IFERROR(INDEX(TableWRTECalcPts[Custom],MATCH(TableWRTERank[[#This Row],[RK]],TableWRTECalcPts[RK],0)),"")</f>
        <v>18.232570883216621</v>
      </c>
      <c r="BA194" s="166">
        <f>IFERROR((TableWRTERank[[#This Row],[FPS]]-INDEX(TableWRTERank[FPS],MATCH(WRTEVORPCalc,TableWRTERank[RK],0))),"")</f>
        <v>-123.00380069907507</v>
      </c>
      <c r="BC194" s="58" t="s">
        <v>148</v>
      </c>
    </row>
    <row r="195" spans="15:55" x14ac:dyDescent="0.25">
      <c r="O195" s="58">
        <v>194</v>
      </c>
      <c r="P195" s="154" t="str">
        <f>IFERROR(INDEX(TableWRCalcPts[PLAYER],MATCH(TableWRVORP[[#This Row],[RK]],TableWRCalcPts[RK],0)),"")</f>
        <v/>
      </c>
      <c r="Q195" s="154" t="str">
        <f>IFERROR(INDEX(TableWRCalcPts[TM],MATCH(TableWRVORP[[#This Row],[RK]],TableWRCalcPts[RK],0)),"")</f>
        <v/>
      </c>
      <c r="R195" s="154" t="str">
        <f>IFERROR(INDEX(TableWRCalcPts[BYE],MATCH(TableWRVORP[[#This Row],[RK]],TableWRCalcPts[RK],0)),"")</f>
        <v/>
      </c>
      <c r="S195" s="155" t="str">
        <f>IFERROR(INDEX(TableWRCalcPts[Custom],MATCH(TableWRVORP[[#This Row],[RK]],TableWRCalcPts[RK],0)),"")</f>
        <v/>
      </c>
      <c r="T195" s="156" t="str">
        <f>(IFERROR((TableWRVORP[[#This Row],[FPS]]-INDEX(TableWRVORP[FPS],MATCH(WRVORPCalc,TableWRVORP[RK],0))),""))</f>
        <v/>
      </c>
      <c r="AF195" s="58" t="s">
        <v>148</v>
      </c>
      <c r="AG195" s="58">
        <v>54</v>
      </c>
      <c r="AH195" s="100">
        <f>RANK(TableOverallMaster[[#This Row],[VORP]],TableOverallMaster[VORP])+COUNTIF($AM$2:AM195,AM195)-1</f>
        <v>131</v>
      </c>
      <c r="AI195" s="157" t="str">
        <f>IFERROR(INDEX(TableWRVORP[WIDE RECEIVER],MATCH(TableOverallMaster[[#This Row],[RK]],TableWRVORP[RK],0)),"")</f>
        <v>Khalil Shakir</v>
      </c>
      <c r="AJ195" s="157" t="str">
        <f t="shared" si="3"/>
        <v>WR54</v>
      </c>
      <c r="AK195" s="157">
        <f>IFERROR(INDEX(TableWRVORP[BYE],MATCH(TableOverallMaster[[#This Row],[RK]],TableWRVORP[RK],0)),"")</f>
        <v>7</v>
      </c>
      <c r="AL195" s="158">
        <f>IFERROR(INDEX(TableWRVORP[FPS],MATCH(TableOverallMaster[[#This Row],[RK]],TableWRVORP[RK],0)),"")</f>
        <v>125.25541451841632</v>
      </c>
      <c r="AM195" s="159">
        <f>IFERROR(INDEX(TableWRVORP[VORP],MATCH(TableOverallMaster[[#This Row],[RK]],TableWRVORP[RK],0)),"")</f>
        <v>34.971229128050254</v>
      </c>
      <c r="AO195" s="58">
        <v>194</v>
      </c>
      <c r="AP195" s="160" t="str">
        <f>IFERROR(INDEX(TableOverallMaster[OVERALL PLAYER],MATCH(TableOverallRank[[#This Row],[RK]],TableOverallMaster[OVR RK],0)),"")</f>
        <v>Brian Robinson</v>
      </c>
      <c r="AQ195" s="161" t="str">
        <f>IFERROR(INDEX(TableOverallMaster[POS RK],MATCH(TableOverallRank[[#This Row],[OVERALL PLAYER]],TableOverallMaster[OVERALL PLAYER],0)),"")</f>
        <v>RB52</v>
      </c>
      <c r="AR195" s="162">
        <f>IFERROR(INDEX(TableOverallMaster[BYE],MATCH(TableOverallRank[[#This Row],[OVERALL PLAYER]],TableOverallMaster[OVERALL PLAYER],0)),"")</f>
        <v>11</v>
      </c>
      <c r="AS195" s="161">
        <f>IFERROR(INDEX(TableOverallMaster[Custom],MATCH(TableOverallRank[[#This Row],[OVERALL PLAYER]],TableOverallMaster[OVERALL PLAYER],0)),"")</f>
        <v>85.334523724566836</v>
      </c>
      <c r="AT195" s="163">
        <f>IFERROR(INDEX(TableOverallMaster[VORP],MATCH(TableOverallRank[[#This Row],[OVERALL PLAYER]],TableOverallMaster[OVERALL PLAYER],0)),"")</f>
        <v>-14.938652405168433</v>
      </c>
      <c r="AV195" s="58">
        <v>194</v>
      </c>
      <c r="AW195" s="164" t="str">
        <f>IFERROR(INDEX(TableWRTECalcPts[PLAYER],MATCH(TableWRTERank[[#This Row],[RK]],TableWRTECalcPts[RK],0)),"")</f>
        <v>Mitchell Tinsley</v>
      </c>
      <c r="AX195" s="164" t="str">
        <f>IFERROR(INDEX(TableWRTECalcPts[POS RK],MATCH(TableWRTERank[[#This Row],[WR and TE COMBINED]],TableWRTECalcPts[PLAYER],0)),"")</f>
        <v>WR132</v>
      </c>
      <c r="AY195" s="164">
        <f>IFERROR(INDEX(TableWRTECalcPts[BYE],MATCH(TableWRTERank[[#This Row],[RK]],TableWRTECalcPts[RK],0)),"")</f>
        <v>6</v>
      </c>
      <c r="AZ195" s="165">
        <f>IFERROR(INDEX(TableWRTECalcPts[Custom],MATCH(TableWRTERank[[#This Row],[RK]],TableWRTECalcPts[RK],0)),"")</f>
        <v>18.148756411178923</v>
      </c>
      <c r="BA195" s="166">
        <f>IFERROR((TableWRTERank[[#This Row],[FPS]]-INDEX(TableWRTERank[FPS],MATCH(WRTEVORPCalc,TableWRTERank[RK],0))),"")</f>
        <v>-123.08761517111277</v>
      </c>
      <c r="BC195" s="58" t="s">
        <v>148</v>
      </c>
    </row>
    <row r="196" spans="15:55" x14ac:dyDescent="0.25">
      <c r="O196" s="58">
        <v>195</v>
      </c>
      <c r="P196" s="154" t="str">
        <f>IFERROR(INDEX(TableWRCalcPts[PLAYER],MATCH(TableWRVORP[[#This Row],[RK]],TableWRCalcPts[RK],0)),"")</f>
        <v/>
      </c>
      <c r="Q196" s="154" t="str">
        <f>IFERROR(INDEX(TableWRCalcPts[TM],MATCH(TableWRVORP[[#This Row],[RK]],TableWRCalcPts[RK],0)),"")</f>
        <v/>
      </c>
      <c r="R196" s="154" t="str">
        <f>IFERROR(INDEX(TableWRCalcPts[BYE],MATCH(TableWRVORP[[#This Row],[RK]],TableWRCalcPts[RK],0)),"")</f>
        <v/>
      </c>
      <c r="S196" s="155" t="str">
        <f>IFERROR(INDEX(TableWRCalcPts[Custom],MATCH(TableWRVORP[[#This Row],[RK]],TableWRCalcPts[RK],0)),"")</f>
        <v/>
      </c>
      <c r="T196" s="156" t="str">
        <f>(IFERROR((TableWRVORP[[#This Row],[FPS]]-INDEX(TableWRVORP[FPS],MATCH(WRVORPCalc,TableWRVORP[RK],0))),""))</f>
        <v/>
      </c>
      <c r="AF196" s="58" t="s">
        <v>148</v>
      </c>
      <c r="AG196" s="58">
        <v>55</v>
      </c>
      <c r="AH196" s="100">
        <f>RANK(TableOverallMaster[[#This Row],[VORP]],TableOverallMaster[VORP])+COUNTIF($AM$2:AM196,AM196)-1</f>
        <v>134</v>
      </c>
      <c r="AI196" s="157" t="str">
        <f>IFERROR(INDEX(TableWRVORP[WIDE RECEIVER],MATCH(TableOverallMaster[[#This Row],[RK]],TableWRVORP[RK],0)),"")</f>
        <v>Matthew Golden</v>
      </c>
      <c r="AJ196" s="157" t="str">
        <f t="shared" si="3"/>
        <v>WR55</v>
      </c>
      <c r="AK196" s="157">
        <f>IFERROR(INDEX(TableWRVORP[BYE],MATCH(TableOverallMaster[[#This Row],[RK]],TableWRVORP[RK],0)),"")</f>
        <v>11</v>
      </c>
      <c r="AL196" s="158">
        <f>IFERROR(INDEX(TableWRVORP[FPS],MATCH(TableOverallMaster[[#This Row],[RK]],TableWRVORP[RK],0)),"")</f>
        <v>121.76900567298148</v>
      </c>
      <c r="AM196" s="159">
        <f>IFERROR(INDEX(TableWRVORP[VORP],MATCH(TableOverallMaster[[#This Row],[RK]],TableWRVORP[RK],0)),"")</f>
        <v>31.484820282615416</v>
      </c>
      <c r="AO196" s="58">
        <v>195</v>
      </c>
      <c r="AP196" s="160" t="str">
        <f>IFERROR(INDEX(TableOverallMaster[OVERALL PLAYER],MATCH(TableOverallRank[[#This Row],[RK]],TableOverallMaster[OVR RK],0)),"")</f>
        <v>Jaylin Noel</v>
      </c>
      <c r="AQ196" s="161" t="str">
        <f>IFERROR(INDEX(TableOverallMaster[POS RK],MATCH(TableOverallRank[[#This Row],[OVERALL PLAYER]],TableOverallMaster[OVERALL PLAYER],0)),"")</f>
        <v>WR79</v>
      </c>
      <c r="AR196" s="162">
        <f>IFERROR(INDEX(TableOverallMaster[BYE],MATCH(TableOverallRank[[#This Row],[OVERALL PLAYER]],TableOverallMaster[OVERALL PLAYER],0)),"")</f>
        <v>8</v>
      </c>
      <c r="AS196" s="161">
        <f>IFERROR(INDEX(TableOverallMaster[Custom],MATCH(TableOverallRank[[#This Row],[OVERALL PLAYER]],TableOverallMaster[OVERALL PLAYER],0)),"")</f>
        <v>74.661111555857417</v>
      </c>
      <c r="AT196" s="163">
        <f>IFERROR(INDEX(TableOverallMaster[VORP],MATCH(TableOverallRank[[#This Row],[OVERALL PLAYER]],TableOverallMaster[OVERALL PLAYER],0)),"")</f>
        <v>-15.623073834508645</v>
      </c>
      <c r="AV196" s="58">
        <v>195</v>
      </c>
      <c r="AW196" s="164" t="str">
        <f>IFERROR(INDEX(TableWRTECalcPts[PLAYER],MATCH(TableWRTERank[[#This Row],[RK]],TableWRTECalcPts[RK],0)),"")</f>
        <v>Tim Patrick</v>
      </c>
      <c r="AX196" s="164" t="str">
        <f>IFERROR(INDEX(TableWRTECalcPts[POS RK],MATCH(TableWRTERank[[#This Row],[WR and TE COMBINED]],TableWRTECalcPts[PLAYER],0)),"")</f>
        <v>WR133</v>
      </c>
      <c r="AY196" s="164">
        <f>IFERROR(INDEX(TableWRTECalcPts[BYE],MATCH(TableWRTERank[[#This Row],[RK]],TableWRTECalcPts[RK],0)),"")</f>
        <v>13</v>
      </c>
      <c r="AZ196" s="165">
        <f>IFERROR(INDEX(TableWRTECalcPts[Custom],MATCH(TableWRTERank[[#This Row],[RK]],TableWRTECalcPts[RK],0)),"")</f>
        <v>18.042811324773403</v>
      </c>
      <c r="BA196" s="166">
        <f>IFERROR((TableWRTERank[[#This Row],[FPS]]-INDEX(TableWRTERank[FPS],MATCH(WRTEVORPCalc,TableWRTERank[RK],0))),"")</f>
        <v>-123.1935602575183</v>
      </c>
      <c r="BC196" s="58" t="s">
        <v>148</v>
      </c>
    </row>
    <row r="197" spans="15:55" x14ac:dyDescent="0.25">
      <c r="O197" s="58">
        <v>196</v>
      </c>
      <c r="P197" s="154" t="str">
        <f>IFERROR(INDEX(TableWRCalcPts[PLAYER],MATCH(TableWRVORP[[#This Row],[RK]],TableWRCalcPts[RK],0)),"")</f>
        <v/>
      </c>
      <c r="Q197" s="154" t="str">
        <f>IFERROR(INDEX(TableWRCalcPts[TM],MATCH(TableWRVORP[[#This Row],[RK]],TableWRCalcPts[RK],0)),"")</f>
        <v/>
      </c>
      <c r="R197" s="154" t="str">
        <f>IFERROR(INDEX(TableWRCalcPts[BYE],MATCH(TableWRVORP[[#This Row],[RK]],TableWRCalcPts[RK],0)),"")</f>
        <v/>
      </c>
      <c r="S197" s="155" t="str">
        <f>IFERROR(INDEX(TableWRCalcPts[Custom],MATCH(TableWRVORP[[#This Row],[RK]],TableWRCalcPts[RK],0)),"")</f>
        <v/>
      </c>
      <c r="T197" s="156" t="str">
        <f>(IFERROR((TableWRVORP[[#This Row],[FPS]]-INDEX(TableWRVORP[FPS],MATCH(WRVORPCalc,TableWRVORP[RK],0))),""))</f>
        <v/>
      </c>
      <c r="AF197" s="58" t="s">
        <v>148</v>
      </c>
      <c r="AG197" s="58">
        <v>56</v>
      </c>
      <c r="AH197" s="100">
        <f>RANK(TableOverallMaster[[#This Row],[VORP]],TableOverallMaster[VORP])+COUNTIF($AM$2:AM197,AM197)-1</f>
        <v>136</v>
      </c>
      <c r="AI197" s="157" t="str">
        <f>IFERROR(INDEX(TableWRVORP[WIDE RECEIVER],MATCH(TableOverallMaster[[#This Row],[RK]],TableWRVORP[RK],0)),"")</f>
        <v>Rashid Shaheed</v>
      </c>
      <c r="AJ197" s="157" t="str">
        <f t="shared" si="3"/>
        <v>WR56</v>
      </c>
      <c r="AK197" s="157">
        <f>IFERROR(INDEX(TableWRVORP[BYE],MATCH(TableOverallMaster[[#This Row],[RK]],TableWRVORP[RK],0)),"")</f>
        <v>11</v>
      </c>
      <c r="AL197" s="158">
        <f>IFERROR(INDEX(TableWRVORP[FPS],MATCH(TableOverallMaster[[#This Row],[RK]],TableWRVORP[RK],0)),"")</f>
        <v>119.41105593447746</v>
      </c>
      <c r="AM197" s="159">
        <f>IFERROR(INDEX(TableWRVORP[VORP],MATCH(TableOverallMaster[[#This Row],[RK]],TableWRVORP[RK],0)),"")</f>
        <v>29.126870544111398</v>
      </c>
      <c r="AO197" s="58">
        <v>196</v>
      </c>
      <c r="AP197" s="160" t="str">
        <f>IFERROR(INDEX(TableOverallMaster[OVERALL PLAYER],MATCH(TableOverallRank[[#This Row],[RK]],TableOverallMaster[OVR RK],0)),"")</f>
        <v>Dawson Knox</v>
      </c>
      <c r="AQ197" s="161" t="str">
        <f>IFERROR(INDEX(TableOverallMaster[POS RK],MATCH(TableOverallRank[[#This Row],[OVERALL PLAYER]],TableOverallMaster[OVERALL PLAYER],0)),"")</f>
        <v>TE35</v>
      </c>
      <c r="AR197" s="162">
        <f>IFERROR(INDEX(TableOverallMaster[BYE],MATCH(TableOverallRank[[#This Row],[OVERALL PLAYER]],TableOverallMaster[OVERALL PLAYER],0)),"")</f>
        <v>7</v>
      </c>
      <c r="AS197" s="161">
        <f>IFERROR(INDEX(TableOverallMaster[Custom],MATCH(TableOverallRank[[#This Row],[OVERALL PLAYER]],TableOverallMaster[OVERALL PLAYER],0)),"")</f>
        <v>61.473812892346771</v>
      </c>
      <c r="AT197" s="163">
        <f>IFERROR(INDEX(TableOverallMaster[VORP],MATCH(TableOverallRank[[#This Row],[OVERALL PLAYER]],TableOverallMaster[OVERALL PLAYER],0)),"")</f>
        <v>-16.411981083894915</v>
      </c>
      <c r="AV197" s="58">
        <v>196</v>
      </c>
      <c r="AW197" s="164" t="str">
        <f>IFERROR(INDEX(TableWRTECalcPts[PLAYER],MATCH(TableWRTERank[[#This Row],[RK]],TableWRTECalcPts[RK],0)),"")</f>
        <v>Marlin Klein</v>
      </c>
      <c r="AX197" s="164" t="str">
        <f>IFERROR(INDEX(TableWRTECalcPts[POS RK],MATCH(TableWRTERank[[#This Row],[WR and TE COMBINED]],TableWRTECalcPts[PLAYER],0)),"")</f>
        <v>TE63</v>
      </c>
      <c r="AY197" s="164">
        <f>IFERROR(INDEX(TableWRTECalcPts[BYE],MATCH(TableWRTERank[[#This Row],[RK]],TableWRTECalcPts[RK],0)),"")</f>
        <v>8</v>
      </c>
      <c r="AZ197" s="165">
        <f>IFERROR(INDEX(TableWRTECalcPts[Custom],MATCH(TableWRTERank[[#This Row],[RK]],TableWRTECalcPts[RK],0)),"")</f>
        <v>18.025268113439999</v>
      </c>
      <c r="BA197" s="166">
        <f>IFERROR((TableWRTERank[[#This Row],[FPS]]-INDEX(TableWRTERank[FPS],MATCH(WRTEVORPCalc,TableWRTERank[RK],0))),"")</f>
        <v>-123.21110346885169</v>
      </c>
      <c r="BC197" s="58" t="s">
        <v>148</v>
      </c>
    </row>
    <row r="198" spans="15:55" x14ac:dyDescent="0.25">
      <c r="O198" s="58">
        <v>197</v>
      </c>
      <c r="P198" s="154" t="str">
        <f>IFERROR(INDEX(TableWRCalcPts[PLAYER],MATCH(TableWRVORP[[#This Row],[RK]],TableWRCalcPts[RK],0)),"")</f>
        <v/>
      </c>
      <c r="Q198" s="154" t="str">
        <f>IFERROR(INDEX(TableWRCalcPts[TM],MATCH(TableWRVORP[[#This Row],[RK]],TableWRCalcPts[RK],0)),"")</f>
        <v/>
      </c>
      <c r="R198" s="154" t="str">
        <f>IFERROR(INDEX(TableWRCalcPts[BYE],MATCH(TableWRVORP[[#This Row],[RK]],TableWRCalcPts[RK],0)),"")</f>
        <v/>
      </c>
      <c r="S198" s="155" t="str">
        <f>IFERROR(INDEX(TableWRCalcPts[Custom],MATCH(TableWRVORP[[#This Row],[RK]],TableWRCalcPts[RK],0)),"")</f>
        <v/>
      </c>
      <c r="T198" s="156" t="str">
        <f>(IFERROR((TableWRVORP[[#This Row],[FPS]]-INDEX(TableWRVORP[FPS],MATCH(WRVORPCalc,TableWRVORP[RK],0))),""))</f>
        <v/>
      </c>
      <c r="AF198" s="58" t="s">
        <v>148</v>
      </c>
      <c r="AG198" s="58">
        <v>57</v>
      </c>
      <c r="AH198" s="100">
        <f>RANK(TableOverallMaster[[#This Row],[VORP]],TableOverallMaster[VORP])+COUNTIF($AM$2:AM198,AM198)-1</f>
        <v>146</v>
      </c>
      <c r="AI198" s="157" t="str">
        <f>IFERROR(INDEX(TableWRVORP[WIDE RECEIVER],MATCH(TableOverallMaster[[#This Row],[RK]],TableWRVORP[RK],0)),"")</f>
        <v>Jalen McMillan</v>
      </c>
      <c r="AJ198" s="157" t="str">
        <f t="shared" si="3"/>
        <v>WR57</v>
      </c>
      <c r="AK198" s="157">
        <f>IFERROR(INDEX(TableWRVORP[BYE],MATCH(TableOverallMaster[[#This Row],[RK]],TableWRVORP[RK],0)),"")</f>
        <v>10</v>
      </c>
      <c r="AL198" s="158">
        <f>IFERROR(INDEX(TableWRVORP[FPS],MATCH(TableOverallMaster[[#This Row],[RK]],TableWRVORP[RK],0)),"")</f>
        <v>108.1071908674808</v>
      </c>
      <c r="AM198" s="159">
        <f>IFERROR(INDEX(TableWRVORP[VORP],MATCH(TableOverallMaster[[#This Row],[RK]],TableWRVORP[RK],0)),"")</f>
        <v>17.823005477114734</v>
      </c>
      <c r="AO198" s="58">
        <v>197</v>
      </c>
      <c r="AP198" s="160" t="str">
        <f>IFERROR(INDEX(TableOverallMaster[OVERALL PLAYER],MATCH(TableOverallRank[[#This Row],[RK]],TableOverallMaster[OVR RK],0)),"")</f>
        <v>Colby Parkinson</v>
      </c>
      <c r="AQ198" s="161" t="str">
        <f>IFERROR(INDEX(TableOverallMaster[POS RK],MATCH(TableOverallRank[[#This Row],[OVERALL PLAYER]],TableOverallMaster[OVERALL PLAYER],0)),"")</f>
        <v>TE36</v>
      </c>
      <c r="AR198" s="162">
        <f>IFERROR(INDEX(TableOverallMaster[BYE],MATCH(TableOverallRank[[#This Row],[OVERALL PLAYER]],TableOverallMaster[OVERALL PLAYER],0)),"")</f>
        <v>11</v>
      </c>
      <c r="AS198" s="161">
        <f>IFERROR(INDEX(TableOverallMaster[Custom],MATCH(TableOverallRank[[#This Row],[OVERALL PLAYER]],TableOverallMaster[OVERALL PLAYER],0)),"")</f>
        <v>61.096125666883822</v>
      </c>
      <c r="AT198" s="163">
        <f>IFERROR(INDEX(TableOverallMaster[VORP],MATCH(TableOverallRank[[#This Row],[OVERALL PLAYER]],TableOverallMaster[OVERALL PLAYER],0)),"")</f>
        <v>-16.789668309357864</v>
      </c>
      <c r="AV198" s="58">
        <v>197</v>
      </c>
      <c r="AW198" s="164" t="str">
        <f>IFERROR(INDEX(TableWRTECalcPts[PLAYER],MATCH(TableWRTERank[[#This Row],[RK]],TableWRTECalcPts[RK],0)),"")</f>
        <v>Ben Sinnott</v>
      </c>
      <c r="AX198" s="164" t="str">
        <f>IFERROR(INDEX(TableWRTECalcPts[POS RK],MATCH(TableWRTERank[[#This Row],[WR and TE COMBINED]],TableWRTECalcPts[PLAYER],0)),"")</f>
        <v>TE64</v>
      </c>
      <c r="AY198" s="164">
        <f>IFERROR(INDEX(TableWRTECalcPts[BYE],MATCH(TableWRTERank[[#This Row],[RK]],TableWRTECalcPts[RK],0)),"")</f>
        <v>7</v>
      </c>
      <c r="AZ198" s="165">
        <f>IFERROR(INDEX(TableWRTECalcPts[Custom],MATCH(TableWRTERank[[#This Row],[RK]],TableWRTECalcPts[RK],0)),"")</f>
        <v>17.804662151116609</v>
      </c>
      <c r="BA198" s="166">
        <f>IFERROR((TableWRTERank[[#This Row],[FPS]]-INDEX(TableWRTERank[FPS],MATCH(WRTEVORPCalc,TableWRTERank[RK],0))),"")</f>
        <v>-123.43170943117508</v>
      </c>
      <c r="BC198" s="58" t="s">
        <v>148</v>
      </c>
    </row>
    <row r="199" spans="15:55" x14ac:dyDescent="0.25">
      <c r="O199" s="58">
        <v>198</v>
      </c>
      <c r="P199" s="154" t="str">
        <f>IFERROR(INDEX(TableWRCalcPts[PLAYER],MATCH(TableWRVORP[[#This Row],[RK]],TableWRCalcPts[RK],0)),"")</f>
        <v/>
      </c>
      <c r="Q199" s="154" t="str">
        <f>IFERROR(INDEX(TableWRCalcPts[TM],MATCH(TableWRVORP[[#This Row],[RK]],TableWRCalcPts[RK],0)),"")</f>
        <v/>
      </c>
      <c r="R199" s="154" t="str">
        <f>IFERROR(INDEX(TableWRCalcPts[BYE],MATCH(TableWRVORP[[#This Row],[RK]],TableWRCalcPts[RK],0)),"")</f>
        <v/>
      </c>
      <c r="S199" s="155" t="str">
        <f>IFERROR(INDEX(TableWRCalcPts[Custom],MATCH(TableWRVORP[[#This Row],[RK]],TableWRCalcPts[RK],0)),"")</f>
        <v/>
      </c>
      <c r="T199" s="156" t="str">
        <f>(IFERROR((TableWRVORP[[#This Row],[FPS]]-INDEX(TableWRVORP[FPS],MATCH(WRVORPCalc,TableWRVORP[RK],0))),""))</f>
        <v/>
      </c>
      <c r="AF199" s="58" t="s">
        <v>148</v>
      </c>
      <c r="AG199" s="58">
        <v>58</v>
      </c>
      <c r="AH199" s="100">
        <f>RANK(TableOverallMaster[[#This Row],[VORP]],TableOverallMaster[VORP])+COUNTIF($AM$2:AM199,AM199)-1</f>
        <v>149</v>
      </c>
      <c r="AI199" s="157" t="str">
        <f>IFERROR(INDEX(TableWRVORP[WIDE RECEIVER],MATCH(TableOverallMaster[[#This Row],[RK]],TableWRVORP[RK],0)),"")</f>
        <v>Tyquan Thornton</v>
      </c>
      <c r="AJ199" s="157" t="str">
        <f t="shared" si="3"/>
        <v>WR58</v>
      </c>
      <c r="AK199" s="157">
        <f>IFERROR(INDEX(TableWRVORP[BYE],MATCH(TableOverallMaster[[#This Row],[RK]],TableWRVORP[RK],0)),"")</f>
        <v>5</v>
      </c>
      <c r="AL199" s="158">
        <f>IFERROR(INDEX(TableWRVORP[FPS],MATCH(TableOverallMaster[[#This Row],[RK]],TableWRVORP[RK],0)),"")</f>
        <v>105.42376555000021</v>
      </c>
      <c r="AM199" s="159">
        <f>IFERROR(INDEX(TableWRVORP[VORP],MATCH(TableOverallMaster[[#This Row],[RK]],TableWRVORP[RK],0)),"")</f>
        <v>15.13958015963415</v>
      </c>
      <c r="AO199" s="58">
        <v>198</v>
      </c>
      <c r="AP199" s="160" t="str">
        <f>IFERROR(INDEX(TableOverallMaster[OVERALL PLAYER],MATCH(TableOverallRank[[#This Row],[RK]],TableOverallMaster[OVR RK],0)),"")</f>
        <v>Zachariah Branch</v>
      </c>
      <c r="AQ199" s="161" t="str">
        <f>IFERROR(INDEX(TableOverallMaster[POS RK],MATCH(TableOverallRank[[#This Row],[OVERALL PLAYER]],TableOverallMaster[OVERALL PLAYER],0)),"")</f>
        <v>WR80</v>
      </c>
      <c r="AR199" s="162">
        <f>IFERROR(INDEX(TableOverallMaster[BYE],MATCH(TableOverallRank[[#This Row],[OVERALL PLAYER]],TableOverallMaster[OVERALL PLAYER],0)),"")</f>
        <v>11</v>
      </c>
      <c r="AS199" s="161">
        <f>IFERROR(INDEX(TableOverallMaster[Custom],MATCH(TableOverallRank[[#This Row],[OVERALL PLAYER]],TableOverallMaster[OVERALL PLAYER],0)),"")</f>
        <v>72.524694531828018</v>
      </c>
      <c r="AT199" s="163">
        <f>IFERROR(INDEX(TableOverallMaster[VORP],MATCH(TableOverallRank[[#This Row],[OVERALL PLAYER]],TableOverallMaster[OVERALL PLAYER],0)),"")</f>
        <v>-17.759490858538044</v>
      </c>
      <c r="AV199" s="58">
        <v>198</v>
      </c>
      <c r="AW199" s="164" t="str">
        <f>IFERROR(INDEX(TableWRTECalcPts[PLAYER],MATCH(TableWRTERank[[#This Row],[RK]],TableWRTECalcPts[RK],0)),"")</f>
        <v>Drew Ogletree</v>
      </c>
      <c r="AX199" s="164" t="str">
        <f>IFERROR(INDEX(TableWRTECalcPts[POS RK],MATCH(TableWRTERank[[#This Row],[WR and TE COMBINED]],TableWRTECalcPts[PLAYER],0)),"")</f>
        <v>TE65</v>
      </c>
      <c r="AY199" s="164">
        <f>IFERROR(INDEX(TableWRTECalcPts[BYE],MATCH(TableWRTERank[[#This Row],[RK]],TableWRTECalcPts[RK],0)),"")</f>
        <v>13</v>
      </c>
      <c r="AZ199" s="165">
        <f>IFERROR(INDEX(TableWRTECalcPts[Custom],MATCH(TableWRTERank[[#This Row],[RK]],TableWRTECalcPts[RK],0)),"")</f>
        <v>17.215533176470593</v>
      </c>
      <c r="BA199" s="166">
        <f>IFERROR((TableWRTERank[[#This Row],[FPS]]-INDEX(TableWRTERank[FPS],MATCH(WRTEVORPCalc,TableWRTERank[RK],0))),"")</f>
        <v>-124.02083840582111</v>
      </c>
      <c r="BC199" s="58" t="s">
        <v>148</v>
      </c>
    </row>
    <row r="200" spans="15:55" x14ac:dyDescent="0.25">
      <c r="O200" s="58">
        <v>199</v>
      </c>
      <c r="P200" s="154" t="str">
        <f>IFERROR(INDEX(TableWRCalcPts[PLAYER],MATCH(TableWRVORP[[#This Row],[RK]],TableWRCalcPts[RK],0)),"")</f>
        <v/>
      </c>
      <c r="Q200" s="154" t="str">
        <f>IFERROR(INDEX(TableWRCalcPts[TM],MATCH(TableWRVORP[[#This Row],[RK]],TableWRCalcPts[RK],0)),"")</f>
        <v/>
      </c>
      <c r="R200" s="154" t="str">
        <f>IFERROR(INDEX(TableWRCalcPts[BYE],MATCH(TableWRVORP[[#This Row],[RK]],TableWRCalcPts[RK],0)),"")</f>
        <v/>
      </c>
      <c r="S200" s="155" t="str">
        <f>IFERROR(INDEX(TableWRCalcPts[Custom],MATCH(TableWRVORP[[#This Row],[RK]],TableWRCalcPts[RK],0)),"")</f>
        <v/>
      </c>
      <c r="T200" s="156" t="str">
        <f>(IFERROR((TableWRVORP[[#This Row],[FPS]]-INDEX(TableWRVORP[FPS],MATCH(WRVORPCalc,TableWRVORP[RK],0))),""))</f>
        <v/>
      </c>
      <c r="AF200" s="58" t="s">
        <v>148</v>
      </c>
      <c r="AG200" s="58">
        <v>59</v>
      </c>
      <c r="AH200" s="100">
        <f>RANK(TableOverallMaster[[#This Row],[VORP]],TableOverallMaster[VORP])+COUNTIF($AM$2:AM200,AM200)-1</f>
        <v>150</v>
      </c>
      <c r="AI200" s="157" t="str">
        <f>IFERROR(INDEX(TableWRVORP[WIDE RECEIVER],MATCH(TableOverallMaster[[#This Row],[RK]],TableWRVORP[RK],0)),"")</f>
        <v>Calvin Ridley</v>
      </c>
      <c r="AJ200" s="157" t="str">
        <f t="shared" si="3"/>
        <v>WR59</v>
      </c>
      <c r="AK200" s="157">
        <f>IFERROR(INDEX(TableWRVORP[BYE],MATCH(TableOverallMaster[[#This Row],[RK]],TableWRVORP[RK],0)),"")</f>
        <v>9</v>
      </c>
      <c r="AL200" s="158">
        <f>IFERROR(INDEX(TableWRVORP[FPS],MATCH(TableOverallMaster[[#This Row],[RK]],TableWRVORP[RK],0)),"")</f>
        <v>105.40024930600705</v>
      </c>
      <c r="AM200" s="159">
        <f>IFERROR(INDEX(TableWRVORP[VORP],MATCH(TableOverallMaster[[#This Row],[RK]],TableWRVORP[RK],0)),"")</f>
        <v>15.116063915640993</v>
      </c>
      <c r="AO200" s="58">
        <v>199</v>
      </c>
      <c r="AP200" s="160" t="str">
        <f>IFERROR(INDEX(TableOverallMaster[OVERALL PLAYER],MATCH(TableOverallRank[[#This Row],[RK]],TableOverallMaster[OVR RK],0)),"")</f>
        <v>Tyler Allgeier</v>
      </c>
      <c r="AQ200" s="161" t="str">
        <f>IFERROR(INDEX(TableOverallMaster[POS RK],MATCH(TableOverallRank[[#This Row],[OVERALL PLAYER]],TableOverallMaster[OVERALL PLAYER],0)),"")</f>
        <v>RB53</v>
      </c>
      <c r="AR200" s="162">
        <f>IFERROR(INDEX(TableOverallMaster[BYE],MATCH(TableOverallRank[[#This Row],[OVERALL PLAYER]],TableOverallMaster[OVERALL PLAYER],0)),"")</f>
        <v>14</v>
      </c>
      <c r="AS200" s="161">
        <f>IFERROR(INDEX(TableOverallMaster[Custom],MATCH(TableOverallRank[[#This Row],[OVERALL PLAYER]],TableOverallMaster[OVERALL PLAYER],0)),"")</f>
        <v>80.229030693656966</v>
      </c>
      <c r="AT200" s="163">
        <f>IFERROR(INDEX(TableOverallMaster[VORP],MATCH(TableOverallRank[[#This Row],[OVERALL PLAYER]],TableOverallMaster[OVERALL PLAYER],0)),"")</f>
        <v>-19.023046829896327</v>
      </c>
      <c r="AV200" s="58">
        <v>199</v>
      </c>
      <c r="AW200" s="164" t="str">
        <f>IFERROR(INDEX(TableWRTECalcPts[PLAYER],MATCH(TableWRTERank[[#This Row],[RK]],TableWRTECalcPts[RK],0)),"")</f>
        <v>Luke McCaffrey</v>
      </c>
      <c r="AX200" s="164" t="str">
        <f>IFERROR(INDEX(TableWRTECalcPts[POS RK],MATCH(TableWRTERank[[#This Row],[WR and TE COMBINED]],TableWRTECalcPts[PLAYER],0)),"")</f>
        <v>WR134</v>
      </c>
      <c r="AY200" s="164">
        <f>IFERROR(INDEX(TableWRTECalcPts[BYE],MATCH(TableWRTERank[[#This Row],[RK]],TableWRTECalcPts[RK],0)),"")</f>
        <v>7</v>
      </c>
      <c r="AZ200" s="165">
        <f>IFERROR(INDEX(TableWRTECalcPts[Custom],MATCH(TableWRTERank[[#This Row],[RK]],TableWRTECalcPts[RK],0)),"")</f>
        <v>16.997646659839997</v>
      </c>
      <c r="BA200" s="166">
        <f>IFERROR((TableWRTERank[[#This Row],[FPS]]-INDEX(TableWRTERank[FPS],MATCH(WRTEVORPCalc,TableWRTERank[RK],0))),"")</f>
        <v>-124.23872492245169</v>
      </c>
      <c r="BC200" s="58" t="s">
        <v>148</v>
      </c>
    </row>
    <row r="201" spans="15:55" x14ac:dyDescent="0.25">
      <c r="O201" s="58">
        <v>200</v>
      </c>
      <c r="P201" s="154" t="str">
        <f>IFERROR(INDEX(TableWRCalcPts[PLAYER],MATCH(TableWRVORP[[#This Row],[RK]],TableWRCalcPts[RK],0)),"")</f>
        <v/>
      </c>
      <c r="Q201" s="154" t="str">
        <f>IFERROR(INDEX(TableWRCalcPts[TM],MATCH(TableWRVORP[[#This Row],[RK]],TableWRCalcPts[RK],0)),"")</f>
        <v/>
      </c>
      <c r="R201" s="154" t="str">
        <f>IFERROR(INDEX(TableWRCalcPts[BYE],MATCH(TableWRVORP[[#This Row],[RK]],TableWRCalcPts[RK],0)),"")</f>
        <v/>
      </c>
      <c r="S201" s="155" t="str">
        <f>IFERROR(INDEX(TableWRCalcPts[Custom],MATCH(TableWRVORP[[#This Row],[RK]],TableWRCalcPts[RK],0)),"")</f>
        <v/>
      </c>
      <c r="T201" s="156" t="str">
        <f>(IFERROR((TableWRVORP[[#This Row],[FPS]]-INDEX(TableWRVORP[FPS],MATCH(WRVORPCalc,TableWRVORP[RK],0))),""))</f>
        <v/>
      </c>
      <c r="AF201" s="58" t="s">
        <v>148</v>
      </c>
      <c r="AG201" s="58">
        <v>60</v>
      </c>
      <c r="AH201" s="100">
        <f>RANK(TableOverallMaster[[#This Row],[VORP]],TableOverallMaster[VORP])+COUNTIF($AM$2:AM201,AM201)-1</f>
        <v>151</v>
      </c>
      <c r="AI201" s="157" t="str">
        <f>IFERROR(INDEX(TableWRVORP[WIDE RECEIVER],MATCH(TableOverallMaster[[#This Row],[RK]],TableWRVORP[RK],0)),"")</f>
        <v>Antonio Williams</v>
      </c>
      <c r="AJ201" s="157" t="str">
        <f t="shared" si="3"/>
        <v>WR60</v>
      </c>
      <c r="AK201" s="157">
        <f>IFERROR(INDEX(TableWRVORP[BYE],MATCH(TableOverallMaster[[#This Row],[RK]],TableWRVORP[RK],0)),"")</f>
        <v>7</v>
      </c>
      <c r="AL201" s="158">
        <f>IFERROR(INDEX(TableWRVORP[FPS],MATCH(TableOverallMaster[[#This Row],[RK]],TableWRVORP[RK],0)),"")</f>
        <v>103.72050015538173</v>
      </c>
      <c r="AM201" s="159">
        <f>IFERROR(INDEX(TableWRVORP[VORP],MATCH(TableOverallMaster[[#This Row],[RK]],TableWRVORP[RK],0)),"")</f>
        <v>13.436314765015666</v>
      </c>
      <c r="AO201" s="58">
        <v>200</v>
      </c>
      <c r="AP201" s="160" t="str">
        <f>IFERROR(INDEX(TableOverallMaster[OVERALL PLAYER],MATCH(TableOverallRank[[#This Row],[RK]],TableOverallMaster[OVR RK],0)),"")</f>
        <v>Keaton Mitchell</v>
      </c>
      <c r="AQ201" s="161" t="str">
        <f>IFERROR(INDEX(TableOverallMaster[POS RK],MATCH(TableOverallRank[[#This Row],[OVERALL PLAYER]],TableOverallMaster[OVERALL PLAYER],0)),"")</f>
        <v>RB54</v>
      </c>
      <c r="AR201" s="162">
        <f>IFERROR(INDEX(TableOverallMaster[BYE],MATCH(TableOverallRank[[#This Row],[OVERALL PLAYER]],TableOverallMaster[OVERALL PLAYER],0)),"")</f>
        <v>7</v>
      </c>
      <c r="AS201" s="161">
        <f>IFERROR(INDEX(TableOverallMaster[Custom],MATCH(TableOverallRank[[#This Row],[OVERALL PLAYER]],TableOverallMaster[OVERALL PLAYER],0)),"")</f>
        <v>78.637323911068265</v>
      </c>
      <c r="AT201" s="163">
        <f>IFERROR(INDEX(TableOverallMaster[VORP],MATCH(TableOverallRank[[#This Row],[OVERALL PLAYER]],TableOverallMaster[OVERALL PLAYER],0)),"")</f>
        <v>-20.29641225596729</v>
      </c>
      <c r="AV201" s="58">
        <v>200</v>
      </c>
      <c r="AW201" s="164" t="str">
        <f>IFERROR(INDEX(TableWRTECalcPts[PLAYER],MATCH(TableWRTERank[[#This Row],[RK]],TableWRTECalcPts[RK],0)),"")</f>
        <v>Xavier Smith</v>
      </c>
      <c r="AX201" s="164" t="str">
        <f>IFERROR(INDEX(TableWRTECalcPts[POS RK],MATCH(TableWRTERank[[#This Row],[WR and TE COMBINED]],TableWRTECalcPts[PLAYER],0)),"")</f>
        <v>WR135</v>
      </c>
      <c r="AY201" s="164">
        <f>IFERROR(INDEX(TableWRTECalcPts[BYE],MATCH(TableWRTERank[[#This Row],[RK]],TableWRTECalcPts[RK],0)),"")</f>
        <v>11</v>
      </c>
      <c r="AZ201" s="165">
        <f>IFERROR(INDEX(TableWRTECalcPts[Custom],MATCH(TableWRTERank[[#This Row],[RK]],TableWRTECalcPts[RK],0)),"")</f>
        <v>16.653893820591978</v>
      </c>
      <c r="BA201" s="166">
        <f>IFERROR((TableWRTERank[[#This Row],[FPS]]-INDEX(TableWRTERank[FPS],MATCH(WRTEVORPCalc,TableWRTERank[RK],0))),"")</f>
        <v>-124.58247776169972</v>
      </c>
      <c r="BC201" s="58" t="s">
        <v>148</v>
      </c>
    </row>
    <row r="202" spans="15:55" x14ac:dyDescent="0.25">
      <c r="O202" s="58">
        <v>201</v>
      </c>
      <c r="P202" s="154" t="str">
        <f>IFERROR(INDEX(TableWRCalcPts[PLAYER],MATCH(TableWRVORP[[#This Row],[RK]],TableWRCalcPts[RK],0)),"")</f>
        <v/>
      </c>
      <c r="Q202" s="154" t="str">
        <f>IFERROR(INDEX(TableWRCalcPts[TM],MATCH(TableWRVORP[[#This Row],[RK]],TableWRCalcPts[RK],0)),"")</f>
        <v/>
      </c>
      <c r="R202" s="154" t="str">
        <f>IFERROR(INDEX(TableWRCalcPts[BYE],MATCH(TableWRVORP[[#This Row],[RK]],TableWRCalcPts[RK],0)),"")</f>
        <v/>
      </c>
      <c r="S202" s="155" t="str">
        <f>IFERROR(INDEX(TableWRCalcPts[Custom],MATCH(TableWRVORP[[#This Row],[RK]],TableWRCalcPts[RK],0)),"")</f>
        <v/>
      </c>
      <c r="T202" s="156" t="str">
        <f>(IFERROR((TableWRVORP[[#This Row],[FPS]]-INDEX(TableWRVORP[FPS],MATCH(WRVORPCalc,TableWRVORP[RK],0))),""))</f>
        <v/>
      </c>
      <c r="AF202" s="58" t="s">
        <v>148</v>
      </c>
      <c r="AG202" s="58">
        <v>61</v>
      </c>
      <c r="AH202" s="100">
        <f>RANK(TableOverallMaster[[#This Row],[VORP]],TableOverallMaster[VORP])+COUNTIF($AM$2:AM202,AM202)-1</f>
        <v>153</v>
      </c>
      <c r="AI202" s="157" t="str">
        <f>IFERROR(INDEX(TableWRVORP[WIDE RECEIVER],MATCH(TableOverallMaster[[#This Row],[RK]],TableWRVORP[RK],0)),"")</f>
        <v>Jalen Nailor</v>
      </c>
      <c r="AJ202" s="157" t="str">
        <f t="shared" si="3"/>
        <v>WR61</v>
      </c>
      <c r="AK202" s="157">
        <f>IFERROR(INDEX(TableWRVORP[BYE],MATCH(TableOverallMaster[[#This Row],[RK]],TableWRVORP[RK],0)),"")</f>
        <v>13</v>
      </c>
      <c r="AL202" s="158">
        <f>IFERROR(INDEX(TableWRVORP[FPS],MATCH(TableOverallMaster[[#This Row],[RK]],TableWRVORP[RK],0)),"")</f>
        <v>103.21973275557887</v>
      </c>
      <c r="AM202" s="159">
        <f>IFERROR(INDEX(TableWRVORP[VORP],MATCH(TableOverallMaster[[#This Row],[RK]],TableWRVORP[RK],0)),"")</f>
        <v>12.935547365212813</v>
      </c>
      <c r="AO202" s="58">
        <v>201</v>
      </c>
      <c r="AP202" s="160" t="str">
        <f>IFERROR(INDEX(TableOverallMaster[OVERALL PLAYER],MATCH(TableOverallRank[[#This Row],[RK]],TableOverallMaster[OVR RK],0)),"")</f>
        <v>Tank Dell</v>
      </c>
      <c r="AQ202" s="161" t="str">
        <f>IFERROR(INDEX(TableOverallMaster[POS RK],MATCH(TableOverallRank[[#This Row],[OVERALL PLAYER]],TableOverallMaster[OVERALL PLAYER],0)),"")</f>
        <v>WR81</v>
      </c>
      <c r="AR202" s="162">
        <f>IFERROR(INDEX(TableOverallMaster[BYE],MATCH(TableOverallRank[[#This Row],[OVERALL PLAYER]],TableOverallMaster[OVERALL PLAYER],0)),"")</f>
        <v>8</v>
      </c>
      <c r="AS202" s="161">
        <f>IFERROR(INDEX(TableOverallMaster[Custom],MATCH(TableOverallRank[[#This Row],[OVERALL PLAYER]],TableOverallMaster[OVERALL PLAYER],0)),"")</f>
        <v>69.155467284078</v>
      </c>
      <c r="AT202" s="163">
        <f>IFERROR(INDEX(TableOverallMaster[VORP],MATCH(TableOverallRank[[#This Row],[OVERALL PLAYER]],TableOverallMaster[OVERALL PLAYER],0)),"")</f>
        <v>-21.128718106288062</v>
      </c>
      <c r="AV202" s="58">
        <v>201</v>
      </c>
      <c r="AW202" s="164" t="str">
        <f>IFERROR(INDEX(TableWRTECalcPts[PLAYER],MATCH(TableWRTERank[[#This Row],[RK]],TableWRTECalcPts[RK],0)),"")</f>
        <v>Ashton Dulin</v>
      </c>
      <c r="AX202" s="164" t="str">
        <f>IFERROR(INDEX(TableWRTECalcPts[POS RK],MATCH(TableWRTERank[[#This Row],[WR and TE COMBINED]],TableWRTECalcPts[PLAYER],0)),"")</f>
        <v>WR136</v>
      </c>
      <c r="AY202" s="164">
        <f>IFERROR(INDEX(TableWRTECalcPts[BYE],MATCH(TableWRTERank[[#This Row],[RK]],TableWRTECalcPts[RK],0)),"")</f>
        <v>13</v>
      </c>
      <c r="AZ202" s="165">
        <f>IFERROR(INDEX(TableWRTECalcPts[Custom],MATCH(TableWRTERank[[#This Row],[RK]],TableWRTECalcPts[RK],0)),"")</f>
        <v>15.8948597865901</v>
      </c>
      <c r="BA202" s="166">
        <f>IFERROR((TableWRTERank[[#This Row],[FPS]]-INDEX(TableWRTERank[FPS],MATCH(WRTEVORPCalc,TableWRTERank[RK],0))),"")</f>
        <v>-125.34151179570159</v>
      </c>
      <c r="BC202" s="58" t="s">
        <v>8</v>
      </c>
    </row>
    <row r="203" spans="15:55" x14ac:dyDescent="0.25">
      <c r="O203" s="58">
        <v>202</v>
      </c>
      <c r="P203" s="154" t="str">
        <f>IFERROR(INDEX(TableWRCalcPts[PLAYER],MATCH(TableWRVORP[[#This Row],[RK]],TableWRCalcPts[RK],0)),"")</f>
        <v/>
      </c>
      <c r="Q203" s="154" t="str">
        <f>IFERROR(INDEX(TableWRCalcPts[TM],MATCH(TableWRVORP[[#This Row],[RK]],TableWRCalcPts[RK],0)),"")</f>
        <v/>
      </c>
      <c r="R203" s="154" t="str">
        <f>IFERROR(INDEX(TableWRCalcPts[BYE],MATCH(TableWRVORP[[#This Row],[RK]],TableWRCalcPts[RK],0)),"")</f>
        <v/>
      </c>
      <c r="S203" s="155" t="str">
        <f>IFERROR(INDEX(TableWRCalcPts[Custom],MATCH(TableWRVORP[[#This Row],[RK]],TableWRCalcPts[RK],0)),"")</f>
        <v/>
      </c>
      <c r="T203" s="156" t="str">
        <f>(IFERROR((TableWRVORP[[#This Row],[FPS]]-INDEX(TableWRVORP[FPS],MATCH(WRVORPCalc,TableWRVORP[RK],0))),""))</f>
        <v/>
      </c>
      <c r="AF203" s="58" t="s">
        <v>148</v>
      </c>
      <c r="AG203" s="58">
        <v>62</v>
      </c>
      <c r="AH203" s="100">
        <f>RANK(TableOverallMaster[[#This Row],[VORP]],TableOverallMaster[VORP])+COUNTIF($AM$2:AM203,AM203)-1</f>
        <v>154</v>
      </c>
      <c r="AI203" s="157" t="str">
        <f>IFERROR(INDEX(TableWRVORP[WIDE RECEIVER],MATCH(TableOverallMaster[[#This Row],[RK]],TableWRVORP[RK],0)),"")</f>
        <v>Adonai Mitchell</v>
      </c>
      <c r="AJ203" s="157" t="str">
        <f t="shared" si="3"/>
        <v>WR62</v>
      </c>
      <c r="AK203" s="157">
        <f>IFERROR(INDEX(TableWRVORP[BYE],MATCH(TableOverallMaster[[#This Row],[RK]],TableWRVORP[RK],0)),"")</f>
        <v>13</v>
      </c>
      <c r="AL203" s="158">
        <f>IFERROR(INDEX(TableWRVORP[FPS],MATCH(TableOverallMaster[[#This Row],[RK]],TableWRVORP[RK],0)),"")</f>
        <v>101.89531015054624</v>
      </c>
      <c r="AM203" s="159">
        <f>IFERROR(INDEX(TableWRVORP[VORP],MATCH(TableOverallMaster[[#This Row],[RK]],TableWRVORP[RK],0)),"")</f>
        <v>11.611124760180175</v>
      </c>
      <c r="AO203" s="58">
        <v>202</v>
      </c>
      <c r="AP203" s="160" t="str">
        <f>IFERROR(INDEX(TableOverallMaster[OVERALL PLAYER],MATCH(TableOverallRank[[#This Row],[RK]],TableOverallMaster[OVR RK],0)),"")</f>
        <v>Nick Westbrook-Ikhine</v>
      </c>
      <c r="AQ203" s="161" t="str">
        <f>IFERROR(INDEX(TableOverallMaster[POS RK],MATCH(TableOverallRank[[#This Row],[OVERALL PLAYER]],TableOverallMaster[OVERALL PLAYER],0)),"")</f>
        <v>WR82</v>
      </c>
      <c r="AR203" s="162">
        <f>IFERROR(INDEX(TableOverallMaster[BYE],MATCH(TableOverallRank[[#This Row],[OVERALL PLAYER]],TableOverallMaster[OVERALL PLAYER],0)),"")</f>
        <v>13</v>
      </c>
      <c r="AS203" s="161">
        <f>IFERROR(INDEX(TableOverallMaster[Custom],MATCH(TableOverallRank[[#This Row],[OVERALL PLAYER]],TableOverallMaster[OVERALL PLAYER],0)),"")</f>
        <v>68.744066857804796</v>
      </c>
      <c r="AT203" s="163">
        <f>IFERROR(INDEX(TableOverallMaster[VORP],MATCH(TableOverallRank[[#This Row],[OVERALL PLAYER]],TableOverallMaster[OVERALL PLAYER],0)),"")</f>
        <v>-21.540118532561266</v>
      </c>
      <c r="AV203" s="58">
        <v>202</v>
      </c>
      <c r="AW203" s="164" t="str">
        <f>IFERROR(INDEX(TableWRTECalcPts[PLAYER],MATCH(TableWRTERank[[#This Row],[RK]],TableWRTECalcPts[RK],0)),"")</f>
        <v>Charlie Kolar</v>
      </c>
      <c r="AX203" s="164" t="str">
        <f>IFERROR(INDEX(TableWRTECalcPts[POS RK],MATCH(TableWRTERank[[#This Row],[WR and TE COMBINED]],TableWRTECalcPts[PLAYER],0)),"")</f>
        <v>TE66</v>
      </c>
      <c r="AY203" s="164">
        <f>IFERROR(INDEX(TableWRTECalcPts[BYE],MATCH(TableWRTERank[[#This Row],[RK]],TableWRTECalcPts[RK],0)),"")</f>
        <v>7</v>
      </c>
      <c r="AZ203" s="165">
        <f>IFERROR(INDEX(TableWRTECalcPts[Custom],MATCH(TableWRTERank[[#This Row],[RK]],TableWRTECalcPts[RK],0)),"")</f>
        <v>14.857653393338307</v>
      </c>
      <c r="BA203" s="166">
        <f>IFERROR((TableWRTERank[[#This Row],[FPS]]-INDEX(TableWRTERank[FPS],MATCH(WRTEVORPCalc,TableWRTERank[RK],0))),"")</f>
        <v>-126.37871818895339</v>
      </c>
      <c r="BC203" s="58" t="s">
        <v>8</v>
      </c>
    </row>
    <row r="204" spans="15:55" x14ac:dyDescent="0.25">
      <c r="O204" s="58">
        <v>203</v>
      </c>
      <c r="P204" s="154" t="str">
        <f>IFERROR(INDEX(TableWRCalcPts[PLAYER],MATCH(TableWRVORP[[#This Row],[RK]],TableWRCalcPts[RK],0)),"")</f>
        <v/>
      </c>
      <c r="Q204" s="154" t="str">
        <f>IFERROR(INDEX(TableWRCalcPts[TM],MATCH(TableWRVORP[[#This Row],[RK]],TableWRCalcPts[RK],0)),"")</f>
        <v/>
      </c>
      <c r="R204" s="154" t="str">
        <f>IFERROR(INDEX(TableWRCalcPts[BYE],MATCH(TableWRVORP[[#This Row],[RK]],TableWRCalcPts[RK],0)),"")</f>
        <v/>
      </c>
      <c r="S204" s="155" t="str">
        <f>IFERROR(INDEX(TableWRCalcPts[Custom],MATCH(TableWRVORP[[#This Row],[RK]],TableWRCalcPts[RK],0)),"")</f>
        <v/>
      </c>
      <c r="T204" s="156" t="str">
        <f>(IFERROR((TableWRVORP[[#This Row],[FPS]]-INDEX(TableWRVORP[FPS],MATCH(WRVORPCalc,TableWRVORP[RK],0))),""))</f>
        <v/>
      </c>
      <c r="AF204" s="58" t="s">
        <v>148</v>
      </c>
      <c r="AG204" s="58">
        <v>63</v>
      </c>
      <c r="AH204" s="100">
        <f>RANK(TableOverallMaster[[#This Row],[VORP]],TableOverallMaster[VORP])+COUNTIF($AM$2:AM204,AM204)-1</f>
        <v>156</v>
      </c>
      <c r="AI204" s="157" t="str">
        <f>IFERROR(INDEX(TableWRVORP[WIDE RECEIVER],MATCH(TableOverallMaster[[#This Row],[RK]],TableWRVORP[RK],0)),"")</f>
        <v>Jack Bech</v>
      </c>
      <c r="AJ204" s="157" t="str">
        <f t="shared" si="3"/>
        <v>WR63</v>
      </c>
      <c r="AK204" s="157">
        <f>IFERROR(INDEX(TableWRVORP[BYE],MATCH(TableOverallMaster[[#This Row],[RK]],TableWRVORP[RK],0)),"")</f>
        <v>13</v>
      </c>
      <c r="AL204" s="158">
        <f>IFERROR(INDEX(TableWRVORP[FPS],MATCH(TableOverallMaster[[#This Row],[RK]],TableWRVORP[RK],0)),"")</f>
        <v>101.30747732999711</v>
      </c>
      <c r="AM204" s="159">
        <f>IFERROR(INDEX(TableWRVORP[VORP],MATCH(TableOverallMaster[[#This Row],[RK]],TableWRVORP[RK],0)),"")</f>
        <v>11.023291939631051</v>
      </c>
      <c r="AO204" s="58">
        <v>203</v>
      </c>
      <c r="AP204" s="160" t="str">
        <f>IFERROR(INDEX(TableOverallMaster[OVERALL PLAYER],MATCH(TableOverallRank[[#This Row],[RK]],TableOverallMaster[OVR RK],0)),"")</f>
        <v>Ty Johnson</v>
      </c>
      <c r="AQ204" s="161" t="str">
        <f>IFERROR(INDEX(TableOverallMaster[POS RK],MATCH(TableOverallRank[[#This Row],[OVERALL PLAYER]],TableOverallMaster[OVERALL PLAYER],0)),"")</f>
        <v>RB55</v>
      </c>
      <c r="AR204" s="162">
        <f>IFERROR(INDEX(TableOverallMaster[BYE],MATCH(TableOverallRank[[#This Row],[OVERALL PLAYER]],TableOverallMaster[OVERALL PLAYER],0)),"")</f>
        <v>7</v>
      </c>
      <c r="AS204" s="161">
        <f>IFERROR(INDEX(TableOverallMaster[Custom],MATCH(TableOverallRank[[#This Row],[OVERALL PLAYER]],TableOverallMaster[OVERALL PLAYER],0)),"")</f>
        <v>76.263725513807657</v>
      </c>
      <c r="AT204" s="163">
        <f>IFERROR(INDEX(TableOverallMaster[VORP],MATCH(TableOverallRank[[#This Row],[OVERALL PLAYER]],TableOverallMaster[OVERALL PLAYER],0)),"")</f>
        <v>-22.195290973775776</v>
      </c>
      <c r="AV204" s="58">
        <v>203</v>
      </c>
      <c r="AW204" s="164" t="str">
        <f>IFERROR(INDEX(TableWRTECalcPts[PLAYER],MATCH(TableWRTERank[[#This Row],[RK]],TableWRTECalcPts[RK],0)),"")</f>
        <v>Ben Skowronek</v>
      </c>
      <c r="AX204" s="164" t="str">
        <f>IFERROR(INDEX(TableWRTECalcPts[POS RK],MATCH(TableWRTERank[[#This Row],[WR and TE COMBINED]],TableWRTECalcPts[PLAYER],0)),"")</f>
        <v>WR137</v>
      </c>
      <c r="AY204" s="164">
        <f>IFERROR(INDEX(TableWRTECalcPts[BYE],MATCH(TableWRTERank[[#This Row],[RK]],TableWRTECalcPts[RK],0)),"")</f>
        <v>9</v>
      </c>
      <c r="AZ204" s="165">
        <f>IFERROR(INDEX(TableWRTECalcPts[Custom],MATCH(TableWRTERank[[#This Row],[RK]],TableWRTECalcPts[RK],0)),"")</f>
        <v>14.542424820000003</v>
      </c>
      <c r="BA204" s="166">
        <f>IFERROR((TableWRTERank[[#This Row],[FPS]]-INDEX(TableWRTERank[FPS],MATCH(WRTEVORPCalc,TableWRTERank[RK],0))),"")</f>
        <v>-126.69394676229169</v>
      </c>
      <c r="BC204" s="58" t="s">
        <v>8</v>
      </c>
    </row>
    <row r="205" spans="15:55" x14ac:dyDescent="0.25">
      <c r="O205" s="58">
        <v>204</v>
      </c>
      <c r="P205" s="154" t="str">
        <f>IFERROR(INDEX(TableWRCalcPts[PLAYER],MATCH(TableWRVORP[[#This Row],[RK]],TableWRCalcPts[RK],0)),"")</f>
        <v/>
      </c>
      <c r="Q205" s="154" t="str">
        <f>IFERROR(INDEX(TableWRCalcPts[TM],MATCH(TableWRVORP[[#This Row],[RK]],TableWRCalcPts[RK],0)),"")</f>
        <v/>
      </c>
      <c r="R205" s="154" t="str">
        <f>IFERROR(INDEX(TableWRCalcPts[BYE],MATCH(TableWRVORP[[#This Row],[RK]],TableWRCalcPts[RK],0)),"")</f>
        <v/>
      </c>
      <c r="S205" s="155" t="str">
        <f>IFERROR(INDEX(TableWRCalcPts[Custom],MATCH(TableWRVORP[[#This Row],[RK]],TableWRCalcPts[RK],0)),"")</f>
        <v/>
      </c>
      <c r="T205" s="156" t="str">
        <f>(IFERROR((TableWRVORP[[#This Row],[FPS]]-INDEX(TableWRVORP[FPS],MATCH(WRVORPCalc,TableWRVORP[RK],0))),""))</f>
        <v/>
      </c>
      <c r="AF205" s="58" t="s">
        <v>148</v>
      </c>
      <c r="AG205" s="58">
        <v>64</v>
      </c>
      <c r="AH205" s="100">
        <f>RANK(TableOverallMaster[[#This Row],[VORP]],TableOverallMaster[VORP])+COUNTIF($AM$2:AM205,AM205)-1</f>
        <v>157</v>
      </c>
      <c r="AI205" s="157" t="str">
        <f>IFERROR(INDEX(TableWRVORP[WIDE RECEIVER],MATCH(TableOverallMaster[[#This Row],[RK]],TableWRVORP[RK],0)),"")</f>
        <v>Andrei Iosivas</v>
      </c>
      <c r="AJ205" s="157" t="str">
        <f t="shared" si="3"/>
        <v>WR64</v>
      </c>
      <c r="AK205" s="157">
        <f>IFERROR(INDEX(TableWRVORP[BYE],MATCH(TableOverallMaster[[#This Row],[RK]],TableWRVORP[RK],0)),"")</f>
        <v>6</v>
      </c>
      <c r="AL205" s="158">
        <f>IFERROR(INDEX(TableWRVORP[FPS],MATCH(TableOverallMaster[[#This Row],[RK]],TableWRVORP[RK],0)),"")</f>
        <v>101.18003586602683</v>
      </c>
      <c r="AM205" s="159">
        <f>IFERROR(INDEX(TableWRVORP[VORP],MATCH(TableOverallMaster[[#This Row],[RK]],TableWRVORP[RK],0)),"")</f>
        <v>10.895850475660765</v>
      </c>
      <c r="AO205" s="58">
        <v>204</v>
      </c>
      <c r="AP205" s="160" t="str">
        <f>IFERROR(INDEX(TableOverallMaster[OVERALL PLAYER],MATCH(TableOverallRank[[#This Row],[RK]],TableOverallMaster[OVR RK],0)),"")</f>
        <v>Tyjae Spears</v>
      </c>
      <c r="AQ205" s="161" t="str">
        <f>IFERROR(INDEX(TableOverallMaster[POS RK],MATCH(TableOverallRank[[#This Row],[OVERALL PLAYER]],TableOverallMaster[OVERALL PLAYER],0)),"")</f>
        <v>RB56</v>
      </c>
      <c r="AR205" s="162">
        <f>IFERROR(INDEX(TableOverallMaster[BYE],MATCH(TableOverallRank[[#This Row],[OVERALL PLAYER]],TableOverallMaster[OVERALL PLAYER],0)),"")</f>
        <v>9</v>
      </c>
      <c r="AS205" s="161">
        <f>IFERROR(INDEX(TableOverallMaster[Custom],MATCH(TableOverallRank[[#This Row],[OVERALL PLAYER]],TableOverallMaster[OVERALL PLAYER],0)),"")</f>
        <v>75.595537882991906</v>
      </c>
      <c r="AT205" s="163">
        <f>IFERROR(INDEX(TableOverallMaster[VORP],MATCH(TableOverallRank[[#This Row],[OVERALL PLAYER]],TableOverallMaster[OVERALL PLAYER],0)),"")</f>
        <v>-22.729841078428379</v>
      </c>
      <c r="AV205" s="58">
        <v>204</v>
      </c>
      <c r="AW205" s="164" t="str">
        <f>IFERROR(INDEX(TableWRTECalcPts[PLAYER],MATCH(TableWRTERank[[#This Row],[RK]],TableWRTECalcPts[RK],0)),"")</f>
        <v>Elijah Moore</v>
      </c>
      <c r="AX205" s="164" t="str">
        <f>IFERROR(INDEX(TableWRTECalcPts[POS RK],MATCH(TableWRTERank[[#This Row],[WR and TE COMBINED]],TableWRTECalcPts[PLAYER],0)),"")</f>
        <v>WR138</v>
      </c>
      <c r="AY205" s="164">
        <f>IFERROR(INDEX(TableWRTECalcPts[BYE],MATCH(TableWRTERank[[#This Row],[RK]],TableWRTECalcPts[RK],0)),"")</f>
        <v>10</v>
      </c>
      <c r="AZ205" s="165">
        <f>IFERROR(INDEX(TableWRTECalcPts[Custom],MATCH(TableWRTERank[[#This Row],[RK]],TableWRTECalcPts[RK],0)),"")</f>
        <v>14.119421015700002</v>
      </c>
      <c r="BA205" s="166">
        <f>IFERROR((TableWRTERank[[#This Row],[FPS]]-INDEX(TableWRTERank[FPS],MATCH(WRTEVORPCalc,TableWRTERank[RK],0))),"")</f>
        <v>-127.1169505665917</v>
      </c>
      <c r="BC205" s="58" t="s">
        <v>8</v>
      </c>
    </row>
    <row r="206" spans="15:55" x14ac:dyDescent="0.25">
      <c r="O206" s="58">
        <v>205</v>
      </c>
      <c r="P206" s="154" t="str">
        <f>IFERROR(INDEX(TableWRCalcPts[PLAYER],MATCH(TableWRVORP[[#This Row],[RK]],TableWRCalcPts[RK],0)),"")</f>
        <v/>
      </c>
      <c r="Q206" s="154" t="str">
        <f>IFERROR(INDEX(TableWRCalcPts[TM],MATCH(TableWRVORP[[#This Row],[RK]],TableWRCalcPts[RK],0)),"")</f>
        <v/>
      </c>
      <c r="R206" s="154" t="str">
        <f>IFERROR(INDEX(TableWRCalcPts[BYE],MATCH(TableWRVORP[[#This Row],[RK]],TableWRCalcPts[RK],0)),"")</f>
        <v/>
      </c>
      <c r="S206" s="155" t="str">
        <f>IFERROR(INDEX(TableWRCalcPts[Custom],MATCH(TableWRVORP[[#This Row],[RK]],TableWRCalcPts[RK],0)),"")</f>
        <v/>
      </c>
      <c r="T206" s="156" t="str">
        <f>(IFERROR((TableWRVORP[[#This Row],[FPS]]-INDEX(TableWRVORP[FPS],MATCH(WRVORPCalc,TableWRVORP[RK],0))),""))</f>
        <v/>
      </c>
      <c r="AF206" s="58" t="s">
        <v>148</v>
      </c>
      <c r="AG206" s="58">
        <v>65</v>
      </c>
      <c r="AH206" s="100">
        <f>RANK(TableOverallMaster[[#This Row],[VORP]],TableOverallMaster[VORP])+COUNTIF($AM$2:AM206,AM206)-1</f>
        <v>159</v>
      </c>
      <c r="AI206" s="157" t="str">
        <f>IFERROR(INDEX(TableWRVORP[WIDE RECEIVER],MATCH(TableOverallMaster[[#This Row],[RK]],TableWRVORP[RK],0)),"")</f>
        <v>Denzel Boston</v>
      </c>
      <c r="AJ206" s="157" t="str">
        <f t="shared" si="3"/>
        <v>WR65</v>
      </c>
      <c r="AK206" s="157">
        <f>IFERROR(INDEX(TableWRVORP[BYE],MATCH(TableOverallMaster[[#This Row],[RK]],TableWRVORP[RK],0)),"")</f>
        <v>11</v>
      </c>
      <c r="AL206" s="158">
        <f>IFERROR(INDEX(TableWRVORP[FPS],MATCH(TableOverallMaster[[#This Row],[RK]],TableWRVORP[RK],0)),"")</f>
        <v>100.10786563008</v>
      </c>
      <c r="AM206" s="159">
        <f>IFERROR(INDEX(TableWRVORP[VORP],MATCH(TableOverallMaster[[#This Row],[RK]],TableWRVORP[RK],0)),"")</f>
        <v>9.8236802397139371</v>
      </c>
      <c r="AO206" s="58">
        <v>205</v>
      </c>
      <c r="AP206" s="160" t="str">
        <f>IFERROR(INDEX(TableOverallMaster[OVERALL PLAYER],MATCH(TableOverallRank[[#This Row],[RK]],TableOverallMaster[OVR RK],0)),"")</f>
        <v>Tank Bigsby</v>
      </c>
      <c r="AQ206" s="161" t="str">
        <f>IFERROR(INDEX(TableOverallMaster[POS RK],MATCH(TableOverallRank[[#This Row],[OVERALL PLAYER]],TableOverallMaster[OVERALL PLAYER],0)),"")</f>
        <v>RB57</v>
      </c>
      <c r="AR206" s="162">
        <f>IFERROR(INDEX(TableOverallMaster[BYE],MATCH(TableOverallRank[[#This Row],[OVERALL PLAYER]],TableOverallMaster[OVERALL PLAYER],0)),"")</f>
        <v>10</v>
      </c>
      <c r="AS206" s="161">
        <f>IFERROR(INDEX(TableOverallMaster[Custom],MATCH(TableOverallRank[[#This Row],[OVERALL PLAYER]],TableOverallMaster[OVERALL PLAYER],0)),"")</f>
        <v>72.150537063075149</v>
      </c>
      <c r="AT206" s="163">
        <f>IFERROR(INDEX(TableOverallMaster[VORP],MATCH(TableOverallRank[[#This Row],[OVERALL PLAYER]],TableOverallMaster[OVERALL PLAYER],0)),"")</f>
        <v>-25.485841734361784</v>
      </c>
      <c r="AV206" s="58">
        <v>205</v>
      </c>
      <c r="AW206" s="164" t="str">
        <f>IFERROR(INDEX(TableWRTECalcPts[PLAYER],MATCH(TableWRTERank[[#This Row],[RK]],TableWRTECalcPts[RK],0)),"")</f>
        <v>Oscar Delp</v>
      </c>
      <c r="AX206" s="164" t="str">
        <f>IFERROR(INDEX(TableWRTECalcPts[POS RK],MATCH(TableWRTERank[[#This Row],[WR and TE COMBINED]],TableWRTECalcPts[PLAYER],0)),"")</f>
        <v>TE67</v>
      </c>
      <c r="AY206" s="164">
        <f>IFERROR(INDEX(TableWRTECalcPts[BYE],MATCH(TableWRTERank[[#This Row],[RK]],TableWRTECalcPts[RK],0)),"")</f>
        <v>8</v>
      </c>
      <c r="AZ206" s="165">
        <f>IFERROR(INDEX(TableWRTECalcPts[Custom],MATCH(TableWRTERank[[#This Row],[RK]],TableWRTECalcPts[RK],0)),"")</f>
        <v>13.780328907294518</v>
      </c>
      <c r="BA206" s="166">
        <f>IFERROR((TableWRTERank[[#This Row],[FPS]]-INDEX(TableWRTERank[FPS],MATCH(WRTEVORPCalc,TableWRTERank[RK],0))),"")</f>
        <v>-127.45604267499718</v>
      </c>
      <c r="BC206" s="58" t="s">
        <v>8</v>
      </c>
    </row>
    <row r="207" spans="15:55" x14ac:dyDescent="0.25">
      <c r="O207" s="58">
        <v>206</v>
      </c>
      <c r="P207" s="154" t="str">
        <f>IFERROR(INDEX(TableWRCalcPts[PLAYER],MATCH(TableWRVORP[[#This Row],[RK]],TableWRCalcPts[RK],0)),"")</f>
        <v/>
      </c>
      <c r="Q207" s="154" t="str">
        <f>IFERROR(INDEX(TableWRCalcPts[TM],MATCH(TableWRVORP[[#This Row],[RK]],TableWRCalcPts[RK],0)),"")</f>
        <v/>
      </c>
      <c r="R207" s="154" t="str">
        <f>IFERROR(INDEX(TableWRCalcPts[BYE],MATCH(TableWRVORP[[#This Row],[RK]],TableWRCalcPts[RK],0)),"")</f>
        <v/>
      </c>
      <c r="S207" s="155" t="str">
        <f>IFERROR(INDEX(TableWRCalcPts[Custom],MATCH(TableWRVORP[[#This Row],[RK]],TableWRCalcPts[RK],0)),"")</f>
        <v/>
      </c>
      <c r="T207" s="156" t="str">
        <f>(IFERROR((TableWRVORP[[#This Row],[FPS]]-INDEX(TableWRVORP[FPS],MATCH(WRVORPCalc,TableWRVORP[RK],0))),""))</f>
        <v/>
      </c>
      <c r="AF207" s="58" t="s">
        <v>148</v>
      </c>
      <c r="AG207" s="58">
        <v>66</v>
      </c>
      <c r="AH207" s="100">
        <f>RANK(TableOverallMaster[[#This Row],[VORP]],TableOverallMaster[VORP])+COUNTIF($AM$2:AM207,AM207)-1</f>
        <v>161</v>
      </c>
      <c r="AI207" s="157" t="str">
        <f>IFERROR(INDEX(TableWRVORP[WIDE RECEIVER],MATCH(TableOverallMaster[[#This Row],[RK]],TableWRVORP[RK],0)),"")</f>
        <v>KC Concepcion</v>
      </c>
      <c r="AJ207" s="157" t="str">
        <f t="shared" si="3"/>
        <v>WR66</v>
      </c>
      <c r="AK207" s="157">
        <f>IFERROR(INDEX(TableWRVORP[BYE],MATCH(TableOverallMaster[[#This Row],[RK]],TableWRVORP[RK],0)),"")</f>
        <v>11</v>
      </c>
      <c r="AL207" s="158">
        <f>IFERROR(INDEX(TableWRVORP[FPS],MATCH(TableOverallMaster[[#This Row],[RK]],TableWRVORP[RK],0)),"")</f>
        <v>99.98152645746832</v>
      </c>
      <c r="AM207" s="159">
        <f>IFERROR(INDEX(TableWRVORP[VORP],MATCH(TableOverallMaster[[#This Row],[RK]],TableWRVORP[RK],0)),"")</f>
        <v>9.6973410671022577</v>
      </c>
      <c r="AO207" s="58">
        <v>206</v>
      </c>
      <c r="AP207" s="160" t="str">
        <f>IFERROR(INDEX(TableOverallMaster[OVERALL PLAYER],MATCH(TableOverallRank[[#This Row],[RK]],TableOverallMaster[OVR RK],0)),"")</f>
        <v>Ja'Tavion Sanders</v>
      </c>
      <c r="AQ207" s="161" t="str">
        <f>IFERROR(INDEX(TableOverallMaster[POS RK],MATCH(TableOverallRank[[#This Row],[OVERALL PLAYER]],TableOverallMaster[OVERALL PLAYER],0)),"")</f>
        <v>TE37</v>
      </c>
      <c r="AR207" s="162">
        <f>IFERROR(INDEX(TableOverallMaster[BYE],MATCH(TableOverallRank[[#This Row],[OVERALL PLAYER]],TableOverallMaster[OVERALL PLAYER],0)),"")</f>
        <v>5</v>
      </c>
      <c r="AS207" s="161">
        <f>IFERROR(INDEX(TableOverallMaster[Custom],MATCH(TableOverallRank[[#This Row],[OVERALL PLAYER]],TableOverallMaster[OVERALL PLAYER],0)),"")</f>
        <v>52.136489551557439</v>
      </c>
      <c r="AT207" s="163">
        <f>IFERROR(INDEX(TableOverallMaster[VORP],MATCH(TableOverallRank[[#This Row],[OVERALL PLAYER]],TableOverallMaster[OVERALL PLAYER],0)),"")</f>
        <v>-25.749304424684247</v>
      </c>
      <c r="AV207" s="58">
        <v>206</v>
      </c>
      <c r="AW207" s="164" t="str">
        <f>IFERROR(INDEX(TableWRTECalcPts[PLAYER],MATCH(TableWRTERank[[#This Row],[RK]],TableWRTECalcPts[RK],0)),"")</f>
        <v>Zavion Thomas</v>
      </c>
      <c r="AX207" s="164" t="str">
        <f>IFERROR(INDEX(TableWRTECalcPts[POS RK],MATCH(TableWRTERank[[#This Row],[WR and TE COMBINED]],TableWRTECalcPts[PLAYER],0)),"")</f>
        <v>WR139</v>
      </c>
      <c r="AY207" s="164">
        <f>IFERROR(INDEX(TableWRTECalcPts[BYE],MATCH(TableWRTERank[[#This Row],[RK]],TableWRTECalcPts[RK],0)),"")</f>
        <v>10</v>
      </c>
      <c r="AZ207" s="165">
        <f>IFERROR(INDEX(TableWRTECalcPts[Custom],MATCH(TableWRTERank[[#This Row],[RK]],TableWRTECalcPts[RK],0)),"")</f>
        <v>13.443018380953294</v>
      </c>
      <c r="BA207" s="166">
        <f>IFERROR((TableWRTERank[[#This Row],[FPS]]-INDEX(TableWRTERank[FPS],MATCH(WRTEVORPCalc,TableWRTERank[RK],0))),"")</f>
        <v>-127.79335320133841</v>
      </c>
      <c r="BC207" s="58" t="s">
        <v>8</v>
      </c>
    </row>
    <row r="208" spans="15:55" x14ac:dyDescent="0.25">
      <c r="O208" s="58">
        <v>207</v>
      </c>
      <c r="P208" s="154" t="str">
        <f>IFERROR(INDEX(TableWRCalcPts[PLAYER],MATCH(TableWRVORP[[#This Row],[RK]],TableWRCalcPts[RK],0)),"")</f>
        <v/>
      </c>
      <c r="Q208" s="154" t="str">
        <f>IFERROR(INDEX(TableWRCalcPts[TM],MATCH(TableWRVORP[[#This Row],[RK]],TableWRCalcPts[RK],0)),"")</f>
        <v/>
      </c>
      <c r="R208" s="154" t="str">
        <f>IFERROR(INDEX(TableWRCalcPts[BYE],MATCH(TableWRVORP[[#This Row],[RK]],TableWRCalcPts[RK],0)),"")</f>
        <v/>
      </c>
      <c r="S208" s="155" t="str">
        <f>IFERROR(INDEX(TableWRCalcPts[Custom],MATCH(TableWRVORP[[#This Row],[RK]],TableWRCalcPts[RK],0)),"")</f>
        <v/>
      </c>
      <c r="T208" s="156" t="str">
        <f>(IFERROR((TableWRVORP[[#This Row],[FPS]]-INDEX(TableWRVORP[FPS],MATCH(WRVORPCalc,TableWRVORP[RK],0))),""))</f>
        <v/>
      </c>
      <c r="AF208" s="58" t="s">
        <v>148</v>
      </c>
      <c r="AG208" s="58">
        <v>67</v>
      </c>
      <c r="AH208" s="100">
        <f>RANK(TableOverallMaster[[#This Row],[VORP]],TableOverallMaster[VORP])+COUNTIF($AM$2:AM208,AM208)-1</f>
        <v>162</v>
      </c>
      <c r="AI208" s="157" t="str">
        <f>IFERROR(INDEX(TableWRVORP[WIDE RECEIVER],MATCH(TableOverallMaster[[#This Row],[RK]],TableWRVORP[RK],0)),"")</f>
        <v>Jalen Tolbert</v>
      </c>
      <c r="AJ208" s="157" t="str">
        <f t="shared" si="3"/>
        <v>WR67</v>
      </c>
      <c r="AK208" s="157">
        <f>IFERROR(INDEX(TableWRVORP[BYE],MATCH(TableOverallMaster[[#This Row],[RK]],TableWRVORP[RK],0)),"")</f>
        <v>6</v>
      </c>
      <c r="AL208" s="158">
        <f>IFERROR(INDEX(TableWRVORP[FPS],MATCH(TableOverallMaster[[#This Row],[RK]],TableWRVORP[RK],0)),"")</f>
        <v>99.819665152542697</v>
      </c>
      <c r="AM208" s="159">
        <f>IFERROR(INDEX(TableWRVORP[VORP],MATCH(TableOverallMaster[[#This Row],[RK]],TableWRVORP[RK],0)),"")</f>
        <v>9.5354797621766352</v>
      </c>
      <c r="AO208" s="58">
        <v>207</v>
      </c>
      <c r="AP208" s="160" t="str">
        <f>IFERROR(INDEX(TableOverallMaster[OVERALL PLAYER],MATCH(TableOverallRank[[#This Row],[RK]],TableOverallMaster[OVR RK],0)),"")</f>
        <v>Elijah Sarratt</v>
      </c>
      <c r="AQ208" s="161" t="str">
        <f>IFERROR(INDEX(TableOverallMaster[POS RK],MATCH(TableOverallRank[[#This Row],[OVERALL PLAYER]],TableOverallMaster[OVERALL PLAYER],0)),"")</f>
        <v>WR83</v>
      </c>
      <c r="AR208" s="162">
        <f>IFERROR(INDEX(TableOverallMaster[BYE],MATCH(TableOverallRank[[#This Row],[OVERALL PLAYER]],TableOverallMaster[OVERALL PLAYER],0)),"")</f>
        <v>13</v>
      </c>
      <c r="AS208" s="161">
        <f>IFERROR(INDEX(TableOverallMaster[Custom],MATCH(TableOverallRank[[#This Row],[OVERALL PLAYER]],TableOverallMaster[OVERALL PLAYER],0)),"")</f>
        <v>64.331268238132509</v>
      </c>
      <c r="AT208" s="163">
        <f>IFERROR(INDEX(TableOverallMaster[VORP],MATCH(TableOverallRank[[#This Row],[OVERALL PLAYER]],TableOverallMaster[OVERALL PLAYER],0)),"")</f>
        <v>-25.952917152233553</v>
      </c>
      <c r="AV208" s="58">
        <v>207</v>
      </c>
      <c r="AW208" s="164" t="str">
        <f>IFERROR(INDEX(TableWRTECalcPts[PLAYER],MATCH(TableWRTERank[[#This Row],[RK]],TableWRTECalcPts[RK],0)),"")</f>
        <v>Dermarcus Robinson</v>
      </c>
      <c r="AX208" s="164" t="str">
        <f>IFERROR(INDEX(TableWRTECalcPts[POS RK],MATCH(TableWRTERank[[#This Row],[WR and TE COMBINED]],TableWRTECalcPts[PLAYER],0)),"")</f>
        <v>WR140</v>
      </c>
      <c r="AY208" s="164">
        <f>IFERROR(INDEX(TableWRTECalcPts[BYE],MATCH(TableWRTERank[[#This Row],[RK]],TableWRTECalcPts[RK],0)),"")</f>
        <v>8</v>
      </c>
      <c r="AZ208" s="165">
        <f>IFERROR(INDEX(TableWRTECalcPts[Custom],MATCH(TableWRTERank[[#This Row],[RK]],TableWRTECalcPts[RK],0)),"")</f>
        <v>13.142608134655999</v>
      </c>
      <c r="BA208" s="166">
        <f>IFERROR((TableWRTERank[[#This Row],[FPS]]-INDEX(TableWRTERank[FPS],MATCH(WRTEVORPCalc,TableWRTERank[RK],0))),"")</f>
        <v>-128.09376344763569</v>
      </c>
      <c r="BC208" s="58" t="s">
        <v>8</v>
      </c>
    </row>
    <row r="209" spans="15:55" x14ac:dyDescent="0.25">
      <c r="O209" s="58">
        <v>208</v>
      </c>
      <c r="P209" s="154" t="str">
        <f>IFERROR(INDEX(TableWRCalcPts[PLAYER],MATCH(TableWRVORP[[#This Row],[RK]],TableWRCalcPts[RK],0)),"")</f>
        <v/>
      </c>
      <c r="Q209" s="154" t="str">
        <f>IFERROR(INDEX(TableWRCalcPts[TM],MATCH(TableWRVORP[[#This Row],[RK]],TableWRCalcPts[RK],0)),"")</f>
        <v/>
      </c>
      <c r="R209" s="154" t="str">
        <f>IFERROR(INDEX(TableWRCalcPts[BYE],MATCH(TableWRVORP[[#This Row],[RK]],TableWRCalcPts[RK],0)),"")</f>
        <v/>
      </c>
      <c r="S209" s="155" t="str">
        <f>IFERROR(INDEX(TableWRCalcPts[Custom],MATCH(TableWRVORP[[#This Row],[RK]],TableWRCalcPts[RK],0)),"")</f>
        <v/>
      </c>
      <c r="T209" s="156" t="str">
        <f>(IFERROR((TableWRVORP[[#This Row],[FPS]]-INDEX(TableWRVORP[FPS],MATCH(WRVORPCalc,TableWRVORP[RK],0))),""))</f>
        <v/>
      </c>
      <c r="AF209" s="58" t="s">
        <v>148</v>
      </c>
      <c r="AG209" s="58">
        <v>68</v>
      </c>
      <c r="AH209" s="100">
        <f>RANK(TableOverallMaster[[#This Row],[VORP]],TableOverallMaster[VORP])+COUNTIF($AM$2:AM209,AM209)-1</f>
        <v>166</v>
      </c>
      <c r="AI209" s="157" t="str">
        <f>IFERROR(INDEX(TableWRVORP[WIDE RECEIVER],MATCH(TableOverallMaster[[#This Row],[RK]],TableWRVORP[RK],0)),"")</f>
        <v>Caleb Douglas</v>
      </c>
      <c r="AJ209" s="157" t="str">
        <f t="shared" si="3"/>
        <v>WR68</v>
      </c>
      <c r="AK209" s="157">
        <f>IFERROR(INDEX(TableWRVORP[BYE],MATCH(TableOverallMaster[[#This Row],[RK]],TableWRVORP[RK],0)),"")</f>
        <v>6</v>
      </c>
      <c r="AL209" s="158">
        <f>IFERROR(INDEX(TableWRVORP[FPS],MATCH(TableOverallMaster[[#This Row],[RK]],TableWRVORP[RK],0)),"")</f>
        <v>95.519069823491961</v>
      </c>
      <c r="AM209" s="159">
        <f>IFERROR(INDEX(TableWRVORP[VORP],MATCH(TableOverallMaster[[#This Row],[RK]],TableWRVORP[RK],0)),"")</f>
        <v>5.2348844331258988</v>
      </c>
      <c r="AO209" s="58">
        <v>208</v>
      </c>
      <c r="AP209" s="160" t="str">
        <f>IFERROR(INDEX(TableOverallMaster[OVERALL PLAYER],MATCH(TableOverallRank[[#This Row],[RK]],TableOverallMaster[OVR RK],0)),"")</f>
        <v>KaVontae Turpin</v>
      </c>
      <c r="AQ209" s="161" t="str">
        <f>IFERROR(INDEX(TableOverallMaster[POS RK],MATCH(TableOverallRank[[#This Row],[OVERALL PLAYER]],TableOverallMaster[OVERALL PLAYER],0)),"")</f>
        <v>WR84</v>
      </c>
      <c r="AR209" s="162">
        <f>IFERROR(INDEX(TableOverallMaster[BYE],MATCH(TableOverallRank[[#This Row],[OVERALL PLAYER]],TableOverallMaster[OVERALL PLAYER],0)),"")</f>
        <v>14</v>
      </c>
      <c r="AS209" s="161">
        <f>IFERROR(INDEX(TableOverallMaster[Custom],MATCH(TableOverallRank[[#This Row],[OVERALL PLAYER]],TableOverallMaster[OVERALL PLAYER],0)),"")</f>
        <v>64.301898003885839</v>
      </c>
      <c r="AT209" s="163">
        <f>IFERROR(INDEX(TableOverallMaster[VORP],MATCH(TableOverallRank[[#This Row],[OVERALL PLAYER]],TableOverallMaster[OVERALL PLAYER],0)),"")</f>
        <v>-25.982287386480223</v>
      </c>
      <c r="AV209" s="58">
        <v>208</v>
      </c>
      <c r="AW209" s="164" t="str">
        <f>IFERROR(INDEX(TableWRTECalcPts[PLAYER],MATCH(TableWRTERank[[#This Row],[RK]],TableWRTECalcPts[RK],0)),"")</f>
        <v>KeAndre Lambert-Smith</v>
      </c>
      <c r="AX209" s="164" t="str">
        <f>IFERROR(INDEX(TableWRTECalcPts[POS RK],MATCH(TableWRTERank[[#This Row],[WR and TE COMBINED]],TableWRTECalcPts[PLAYER],0)),"")</f>
        <v>WR141</v>
      </c>
      <c r="AY209" s="164">
        <f>IFERROR(INDEX(TableWRTECalcPts[BYE],MATCH(TableWRTERank[[#This Row],[RK]],TableWRTECalcPts[RK],0)),"")</f>
        <v>7</v>
      </c>
      <c r="AZ209" s="165">
        <f>IFERROR(INDEX(TableWRTECalcPts[Custom],MATCH(TableWRTERank[[#This Row],[RK]],TableWRTECalcPts[RK],0)),"")</f>
        <v>12.662289954847298</v>
      </c>
      <c r="BA209" s="166">
        <f>IFERROR((TableWRTERank[[#This Row],[FPS]]-INDEX(TableWRTERank[FPS],MATCH(WRTEVORPCalc,TableWRTERank[RK],0))),"")</f>
        <v>-128.5740816274444</v>
      </c>
      <c r="BC209" s="58" t="s">
        <v>8</v>
      </c>
    </row>
    <row r="210" spans="15:55" x14ac:dyDescent="0.25">
      <c r="O210" s="58">
        <v>209</v>
      </c>
      <c r="P210" s="154" t="str">
        <f>IFERROR(INDEX(TableWRCalcPts[PLAYER],MATCH(TableWRVORP[[#This Row],[RK]],TableWRCalcPts[RK],0)),"")</f>
        <v/>
      </c>
      <c r="Q210" s="154" t="str">
        <f>IFERROR(INDEX(TableWRCalcPts[TM],MATCH(TableWRVORP[[#This Row],[RK]],TableWRCalcPts[RK],0)),"")</f>
        <v/>
      </c>
      <c r="R210" s="154" t="str">
        <f>IFERROR(INDEX(TableWRCalcPts[BYE],MATCH(TableWRVORP[[#This Row],[RK]],TableWRCalcPts[RK],0)),"")</f>
        <v/>
      </c>
      <c r="S210" s="155" t="str">
        <f>IFERROR(INDEX(TableWRCalcPts[Custom],MATCH(TableWRVORP[[#This Row],[RK]],TableWRCalcPts[RK],0)),"")</f>
        <v/>
      </c>
      <c r="T210" s="156" t="str">
        <f>(IFERROR((TableWRVORP[[#This Row],[FPS]]-INDEX(TableWRVORP[FPS],MATCH(WRVORPCalc,TableWRVORP[RK],0))),""))</f>
        <v/>
      </c>
      <c r="AF210" s="58" t="s">
        <v>148</v>
      </c>
      <c r="AG210" s="58">
        <v>69</v>
      </c>
      <c r="AH210" s="100">
        <f>RANK(TableOverallMaster[[#This Row],[VORP]],TableOverallMaster[VORP])+COUNTIF($AM$2:AM210,AM210)-1</f>
        <v>167</v>
      </c>
      <c r="AI210" s="157" t="str">
        <f>IFERROR(INDEX(TableWRVORP[WIDE RECEIVER],MATCH(TableOverallMaster[[#This Row],[RK]],TableWRVORP[RK],0)),"")</f>
        <v>Jerry Jeudy</v>
      </c>
      <c r="AJ210" s="157" t="str">
        <f t="shared" si="3"/>
        <v>WR69</v>
      </c>
      <c r="AK210" s="157">
        <f>IFERROR(INDEX(TableWRVORP[BYE],MATCH(TableOverallMaster[[#This Row],[RK]],TableWRVORP[RK],0)),"")</f>
        <v>11</v>
      </c>
      <c r="AL210" s="158">
        <f>IFERROR(INDEX(TableWRVORP[FPS],MATCH(TableOverallMaster[[#This Row],[RK]],TableWRVORP[RK],0)),"")</f>
        <v>95.245616587967987</v>
      </c>
      <c r="AM210" s="159">
        <f>IFERROR(INDEX(TableWRVORP[VORP],MATCH(TableOverallMaster[[#This Row],[RK]],TableWRVORP[RK],0)),"")</f>
        <v>4.9614311976019252</v>
      </c>
      <c r="AO210" s="58">
        <v>209</v>
      </c>
      <c r="AP210" s="160" t="str">
        <f>IFERROR(INDEX(TableOverallMaster[OVERALL PLAYER],MATCH(TableOverallRank[[#This Row],[RK]],TableOverallMaster[OVR RK],0)),"")</f>
        <v>MarShawn Lloyd</v>
      </c>
      <c r="AQ210" s="161" t="str">
        <f>IFERROR(INDEX(TableOverallMaster[POS RK],MATCH(TableOverallRank[[#This Row],[OVERALL PLAYER]],TableOverallMaster[OVERALL PLAYER],0)),"")</f>
        <v>RB58</v>
      </c>
      <c r="AR210" s="162">
        <f>IFERROR(INDEX(TableOverallMaster[BYE],MATCH(TableOverallRank[[#This Row],[OVERALL PLAYER]],TableOverallMaster[OVERALL PLAYER],0)),"")</f>
        <v>11</v>
      </c>
      <c r="AS210" s="161">
        <f>IFERROR(INDEX(TableOverallMaster[Custom],MATCH(TableOverallRank[[#This Row],[OVERALL PLAYER]],TableOverallMaster[OVERALL PLAYER],0)),"")</f>
        <v>71.104588479640356</v>
      </c>
      <c r="AT210" s="163">
        <f>IFERROR(INDEX(TableOverallMaster[VORP],MATCH(TableOverallRank[[#This Row],[OVERALL PLAYER]],TableOverallMaster[OVERALL PLAYER],0)),"")</f>
        <v>-26.322600601109617</v>
      </c>
      <c r="AV210" s="58">
        <v>209</v>
      </c>
      <c r="AW210" s="164" t="str">
        <f>IFERROR(INDEX(TableWRTECalcPts[PLAYER],MATCH(TableWRTERank[[#This Row],[RK]],TableWRTECalcPts[RK],0)),"")</f>
        <v>Ben Sims</v>
      </c>
      <c r="AX210" s="164" t="str">
        <f>IFERROR(INDEX(TableWRTECalcPts[POS RK],MATCH(TableWRTERank[[#This Row],[WR and TE COMBINED]],TableWRTECalcPts[PLAYER],0)),"")</f>
        <v>TE68</v>
      </c>
      <c r="AY210" s="164">
        <f>IFERROR(INDEX(TableWRTECalcPts[BYE],MATCH(TableWRTERank[[#This Row],[RK]],TableWRTECalcPts[RK],0)),"")</f>
        <v>6</v>
      </c>
      <c r="AZ210" s="165">
        <f>IFERROR(INDEX(TableWRTECalcPts[Custom],MATCH(TableWRTERank[[#This Row],[RK]],TableWRTECalcPts[RK],0)),"")</f>
        <v>12.296243042905495</v>
      </c>
      <c r="BA210" s="166">
        <f>IFERROR((TableWRTERank[[#This Row],[FPS]]-INDEX(TableWRTERank[FPS],MATCH(WRTEVORPCalc,TableWRTERank[RK],0))),"")</f>
        <v>-128.94012853938619</v>
      </c>
      <c r="BC210" s="58" t="s">
        <v>8</v>
      </c>
    </row>
    <row r="211" spans="15:55" x14ac:dyDescent="0.25">
      <c r="O211" s="58">
        <v>210</v>
      </c>
      <c r="P211" s="154" t="str">
        <f>IFERROR(INDEX(TableWRCalcPts[PLAYER],MATCH(TableWRVORP[[#This Row],[RK]],TableWRCalcPts[RK],0)),"")</f>
        <v/>
      </c>
      <c r="Q211" s="154" t="str">
        <f>IFERROR(INDEX(TableWRCalcPts[TM],MATCH(TableWRVORP[[#This Row],[RK]],TableWRCalcPts[RK],0)),"")</f>
        <v/>
      </c>
      <c r="R211" s="154" t="str">
        <f>IFERROR(INDEX(TableWRCalcPts[BYE],MATCH(TableWRVORP[[#This Row],[RK]],TableWRCalcPts[RK],0)),"")</f>
        <v/>
      </c>
      <c r="S211" s="155" t="str">
        <f>IFERROR(INDEX(TableWRCalcPts[Custom],MATCH(TableWRVORP[[#This Row],[RK]],TableWRCalcPts[RK],0)),"")</f>
        <v/>
      </c>
      <c r="T211" s="156" t="str">
        <f>(IFERROR((TableWRVORP[[#This Row],[FPS]]-INDEX(TableWRVORP[FPS],MATCH(WRVORPCalc,TableWRVORP[RK],0))),""))</f>
        <v/>
      </c>
      <c r="AF211" s="58" t="s">
        <v>148</v>
      </c>
      <c r="AG211" s="58">
        <v>70</v>
      </c>
      <c r="AH211" s="100">
        <f>RANK(TableOverallMaster[[#This Row],[VORP]],TableOverallMaster[VORP])+COUNTIF($AM$2:AM211,AM211)-1</f>
        <v>168</v>
      </c>
      <c r="AI211" s="157" t="str">
        <f>IFERROR(INDEX(TableWRVORP[WIDE RECEIVER],MATCH(TableOverallMaster[[#This Row],[RK]],TableWRVORP[RK],0)),"")</f>
        <v>Tre Tucker</v>
      </c>
      <c r="AJ211" s="157" t="str">
        <f t="shared" si="3"/>
        <v>WR70</v>
      </c>
      <c r="AK211" s="157">
        <f>IFERROR(INDEX(TableWRVORP[BYE],MATCH(TableOverallMaster[[#This Row],[RK]],TableWRVORP[RK],0)),"")</f>
        <v>13</v>
      </c>
      <c r="AL211" s="158">
        <f>IFERROR(INDEX(TableWRVORP[FPS],MATCH(TableOverallMaster[[#This Row],[RK]],TableWRVORP[RK],0)),"")</f>
        <v>92.360874869434014</v>
      </c>
      <c r="AM211" s="159">
        <f>IFERROR(INDEX(TableWRVORP[VORP],MATCH(TableOverallMaster[[#This Row],[RK]],TableWRVORP[RK],0)),"")</f>
        <v>2.0766894790679515</v>
      </c>
      <c r="AO211" s="58">
        <v>210</v>
      </c>
      <c r="AP211" s="160" t="str">
        <f>IFERROR(INDEX(TableOverallMaster[OVERALL PLAYER],MATCH(TableOverallRank[[#This Row],[RK]],TableOverallMaster[OVR RK],0)),"")</f>
        <v>Troy Franklin</v>
      </c>
      <c r="AQ211" s="161" t="str">
        <f>IFERROR(INDEX(TableOverallMaster[POS RK],MATCH(TableOverallRank[[#This Row],[OVERALL PLAYER]],TableOverallMaster[OVERALL PLAYER],0)),"")</f>
        <v>WR85</v>
      </c>
      <c r="AR211" s="162">
        <f>IFERROR(INDEX(TableOverallMaster[BYE],MATCH(TableOverallRank[[#This Row],[OVERALL PLAYER]],TableOverallMaster[OVERALL PLAYER],0)),"")</f>
        <v>10</v>
      </c>
      <c r="AS211" s="161">
        <f>IFERROR(INDEX(TableOverallMaster[Custom],MATCH(TableOverallRank[[#This Row],[OVERALL PLAYER]],TableOverallMaster[OVERALL PLAYER],0)),"")</f>
        <v>62.943624265789154</v>
      </c>
      <c r="AT211" s="163">
        <f>IFERROR(INDEX(TableOverallMaster[VORP],MATCH(TableOverallRank[[#This Row],[OVERALL PLAYER]],TableOverallMaster[OVERALL PLAYER],0)),"")</f>
        <v>-27.340561124576908</v>
      </c>
      <c r="AV211" s="58">
        <v>210</v>
      </c>
      <c r="AW211" s="164" t="str">
        <f>IFERROR(INDEX(TableWRTECalcPts[PLAYER],MATCH(TableWRTERank[[#This Row],[RK]],TableWRTECalcPts[RK],0)),"")</f>
        <v>Calvin Austin</v>
      </c>
      <c r="AX211" s="164" t="str">
        <f>IFERROR(INDEX(TableWRTECalcPts[POS RK],MATCH(TableWRTERank[[#This Row],[WR and TE COMBINED]],TableWRTECalcPts[PLAYER],0)),"")</f>
        <v>WR142</v>
      </c>
      <c r="AY211" s="164">
        <f>IFERROR(INDEX(TableWRTECalcPts[BYE],MATCH(TableWRTERank[[#This Row],[RK]],TableWRTECalcPts[RK],0)),"")</f>
        <v>8</v>
      </c>
      <c r="AZ211" s="165">
        <f>IFERROR(INDEX(TableWRTECalcPts[Custom],MATCH(TableWRTERank[[#This Row],[RK]],TableWRTECalcPts[RK],0)),"")</f>
        <v>12.083934808922724</v>
      </c>
      <c r="BA211" s="166">
        <f>IFERROR((TableWRTERank[[#This Row],[FPS]]-INDEX(TableWRTERank[FPS],MATCH(WRTEVORPCalc,TableWRTERank[RK],0))),"")</f>
        <v>-129.15243677336898</v>
      </c>
      <c r="BC211" s="58" t="s">
        <v>8</v>
      </c>
    </row>
    <row r="212" spans="15:55" x14ac:dyDescent="0.25">
      <c r="O212" s="58">
        <v>211</v>
      </c>
      <c r="P212" s="154" t="str">
        <f>IFERROR(INDEX(TableWRCalcPts[PLAYER],MATCH(TableWRVORP[[#This Row],[RK]],TableWRCalcPts[RK],0)),"")</f>
        <v/>
      </c>
      <c r="Q212" s="154" t="str">
        <f>IFERROR(INDEX(TableWRCalcPts[TM],MATCH(TableWRVORP[[#This Row],[RK]],TableWRCalcPts[RK],0)),"")</f>
        <v/>
      </c>
      <c r="R212" s="154" t="str">
        <f>IFERROR(INDEX(TableWRCalcPts[BYE],MATCH(TableWRVORP[[#This Row],[RK]],TableWRCalcPts[RK],0)),"")</f>
        <v/>
      </c>
      <c r="S212" s="155" t="str">
        <f>IFERROR(INDEX(TableWRCalcPts[Custom],MATCH(TableWRVORP[[#This Row],[RK]],TableWRCalcPts[RK],0)),"")</f>
        <v/>
      </c>
      <c r="T212" s="156" t="str">
        <f>(IFERROR((TableWRVORP[[#This Row],[FPS]]-INDEX(TableWRVORP[FPS],MATCH(WRVORPCalc,TableWRVORP[RK],0))),""))</f>
        <v/>
      </c>
      <c r="AF212" s="58" t="s">
        <v>148</v>
      </c>
      <c r="AG212" s="58">
        <v>71</v>
      </c>
      <c r="AH212" s="100">
        <f>RANK(TableOverallMaster[[#This Row],[VORP]],TableOverallMaster[VORP])+COUNTIF($AM$2:AM212,AM212)-1</f>
        <v>170</v>
      </c>
      <c r="AI212" s="157" t="str">
        <f>IFERROR(INDEX(TableWRVORP[WIDE RECEIVER],MATCH(TableOverallMaster[[#This Row],[RK]],TableWRVORP[RK],0)),"")</f>
        <v>Germie Bernard</v>
      </c>
      <c r="AJ212" s="157" t="str">
        <f t="shared" si="3"/>
        <v>WR71</v>
      </c>
      <c r="AK212" s="157">
        <f>IFERROR(INDEX(TableWRVORP[BYE],MATCH(TableOverallMaster[[#This Row],[RK]],TableWRVORP[RK],0)),"")</f>
        <v>9</v>
      </c>
      <c r="AL212" s="158">
        <f>IFERROR(INDEX(TableWRVORP[FPS],MATCH(TableOverallMaster[[#This Row],[RK]],TableWRVORP[RK],0)),"")</f>
        <v>91.944125838049231</v>
      </c>
      <c r="AM212" s="159">
        <f>IFERROR(INDEX(TableWRVORP[VORP],MATCH(TableOverallMaster[[#This Row],[RK]],TableWRVORP[RK],0)),"")</f>
        <v>1.6599404476831694</v>
      </c>
      <c r="AO212" s="58">
        <v>211</v>
      </c>
      <c r="AP212" s="160" t="str">
        <f>IFERROR(INDEX(TableOverallMaster[OVERALL PLAYER],MATCH(TableOverallRank[[#This Row],[RK]],TableOverallMaster[OVR RK],0)),"")</f>
        <v>Eli Raridon</v>
      </c>
      <c r="AQ212" s="161" t="str">
        <f>IFERROR(INDEX(TableOverallMaster[POS RK],MATCH(TableOverallRank[[#This Row],[OVERALL PLAYER]],TableOverallMaster[OVERALL PLAYER],0)),"")</f>
        <v>TE38</v>
      </c>
      <c r="AR212" s="162">
        <f>IFERROR(INDEX(TableOverallMaster[BYE],MATCH(TableOverallRank[[#This Row],[OVERALL PLAYER]],TableOverallMaster[OVERALL PLAYER],0)),"")</f>
        <v>11</v>
      </c>
      <c r="AS212" s="161">
        <f>IFERROR(INDEX(TableOverallMaster[Custom],MATCH(TableOverallRank[[#This Row],[OVERALL PLAYER]],TableOverallMaster[OVERALL PLAYER],0)),"")</f>
        <v>50.386639635027102</v>
      </c>
      <c r="AT212" s="163">
        <f>IFERROR(INDEX(TableOverallMaster[VORP],MATCH(TableOverallRank[[#This Row],[OVERALL PLAYER]],TableOverallMaster[OVERALL PLAYER],0)),"")</f>
        <v>-27.499154341214584</v>
      </c>
      <c r="AV212" s="58">
        <v>211</v>
      </c>
      <c r="AW212" s="164" t="str">
        <f>IFERROR(INDEX(TableWRTECalcPts[PLAYER],MATCH(TableWRTERank[[#This Row],[RK]],TableWRTECalcPts[RK],0)),"")</f>
        <v>Tez Johnson</v>
      </c>
      <c r="AX212" s="164" t="str">
        <f>IFERROR(INDEX(TableWRTECalcPts[POS RK],MATCH(TableWRTERank[[#This Row],[WR and TE COMBINED]],TableWRTECalcPts[PLAYER],0)),"")</f>
        <v>WR143</v>
      </c>
      <c r="AY212" s="164">
        <f>IFERROR(INDEX(TableWRTECalcPts[BYE],MATCH(TableWRTERank[[#This Row],[RK]],TableWRTECalcPts[RK],0)),"")</f>
        <v>10</v>
      </c>
      <c r="AZ212" s="165">
        <f>IFERROR(INDEX(TableWRTECalcPts[Custom],MATCH(TableWRTERank[[#This Row],[RK]],TableWRTECalcPts[RK],0)),"")</f>
        <v>11.598759577124993</v>
      </c>
      <c r="BA212" s="166">
        <f>IFERROR((TableWRTERank[[#This Row],[FPS]]-INDEX(TableWRTERank[FPS],MATCH(WRTEVORPCalc,TableWRTERank[RK],0))),"")</f>
        <v>-129.63761200516672</v>
      </c>
      <c r="BC212" s="58" t="s">
        <v>8</v>
      </c>
    </row>
    <row r="213" spans="15:55" x14ac:dyDescent="0.25">
      <c r="O213" s="58">
        <v>212</v>
      </c>
      <c r="P213" s="154" t="str">
        <f>IFERROR(INDEX(TableWRCalcPts[PLAYER],MATCH(TableWRVORP[[#This Row],[RK]],TableWRCalcPts[RK],0)),"")</f>
        <v/>
      </c>
      <c r="Q213" s="154" t="str">
        <f>IFERROR(INDEX(TableWRCalcPts[TM],MATCH(TableWRVORP[[#This Row],[RK]],TableWRCalcPts[RK],0)),"")</f>
        <v/>
      </c>
      <c r="R213" s="154" t="str">
        <f>IFERROR(INDEX(TableWRCalcPts[BYE],MATCH(TableWRVORP[[#This Row],[RK]],TableWRCalcPts[RK],0)),"")</f>
        <v/>
      </c>
      <c r="S213" s="155" t="str">
        <f>IFERROR(INDEX(TableWRCalcPts[Custom],MATCH(TableWRVORP[[#This Row],[RK]],TableWRCalcPts[RK],0)),"")</f>
        <v/>
      </c>
      <c r="T213" s="156" t="str">
        <f>(IFERROR((TableWRVORP[[#This Row],[FPS]]-INDEX(TableWRVORP[FPS],MATCH(WRVORPCalc,TableWRVORP[RK],0))),""))</f>
        <v/>
      </c>
      <c r="AF213" s="58" t="s">
        <v>148</v>
      </c>
      <c r="AG213" s="58">
        <v>72</v>
      </c>
      <c r="AH213" s="100">
        <f>RANK(TableOverallMaster[[#This Row],[VORP]],TableOverallMaster[VORP])+COUNTIF($AM$2:AM213,AM213)-1</f>
        <v>172</v>
      </c>
      <c r="AI213" s="157" t="str">
        <f>IFERROR(INDEX(TableWRVORP[WIDE RECEIVER],MATCH(TableOverallMaster[[#This Row],[RK]],TableWRVORP[RK],0)),"")</f>
        <v>Cooper Kupp</v>
      </c>
      <c r="AJ213" s="157" t="str">
        <f t="shared" si="3"/>
        <v>WR72</v>
      </c>
      <c r="AK213" s="157">
        <f>IFERROR(INDEX(TableWRVORP[BYE],MATCH(TableOverallMaster[[#This Row],[RK]],TableWRVORP[RK],0)),"")</f>
        <v>11</v>
      </c>
      <c r="AL213" s="158">
        <f>IFERROR(INDEX(TableWRVORP[FPS],MATCH(TableOverallMaster[[#This Row],[RK]],TableWRVORP[RK],0)),"")</f>
        <v>90.871065206669996</v>
      </c>
      <c r="AM213" s="159">
        <f>IFERROR(INDEX(TableWRVORP[VORP],MATCH(TableOverallMaster[[#This Row],[RK]],TableWRVORP[RK],0)),"")</f>
        <v>0.58687981630393438</v>
      </c>
      <c r="AO213" s="58">
        <v>212</v>
      </c>
      <c r="AP213" s="160" t="str">
        <f>IFERROR(INDEX(TableOverallMaster[OVERALL PLAYER],MATCH(TableOverallRank[[#This Row],[RK]],TableOverallMaster[OVR RK],0)),"")</f>
        <v>Noah Gray</v>
      </c>
      <c r="AQ213" s="161" t="str">
        <f>IFERROR(INDEX(TableOverallMaster[POS RK],MATCH(TableOverallRank[[#This Row],[OVERALL PLAYER]],TableOverallMaster[OVERALL PLAYER],0)),"")</f>
        <v>TE39</v>
      </c>
      <c r="AR213" s="162">
        <f>IFERROR(INDEX(TableOverallMaster[BYE],MATCH(TableOverallRank[[#This Row],[OVERALL PLAYER]],TableOverallMaster[OVERALL PLAYER],0)),"")</f>
        <v>5</v>
      </c>
      <c r="AS213" s="161">
        <f>IFERROR(INDEX(TableOverallMaster[Custom],MATCH(TableOverallRank[[#This Row],[OVERALL PLAYER]],TableOverallMaster[OVERALL PLAYER],0)),"")</f>
        <v>49.391673692991986</v>
      </c>
      <c r="AT213" s="163">
        <f>IFERROR(INDEX(TableOverallMaster[VORP],MATCH(TableOverallRank[[#This Row],[OVERALL PLAYER]],TableOverallMaster[OVERALL PLAYER],0)),"")</f>
        <v>-28.4941202832497</v>
      </c>
      <c r="AV213" s="58">
        <v>212</v>
      </c>
      <c r="AW213" s="164" t="str">
        <f>IFERROR(INDEX(TableWRTECalcPts[PLAYER],MATCH(TableWRTERank[[#This Row],[RK]],TableWRTECalcPts[RK],0)),"")</f>
        <v>Payne Durham</v>
      </c>
      <c r="AX213" s="164" t="str">
        <f>IFERROR(INDEX(TableWRTECalcPts[POS RK],MATCH(TableWRTERank[[#This Row],[WR and TE COMBINED]],TableWRTECalcPts[PLAYER],0)),"")</f>
        <v>TE69</v>
      </c>
      <c r="AY213" s="164">
        <f>IFERROR(INDEX(TableWRTECalcPts[BYE],MATCH(TableWRTERank[[#This Row],[RK]],TableWRTECalcPts[RK],0)),"")</f>
        <v>10</v>
      </c>
      <c r="AZ213" s="165">
        <f>IFERROR(INDEX(TableWRTECalcPts[Custom],MATCH(TableWRTERank[[#This Row],[RK]],TableWRTECalcPts[RK],0)),"")</f>
        <v>11.544060613315855</v>
      </c>
      <c r="BA213" s="166">
        <f>IFERROR((TableWRTERank[[#This Row],[FPS]]-INDEX(TableWRTERank[FPS],MATCH(WRTEVORPCalc,TableWRTERank[RK],0))),"")</f>
        <v>-129.69231096897585</v>
      </c>
      <c r="BC213" s="58" t="s">
        <v>8</v>
      </c>
    </row>
    <row r="214" spans="15:55" x14ac:dyDescent="0.25">
      <c r="O214" s="58">
        <v>213</v>
      </c>
      <c r="P214" s="154" t="str">
        <f>IFERROR(INDEX(TableWRCalcPts[PLAYER],MATCH(TableWRVORP[[#This Row],[RK]],TableWRCalcPts[RK],0)),"")</f>
        <v/>
      </c>
      <c r="Q214" s="154" t="str">
        <f>IFERROR(INDEX(TableWRCalcPts[TM],MATCH(TableWRVORP[[#This Row],[RK]],TableWRCalcPts[RK],0)),"")</f>
        <v/>
      </c>
      <c r="R214" s="154" t="str">
        <f>IFERROR(INDEX(TableWRCalcPts[BYE],MATCH(TableWRVORP[[#This Row],[RK]],TableWRCalcPts[RK],0)),"")</f>
        <v/>
      </c>
      <c r="S214" s="155" t="str">
        <f>IFERROR(INDEX(TableWRCalcPts[Custom],MATCH(TableWRVORP[[#This Row],[RK]],TableWRCalcPts[RK],0)),"")</f>
        <v/>
      </c>
      <c r="T214" s="156" t="str">
        <f>(IFERROR((TableWRVORP[[#This Row],[FPS]]-INDEX(TableWRVORP[FPS],MATCH(WRVORPCalc,TableWRVORP[RK],0))),""))</f>
        <v/>
      </c>
      <c r="AF214" s="58" t="s">
        <v>148</v>
      </c>
      <c r="AG214" s="58">
        <v>73</v>
      </c>
      <c r="AH214" s="100">
        <f>RANK(TableOverallMaster[[#This Row],[VORP]],TableOverallMaster[VORP])+COUNTIF($AM$2:AM214,AM214)-1</f>
        <v>174</v>
      </c>
      <c r="AI214" s="157" t="str">
        <f>IFERROR(INDEX(TableWRVORP[WIDE RECEIVER],MATCH(TableOverallMaster[[#This Row],[RK]],TableWRVORP[RK],0)),"")</f>
        <v>Ryan Flournoy</v>
      </c>
      <c r="AJ214" s="157" t="str">
        <f t="shared" si="3"/>
        <v>WR73</v>
      </c>
      <c r="AK214" s="157">
        <f>IFERROR(INDEX(TableWRVORP[BYE],MATCH(TableOverallMaster[[#This Row],[RK]],TableWRVORP[RK],0)),"")</f>
        <v>14</v>
      </c>
      <c r="AL214" s="158">
        <f>IFERROR(INDEX(TableWRVORP[FPS],MATCH(TableOverallMaster[[#This Row],[RK]],TableWRVORP[RK],0)),"")</f>
        <v>90.284185390366062</v>
      </c>
      <c r="AM214" s="159">
        <f>IFERROR(INDEX(TableWRVORP[VORP],MATCH(TableOverallMaster[[#This Row],[RK]],TableWRVORP[RK],0)),"")</f>
        <v>0</v>
      </c>
      <c r="AO214" s="58">
        <v>213</v>
      </c>
      <c r="AP214" s="160" t="str">
        <f>IFERROR(INDEX(TableOverallMaster[OVERALL PLAYER],MATCH(TableOverallRank[[#This Row],[RK]],TableOverallMaster[OVR RK],0)),"")</f>
        <v>Darius Slayton</v>
      </c>
      <c r="AQ214" s="161" t="str">
        <f>IFERROR(INDEX(TableOverallMaster[POS RK],MATCH(TableOverallRank[[#This Row],[OVERALL PLAYER]],TableOverallMaster[OVERALL PLAYER],0)),"")</f>
        <v>WR86</v>
      </c>
      <c r="AR214" s="162">
        <f>IFERROR(INDEX(TableOverallMaster[BYE],MATCH(TableOverallRank[[#This Row],[OVERALL PLAYER]],TableOverallMaster[OVERALL PLAYER],0)),"")</f>
        <v>8</v>
      </c>
      <c r="AS214" s="161">
        <f>IFERROR(INDEX(TableOverallMaster[Custom],MATCH(TableOverallRank[[#This Row],[OVERALL PLAYER]],TableOverallMaster[OVERALL PLAYER],0)),"")</f>
        <v>60.325066147251512</v>
      </c>
      <c r="AT214" s="163">
        <f>IFERROR(INDEX(TableOverallMaster[VORP],MATCH(TableOverallRank[[#This Row],[OVERALL PLAYER]],TableOverallMaster[OVERALL PLAYER],0)),"")</f>
        <v>-29.95911924311455</v>
      </c>
      <c r="AV214" s="58">
        <v>213</v>
      </c>
      <c r="AW214" s="164" t="str">
        <f>IFERROR(INDEX(TableWRTECalcPts[PLAYER],MATCH(TableWRTERank[[#This Row],[RK]],TableWRTECalcPts[RK],0)),"")</f>
        <v>Charlie Jones</v>
      </c>
      <c r="AX214" s="164" t="str">
        <f>IFERROR(INDEX(TableWRTECalcPts[POS RK],MATCH(TableWRTERank[[#This Row],[WR and TE COMBINED]],TableWRTECalcPts[PLAYER],0)),"")</f>
        <v>WR144</v>
      </c>
      <c r="AY214" s="164">
        <f>IFERROR(INDEX(TableWRTECalcPts[BYE],MATCH(TableWRTERank[[#This Row],[RK]],TableWRTECalcPts[RK],0)),"")</f>
        <v>6</v>
      </c>
      <c r="AZ214" s="165">
        <f>IFERROR(INDEX(TableWRTECalcPts[Custom],MATCH(TableWRTERank[[#This Row],[RK]],TableWRTECalcPts[RK],0)),"")</f>
        <v>11.123085750000001</v>
      </c>
      <c r="BA214" s="166">
        <f>IFERROR((TableWRTERank[[#This Row],[FPS]]-INDEX(TableWRTERank[FPS],MATCH(WRTEVORPCalc,TableWRTERank[RK],0))),"")</f>
        <v>-130.11328583229169</v>
      </c>
      <c r="BC214" s="58" t="s">
        <v>8</v>
      </c>
    </row>
    <row r="215" spans="15:55" x14ac:dyDescent="0.25">
      <c r="O215" s="58">
        <v>214</v>
      </c>
      <c r="P215" s="154" t="str">
        <f>IFERROR(INDEX(TableWRCalcPts[PLAYER],MATCH(TableWRVORP[[#This Row],[RK]],TableWRCalcPts[RK],0)),"")</f>
        <v/>
      </c>
      <c r="Q215" s="154" t="str">
        <f>IFERROR(INDEX(TableWRCalcPts[TM],MATCH(TableWRVORP[[#This Row],[RK]],TableWRCalcPts[RK],0)),"")</f>
        <v/>
      </c>
      <c r="R215" s="154" t="str">
        <f>IFERROR(INDEX(TableWRCalcPts[BYE],MATCH(TableWRVORP[[#This Row],[RK]],TableWRCalcPts[RK],0)),"")</f>
        <v/>
      </c>
      <c r="S215" s="155" t="str">
        <f>IFERROR(INDEX(TableWRCalcPts[Custom],MATCH(TableWRVORP[[#This Row],[RK]],TableWRCalcPts[RK],0)),"")</f>
        <v/>
      </c>
      <c r="T215" s="156" t="str">
        <f>(IFERROR((TableWRVORP[[#This Row],[FPS]]-INDEX(TableWRVORP[FPS],MATCH(WRVORPCalc,TableWRVORP[RK],0))),""))</f>
        <v/>
      </c>
      <c r="AF215" s="58" t="s">
        <v>148</v>
      </c>
      <c r="AG215" s="58">
        <v>74</v>
      </c>
      <c r="AH215" s="100">
        <f>RANK(TableOverallMaster[[#This Row],[VORP]],TableOverallMaster[VORP])+COUNTIF($AM$2:AM215,AM215)-1</f>
        <v>176</v>
      </c>
      <c r="AI215" s="157" t="str">
        <f>IFERROR(INDEX(TableWRVORP[WIDE RECEIVER],MATCH(TableOverallMaster[[#This Row],[RK]],TableWRVORP[RK],0)),"")</f>
        <v>Isaac TeSlaa</v>
      </c>
      <c r="AJ215" s="157" t="str">
        <f t="shared" si="3"/>
        <v>WR74</v>
      </c>
      <c r="AK215" s="157">
        <f>IFERROR(INDEX(TableWRVORP[BYE],MATCH(TableOverallMaster[[#This Row],[RK]],TableWRVORP[RK],0)),"")</f>
        <v>6</v>
      </c>
      <c r="AL215" s="158">
        <f>IFERROR(INDEX(TableWRVORP[FPS],MATCH(TableOverallMaster[[#This Row],[RK]],TableWRVORP[RK],0)),"")</f>
        <v>88.820853202636783</v>
      </c>
      <c r="AM215" s="159">
        <f>IFERROR(INDEX(TableWRVORP[VORP],MATCH(TableOverallMaster[[#This Row],[RK]],TableWRVORP[RK],0)),"")</f>
        <v>-1.4633321877292786</v>
      </c>
      <c r="AO215" s="58">
        <v>214</v>
      </c>
      <c r="AP215" s="160" t="str">
        <f>IFERROR(INDEX(TableOverallMaster[OVERALL PLAYER],MATCH(TableOverallRank[[#This Row],[RK]],TableOverallMaster[OVR RK],0)),"")</f>
        <v>Malachi Fields</v>
      </c>
      <c r="AQ215" s="161" t="str">
        <f>IFERROR(INDEX(TableOverallMaster[POS RK],MATCH(TableOverallRank[[#This Row],[OVERALL PLAYER]],TableOverallMaster[OVERALL PLAYER],0)),"")</f>
        <v>WR87</v>
      </c>
      <c r="AR215" s="162">
        <f>IFERROR(INDEX(TableOverallMaster[BYE],MATCH(TableOverallRank[[#This Row],[OVERALL PLAYER]],TableOverallMaster[OVERALL PLAYER],0)),"")</f>
        <v>8</v>
      </c>
      <c r="AS215" s="161">
        <f>IFERROR(INDEX(TableOverallMaster[Custom],MATCH(TableOverallRank[[#This Row],[OVERALL PLAYER]],TableOverallMaster[OVERALL PLAYER],0)),"")</f>
        <v>60.094954234465909</v>
      </c>
      <c r="AT215" s="163">
        <f>IFERROR(INDEX(TableOverallMaster[VORP],MATCH(TableOverallRank[[#This Row],[OVERALL PLAYER]],TableOverallMaster[OVERALL PLAYER],0)),"")</f>
        <v>-30.189231155900153</v>
      </c>
      <c r="AV215" s="58">
        <v>214</v>
      </c>
      <c r="AW215" s="164" t="str">
        <f>IFERROR(INDEX(TableWRTECalcPts[PLAYER],MATCH(TableWRTERank[[#This Row],[RK]],TableWRTECalcPts[RK],0)),"")</f>
        <v>K.J. Osborn</v>
      </c>
      <c r="AX215" s="164" t="str">
        <f>IFERROR(INDEX(TableWRTECalcPts[POS RK],MATCH(TableWRTERank[[#This Row],[WR and TE COMBINED]],TableWRTECalcPts[PLAYER],0)),"")</f>
        <v>WR145</v>
      </c>
      <c r="AY215" s="164">
        <f>IFERROR(INDEX(TableWRTECalcPts[BYE],MATCH(TableWRTERank[[#This Row],[RK]],TableWRTECalcPts[RK],0)),"")</f>
        <v>9</v>
      </c>
      <c r="AZ215" s="165">
        <f>IFERROR(INDEX(TableWRTECalcPts[Custom],MATCH(TableWRTERank[[#This Row],[RK]],TableWRTECalcPts[RK],0)),"")</f>
        <v>10.322717076403201</v>
      </c>
      <c r="BA215" s="166">
        <f>IFERROR((TableWRTERank[[#This Row],[FPS]]-INDEX(TableWRTERank[FPS],MATCH(WRTEVORPCalc,TableWRTERank[RK],0))),"")</f>
        <v>-130.9136545058885</v>
      </c>
      <c r="BC215" s="58" t="s">
        <v>8</v>
      </c>
    </row>
    <row r="216" spans="15:55" x14ac:dyDescent="0.25">
      <c r="O216" s="58">
        <v>215</v>
      </c>
      <c r="P216" s="154" t="str">
        <f>IFERROR(INDEX(TableWRCalcPts[PLAYER],MATCH(TableWRVORP[[#This Row],[RK]],TableWRCalcPts[RK],0)),"")</f>
        <v/>
      </c>
      <c r="Q216" s="154" t="str">
        <f>IFERROR(INDEX(TableWRCalcPts[TM],MATCH(TableWRVORP[[#This Row],[RK]],TableWRCalcPts[RK],0)),"")</f>
        <v/>
      </c>
      <c r="R216" s="154" t="str">
        <f>IFERROR(INDEX(TableWRCalcPts[BYE],MATCH(TableWRVORP[[#This Row],[RK]],TableWRCalcPts[RK],0)),"")</f>
        <v/>
      </c>
      <c r="S216" s="155" t="str">
        <f>IFERROR(INDEX(TableWRCalcPts[Custom],MATCH(TableWRVORP[[#This Row],[RK]],TableWRCalcPts[RK],0)),"")</f>
        <v/>
      </c>
      <c r="T216" s="156" t="str">
        <f>(IFERROR((TableWRVORP[[#This Row],[FPS]]-INDEX(TableWRVORP[FPS],MATCH(WRVORPCalc,TableWRVORP[RK],0))),""))</f>
        <v/>
      </c>
      <c r="AF216" s="58" t="s">
        <v>148</v>
      </c>
      <c r="AG216" s="58">
        <v>75</v>
      </c>
      <c r="AH216" s="100">
        <f>RANK(TableOverallMaster[[#This Row],[VORP]],TableOverallMaster[VORP])+COUNTIF($AM$2:AM216,AM216)-1</f>
        <v>177</v>
      </c>
      <c r="AI216" s="157" t="str">
        <f>IFERROR(INDEX(TableWRVORP[WIDE RECEIVER],MATCH(TableOverallMaster[[#This Row],[RK]],TableWRVORP[RK],0)),"")</f>
        <v>Rashod Bateman</v>
      </c>
      <c r="AJ216" s="157" t="str">
        <f t="shared" si="3"/>
        <v>WR75</v>
      </c>
      <c r="AK216" s="157">
        <f>IFERROR(INDEX(TableWRVORP[BYE],MATCH(TableOverallMaster[[#This Row],[RK]],TableWRVORP[RK],0)),"")</f>
        <v>13</v>
      </c>
      <c r="AL216" s="158">
        <f>IFERROR(INDEX(TableWRVORP[FPS],MATCH(TableOverallMaster[[#This Row],[RK]],TableWRVORP[RK],0)),"")</f>
        <v>88.222170607161729</v>
      </c>
      <c r="AM216" s="159">
        <f>IFERROR(INDEX(TableWRVORP[VORP],MATCH(TableOverallMaster[[#This Row],[RK]],TableWRVORP[RK],0)),"")</f>
        <v>-2.062014783204333</v>
      </c>
      <c r="AO216" s="58">
        <v>215</v>
      </c>
      <c r="AP216" s="160" t="str">
        <f>IFERROR(INDEX(TableOverallMaster[OVERALL PLAYER],MATCH(TableOverallRank[[#This Row],[RK]],TableOverallMaster[OVR RK],0)),"")</f>
        <v>Cole Kmet</v>
      </c>
      <c r="AQ216" s="161" t="str">
        <f>IFERROR(INDEX(TableOverallMaster[POS RK],MATCH(TableOverallRank[[#This Row],[OVERALL PLAYER]],TableOverallMaster[OVERALL PLAYER],0)),"")</f>
        <v>TE40</v>
      </c>
      <c r="AR216" s="162">
        <f>IFERROR(INDEX(TableOverallMaster[BYE],MATCH(TableOverallRank[[#This Row],[OVERALL PLAYER]],TableOverallMaster[OVERALL PLAYER],0)),"")</f>
        <v>10</v>
      </c>
      <c r="AS216" s="161">
        <f>IFERROR(INDEX(TableOverallMaster[Custom],MATCH(TableOverallRank[[#This Row],[OVERALL PLAYER]],TableOverallMaster[OVERALL PLAYER],0)),"")</f>
        <v>47.577931581028814</v>
      </c>
      <c r="AT216" s="163">
        <f>IFERROR(INDEX(TableOverallMaster[VORP],MATCH(TableOverallRank[[#This Row],[OVERALL PLAYER]],TableOverallMaster[OVERALL PLAYER],0)),"")</f>
        <v>-30.307862395212872</v>
      </c>
      <c r="AV216" s="58">
        <v>215</v>
      </c>
      <c r="AW216" s="164" t="str">
        <f>IFERROR(INDEX(TableWRTECalcPts[PLAYER],MATCH(TableWRTERank[[#This Row],[RK]],TableWRTECalcPts[RK],0)),"")</f>
        <v>Mo Alie-Cox</v>
      </c>
      <c r="AX216" s="164" t="str">
        <f>IFERROR(INDEX(TableWRTECalcPts[POS RK],MATCH(TableWRTERank[[#This Row],[WR and TE COMBINED]],TableWRTECalcPts[PLAYER],0)),"")</f>
        <v>TE70</v>
      </c>
      <c r="AY216" s="164">
        <f>IFERROR(INDEX(TableWRTECalcPts[BYE],MATCH(TableWRTERank[[#This Row],[RK]],TableWRTECalcPts[RK],0)),"")</f>
        <v>13</v>
      </c>
      <c r="AZ216" s="165">
        <f>IFERROR(INDEX(TableWRTECalcPts[Custom],MATCH(TableWRTERank[[#This Row],[RK]],TableWRTECalcPts[RK],0)),"")</f>
        <v>10.186703597056001</v>
      </c>
      <c r="BA216" s="166">
        <f>IFERROR((TableWRTERank[[#This Row],[FPS]]-INDEX(TableWRTERank[FPS],MATCH(WRTEVORPCalc,TableWRTERank[RK],0))),"")</f>
        <v>-131.04966798523569</v>
      </c>
      <c r="BC216" s="58" t="s">
        <v>8</v>
      </c>
    </row>
    <row r="217" spans="15:55" x14ac:dyDescent="0.25">
      <c r="O217" s="58">
        <v>216</v>
      </c>
      <c r="P217" s="154" t="str">
        <f>IFERROR(INDEX(TableWRCalcPts[PLAYER],MATCH(TableWRVORP[[#This Row],[RK]],TableWRCalcPts[RK],0)),"")</f>
        <v/>
      </c>
      <c r="Q217" s="154" t="str">
        <f>IFERROR(INDEX(TableWRCalcPts[TM],MATCH(TableWRVORP[[#This Row],[RK]],TableWRCalcPts[RK],0)),"")</f>
        <v/>
      </c>
      <c r="R217" s="154" t="str">
        <f>IFERROR(INDEX(TableWRCalcPts[BYE],MATCH(TableWRVORP[[#This Row],[RK]],TableWRCalcPts[RK],0)),"")</f>
        <v/>
      </c>
      <c r="S217" s="155" t="str">
        <f>IFERROR(INDEX(TableWRCalcPts[Custom],MATCH(TableWRVORP[[#This Row],[RK]],TableWRCalcPts[RK],0)),"")</f>
        <v/>
      </c>
      <c r="T217" s="156" t="str">
        <f>(IFERROR((TableWRVORP[[#This Row],[FPS]]-INDEX(TableWRVORP[FPS],MATCH(WRVORPCalc,TableWRVORP[RK],0))),""))</f>
        <v/>
      </c>
      <c r="AF217" s="58" t="s">
        <v>148</v>
      </c>
      <c r="AG217" s="58">
        <v>76</v>
      </c>
      <c r="AH217" s="100">
        <f>RANK(TableOverallMaster[[#This Row],[VORP]],TableOverallMaster[VORP])+COUNTIF($AM$2:AM217,AM217)-1</f>
        <v>182</v>
      </c>
      <c r="AI217" s="157" t="str">
        <f>IFERROR(INDEX(TableWRVORP[WIDE RECEIVER],MATCH(TableOverallMaster[[#This Row],[RK]],TableWRVORP[RK],0)),"")</f>
        <v>Jauan Jennings</v>
      </c>
      <c r="AJ217" s="157" t="str">
        <f t="shared" si="3"/>
        <v>WR76</v>
      </c>
      <c r="AK217" s="157">
        <f>IFERROR(INDEX(TableWRVORP[BYE],MATCH(TableOverallMaster[[#This Row],[RK]],TableWRVORP[RK],0)),"")</f>
        <v>6</v>
      </c>
      <c r="AL217" s="158">
        <f>IFERROR(INDEX(TableWRVORP[FPS],MATCH(TableOverallMaster[[#This Row],[RK]],TableWRVORP[RK],0)),"")</f>
        <v>82.789156047990502</v>
      </c>
      <c r="AM217" s="159">
        <f>IFERROR(INDEX(TableWRVORP[VORP],MATCH(TableOverallMaster[[#This Row],[RK]],TableWRVORP[RK],0)),"")</f>
        <v>-7.4950293423755596</v>
      </c>
      <c r="AO217" s="58">
        <v>216</v>
      </c>
      <c r="AP217" s="160" t="str">
        <f>IFERROR(INDEX(TableOverallMaster[OVERALL PLAYER],MATCH(TableOverallRank[[#This Row],[RK]],TableOverallMaster[OVR RK],0)),"")</f>
        <v>Dont'e Thornton</v>
      </c>
      <c r="AQ217" s="161" t="str">
        <f>IFERROR(INDEX(TableOverallMaster[POS RK],MATCH(TableOverallRank[[#This Row],[OVERALL PLAYER]],TableOverallMaster[OVERALL PLAYER],0)),"")</f>
        <v>WR88</v>
      </c>
      <c r="AR217" s="162">
        <f>IFERROR(INDEX(TableOverallMaster[BYE],MATCH(TableOverallRank[[#This Row],[OVERALL PLAYER]],TableOverallMaster[OVERALL PLAYER],0)),"")</f>
        <v>13</v>
      </c>
      <c r="AS217" s="161">
        <f>IFERROR(INDEX(TableOverallMaster[Custom],MATCH(TableOverallRank[[#This Row],[OVERALL PLAYER]],TableOverallMaster[OVERALL PLAYER],0)),"")</f>
        <v>59.321079235535038</v>
      </c>
      <c r="AT217" s="163">
        <f>IFERROR(INDEX(TableOverallMaster[VORP],MATCH(TableOverallRank[[#This Row],[OVERALL PLAYER]],TableOverallMaster[OVERALL PLAYER],0)),"")</f>
        <v>-30.963106154831024</v>
      </c>
      <c r="AV217" s="58">
        <v>216</v>
      </c>
      <c r="AW217" s="164" t="str">
        <f>IFERROR(INDEX(TableWRTECalcPts[PLAYER],MATCH(TableWRTERank[[#This Row],[RK]],TableWRTECalcPts[RK],0)),"")</f>
        <v>Nate Boerkircher</v>
      </c>
      <c r="AX217" s="164" t="str">
        <f>IFERROR(INDEX(TableWRTECalcPts[POS RK],MATCH(TableWRTERank[[#This Row],[WR and TE COMBINED]],TableWRTECalcPts[PLAYER],0)),"")</f>
        <v>TE71</v>
      </c>
      <c r="AY217" s="164">
        <f>IFERROR(INDEX(TableWRTECalcPts[BYE],MATCH(TableWRTERank[[#This Row],[RK]],TableWRTECalcPts[RK],0)),"")</f>
        <v>7</v>
      </c>
      <c r="AZ217" s="165">
        <f>IFERROR(INDEX(TableWRTECalcPts[Custom],MATCH(TableWRTERank[[#This Row],[RK]],TableWRTECalcPts[RK],0)),"")</f>
        <v>10.11322995377625</v>
      </c>
      <c r="BA217" s="166">
        <f>IFERROR((TableWRTERank[[#This Row],[FPS]]-INDEX(TableWRTERank[FPS],MATCH(WRTEVORPCalc,TableWRTERank[RK],0))),"")</f>
        <v>-131.12314162851544</v>
      </c>
      <c r="BC217" s="58" t="s">
        <v>8</v>
      </c>
    </row>
    <row r="218" spans="15:55" x14ac:dyDescent="0.25">
      <c r="O218" s="58">
        <v>217</v>
      </c>
      <c r="P218" s="154" t="str">
        <f>IFERROR(INDEX(TableWRCalcPts[PLAYER],MATCH(TableWRVORP[[#This Row],[RK]],TableWRCalcPts[RK],0)),"")</f>
        <v/>
      </c>
      <c r="Q218" s="154" t="str">
        <f>IFERROR(INDEX(TableWRCalcPts[TM],MATCH(TableWRVORP[[#This Row],[RK]],TableWRCalcPts[RK],0)),"")</f>
        <v/>
      </c>
      <c r="R218" s="154" t="str">
        <f>IFERROR(INDEX(TableWRCalcPts[BYE],MATCH(TableWRVORP[[#This Row],[RK]],TableWRCalcPts[RK],0)),"")</f>
        <v/>
      </c>
      <c r="S218" s="155" t="str">
        <f>IFERROR(INDEX(TableWRCalcPts[Custom],MATCH(TableWRVORP[[#This Row],[RK]],TableWRCalcPts[RK],0)),"")</f>
        <v/>
      </c>
      <c r="T218" s="156" t="str">
        <f>(IFERROR((TableWRVORP[[#This Row],[FPS]]-INDEX(TableWRVORP[FPS],MATCH(WRVORPCalc,TableWRVORP[RK],0))),""))</f>
        <v/>
      </c>
      <c r="AF218" s="58" t="s">
        <v>148</v>
      </c>
      <c r="AG218" s="58">
        <v>77</v>
      </c>
      <c r="AH218" s="100">
        <f>RANK(TableOverallMaster[[#This Row],[VORP]],TableOverallMaster[VORP])+COUNTIF($AM$2:AM218,AM218)-1</f>
        <v>187</v>
      </c>
      <c r="AI218" s="157" t="str">
        <f>IFERROR(INDEX(TableWRVORP[WIDE RECEIVER],MATCH(TableOverallMaster[[#This Row],[RK]],TableWRVORP[RK],0)),"")</f>
        <v>Darnell Mooney</v>
      </c>
      <c r="AJ218" s="157" t="str">
        <f t="shared" si="3"/>
        <v>WR77</v>
      </c>
      <c r="AK218" s="157">
        <f>IFERROR(INDEX(TableWRVORP[BYE],MATCH(TableOverallMaster[[#This Row],[RK]],TableWRVORP[RK],0)),"")</f>
        <v>8</v>
      </c>
      <c r="AL218" s="158">
        <f>IFERROR(INDEX(TableWRVORP[FPS],MATCH(TableOverallMaster[[#This Row],[RK]],TableWRVORP[RK],0)),"")</f>
        <v>80.506540304927114</v>
      </c>
      <c r="AM218" s="159">
        <f>IFERROR(INDEX(TableWRVORP[VORP],MATCH(TableOverallMaster[[#This Row],[RK]],TableWRVORP[RK],0)),"")</f>
        <v>-9.7776450854389481</v>
      </c>
      <c r="AO218" s="58">
        <v>217</v>
      </c>
      <c r="AP218" s="160" t="str">
        <f>IFERROR(INDEX(TableOverallMaster[OVERALL PLAYER],MATCH(TableOverallRank[[#This Row],[RK]],TableOverallMaster[OVR RK],0)),"")</f>
        <v>Jahan Dotson</v>
      </c>
      <c r="AQ218" s="161" t="str">
        <f>IFERROR(INDEX(TableOverallMaster[POS RK],MATCH(TableOverallRank[[#This Row],[OVERALL PLAYER]],TableOverallMaster[OVERALL PLAYER],0)),"")</f>
        <v>WR89</v>
      </c>
      <c r="AR218" s="162">
        <f>IFERROR(INDEX(TableOverallMaster[BYE],MATCH(TableOverallRank[[#This Row],[OVERALL PLAYER]],TableOverallMaster[OVERALL PLAYER],0)),"")</f>
        <v>11</v>
      </c>
      <c r="AS218" s="161">
        <f>IFERROR(INDEX(TableOverallMaster[Custom],MATCH(TableOverallRank[[#This Row],[OVERALL PLAYER]],TableOverallMaster[OVERALL PLAYER],0)),"")</f>
        <v>59.177708380316076</v>
      </c>
      <c r="AT218" s="163">
        <f>IFERROR(INDEX(TableOverallMaster[VORP],MATCH(TableOverallRank[[#This Row],[OVERALL PLAYER]],TableOverallMaster[OVERALL PLAYER],0)),"")</f>
        <v>-31.106477010049986</v>
      </c>
      <c r="AV218" s="58">
        <v>217</v>
      </c>
      <c r="AW218" s="164" t="str">
        <f>IFERROR(INDEX(TableWRTECalcPts[PLAYER],MATCH(TableWRTERank[[#This Row],[RK]],TableWRTECalcPts[RK],0)),"")</f>
        <v>Cyrus Allen</v>
      </c>
      <c r="AX218" s="164" t="str">
        <f>IFERROR(INDEX(TableWRTECalcPts[POS RK],MATCH(TableWRTERank[[#This Row],[WR and TE COMBINED]],TableWRTECalcPts[PLAYER],0)),"")</f>
        <v>WR146</v>
      </c>
      <c r="AY218" s="164">
        <f>IFERROR(INDEX(TableWRTECalcPts[BYE],MATCH(TableWRTERank[[#This Row],[RK]],TableWRTECalcPts[RK],0)),"")</f>
        <v>5</v>
      </c>
      <c r="AZ218" s="165">
        <f>IFERROR(INDEX(TableWRTECalcPts[Custom],MATCH(TableWRTERank[[#This Row],[RK]],TableWRTECalcPts[RK],0)),"")</f>
        <v>9.8725740621899973</v>
      </c>
      <c r="BA218" s="166">
        <f>IFERROR((TableWRTERank[[#This Row],[FPS]]-INDEX(TableWRTERank[FPS],MATCH(WRTEVORPCalc,TableWRTERank[RK],0))),"")</f>
        <v>-131.36379752010168</v>
      </c>
      <c r="BC218" s="58" t="s">
        <v>8</v>
      </c>
    </row>
    <row r="219" spans="15:55" x14ac:dyDescent="0.25">
      <c r="O219" s="58">
        <v>218</v>
      </c>
      <c r="P219" s="154" t="str">
        <f>IFERROR(INDEX(TableWRCalcPts[PLAYER],MATCH(TableWRVORP[[#This Row],[RK]],TableWRCalcPts[RK],0)),"")</f>
        <v/>
      </c>
      <c r="Q219" s="154" t="str">
        <f>IFERROR(INDEX(TableWRCalcPts[TM],MATCH(TableWRVORP[[#This Row],[RK]],TableWRCalcPts[RK],0)),"")</f>
        <v/>
      </c>
      <c r="R219" s="154" t="str">
        <f>IFERROR(INDEX(TableWRCalcPts[BYE],MATCH(TableWRVORP[[#This Row],[RK]],TableWRCalcPts[RK],0)),"")</f>
        <v/>
      </c>
      <c r="S219" s="155" t="str">
        <f>IFERROR(INDEX(TableWRCalcPts[Custom],MATCH(TableWRVORP[[#This Row],[RK]],TableWRCalcPts[RK],0)),"")</f>
        <v/>
      </c>
      <c r="T219" s="156" t="str">
        <f>(IFERROR((TableWRVORP[[#This Row],[FPS]]-INDEX(TableWRVORP[FPS],MATCH(WRVORPCalc,TableWRVORP[RK],0))),""))</f>
        <v/>
      </c>
      <c r="AF219" s="58" t="s">
        <v>148</v>
      </c>
      <c r="AG219" s="58">
        <v>78</v>
      </c>
      <c r="AH219" s="100">
        <f>RANK(TableOverallMaster[[#This Row],[VORP]],TableOverallMaster[VORP])+COUNTIF($AM$2:AM219,AM219)-1</f>
        <v>188</v>
      </c>
      <c r="AI219" s="157" t="str">
        <f>IFERROR(INDEX(TableWRVORP[WIDE RECEIVER],MATCH(TableOverallMaster[[#This Row],[RK]],TableWRVORP[RK],0)),"")</f>
        <v>Malik Washington</v>
      </c>
      <c r="AJ219" s="157" t="str">
        <f t="shared" si="3"/>
        <v>WR78</v>
      </c>
      <c r="AK219" s="157">
        <f>IFERROR(INDEX(TableWRVORP[BYE],MATCH(TableOverallMaster[[#This Row],[RK]],TableWRVORP[RK],0)),"")</f>
        <v>6</v>
      </c>
      <c r="AL219" s="158">
        <f>IFERROR(INDEX(TableWRVORP[FPS],MATCH(TableOverallMaster[[#This Row],[RK]],TableWRVORP[RK],0)),"")</f>
        <v>80.337995544473287</v>
      </c>
      <c r="AM219" s="159">
        <f>IFERROR(INDEX(TableWRVORP[VORP],MATCH(TableOverallMaster[[#This Row],[RK]],TableWRVORP[RK],0)),"")</f>
        <v>-9.9461898458927749</v>
      </c>
      <c r="AO219" s="58">
        <v>218</v>
      </c>
      <c r="AP219" s="160" t="str">
        <f>IFERROR(INDEX(TableOverallMaster[OVERALL PLAYER],MATCH(TableOverallRank[[#This Row],[RK]],TableOverallMaster[OVR RK],0)),"")</f>
        <v>Xavier Legette</v>
      </c>
      <c r="AQ219" s="161" t="str">
        <f>IFERROR(INDEX(TableOverallMaster[POS RK],MATCH(TableOverallRank[[#This Row],[OVERALL PLAYER]],TableOverallMaster[OVERALL PLAYER],0)),"")</f>
        <v>WR90</v>
      </c>
      <c r="AR219" s="162">
        <f>IFERROR(INDEX(TableOverallMaster[BYE],MATCH(TableOverallRank[[#This Row],[OVERALL PLAYER]],TableOverallMaster[OVERALL PLAYER],0)),"")</f>
        <v>5</v>
      </c>
      <c r="AS219" s="161">
        <f>IFERROR(INDEX(TableOverallMaster[Custom],MATCH(TableOverallRank[[#This Row],[OVERALL PLAYER]],TableOverallMaster[OVERALL PLAYER],0)),"")</f>
        <v>58.952262247216787</v>
      </c>
      <c r="AT219" s="163">
        <f>IFERROR(INDEX(TableOverallMaster[VORP],MATCH(TableOverallRank[[#This Row],[OVERALL PLAYER]],TableOverallMaster[OVERALL PLAYER],0)),"")</f>
        <v>-31.331923143149275</v>
      </c>
      <c r="AV219" s="58">
        <v>218</v>
      </c>
      <c r="AW219" s="164" t="str">
        <f>IFERROR(INDEX(TableWRTECalcPts[PLAYER],MATCH(TableWRTERank[[#This Row],[RK]],TableWRTECalcPts[RK],0)),"")</f>
        <v>Tai Felton</v>
      </c>
      <c r="AX219" s="164" t="str">
        <f>IFERROR(INDEX(TableWRTECalcPts[POS RK],MATCH(TableWRTERank[[#This Row],[WR and TE COMBINED]],TableWRTECalcPts[PLAYER],0)),"")</f>
        <v>WR147</v>
      </c>
      <c r="AY219" s="164">
        <f>IFERROR(INDEX(TableWRTECalcPts[BYE],MATCH(TableWRTERank[[#This Row],[RK]],TableWRTECalcPts[RK],0)),"")</f>
        <v>6</v>
      </c>
      <c r="AZ219" s="165">
        <f>IFERROR(INDEX(TableWRTECalcPts[Custom],MATCH(TableWRTERank[[#This Row],[RK]],TableWRTECalcPts[RK],0)),"")</f>
        <v>9.7061602971908254</v>
      </c>
      <c r="BA219" s="166">
        <f>IFERROR((TableWRTERank[[#This Row],[FPS]]-INDEX(TableWRTERank[FPS],MATCH(WRTEVORPCalc,TableWRTERank[RK],0))),"")</f>
        <v>-131.53021128510088</v>
      </c>
      <c r="BC219" s="58" t="s">
        <v>8</v>
      </c>
    </row>
    <row r="220" spans="15:55" x14ac:dyDescent="0.25">
      <c r="O220" s="58">
        <v>219</v>
      </c>
      <c r="P220" s="154" t="str">
        <f>IFERROR(INDEX(TableWRCalcPts[PLAYER],MATCH(TableWRVORP[[#This Row],[RK]],TableWRCalcPts[RK],0)),"")</f>
        <v/>
      </c>
      <c r="Q220" s="154" t="str">
        <f>IFERROR(INDEX(TableWRCalcPts[TM],MATCH(TableWRVORP[[#This Row],[RK]],TableWRCalcPts[RK],0)),"")</f>
        <v/>
      </c>
      <c r="R220" s="154" t="str">
        <f>IFERROR(INDEX(TableWRCalcPts[BYE],MATCH(TableWRVORP[[#This Row],[RK]],TableWRCalcPts[RK],0)),"")</f>
        <v/>
      </c>
      <c r="S220" s="155" t="str">
        <f>IFERROR(INDEX(TableWRCalcPts[Custom],MATCH(TableWRVORP[[#This Row],[RK]],TableWRCalcPts[RK],0)),"")</f>
        <v/>
      </c>
      <c r="T220" s="156" t="str">
        <f>(IFERROR((TableWRVORP[[#This Row],[FPS]]-INDEX(TableWRVORP[FPS],MATCH(WRVORPCalc,TableWRVORP[RK],0))),""))</f>
        <v/>
      </c>
      <c r="AF220" s="58" t="s">
        <v>148</v>
      </c>
      <c r="AG220" s="58">
        <v>79</v>
      </c>
      <c r="AH220" s="100">
        <f>RANK(TableOverallMaster[[#This Row],[VORP]],TableOverallMaster[VORP])+COUNTIF($AM$2:AM220,AM220)-1</f>
        <v>195</v>
      </c>
      <c r="AI220" s="157" t="str">
        <f>IFERROR(INDEX(TableWRVORP[WIDE RECEIVER],MATCH(TableOverallMaster[[#This Row],[RK]],TableWRVORP[RK],0)),"")</f>
        <v>Jaylin Noel</v>
      </c>
      <c r="AJ220" s="157" t="str">
        <f t="shared" si="3"/>
        <v>WR79</v>
      </c>
      <c r="AK220" s="157">
        <f>IFERROR(INDEX(TableWRVORP[BYE],MATCH(TableOverallMaster[[#This Row],[RK]],TableWRVORP[RK],0)),"")</f>
        <v>8</v>
      </c>
      <c r="AL220" s="158">
        <f>IFERROR(INDEX(TableWRVORP[FPS],MATCH(TableOverallMaster[[#This Row],[RK]],TableWRVORP[RK],0)),"")</f>
        <v>74.661111555857417</v>
      </c>
      <c r="AM220" s="159">
        <f>IFERROR(INDEX(TableWRVORP[VORP],MATCH(TableOverallMaster[[#This Row],[RK]],TableWRVORP[RK],0)),"")</f>
        <v>-15.623073834508645</v>
      </c>
      <c r="AO220" s="58">
        <v>219</v>
      </c>
      <c r="AP220" s="160" t="str">
        <f>IFERROR(INDEX(TableOverallMaster[OVERALL PLAYER],MATCH(TableOverallRank[[#This Row],[RK]],TableOverallMaster[OVR RK],0)),"")</f>
        <v>Ja'Kobi Lane</v>
      </c>
      <c r="AQ220" s="161" t="str">
        <f>IFERROR(INDEX(TableOverallMaster[POS RK],MATCH(TableOverallRank[[#This Row],[OVERALL PLAYER]],TableOverallMaster[OVERALL PLAYER],0)),"")</f>
        <v>WR91</v>
      </c>
      <c r="AR220" s="162">
        <f>IFERROR(INDEX(TableOverallMaster[BYE],MATCH(TableOverallRank[[#This Row],[OVERALL PLAYER]],TableOverallMaster[OVERALL PLAYER],0)),"")</f>
        <v>13</v>
      </c>
      <c r="AS220" s="161">
        <f>IFERROR(INDEX(TableOverallMaster[Custom],MATCH(TableOverallRank[[#This Row],[OVERALL PLAYER]],TableOverallMaster[OVERALL PLAYER],0)),"")</f>
        <v>58.907507146847031</v>
      </c>
      <c r="AT220" s="163">
        <f>IFERROR(INDEX(TableOverallMaster[VORP],MATCH(TableOverallRank[[#This Row],[OVERALL PLAYER]],TableOverallMaster[OVERALL PLAYER],0)),"")</f>
        <v>-31.376678243519031</v>
      </c>
      <c r="AV220" s="58">
        <v>219</v>
      </c>
      <c r="AW220" s="164" t="str">
        <f>IFERROR(INDEX(TableWRTECalcPts[PLAYER],MATCH(TableWRTERank[[#This Row],[RK]],TableWRTECalcPts[RK],0)),"")</f>
        <v>Sam Roush</v>
      </c>
      <c r="AX220" s="164" t="str">
        <f>IFERROR(INDEX(TableWRTECalcPts[POS RK],MATCH(TableWRTERank[[#This Row],[WR and TE COMBINED]],TableWRTECalcPts[PLAYER],0)),"")</f>
        <v>TE72</v>
      </c>
      <c r="AY220" s="164">
        <f>IFERROR(INDEX(TableWRTECalcPts[BYE],MATCH(TableWRTERank[[#This Row],[RK]],TableWRTECalcPts[RK],0)),"")</f>
        <v>10</v>
      </c>
      <c r="AZ220" s="165">
        <f>IFERROR(INDEX(TableWRTECalcPts[Custom],MATCH(TableWRTERank[[#This Row],[RK]],TableWRTECalcPts[RK],0)),"")</f>
        <v>9.4157313959958344</v>
      </c>
      <c r="BA220" s="166">
        <f>IFERROR((TableWRTERank[[#This Row],[FPS]]-INDEX(TableWRTERank[FPS],MATCH(WRTEVORPCalc,TableWRTERank[RK],0))),"")</f>
        <v>-131.82064018629586</v>
      </c>
      <c r="BC220" s="58" t="s">
        <v>8</v>
      </c>
    </row>
    <row r="221" spans="15:55" x14ac:dyDescent="0.25">
      <c r="O221" s="58">
        <v>220</v>
      </c>
      <c r="P221" s="154" t="str">
        <f>IFERROR(INDEX(TableWRCalcPts[PLAYER],MATCH(TableWRVORP[[#This Row],[RK]],TableWRCalcPts[RK],0)),"")</f>
        <v/>
      </c>
      <c r="Q221" s="154" t="str">
        <f>IFERROR(INDEX(TableWRCalcPts[TM],MATCH(TableWRVORP[[#This Row],[RK]],TableWRCalcPts[RK],0)),"")</f>
        <v/>
      </c>
      <c r="R221" s="154" t="str">
        <f>IFERROR(INDEX(TableWRCalcPts[BYE],MATCH(TableWRVORP[[#This Row],[RK]],TableWRCalcPts[RK],0)),"")</f>
        <v/>
      </c>
      <c r="S221" s="155" t="str">
        <f>IFERROR(INDEX(TableWRCalcPts[Custom],MATCH(TableWRVORP[[#This Row],[RK]],TableWRCalcPts[RK],0)),"")</f>
        <v/>
      </c>
      <c r="T221" s="156" t="str">
        <f>(IFERROR((TableWRVORP[[#This Row],[FPS]]-INDEX(TableWRVORP[FPS],MATCH(WRVORPCalc,TableWRVORP[RK],0))),""))</f>
        <v/>
      </c>
      <c r="AF221" s="58" t="s">
        <v>148</v>
      </c>
      <c r="AG221" s="58">
        <v>80</v>
      </c>
      <c r="AH221" s="100">
        <f>RANK(TableOverallMaster[[#This Row],[VORP]],TableOverallMaster[VORP])+COUNTIF($AM$2:AM221,AM221)-1</f>
        <v>198</v>
      </c>
      <c r="AI221" s="157" t="str">
        <f>IFERROR(INDEX(TableWRVORP[WIDE RECEIVER],MATCH(TableOverallMaster[[#This Row],[RK]],TableWRVORP[RK],0)),"")</f>
        <v>Zachariah Branch</v>
      </c>
      <c r="AJ221" s="157" t="str">
        <f t="shared" si="3"/>
        <v>WR80</v>
      </c>
      <c r="AK221" s="157">
        <f>IFERROR(INDEX(TableWRVORP[BYE],MATCH(TableOverallMaster[[#This Row],[RK]],TableWRVORP[RK],0)),"")</f>
        <v>11</v>
      </c>
      <c r="AL221" s="158">
        <f>IFERROR(INDEX(TableWRVORP[FPS],MATCH(TableOverallMaster[[#This Row],[RK]],TableWRVORP[RK],0)),"")</f>
        <v>72.524694531828018</v>
      </c>
      <c r="AM221" s="159">
        <f>IFERROR(INDEX(TableWRVORP[VORP],MATCH(TableOverallMaster[[#This Row],[RK]],TableWRVORP[RK],0)),"")</f>
        <v>-17.759490858538044</v>
      </c>
      <c r="AO221" s="58">
        <v>220</v>
      </c>
      <c r="AP221" s="160" t="str">
        <f>IFERROR(INDEX(TableOverallMaster[OVERALL PLAYER],MATCH(TableOverallRank[[#This Row],[RK]],TableOverallMaster[OVR RK],0)),"")</f>
        <v>Michael Mayer</v>
      </c>
      <c r="AQ221" s="161" t="str">
        <f>IFERROR(INDEX(TableOverallMaster[POS RK],MATCH(TableOverallRank[[#This Row],[OVERALL PLAYER]],TableOverallMaster[OVERALL PLAYER],0)),"")</f>
        <v>TE41</v>
      </c>
      <c r="AR221" s="162">
        <f>IFERROR(INDEX(TableOverallMaster[BYE],MATCH(TableOverallRank[[#This Row],[OVERALL PLAYER]],TableOverallMaster[OVERALL PLAYER],0)),"")</f>
        <v>13</v>
      </c>
      <c r="AS221" s="161">
        <f>IFERROR(INDEX(TableOverallMaster[Custom],MATCH(TableOverallRank[[#This Row],[OVERALL PLAYER]],TableOverallMaster[OVERALL PLAYER],0)),"")</f>
        <v>46.282097929207907</v>
      </c>
      <c r="AT221" s="163">
        <f>IFERROR(INDEX(TableOverallMaster[VORP],MATCH(TableOverallRank[[#This Row],[OVERALL PLAYER]],TableOverallMaster[OVERALL PLAYER],0)),"")</f>
        <v>-31.603696047033779</v>
      </c>
      <c r="AV221" s="58">
        <v>220</v>
      </c>
      <c r="AW221" s="164" t="str">
        <f>IFERROR(INDEX(TableWRTECalcPts[PLAYER],MATCH(TableWRTERank[[#This Row],[RK]],TableWRTECalcPts[RK],0)),"")</f>
        <v>Julian Hill</v>
      </c>
      <c r="AX221" s="164" t="str">
        <f>IFERROR(INDEX(TableWRTECalcPts[POS RK],MATCH(TableWRTERank[[#This Row],[WR and TE COMBINED]],TableWRTECalcPts[PLAYER],0)),"")</f>
        <v>TE73</v>
      </c>
      <c r="AY221" s="164">
        <f>IFERROR(INDEX(TableWRTECalcPts[BYE],MATCH(TableWRTERank[[#This Row],[RK]],TableWRTECalcPts[RK],0)),"")</f>
        <v>11</v>
      </c>
      <c r="AZ221" s="165">
        <f>IFERROR(INDEX(TableWRTECalcPts[Custom],MATCH(TableWRTERank[[#This Row],[RK]],TableWRTECalcPts[RK],0)),"")</f>
        <v>9.4153772017176021</v>
      </c>
      <c r="BA221" s="166">
        <f>IFERROR((TableWRTERank[[#This Row],[FPS]]-INDEX(TableWRTERank[FPS],MATCH(WRTEVORPCalc,TableWRTERank[RK],0))),"")</f>
        <v>-131.82099438057409</v>
      </c>
      <c r="BC221" s="58" t="s">
        <v>8</v>
      </c>
    </row>
    <row r="222" spans="15:55" x14ac:dyDescent="0.25">
      <c r="O222" s="58">
        <v>221</v>
      </c>
      <c r="P222" s="154" t="str">
        <f>IFERROR(INDEX(TableWRCalcPts[PLAYER],MATCH(TableWRVORP[[#This Row],[RK]],TableWRCalcPts[RK],0)),"")</f>
        <v/>
      </c>
      <c r="Q222" s="154" t="str">
        <f>IFERROR(INDEX(TableWRCalcPts[TM],MATCH(TableWRVORP[[#This Row],[RK]],TableWRCalcPts[RK],0)),"")</f>
        <v/>
      </c>
      <c r="R222" s="154" t="str">
        <f>IFERROR(INDEX(TableWRCalcPts[BYE],MATCH(TableWRVORP[[#This Row],[RK]],TableWRCalcPts[RK],0)),"")</f>
        <v/>
      </c>
      <c r="S222" s="155" t="str">
        <f>IFERROR(INDEX(TableWRCalcPts[Custom],MATCH(TableWRVORP[[#This Row],[RK]],TableWRCalcPts[RK],0)),"")</f>
        <v/>
      </c>
      <c r="T222" s="156" t="str">
        <f>(IFERROR((TableWRVORP[[#This Row],[FPS]]-INDEX(TableWRVORP[FPS],MATCH(WRVORPCalc,TableWRVORP[RK],0))),""))</f>
        <v/>
      </c>
      <c r="AF222" s="58" t="s">
        <v>148</v>
      </c>
      <c r="AG222" s="58">
        <v>81</v>
      </c>
      <c r="AH222" s="100">
        <f>RANK(TableOverallMaster[[#This Row],[VORP]],TableOverallMaster[VORP])+COUNTIF($AM$2:AM222,AM222)-1</f>
        <v>201</v>
      </c>
      <c r="AI222" s="157" t="str">
        <f>IFERROR(INDEX(TableWRVORP[WIDE RECEIVER],MATCH(TableOverallMaster[[#This Row],[RK]],TableWRVORP[RK],0)),"")</f>
        <v>Tank Dell</v>
      </c>
      <c r="AJ222" s="157" t="str">
        <f t="shared" si="3"/>
        <v>WR81</v>
      </c>
      <c r="AK222" s="157">
        <f>IFERROR(INDEX(TableWRVORP[BYE],MATCH(TableOverallMaster[[#This Row],[RK]],TableWRVORP[RK],0)),"")</f>
        <v>8</v>
      </c>
      <c r="AL222" s="158">
        <f>IFERROR(INDEX(TableWRVORP[FPS],MATCH(TableOverallMaster[[#This Row],[RK]],TableWRVORP[RK],0)),"")</f>
        <v>69.155467284078</v>
      </c>
      <c r="AM222" s="159">
        <f>IFERROR(INDEX(TableWRVORP[VORP],MATCH(TableOverallMaster[[#This Row],[RK]],TableWRVORP[RK],0)),"")</f>
        <v>-21.128718106288062</v>
      </c>
      <c r="AO222" s="58">
        <v>221</v>
      </c>
      <c r="AP222" s="160" t="str">
        <f>IFERROR(INDEX(TableOverallMaster[OVERALL PLAYER],MATCH(TableOverallRank[[#This Row],[RK]],TableOverallMaster[OVR RK],0)),"")</f>
        <v>Mike Washington</v>
      </c>
      <c r="AQ222" s="161" t="str">
        <f>IFERROR(INDEX(TableOverallMaster[POS RK],MATCH(TableOverallRank[[#This Row],[OVERALL PLAYER]],TableOverallMaster[OVERALL PLAYER],0)),"")</f>
        <v>RB59</v>
      </c>
      <c r="AR222" s="162">
        <f>IFERROR(INDEX(TableOverallMaster[BYE],MATCH(TableOverallRank[[#This Row],[OVERALL PLAYER]],TableOverallMaster[OVERALL PLAYER],0)),"")</f>
        <v>13</v>
      </c>
      <c r="AS222" s="161">
        <f>IFERROR(INDEX(TableOverallMaster[Custom],MATCH(TableOverallRank[[#This Row],[OVERALL PLAYER]],TableOverallMaster[OVERALL PLAYER],0)),"")</f>
        <v>64.418398641539639</v>
      </c>
      <c r="AT222" s="163">
        <f>IFERROR(INDEX(TableOverallMaster[VORP],MATCH(TableOverallRank[[#This Row],[OVERALL PLAYER]],TableOverallMaster[OVERALL PLAYER],0)),"")</f>
        <v>-31.671552471590189</v>
      </c>
      <c r="AV222" s="58">
        <v>221</v>
      </c>
      <c r="AW222" s="164" t="str">
        <f>IFERROR(INDEX(TableWRTECalcPts[PLAYER],MATCH(TableWRTERank[[#This Row],[RK]],TableWRTECalcPts[RK],0)),"")</f>
        <v>Mecole Hardman</v>
      </c>
      <c r="AX222" s="164" t="str">
        <f>IFERROR(INDEX(TableWRTECalcPts[POS RK],MATCH(TableWRTERank[[#This Row],[WR and TE COMBINED]],TableWRTECalcPts[PLAYER],0)),"")</f>
        <v>WR148</v>
      </c>
      <c r="AY222" s="164">
        <f>IFERROR(INDEX(TableWRTECalcPts[BYE],MATCH(TableWRTERank[[#This Row],[RK]],TableWRTECalcPts[RK],0)),"")</f>
        <v>7</v>
      </c>
      <c r="AZ222" s="165">
        <f>IFERROR(INDEX(TableWRTECalcPts[Custom],MATCH(TableWRTERank[[#This Row],[RK]],TableWRTECalcPts[RK],0)),"")</f>
        <v>9.1560975886379978</v>
      </c>
      <c r="BA222" s="166">
        <f>IFERROR((TableWRTERank[[#This Row],[FPS]]-INDEX(TableWRTERank[FPS],MATCH(WRTEVORPCalc,TableWRTERank[RK],0))),"")</f>
        <v>-132.08027399365369</v>
      </c>
      <c r="BC222" s="58" t="s">
        <v>8</v>
      </c>
    </row>
    <row r="223" spans="15:55" x14ac:dyDescent="0.25">
      <c r="O223" s="58">
        <v>222</v>
      </c>
      <c r="P223" s="154" t="str">
        <f>IFERROR(INDEX(TableWRCalcPts[PLAYER],MATCH(TableWRVORP[[#This Row],[RK]],TableWRCalcPts[RK],0)),"")</f>
        <v/>
      </c>
      <c r="Q223" s="154" t="str">
        <f>IFERROR(INDEX(TableWRCalcPts[TM],MATCH(TableWRVORP[[#This Row],[RK]],TableWRCalcPts[RK],0)),"")</f>
        <v/>
      </c>
      <c r="R223" s="154" t="str">
        <f>IFERROR(INDEX(TableWRCalcPts[BYE],MATCH(TableWRVORP[[#This Row],[RK]],TableWRCalcPts[RK],0)),"")</f>
        <v/>
      </c>
      <c r="S223" s="155" t="str">
        <f>IFERROR(INDEX(TableWRCalcPts[Custom],MATCH(TableWRVORP[[#This Row],[RK]],TableWRCalcPts[RK],0)),"")</f>
        <v/>
      </c>
      <c r="T223" s="156" t="str">
        <f>(IFERROR((TableWRVORP[[#This Row],[FPS]]-INDEX(TableWRVORP[FPS],MATCH(WRVORPCalc,TableWRVORP[RK],0))),""))</f>
        <v/>
      </c>
      <c r="AF223" s="58" t="s">
        <v>148</v>
      </c>
      <c r="AG223" s="58">
        <v>82</v>
      </c>
      <c r="AH223" s="100">
        <f>RANK(TableOverallMaster[[#This Row],[VORP]],TableOverallMaster[VORP])+COUNTIF($AM$2:AM223,AM223)-1</f>
        <v>202</v>
      </c>
      <c r="AI223" s="157" t="str">
        <f>IFERROR(INDEX(TableWRVORP[WIDE RECEIVER],MATCH(TableOverallMaster[[#This Row],[RK]],TableWRVORP[RK],0)),"")</f>
        <v>Nick Westbrook-Ikhine</v>
      </c>
      <c r="AJ223" s="157" t="str">
        <f t="shared" si="3"/>
        <v>WR82</v>
      </c>
      <c r="AK223" s="157">
        <f>IFERROR(INDEX(TableWRVORP[BYE],MATCH(TableOverallMaster[[#This Row],[RK]],TableWRVORP[RK],0)),"")</f>
        <v>13</v>
      </c>
      <c r="AL223" s="158">
        <f>IFERROR(INDEX(TableWRVORP[FPS],MATCH(TableOverallMaster[[#This Row],[RK]],TableWRVORP[RK],0)),"")</f>
        <v>68.744066857804796</v>
      </c>
      <c r="AM223" s="159">
        <f>IFERROR(INDEX(TableWRVORP[VORP],MATCH(TableOverallMaster[[#This Row],[RK]],TableWRVORP[RK],0)),"")</f>
        <v>-21.540118532561266</v>
      </c>
      <c r="AO223" s="58">
        <v>222</v>
      </c>
      <c r="AP223" s="160" t="str">
        <f>IFERROR(INDEX(TableOverallMaster[OVERALL PLAYER],MATCH(TableOverallRank[[#This Row],[RK]],TableOverallMaster[OVR RK],0)),"")</f>
        <v>Kaytron Allen</v>
      </c>
      <c r="AQ223" s="161" t="str">
        <f>IFERROR(INDEX(TableOverallMaster[POS RK],MATCH(TableOverallRank[[#This Row],[OVERALL PLAYER]],TableOverallMaster[OVERALL PLAYER],0)),"")</f>
        <v>RB60</v>
      </c>
      <c r="AR223" s="162">
        <f>IFERROR(INDEX(TableOverallMaster[BYE],MATCH(TableOverallRank[[#This Row],[OVERALL PLAYER]],TableOverallMaster[OVERALL PLAYER],0)),"")</f>
        <v>7</v>
      </c>
      <c r="AS223" s="161">
        <f>IFERROR(INDEX(TableOverallMaster[Custom],MATCH(TableOverallRank[[#This Row],[OVERALL PLAYER]],TableOverallMaster[OVERALL PLAYER],0)),"")</f>
        <v>62.6839114986672</v>
      </c>
      <c r="AT223" s="163">
        <f>IFERROR(INDEX(TableOverallMaster[VORP],MATCH(TableOverallRank[[#This Row],[OVERALL PLAYER]],TableOverallMaster[OVERALL PLAYER],0)),"")</f>
        <v>-33.059142185888142</v>
      </c>
      <c r="AV223" s="58">
        <v>222</v>
      </c>
      <c r="AW223" s="164" t="str">
        <f>IFERROR(INDEX(TableWRTECalcPts[PLAYER],MATCH(TableWRTERank[[#This Row],[RK]],TableWRTECalcPts[RK],0)),"")</f>
        <v>Jeremy Ruckert</v>
      </c>
      <c r="AX223" s="164" t="str">
        <f>IFERROR(INDEX(TableWRTECalcPts[POS RK],MATCH(TableWRTERank[[#This Row],[WR and TE COMBINED]],TableWRTECalcPts[PLAYER],0)),"")</f>
        <v>TE74</v>
      </c>
      <c r="AY223" s="164">
        <f>IFERROR(INDEX(TableWRTECalcPts[BYE],MATCH(TableWRTERank[[#This Row],[RK]],TableWRTECalcPts[RK],0)),"")</f>
        <v>13</v>
      </c>
      <c r="AZ223" s="165">
        <f>IFERROR(INDEX(TableWRTECalcPts[Custom],MATCH(TableWRTERank[[#This Row],[RK]],TableWRTECalcPts[RK],0)),"")</f>
        <v>9.0281802845379744</v>
      </c>
      <c r="BA223" s="166">
        <f>IFERROR((TableWRTERank[[#This Row],[FPS]]-INDEX(TableWRTERank[FPS],MATCH(WRTEVORPCalc,TableWRTERank[RK],0))),"")</f>
        <v>-132.20819129775373</v>
      </c>
      <c r="BC223" s="58" t="s">
        <v>8</v>
      </c>
    </row>
    <row r="224" spans="15:55" x14ac:dyDescent="0.25">
      <c r="O224" s="58">
        <v>223</v>
      </c>
      <c r="P224" s="154" t="str">
        <f>IFERROR(INDEX(TableWRCalcPts[PLAYER],MATCH(TableWRVORP[[#This Row],[RK]],TableWRCalcPts[RK],0)),"")</f>
        <v/>
      </c>
      <c r="Q224" s="154" t="str">
        <f>IFERROR(INDEX(TableWRCalcPts[TM],MATCH(TableWRVORP[[#This Row],[RK]],TableWRCalcPts[RK],0)),"")</f>
        <v/>
      </c>
      <c r="R224" s="154" t="str">
        <f>IFERROR(INDEX(TableWRCalcPts[BYE],MATCH(TableWRVORP[[#This Row],[RK]],TableWRCalcPts[RK],0)),"")</f>
        <v/>
      </c>
      <c r="S224" s="155" t="str">
        <f>IFERROR(INDEX(TableWRCalcPts[Custom],MATCH(TableWRVORP[[#This Row],[RK]],TableWRCalcPts[RK],0)),"")</f>
        <v/>
      </c>
      <c r="T224" s="156" t="str">
        <f>(IFERROR((TableWRVORP[[#This Row],[FPS]]-INDEX(TableWRVORP[FPS],MATCH(WRVORPCalc,TableWRVORP[RK],0))),""))</f>
        <v/>
      </c>
      <c r="AF224" s="58" t="s">
        <v>148</v>
      </c>
      <c r="AG224" s="58">
        <v>83</v>
      </c>
      <c r="AH224" s="100">
        <f>RANK(TableOverallMaster[[#This Row],[VORP]],TableOverallMaster[VORP])+COUNTIF($AM$2:AM224,AM224)-1</f>
        <v>207</v>
      </c>
      <c r="AI224" s="157" t="str">
        <f>IFERROR(INDEX(TableWRVORP[WIDE RECEIVER],MATCH(TableOverallMaster[[#This Row],[RK]],TableWRVORP[RK],0)),"")</f>
        <v>Elijah Sarratt</v>
      </c>
      <c r="AJ224" s="157" t="str">
        <f t="shared" si="3"/>
        <v>WR83</v>
      </c>
      <c r="AK224" s="157">
        <f>IFERROR(INDEX(TableWRVORP[BYE],MATCH(TableOverallMaster[[#This Row],[RK]],TableWRVORP[RK],0)),"")</f>
        <v>13</v>
      </c>
      <c r="AL224" s="158">
        <f>IFERROR(INDEX(TableWRVORP[FPS],MATCH(TableOverallMaster[[#This Row],[RK]],TableWRVORP[RK],0)),"")</f>
        <v>64.331268238132509</v>
      </c>
      <c r="AM224" s="159">
        <f>IFERROR(INDEX(TableWRVORP[VORP],MATCH(TableOverallMaster[[#This Row],[RK]],TableWRVORP[RK],0)),"")</f>
        <v>-25.952917152233553</v>
      </c>
      <c r="AO224" s="58">
        <v>223</v>
      </c>
      <c r="AP224" s="160" t="str">
        <f>IFERROR(INDEX(TableOverallMaster[OVERALL PLAYER],MATCH(TableOverallRank[[#This Row],[RK]],TableOverallMaster[OVR RK],0)),"")</f>
        <v>Kayshon Boutte</v>
      </c>
      <c r="AQ224" s="161" t="str">
        <f>IFERROR(INDEX(TableOverallMaster[POS RK],MATCH(TableOverallRank[[#This Row],[OVERALL PLAYER]],TableOverallMaster[OVERALL PLAYER],0)),"")</f>
        <v>WR92</v>
      </c>
      <c r="AR224" s="162">
        <f>IFERROR(INDEX(TableOverallMaster[BYE],MATCH(TableOverallRank[[#This Row],[OVERALL PLAYER]],TableOverallMaster[OVERALL PLAYER],0)),"")</f>
        <v>11</v>
      </c>
      <c r="AS224" s="161">
        <f>IFERROR(INDEX(TableOverallMaster[Custom],MATCH(TableOverallRank[[#This Row],[OVERALL PLAYER]],TableOverallMaster[OVERALL PLAYER],0)),"")</f>
        <v>56.509578151941582</v>
      </c>
      <c r="AT224" s="163">
        <f>IFERROR(INDEX(TableOverallMaster[VORP],MATCH(TableOverallRank[[#This Row],[OVERALL PLAYER]],TableOverallMaster[OVERALL PLAYER],0)),"")</f>
        <v>-33.77460723842448</v>
      </c>
      <c r="AV224" s="58">
        <v>223</v>
      </c>
      <c r="AW224" s="164" t="str">
        <f>IFERROR(INDEX(TableWRTECalcPts[PLAYER],MATCH(TableWRTERank[[#This Row],[RK]],TableWRTECalcPts[RK],0)),"")</f>
        <v>Jimmy Horn</v>
      </c>
      <c r="AX224" s="164" t="str">
        <f>IFERROR(INDEX(TableWRTECalcPts[POS RK],MATCH(TableWRTERank[[#This Row],[WR and TE COMBINED]],TableWRTECalcPts[PLAYER],0)),"")</f>
        <v>WR149</v>
      </c>
      <c r="AY224" s="164">
        <f>IFERROR(INDEX(TableWRTECalcPts[BYE],MATCH(TableWRTERank[[#This Row],[RK]],TableWRTECalcPts[RK],0)),"")</f>
        <v>5</v>
      </c>
      <c r="AZ224" s="165">
        <f>IFERROR(INDEX(TableWRTECalcPts[Custom],MATCH(TableWRTERank[[#This Row],[RK]],TableWRTECalcPts[RK],0)),"")</f>
        <v>8.7033181439178939</v>
      </c>
      <c r="BA224" s="166">
        <f>IFERROR((TableWRTERank[[#This Row],[FPS]]-INDEX(TableWRTERank[FPS],MATCH(WRTEVORPCalc,TableWRTERank[RK],0))),"")</f>
        <v>-132.5330534383738</v>
      </c>
      <c r="BC224" s="58" t="s">
        <v>8</v>
      </c>
    </row>
    <row r="225" spans="15:55" x14ac:dyDescent="0.25">
      <c r="O225" s="58">
        <v>224</v>
      </c>
      <c r="P225" s="154" t="str">
        <f>IFERROR(INDEX(TableWRCalcPts[PLAYER],MATCH(TableWRVORP[[#This Row],[RK]],TableWRCalcPts[RK],0)),"")</f>
        <v/>
      </c>
      <c r="Q225" s="154" t="str">
        <f>IFERROR(INDEX(TableWRCalcPts[TM],MATCH(TableWRVORP[[#This Row],[RK]],TableWRCalcPts[RK],0)),"")</f>
        <v/>
      </c>
      <c r="R225" s="154" t="str">
        <f>IFERROR(INDEX(TableWRCalcPts[BYE],MATCH(TableWRVORP[[#This Row],[RK]],TableWRCalcPts[RK],0)),"")</f>
        <v/>
      </c>
      <c r="S225" s="155" t="str">
        <f>IFERROR(INDEX(TableWRCalcPts[Custom],MATCH(TableWRVORP[[#This Row],[RK]],TableWRCalcPts[RK],0)),"")</f>
        <v/>
      </c>
      <c r="T225" s="156" t="str">
        <f>(IFERROR((TableWRVORP[[#This Row],[FPS]]-INDEX(TableWRVORP[FPS],MATCH(WRVORPCalc,TableWRVORP[RK],0))),""))</f>
        <v/>
      </c>
      <c r="AF225" s="58" t="s">
        <v>148</v>
      </c>
      <c r="AG225" s="58">
        <v>84</v>
      </c>
      <c r="AH225" s="100">
        <f>RANK(TableOverallMaster[[#This Row],[VORP]],TableOverallMaster[VORP])+COUNTIF($AM$2:AM225,AM225)-1</f>
        <v>208</v>
      </c>
      <c r="AI225" s="157" t="str">
        <f>IFERROR(INDEX(TableWRVORP[WIDE RECEIVER],MATCH(TableOverallMaster[[#This Row],[RK]],TableWRVORP[RK],0)),"")</f>
        <v>KaVontae Turpin</v>
      </c>
      <c r="AJ225" s="157" t="str">
        <f t="shared" si="3"/>
        <v>WR84</v>
      </c>
      <c r="AK225" s="157">
        <f>IFERROR(INDEX(TableWRVORP[BYE],MATCH(TableOverallMaster[[#This Row],[RK]],TableWRVORP[RK],0)),"")</f>
        <v>14</v>
      </c>
      <c r="AL225" s="158">
        <f>IFERROR(INDEX(TableWRVORP[FPS],MATCH(TableOverallMaster[[#This Row],[RK]],TableWRVORP[RK],0)),"")</f>
        <v>64.301898003885839</v>
      </c>
      <c r="AM225" s="159">
        <f>IFERROR(INDEX(TableWRVORP[VORP],MATCH(TableOverallMaster[[#This Row],[RK]],TableWRVORP[RK],0)),"")</f>
        <v>-25.982287386480223</v>
      </c>
      <c r="AO225" s="58">
        <v>224</v>
      </c>
      <c r="AP225" s="160" t="str">
        <f>IFERROR(INDEX(TableOverallMaster[OVERALL PLAYER],MATCH(TableOverallRank[[#This Row],[RK]],TableOverallMaster[OVR RK],0)),"")</f>
        <v>Isaiah Bond</v>
      </c>
      <c r="AQ225" s="161" t="str">
        <f>IFERROR(INDEX(TableOverallMaster[POS RK],MATCH(TableOverallRank[[#This Row],[OVERALL PLAYER]],TableOverallMaster[OVERALL PLAYER],0)),"")</f>
        <v>WR93</v>
      </c>
      <c r="AR225" s="162">
        <f>IFERROR(INDEX(TableOverallMaster[BYE],MATCH(TableOverallRank[[#This Row],[OVERALL PLAYER]],TableOverallMaster[OVERALL PLAYER],0)),"")</f>
        <v>11</v>
      </c>
      <c r="AS225" s="161">
        <f>IFERROR(INDEX(TableOverallMaster[Custom],MATCH(TableOverallRank[[#This Row],[OVERALL PLAYER]],TableOverallMaster[OVERALL PLAYER],0)),"")</f>
        <v>56.398321364111993</v>
      </c>
      <c r="AT225" s="163">
        <f>IFERROR(INDEX(TableOverallMaster[VORP],MATCH(TableOverallRank[[#This Row],[OVERALL PLAYER]],TableOverallMaster[OVERALL PLAYER],0)),"")</f>
        <v>-33.885864026254069</v>
      </c>
      <c r="AV225" s="58">
        <v>224</v>
      </c>
      <c r="AW225" s="164" t="str">
        <f>IFERROR(INDEX(TableWRTECalcPts[PLAYER],MATCH(TableWRTERank[[#This Row],[RK]],TableWRTECalcPts[RK],0)),"")</f>
        <v>Jonathan Mingo</v>
      </c>
      <c r="AX225" s="164" t="str">
        <f>IFERROR(INDEX(TableWRTECalcPts[POS RK],MATCH(TableWRTERank[[#This Row],[WR and TE COMBINED]],TableWRTECalcPts[PLAYER],0)),"")</f>
        <v>WR150</v>
      </c>
      <c r="AY225" s="164">
        <f>IFERROR(INDEX(TableWRTECalcPts[BYE],MATCH(TableWRTERank[[#This Row],[RK]],TableWRTECalcPts[RK],0)),"")</f>
        <v>14</v>
      </c>
      <c r="AZ225" s="165">
        <f>IFERROR(INDEX(TableWRTECalcPts[Custom],MATCH(TableWRTERank[[#This Row],[RK]],TableWRTECalcPts[RK],0)),"")</f>
        <v>8.6646782331413945</v>
      </c>
      <c r="BA225" s="166">
        <f>IFERROR((TableWRTERank[[#This Row],[FPS]]-INDEX(TableWRTERank[FPS],MATCH(WRTEVORPCalc,TableWRTERank[RK],0))),"")</f>
        <v>-132.57169334915031</v>
      </c>
      <c r="BC225" s="58" t="s">
        <v>8</v>
      </c>
    </row>
    <row r="226" spans="15:55" x14ac:dyDescent="0.25">
      <c r="O226" s="58">
        <v>225</v>
      </c>
      <c r="P226" s="154" t="str">
        <f>IFERROR(INDEX(TableWRCalcPts[PLAYER],MATCH(TableWRVORP[[#This Row],[RK]],TableWRCalcPts[RK],0)),"")</f>
        <v/>
      </c>
      <c r="Q226" s="154" t="str">
        <f>IFERROR(INDEX(TableWRCalcPts[TM],MATCH(TableWRVORP[[#This Row],[RK]],TableWRCalcPts[RK],0)),"")</f>
        <v/>
      </c>
      <c r="R226" s="154" t="str">
        <f>IFERROR(INDEX(TableWRCalcPts[BYE],MATCH(TableWRVORP[[#This Row],[RK]],TableWRCalcPts[RK],0)),"")</f>
        <v/>
      </c>
      <c r="S226" s="155" t="str">
        <f>IFERROR(INDEX(TableWRCalcPts[Custom],MATCH(TableWRVORP[[#This Row],[RK]],TableWRCalcPts[RK],0)),"")</f>
        <v/>
      </c>
      <c r="T226" s="156" t="str">
        <f>(IFERROR((TableWRVORP[[#This Row],[FPS]]-INDEX(TableWRVORP[FPS],MATCH(WRVORPCalc,TableWRVORP[RK],0))),""))</f>
        <v/>
      </c>
      <c r="AF226" s="58" t="s">
        <v>148</v>
      </c>
      <c r="AG226" s="58">
        <v>85</v>
      </c>
      <c r="AH226" s="100">
        <f>RANK(TableOverallMaster[[#This Row],[VORP]],TableOverallMaster[VORP])+COUNTIF($AM$2:AM226,AM226)-1</f>
        <v>210</v>
      </c>
      <c r="AI226" s="157" t="str">
        <f>IFERROR(INDEX(TableWRVORP[WIDE RECEIVER],MATCH(TableOverallMaster[[#This Row],[RK]],TableWRVORP[RK],0)),"")</f>
        <v>Troy Franklin</v>
      </c>
      <c r="AJ226" s="157" t="str">
        <f t="shared" si="3"/>
        <v>WR85</v>
      </c>
      <c r="AK226" s="157">
        <f>IFERROR(INDEX(TableWRVORP[BYE],MATCH(TableOverallMaster[[#This Row],[RK]],TableWRVORP[RK],0)),"")</f>
        <v>10</v>
      </c>
      <c r="AL226" s="158">
        <f>IFERROR(INDEX(TableWRVORP[FPS],MATCH(TableOverallMaster[[#This Row],[RK]],TableWRVORP[RK],0)),"")</f>
        <v>62.943624265789154</v>
      </c>
      <c r="AM226" s="159">
        <f>IFERROR(INDEX(TableWRVORP[VORP],MATCH(TableOverallMaster[[#This Row],[RK]],TableWRVORP[RK],0)),"")</f>
        <v>-27.340561124576908</v>
      </c>
      <c r="AO226" s="58">
        <v>225</v>
      </c>
      <c r="AP226" s="160" t="str">
        <f>IFERROR(INDEX(TableOverallMaster[OVERALL PLAYER],MATCH(TableOverallRank[[#This Row],[RK]],TableOverallMaster[OVR RK],0)),"")</f>
        <v>Olamide Zaccheaus</v>
      </c>
      <c r="AQ226" s="161" t="str">
        <f>IFERROR(INDEX(TableOverallMaster[POS RK],MATCH(TableOverallRank[[#This Row],[OVERALL PLAYER]],TableOverallMaster[OVERALL PLAYER],0)),"")</f>
        <v>WR94</v>
      </c>
      <c r="AR226" s="162">
        <f>IFERROR(INDEX(TableOverallMaster[BYE],MATCH(TableOverallRank[[#This Row],[OVERALL PLAYER]],TableOverallMaster[OVERALL PLAYER],0)),"")</f>
        <v>11</v>
      </c>
      <c r="AS226" s="161">
        <f>IFERROR(INDEX(TableOverallMaster[Custom],MATCH(TableOverallRank[[#This Row],[OVERALL PLAYER]],TableOverallMaster[OVERALL PLAYER],0)),"")</f>
        <v>54.86571406748574</v>
      </c>
      <c r="AT226" s="163">
        <f>IFERROR(INDEX(TableOverallMaster[VORP],MATCH(TableOverallRank[[#This Row],[OVERALL PLAYER]],TableOverallMaster[OVERALL PLAYER],0)),"")</f>
        <v>-35.418471322880322</v>
      </c>
      <c r="AV226" s="58">
        <v>225</v>
      </c>
      <c r="AW226" s="164" t="str">
        <f>IFERROR(INDEX(TableWRTECalcPts[PLAYER],MATCH(TableWRTERank[[#This Row],[RK]],TableWRTECalcPts[RK],0)),"")</f>
        <v>Cedric Tillman</v>
      </c>
      <c r="AX226" s="164" t="str">
        <f>IFERROR(INDEX(TableWRTECalcPts[POS RK],MATCH(TableWRTERank[[#This Row],[WR and TE COMBINED]],TableWRTECalcPts[PLAYER],0)),"")</f>
        <v>WR151</v>
      </c>
      <c r="AY226" s="164">
        <f>IFERROR(INDEX(TableWRTECalcPts[BYE],MATCH(TableWRTERank[[#This Row],[RK]],TableWRTECalcPts[RK],0)),"")</f>
        <v>11</v>
      </c>
      <c r="AZ226" s="165">
        <f>IFERROR(INDEX(TableWRTECalcPts[Custom],MATCH(TableWRTERank[[#This Row],[RK]],TableWRTECalcPts[RK],0)),"")</f>
        <v>8.6514761718000006</v>
      </c>
      <c r="BA226" s="166">
        <f>IFERROR((TableWRTERank[[#This Row],[FPS]]-INDEX(TableWRTERank[FPS],MATCH(WRTEVORPCalc,TableWRTERank[RK],0))),"")</f>
        <v>-132.5848954104917</v>
      </c>
      <c r="BC226" s="58" t="s">
        <v>8</v>
      </c>
    </row>
    <row r="227" spans="15:55" x14ac:dyDescent="0.25">
      <c r="AF227" s="58" t="s">
        <v>148</v>
      </c>
      <c r="AG227" s="58">
        <v>86</v>
      </c>
      <c r="AH227" s="100">
        <f>RANK(TableOverallMaster[[#This Row],[VORP]],TableOverallMaster[VORP])+COUNTIF($AM$2:AM227,AM227)-1</f>
        <v>213</v>
      </c>
      <c r="AI227" s="157" t="str">
        <f>IFERROR(INDEX(TableWRVORP[WIDE RECEIVER],MATCH(TableOverallMaster[[#This Row],[RK]],TableWRVORP[RK],0)),"")</f>
        <v>Darius Slayton</v>
      </c>
      <c r="AJ227" s="157" t="str">
        <f t="shared" si="3"/>
        <v>WR86</v>
      </c>
      <c r="AK227" s="157">
        <f>IFERROR(INDEX(TableWRVORP[BYE],MATCH(TableOverallMaster[[#This Row],[RK]],TableWRVORP[RK],0)),"")</f>
        <v>8</v>
      </c>
      <c r="AL227" s="158">
        <f>IFERROR(INDEX(TableWRVORP[FPS],MATCH(TableOverallMaster[[#This Row],[RK]],TableWRVORP[RK],0)),"")</f>
        <v>60.325066147251512</v>
      </c>
      <c r="AM227" s="159">
        <f>IFERROR(INDEX(TableWRVORP[VORP],MATCH(TableOverallMaster[[#This Row],[RK]],TableWRVORP[RK],0)),"")</f>
        <v>-29.95911924311455</v>
      </c>
      <c r="AO227" s="58">
        <v>226</v>
      </c>
      <c r="AP227" s="160" t="str">
        <f>IFERROR(INDEX(TableOverallMaster[OVERALL PLAYER],MATCH(TableOverallRank[[#This Row],[RK]],TableOverallMaster[OVR RK],0)),"")</f>
        <v>Tre' Harris</v>
      </c>
      <c r="AQ227" s="161" t="str">
        <f>IFERROR(INDEX(TableOverallMaster[POS RK],MATCH(TableOverallRank[[#This Row],[OVERALL PLAYER]],TableOverallMaster[OVERALL PLAYER],0)),"")</f>
        <v>WR95</v>
      </c>
      <c r="AR227" s="162">
        <f>IFERROR(INDEX(TableOverallMaster[BYE],MATCH(TableOverallRank[[#This Row],[OVERALL PLAYER]],TableOverallMaster[OVERALL PLAYER],0)),"")</f>
        <v>7</v>
      </c>
      <c r="AS227" s="161">
        <f>IFERROR(INDEX(TableOverallMaster[Custom],MATCH(TableOverallRank[[#This Row],[OVERALL PLAYER]],TableOverallMaster[OVERALL PLAYER],0)),"")</f>
        <v>54.683768684072831</v>
      </c>
      <c r="AT227" s="163">
        <f>IFERROR(INDEX(TableOverallMaster[VORP],MATCH(TableOverallRank[[#This Row],[OVERALL PLAYER]],TableOverallMaster[OVERALL PLAYER],0)),"")</f>
        <v>-35.600416706293231</v>
      </c>
      <c r="AV227" s="58">
        <v>226</v>
      </c>
      <c r="AW227" s="164" t="str">
        <f>IFERROR(INDEX(TableWRTECalcPts[PLAYER],MATCH(TableWRTERank[[#This Row],[RK]],TableWRTECalcPts[RK],0)),"")</f>
        <v>Beaux Collins</v>
      </c>
      <c r="AX227" s="164" t="str">
        <f>IFERROR(INDEX(TableWRTECalcPts[POS RK],MATCH(TableWRTERank[[#This Row],[WR and TE COMBINED]],TableWRTECalcPts[PLAYER],0)),"")</f>
        <v>WR152</v>
      </c>
      <c r="AY227" s="164">
        <f>IFERROR(INDEX(TableWRTECalcPts[BYE],MATCH(TableWRTERank[[#This Row],[RK]],TableWRTECalcPts[RK],0)),"")</f>
        <v>8</v>
      </c>
      <c r="AZ227" s="165">
        <f>IFERROR(INDEX(TableWRTECalcPts[Custom],MATCH(TableWRTERank[[#This Row],[RK]],TableWRTECalcPts[RK],0)),"")</f>
        <v>8.3371175754971993</v>
      </c>
      <c r="BA227" s="166">
        <f>IFERROR((TableWRTERank[[#This Row],[FPS]]-INDEX(TableWRTERank[FPS],MATCH(WRTEVORPCalc,TableWRTERank[RK],0))),"")</f>
        <v>-132.89925400679451</v>
      </c>
      <c r="BC227" s="58" t="s">
        <v>8</v>
      </c>
    </row>
    <row r="228" spans="15:55" x14ac:dyDescent="0.25">
      <c r="AF228" s="58" t="s">
        <v>148</v>
      </c>
      <c r="AG228" s="58">
        <v>87</v>
      </c>
      <c r="AH228" s="100">
        <f>RANK(TableOverallMaster[[#This Row],[VORP]],TableOverallMaster[VORP])+COUNTIF($AM$2:AM228,AM228)-1</f>
        <v>214</v>
      </c>
      <c r="AI228" s="157" t="str">
        <f>IFERROR(INDEX(TableWRVORP[WIDE RECEIVER],MATCH(TableOverallMaster[[#This Row],[RK]],TableWRVORP[RK],0)),"")</f>
        <v>Malachi Fields</v>
      </c>
      <c r="AJ228" s="157" t="str">
        <f t="shared" si="3"/>
        <v>WR87</v>
      </c>
      <c r="AK228" s="157">
        <f>IFERROR(INDEX(TableWRVORP[BYE],MATCH(TableOverallMaster[[#This Row],[RK]],TableWRVORP[RK],0)),"")</f>
        <v>8</v>
      </c>
      <c r="AL228" s="158">
        <f>IFERROR(INDEX(TableWRVORP[FPS],MATCH(TableOverallMaster[[#This Row],[RK]],TableWRVORP[RK],0)),"")</f>
        <v>60.094954234465909</v>
      </c>
      <c r="AM228" s="159">
        <f>IFERROR(INDEX(TableWRVORP[VORP],MATCH(TableOverallMaster[[#This Row],[RK]],TableWRVORP[RK],0)),"")</f>
        <v>-30.189231155900153</v>
      </c>
      <c r="AO228" s="58">
        <v>227</v>
      </c>
      <c r="AP228" s="160" t="str">
        <f>IFERROR(INDEX(TableOverallMaster[OVERALL PLAYER],MATCH(TableOverallRank[[#This Row],[RK]],TableOverallMaster[OVR RK],0)),"")</f>
        <v>Elijah Arroyo</v>
      </c>
      <c r="AQ228" s="161" t="str">
        <f>IFERROR(INDEX(TableOverallMaster[POS RK],MATCH(TableOverallRank[[#This Row],[OVERALL PLAYER]],TableOverallMaster[OVERALL PLAYER],0)),"")</f>
        <v>TE42</v>
      </c>
      <c r="AR228" s="162">
        <f>IFERROR(INDEX(TableOverallMaster[BYE],MATCH(TableOverallRank[[#This Row],[OVERALL PLAYER]],TableOverallMaster[OVERALL PLAYER],0)),"")</f>
        <v>11</v>
      </c>
      <c r="AS228" s="161">
        <f>IFERROR(INDEX(TableOverallMaster[Custom],MATCH(TableOverallRank[[#This Row],[OVERALL PLAYER]],TableOverallMaster[OVERALL PLAYER],0)),"")</f>
        <v>41.558434084112932</v>
      </c>
      <c r="AT228" s="163">
        <f>IFERROR(INDEX(TableOverallMaster[VORP],MATCH(TableOverallRank[[#This Row],[OVERALL PLAYER]],TableOverallMaster[OVERALL PLAYER],0)),"")</f>
        <v>-36.327359892128754</v>
      </c>
      <c r="AV228" s="58">
        <v>227</v>
      </c>
      <c r="AW228" s="164" t="str">
        <f>IFERROR(INDEX(TableWRTECalcPts[PLAYER],MATCH(TableWRTERank[[#This Row],[RK]],TableWRTECalcPts[RK],0)),"")</f>
        <v>Darius Cooper</v>
      </c>
      <c r="AX228" s="164" t="str">
        <f>IFERROR(INDEX(TableWRTECalcPts[POS RK],MATCH(TableWRTERank[[#This Row],[WR and TE COMBINED]],TableWRTECalcPts[PLAYER],0)),"")</f>
        <v>WR153</v>
      </c>
      <c r="AY228" s="164">
        <f>IFERROR(INDEX(TableWRTECalcPts[BYE],MATCH(TableWRTERank[[#This Row],[RK]],TableWRTECalcPts[RK],0)),"")</f>
        <v>10</v>
      </c>
      <c r="AZ228" s="165">
        <f>IFERROR(INDEX(TableWRTECalcPts[Custom],MATCH(TableWRTERank[[#This Row],[RK]],TableWRTECalcPts[RK],0)),"")</f>
        <v>8.0354077095599976</v>
      </c>
      <c r="BA228" s="166">
        <f>IFERROR((TableWRTERank[[#This Row],[FPS]]-INDEX(TableWRTERank[FPS],MATCH(WRTEVORPCalc,TableWRTERank[RK],0))),"")</f>
        <v>-133.20096387273171</v>
      </c>
      <c r="BC228" s="58" t="s">
        <v>8</v>
      </c>
    </row>
    <row r="229" spans="15:55" x14ac:dyDescent="0.25">
      <c r="AF229" s="58" t="s">
        <v>148</v>
      </c>
      <c r="AG229" s="58">
        <v>88</v>
      </c>
      <c r="AH229" s="100">
        <f>RANK(TableOverallMaster[[#This Row],[VORP]],TableOverallMaster[VORP])+COUNTIF($AM$2:AM229,AM229)-1</f>
        <v>216</v>
      </c>
      <c r="AI229" s="157" t="str">
        <f>IFERROR(INDEX(TableWRVORP[WIDE RECEIVER],MATCH(TableOverallMaster[[#This Row],[RK]],TableWRVORP[RK],0)),"")</f>
        <v>Dont'e Thornton</v>
      </c>
      <c r="AJ229" s="157" t="str">
        <f t="shared" si="3"/>
        <v>WR88</v>
      </c>
      <c r="AK229" s="157">
        <f>IFERROR(INDEX(TableWRVORP[BYE],MATCH(TableOverallMaster[[#This Row],[RK]],TableWRVORP[RK],0)),"")</f>
        <v>13</v>
      </c>
      <c r="AL229" s="158">
        <f>IFERROR(INDEX(TableWRVORP[FPS],MATCH(TableOverallMaster[[#This Row],[RK]],TableWRVORP[RK],0)),"")</f>
        <v>59.321079235535038</v>
      </c>
      <c r="AM229" s="159">
        <f>IFERROR(INDEX(TableWRVORP[VORP],MATCH(TableOverallMaster[[#This Row],[RK]],TableWRVORP[RK],0)),"")</f>
        <v>-30.963106154831024</v>
      </c>
      <c r="AO229" s="58">
        <v>228</v>
      </c>
      <c r="AP229" s="160" t="str">
        <f>IFERROR(INDEX(TableOverallMaster[OVERALL PLAYER],MATCH(TableOverallRank[[#This Row],[RK]],TableOverallMaster[OVR RK],0)),"")</f>
        <v>Tommy Tremble</v>
      </c>
      <c r="AQ229" s="161" t="str">
        <f>IFERROR(INDEX(TableOverallMaster[POS RK],MATCH(TableOverallRank[[#This Row],[OVERALL PLAYER]],TableOverallMaster[OVERALL PLAYER],0)),"")</f>
        <v>TE43</v>
      </c>
      <c r="AR229" s="162">
        <f>IFERROR(INDEX(TableOverallMaster[BYE],MATCH(TableOverallRank[[#This Row],[OVERALL PLAYER]],TableOverallMaster[OVERALL PLAYER],0)),"")</f>
        <v>5</v>
      </c>
      <c r="AS229" s="161">
        <f>IFERROR(INDEX(TableOverallMaster[Custom],MATCH(TableOverallRank[[#This Row],[OVERALL PLAYER]],TableOverallMaster[OVERALL PLAYER],0)),"")</f>
        <v>41.058899402597987</v>
      </c>
      <c r="AT229" s="163">
        <f>IFERROR(INDEX(TableOverallMaster[VORP],MATCH(TableOverallRank[[#This Row],[OVERALL PLAYER]],TableOverallMaster[OVERALL PLAYER],0)),"")</f>
        <v>-36.826894573643699</v>
      </c>
      <c r="AV229" s="58">
        <v>228</v>
      </c>
      <c r="AW229" s="164" t="str">
        <f>IFERROR(INDEX(TableWRTECalcPts[PLAYER],MATCH(TableWRTERank[[#This Row],[RK]],TableWRTECalcPts[RK],0)),"")</f>
        <v>Cedrick Wilson</v>
      </c>
      <c r="AX229" s="164" t="str">
        <f>IFERROR(INDEX(TableWRTECalcPts[POS RK],MATCH(TableWRTERank[[#This Row],[WR and TE COMBINED]],TableWRTECalcPts[PLAYER],0)),"")</f>
        <v>WR154</v>
      </c>
      <c r="AY229" s="164">
        <f>IFERROR(INDEX(TableWRTECalcPts[BYE],MATCH(TableWRTERank[[#This Row],[RK]],TableWRTECalcPts[RK],0)),"")</f>
        <v>6</v>
      </c>
      <c r="AZ229" s="165">
        <f>IFERROR(INDEX(TableWRTECalcPts[Custom],MATCH(TableWRTERank[[#This Row],[RK]],TableWRTECalcPts[RK],0)),"")</f>
        <v>7.9979096735999979</v>
      </c>
      <c r="BA229" s="166">
        <f>IFERROR((TableWRTERank[[#This Row],[FPS]]-INDEX(TableWRTERank[FPS],MATCH(WRTEVORPCalc,TableWRTERank[RK],0))),"")</f>
        <v>-133.2384619086917</v>
      </c>
      <c r="BC229" s="58" t="s">
        <v>8</v>
      </c>
    </row>
    <row r="230" spans="15:55" x14ac:dyDescent="0.25">
      <c r="AF230" s="58" t="s">
        <v>148</v>
      </c>
      <c r="AG230" s="58">
        <v>89</v>
      </c>
      <c r="AH230" s="100">
        <f>RANK(TableOverallMaster[[#This Row],[VORP]],TableOverallMaster[VORP])+COUNTIF($AM$2:AM230,AM230)-1</f>
        <v>217</v>
      </c>
      <c r="AI230" s="157" t="str">
        <f>IFERROR(INDEX(TableWRVORP[WIDE RECEIVER],MATCH(TableOverallMaster[[#This Row],[RK]],TableWRVORP[RK],0)),"")</f>
        <v>Jahan Dotson</v>
      </c>
      <c r="AJ230" s="157" t="str">
        <f t="shared" si="3"/>
        <v>WR89</v>
      </c>
      <c r="AK230" s="157">
        <f>IFERROR(INDEX(TableWRVORP[BYE],MATCH(TableOverallMaster[[#This Row],[RK]],TableWRVORP[RK],0)),"")</f>
        <v>11</v>
      </c>
      <c r="AL230" s="158">
        <f>IFERROR(INDEX(TableWRVORP[FPS],MATCH(TableOverallMaster[[#This Row],[RK]],TableWRVORP[RK],0)),"")</f>
        <v>59.177708380316076</v>
      </c>
      <c r="AM230" s="159">
        <f>IFERROR(INDEX(TableWRVORP[VORP],MATCH(TableOverallMaster[[#This Row],[RK]],TableWRVORP[RK],0)),"")</f>
        <v>-31.106477010049986</v>
      </c>
      <c r="AO230" s="58">
        <v>229</v>
      </c>
      <c r="AP230" s="160" t="str">
        <f>IFERROR(INDEX(TableOverallMaster[OVERALL PLAYER],MATCH(TableOverallRank[[#This Row],[RK]],TableOverallMaster[OVR RK],0)),"")</f>
        <v>Theo Johnson</v>
      </c>
      <c r="AQ230" s="161" t="str">
        <f>IFERROR(INDEX(TableOverallMaster[POS RK],MATCH(TableOverallRank[[#This Row],[OVERALL PLAYER]],TableOverallMaster[OVERALL PLAYER],0)),"")</f>
        <v>TE44</v>
      </c>
      <c r="AR230" s="162">
        <f>IFERROR(INDEX(TableOverallMaster[BYE],MATCH(TableOverallRank[[#This Row],[OVERALL PLAYER]],TableOverallMaster[OVERALL PLAYER],0)),"")</f>
        <v>8</v>
      </c>
      <c r="AS230" s="161">
        <f>IFERROR(INDEX(TableOverallMaster[Custom],MATCH(TableOverallRank[[#This Row],[OVERALL PLAYER]],TableOverallMaster[OVERALL PLAYER],0)),"")</f>
        <v>41.026183631433959</v>
      </c>
      <c r="AT230" s="163">
        <f>IFERROR(INDEX(TableOverallMaster[VORP],MATCH(TableOverallRank[[#This Row],[OVERALL PLAYER]],TableOverallMaster[OVERALL PLAYER],0)),"")</f>
        <v>-36.859610344807727</v>
      </c>
      <c r="AV230" s="58">
        <v>229</v>
      </c>
      <c r="AW230" s="164" t="str">
        <f>IFERROR(INDEX(TableWRTECalcPts[PLAYER],MATCH(TableWRTERank[[#This Row],[RK]],TableWRTECalcPts[RK],0)),"")</f>
        <v>Bo Melton</v>
      </c>
      <c r="AX230" s="164" t="str">
        <f>IFERROR(INDEX(TableWRTECalcPts[POS RK],MATCH(TableWRTERank[[#This Row],[WR and TE COMBINED]],TableWRTECalcPts[PLAYER],0)),"")</f>
        <v>WR155</v>
      </c>
      <c r="AY230" s="164">
        <f>IFERROR(INDEX(TableWRTECalcPts[BYE],MATCH(TableWRTERank[[#This Row],[RK]],TableWRTECalcPts[RK],0)),"")</f>
        <v>11</v>
      </c>
      <c r="AZ230" s="165">
        <f>IFERROR(INDEX(TableWRTECalcPts[Custom],MATCH(TableWRTERank[[#This Row],[RK]],TableWRTECalcPts[RK],0)),"")</f>
        <v>7.8853193424873274</v>
      </c>
      <c r="BA230" s="166">
        <f>IFERROR((TableWRTERank[[#This Row],[FPS]]-INDEX(TableWRTERank[FPS],MATCH(WRTEVORPCalc,TableWRTERank[RK],0))),"")</f>
        <v>-133.35105223980437</v>
      </c>
      <c r="BC230" s="58" t="s">
        <v>8</v>
      </c>
    </row>
    <row r="231" spans="15:55" x14ac:dyDescent="0.25">
      <c r="AF231" s="58" t="s">
        <v>148</v>
      </c>
      <c r="AG231" s="58">
        <v>90</v>
      </c>
      <c r="AH231" s="100">
        <f>RANK(TableOverallMaster[[#This Row],[VORP]],TableOverallMaster[VORP])+COUNTIF($AM$2:AM231,AM231)-1</f>
        <v>218</v>
      </c>
      <c r="AI231" s="157" t="str">
        <f>IFERROR(INDEX(TableWRVORP[WIDE RECEIVER],MATCH(TableOverallMaster[[#This Row],[RK]],TableWRVORP[RK],0)),"")</f>
        <v>Xavier Legette</v>
      </c>
      <c r="AJ231" s="157" t="str">
        <f t="shared" si="3"/>
        <v>WR90</v>
      </c>
      <c r="AK231" s="157">
        <f>IFERROR(INDEX(TableWRVORP[BYE],MATCH(TableOverallMaster[[#This Row],[RK]],TableWRVORP[RK],0)),"")</f>
        <v>5</v>
      </c>
      <c r="AL231" s="158">
        <f>IFERROR(INDEX(TableWRVORP[FPS],MATCH(TableOverallMaster[[#This Row],[RK]],TableWRVORP[RK],0)),"")</f>
        <v>58.952262247216787</v>
      </c>
      <c r="AM231" s="159">
        <f>IFERROR(INDEX(TableWRVORP[VORP],MATCH(TableOverallMaster[[#This Row],[RK]],TableWRVORP[RK],0)),"")</f>
        <v>-31.331923143149275</v>
      </c>
      <c r="AO231" s="58">
        <v>230</v>
      </c>
      <c r="AP231" s="160" t="str">
        <f>IFERROR(INDEX(TableOverallMaster[OVERALL PLAYER],MATCH(TableOverallRank[[#This Row],[RK]],TableOverallMaster[OVR RK],0)),"")</f>
        <v>Kendrick Bourne</v>
      </c>
      <c r="AQ231" s="161" t="str">
        <f>IFERROR(INDEX(TableOverallMaster[POS RK],MATCH(TableOverallRank[[#This Row],[OVERALL PLAYER]],TableOverallMaster[OVERALL PLAYER],0)),"")</f>
        <v>WR96</v>
      </c>
      <c r="AR231" s="162">
        <f>IFERROR(INDEX(TableOverallMaster[BYE],MATCH(TableOverallRank[[#This Row],[OVERALL PLAYER]],TableOverallMaster[OVERALL PLAYER],0)),"")</f>
        <v>14</v>
      </c>
      <c r="AS231" s="161">
        <f>IFERROR(INDEX(TableOverallMaster[Custom],MATCH(TableOverallRank[[#This Row],[OVERALL PLAYER]],TableOverallMaster[OVERALL PLAYER],0)),"")</f>
        <v>53.352890943744001</v>
      </c>
      <c r="AT231" s="163">
        <f>IFERROR(INDEX(TableOverallMaster[VORP],MATCH(TableOverallRank[[#This Row],[OVERALL PLAYER]],TableOverallMaster[OVERALL PLAYER],0)),"")</f>
        <v>-36.931294446622061</v>
      </c>
      <c r="AV231" s="58">
        <v>230</v>
      </c>
      <c r="AW231" s="164" t="str">
        <f>IFERROR(INDEX(TableWRTECalcPts[PLAYER],MATCH(TableWRTERank[[#This Row],[RK]],TableWRTECalcPts[RK],0)),"")</f>
        <v>Roman Wilson</v>
      </c>
      <c r="AX231" s="164" t="str">
        <f>IFERROR(INDEX(TableWRTECalcPts[POS RK],MATCH(TableWRTERank[[#This Row],[WR and TE COMBINED]],TableWRTECalcPts[PLAYER],0)),"")</f>
        <v>WR156</v>
      </c>
      <c r="AY231" s="164">
        <f>IFERROR(INDEX(TableWRTECalcPts[BYE],MATCH(TableWRTERank[[#This Row],[RK]],TableWRTECalcPts[RK],0)),"")</f>
        <v>9</v>
      </c>
      <c r="AZ231" s="165">
        <f>IFERROR(INDEX(TableWRTECalcPts[Custom],MATCH(TableWRTERank[[#This Row],[RK]],TableWRTECalcPts[RK],0)),"")</f>
        <v>7.8258581215897616</v>
      </c>
      <c r="BA231" s="166">
        <f>IFERROR((TableWRTERank[[#This Row],[FPS]]-INDEX(TableWRTERank[FPS],MATCH(WRTEVORPCalc,TableWRTERank[RK],0))),"")</f>
        <v>-133.41051346070194</v>
      </c>
      <c r="BC231" s="58" t="s">
        <v>8</v>
      </c>
    </row>
    <row r="232" spans="15:55" x14ac:dyDescent="0.25">
      <c r="AF232" s="58" t="s">
        <v>148</v>
      </c>
      <c r="AG232" s="58">
        <v>91</v>
      </c>
      <c r="AH232" s="100">
        <f>RANK(TableOverallMaster[[#This Row],[VORP]],TableOverallMaster[VORP])+COUNTIF($AM$2:AM232,AM232)-1</f>
        <v>219</v>
      </c>
      <c r="AI232" s="157" t="str">
        <f>IFERROR(INDEX(TableWRVORP[WIDE RECEIVER],MATCH(TableOverallMaster[[#This Row],[RK]],TableWRVORP[RK],0)),"")</f>
        <v>Ja'Kobi Lane</v>
      </c>
      <c r="AJ232" s="157" t="str">
        <f t="shared" si="3"/>
        <v>WR91</v>
      </c>
      <c r="AK232" s="157">
        <f>IFERROR(INDEX(TableWRVORP[BYE],MATCH(TableOverallMaster[[#This Row],[RK]],TableWRVORP[RK],0)),"")</f>
        <v>13</v>
      </c>
      <c r="AL232" s="158">
        <f>IFERROR(INDEX(TableWRVORP[FPS],MATCH(TableOverallMaster[[#This Row],[RK]],TableWRVORP[RK],0)),"")</f>
        <v>58.907507146847031</v>
      </c>
      <c r="AM232" s="159">
        <f>IFERROR(INDEX(TableWRVORP[VORP],MATCH(TableOverallMaster[[#This Row],[RK]],TableWRVORP[RK],0)),"")</f>
        <v>-31.376678243519031</v>
      </c>
      <c r="AO232" s="58">
        <v>231</v>
      </c>
      <c r="AP232" s="160" t="str">
        <f>IFERROR(INDEX(TableOverallMaster[OVERALL PLAYER],MATCH(TableOverallRank[[#This Row],[RK]],TableOverallMaster[OVR RK],0)),"")</f>
        <v>Chris Bell</v>
      </c>
      <c r="AQ232" s="161" t="str">
        <f>IFERROR(INDEX(TableOverallMaster[POS RK],MATCH(TableOverallRank[[#This Row],[OVERALL PLAYER]],TableOverallMaster[OVERALL PLAYER],0)),"")</f>
        <v>WR97</v>
      </c>
      <c r="AR232" s="162">
        <f>IFERROR(INDEX(TableOverallMaster[BYE],MATCH(TableOverallRank[[#This Row],[OVERALL PLAYER]],TableOverallMaster[OVERALL PLAYER],0)),"")</f>
        <v>6</v>
      </c>
      <c r="AS232" s="161">
        <f>IFERROR(INDEX(TableOverallMaster[Custom],MATCH(TableOverallRank[[#This Row],[OVERALL PLAYER]],TableOverallMaster[OVERALL PLAYER],0)),"")</f>
        <v>53.023781179522445</v>
      </c>
      <c r="AT232" s="163">
        <f>IFERROR(INDEX(TableOverallMaster[VORP],MATCH(TableOverallRank[[#This Row],[OVERALL PLAYER]],TableOverallMaster[OVERALL PLAYER],0)),"")</f>
        <v>-37.260404210843618</v>
      </c>
      <c r="AV232" s="58">
        <v>231</v>
      </c>
      <c r="AW232" s="164" t="str">
        <f>IFERROR(INDEX(TableWRTECalcPts[PLAYER],MATCH(TableWRTERank[[#This Row],[RK]],TableWRTECalcPts[RK],0)),"")</f>
        <v>Jared Wiley</v>
      </c>
      <c r="AX232" s="164" t="str">
        <f>IFERROR(INDEX(TableWRTECalcPts[POS RK],MATCH(TableWRTERank[[#This Row],[WR and TE COMBINED]],TableWRTECalcPts[PLAYER],0)),"")</f>
        <v>TE75</v>
      </c>
      <c r="AY232" s="164">
        <f>IFERROR(INDEX(TableWRTECalcPts[BYE],MATCH(TableWRTERank[[#This Row],[RK]],TableWRTECalcPts[RK],0)),"")</f>
        <v>5</v>
      </c>
      <c r="AZ232" s="165">
        <f>IFERROR(INDEX(TableWRTECalcPts[Custom],MATCH(TableWRTERank[[#This Row],[RK]],TableWRTECalcPts[RK],0)),"")</f>
        <v>7.7326866388358848</v>
      </c>
      <c r="BA232" s="166">
        <f>IFERROR((TableWRTERank[[#This Row],[FPS]]-INDEX(TableWRTERank[FPS],MATCH(WRTEVORPCalc,TableWRTERank[RK],0))),"")</f>
        <v>-133.50368494345582</v>
      </c>
      <c r="BC232" s="58" t="s">
        <v>8</v>
      </c>
    </row>
    <row r="233" spans="15:55" x14ac:dyDescent="0.25">
      <c r="AF233" s="58" t="s">
        <v>148</v>
      </c>
      <c r="AG233" s="58">
        <v>92</v>
      </c>
      <c r="AH233" s="100">
        <f>RANK(TableOverallMaster[[#This Row],[VORP]],TableOverallMaster[VORP])+COUNTIF($AM$2:AM233,AM233)-1</f>
        <v>223</v>
      </c>
      <c r="AI233" s="157" t="str">
        <f>IFERROR(INDEX(TableWRVORP[WIDE RECEIVER],MATCH(TableOverallMaster[[#This Row],[RK]],TableWRVORP[RK],0)),"")</f>
        <v>Kayshon Boutte</v>
      </c>
      <c r="AJ233" s="157" t="str">
        <f t="shared" si="3"/>
        <v>WR92</v>
      </c>
      <c r="AK233" s="157">
        <f>IFERROR(INDEX(TableWRVORP[BYE],MATCH(TableOverallMaster[[#This Row],[RK]],TableWRVORP[RK],0)),"")</f>
        <v>11</v>
      </c>
      <c r="AL233" s="158">
        <f>IFERROR(INDEX(TableWRVORP[FPS],MATCH(TableOverallMaster[[#This Row],[RK]],TableWRVORP[RK],0)),"")</f>
        <v>56.509578151941582</v>
      </c>
      <c r="AM233" s="159">
        <f>IFERROR(INDEX(TableWRVORP[VORP],MATCH(TableOverallMaster[[#This Row],[RK]],TableWRVORP[RK],0)),"")</f>
        <v>-33.77460723842448</v>
      </c>
      <c r="AO233" s="58">
        <v>232</v>
      </c>
      <c r="AP233" s="160" t="str">
        <f>IFERROR(INDEX(TableOverallMaster[OVERALL PLAYER],MATCH(TableOverallRank[[#This Row],[RK]],TableOverallMaster[OVR RK],0)),"")</f>
        <v>Dontayvion Wicks</v>
      </c>
      <c r="AQ233" s="161" t="str">
        <f>IFERROR(INDEX(TableOverallMaster[POS RK],MATCH(TableOverallRank[[#This Row],[OVERALL PLAYER]],TableOverallMaster[OVERALL PLAYER],0)),"")</f>
        <v>WR98</v>
      </c>
      <c r="AR233" s="162">
        <f>IFERROR(INDEX(TableOverallMaster[BYE],MATCH(TableOverallRank[[#This Row],[OVERALL PLAYER]],TableOverallMaster[OVERALL PLAYER],0)),"")</f>
        <v>10</v>
      </c>
      <c r="AS233" s="161">
        <f>IFERROR(INDEX(TableOverallMaster[Custom],MATCH(TableOverallRank[[#This Row],[OVERALL PLAYER]],TableOverallMaster[OVERALL PLAYER],0)),"")</f>
        <v>52.067609080945914</v>
      </c>
      <c r="AT233" s="163">
        <f>IFERROR(INDEX(TableOverallMaster[VORP],MATCH(TableOverallRank[[#This Row],[OVERALL PLAYER]],TableOverallMaster[OVERALL PLAYER],0)),"")</f>
        <v>-38.216576309420148</v>
      </c>
      <c r="AV233" s="58">
        <v>232</v>
      </c>
      <c r="AW233" s="164" t="str">
        <f>IFERROR(INDEX(TableWRTECalcPts[PLAYER],MATCH(TableWRTERank[[#This Row],[RK]],TableWRTECalcPts[RK],0)),"")</f>
        <v>Reggie Virgil</v>
      </c>
      <c r="AX233" s="164" t="str">
        <f>IFERROR(INDEX(TableWRTECalcPts[POS RK],MATCH(TableWRTERank[[#This Row],[WR and TE COMBINED]],TableWRTECalcPts[PLAYER],0)),"")</f>
        <v>WR157</v>
      </c>
      <c r="AY233" s="164">
        <f>IFERROR(INDEX(TableWRTECalcPts[BYE],MATCH(TableWRTERank[[#This Row],[RK]],TableWRTECalcPts[RK],0)),"")</f>
        <v>14</v>
      </c>
      <c r="AZ233" s="165">
        <f>IFERROR(INDEX(TableWRTECalcPts[Custom],MATCH(TableWRTERank[[#This Row],[RK]],TableWRTECalcPts[RK],0)),"")</f>
        <v>7.6309495955056024</v>
      </c>
      <c r="BA233" s="166">
        <f>IFERROR((TableWRTERank[[#This Row],[FPS]]-INDEX(TableWRTERank[FPS],MATCH(WRTEVORPCalc,TableWRTERank[RK],0))),"")</f>
        <v>-133.6054219867861</v>
      </c>
      <c r="BC233" s="58" t="s">
        <v>8</v>
      </c>
    </row>
    <row r="234" spans="15:55" x14ac:dyDescent="0.25">
      <c r="AF234" s="58" t="s">
        <v>148</v>
      </c>
      <c r="AG234" s="58">
        <v>93</v>
      </c>
      <c r="AH234" s="100">
        <f>RANK(TableOverallMaster[[#This Row],[VORP]],TableOverallMaster[VORP])+COUNTIF($AM$2:AM234,AM234)-1</f>
        <v>224</v>
      </c>
      <c r="AI234" s="157" t="str">
        <f>IFERROR(INDEX(TableWRVORP[WIDE RECEIVER],MATCH(TableOverallMaster[[#This Row],[RK]],TableWRVORP[RK],0)),"")</f>
        <v>Isaiah Bond</v>
      </c>
      <c r="AJ234" s="157" t="str">
        <f t="shared" si="3"/>
        <v>WR93</v>
      </c>
      <c r="AK234" s="157">
        <f>IFERROR(INDEX(TableWRVORP[BYE],MATCH(TableOverallMaster[[#This Row],[RK]],TableWRVORP[RK],0)),"")</f>
        <v>11</v>
      </c>
      <c r="AL234" s="158">
        <f>IFERROR(INDEX(TableWRVORP[FPS],MATCH(TableOverallMaster[[#This Row],[RK]],TableWRVORP[RK],0)),"")</f>
        <v>56.398321364111993</v>
      </c>
      <c r="AM234" s="159">
        <f>IFERROR(INDEX(TableWRVORP[VORP],MATCH(TableOverallMaster[[#This Row],[RK]],TableWRVORP[RK],0)),"")</f>
        <v>-33.885864026254069</v>
      </c>
      <c r="AO234" s="58">
        <v>233</v>
      </c>
      <c r="AP234" s="160" t="str">
        <f>IFERROR(INDEX(TableOverallMaster[OVERALL PLAYER],MATCH(TableOverallRank[[#This Row],[RK]],TableOverallMaster[OVR RK],0)),"")</f>
        <v>Pat Bryant</v>
      </c>
      <c r="AQ234" s="161" t="str">
        <f>IFERROR(INDEX(TableOverallMaster[POS RK],MATCH(TableOverallRank[[#This Row],[OVERALL PLAYER]],TableOverallMaster[OVERALL PLAYER],0)),"")</f>
        <v>WR99</v>
      </c>
      <c r="AR234" s="162">
        <f>IFERROR(INDEX(TableOverallMaster[BYE],MATCH(TableOverallRank[[#This Row],[OVERALL PLAYER]],TableOverallMaster[OVERALL PLAYER],0)),"")</f>
        <v>10</v>
      </c>
      <c r="AS234" s="161">
        <f>IFERROR(INDEX(TableOverallMaster[Custom],MATCH(TableOverallRank[[#This Row],[OVERALL PLAYER]],TableOverallMaster[OVERALL PLAYER],0)),"")</f>
        <v>51.354758488633621</v>
      </c>
      <c r="AT234" s="163">
        <f>IFERROR(INDEX(TableOverallMaster[VORP],MATCH(TableOverallRank[[#This Row],[OVERALL PLAYER]],TableOverallMaster[OVERALL PLAYER],0)),"")</f>
        <v>-38.929426901732441</v>
      </c>
      <c r="AV234" s="58">
        <v>233</v>
      </c>
      <c r="AW234" s="164" t="str">
        <f>IFERROR(INDEX(TableWRTECalcPts[PLAYER],MATCH(TableWRTERank[[#This Row],[RK]],TableWRTECalcPts[RK],0)),"")</f>
        <v>Marquez Valdes-Scantling</v>
      </c>
      <c r="AX234" s="164" t="str">
        <f>IFERROR(INDEX(TableWRTECalcPts[POS RK],MATCH(TableWRTERank[[#This Row],[WR and TE COMBINED]],TableWRTECalcPts[PLAYER],0)),"")</f>
        <v>WR158</v>
      </c>
      <c r="AY234" s="164">
        <f>IFERROR(INDEX(TableWRTECalcPts[BYE],MATCH(TableWRTERank[[#This Row],[RK]],TableWRTECalcPts[RK],0)),"")</f>
        <v>14</v>
      </c>
      <c r="AZ234" s="165">
        <f>IFERROR(INDEX(TableWRTECalcPts[Custom],MATCH(TableWRTERank[[#This Row],[RK]],TableWRTECalcPts[RK],0)),"")</f>
        <v>7.5520263973000006</v>
      </c>
      <c r="BA234" s="166">
        <f>IFERROR((TableWRTERank[[#This Row],[FPS]]-INDEX(TableWRTERank[FPS],MATCH(WRTEVORPCalc,TableWRTERank[RK],0))),"")</f>
        <v>-133.68434518499168</v>
      </c>
      <c r="BC234" s="58" t="s">
        <v>8</v>
      </c>
    </row>
    <row r="235" spans="15:55" x14ac:dyDescent="0.25">
      <c r="AF235" s="58" t="s">
        <v>148</v>
      </c>
      <c r="AG235" s="58">
        <v>94</v>
      </c>
      <c r="AH235" s="100">
        <f>RANK(TableOverallMaster[[#This Row],[VORP]],TableOverallMaster[VORP])+COUNTIF($AM$2:AM235,AM235)-1</f>
        <v>225</v>
      </c>
      <c r="AI235" s="157" t="str">
        <f>IFERROR(INDEX(TableWRVORP[WIDE RECEIVER],MATCH(TableOverallMaster[[#This Row],[RK]],TableWRVORP[RK],0)),"")</f>
        <v>Olamide Zaccheaus</v>
      </c>
      <c r="AJ235" s="157" t="str">
        <f t="shared" si="3"/>
        <v>WR94</v>
      </c>
      <c r="AK235" s="157">
        <f>IFERROR(INDEX(TableWRVORP[BYE],MATCH(TableOverallMaster[[#This Row],[RK]],TableWRVORP[RK],0)),"")</f>
        <v>11</v>
      </c>
      <c r="AL235" s="158">
        <f>IFERROR(INDEX(TableWRVORP[FPS],MATCH(TableOverallMaster[[#This Row],[RK]],TableWRVORP[RK],0)),"")</f>
        <v>54.86571406748574</v>
      </c>
      <c r="AM235" s="159">
        <f>IFERROR(INDEX(TableWRVORP[VORP],MATCH(TableOverallMaster[[#This Row],[RK]],TableWRVORP[RK],0)),"")</f>
        <v>-35.418471322880322</v>
      </c>
      <c r="AO235" s="58">
        <v>234</v>
      </c>
      <c r="AP235" s="160" t="str">
        <f>IFERROR(INDEX(TableOverallMaster[OVERALL PLAYER],MATCH(TableOverallRank[[#This Row],[RK]],TableOverallMaster[OVR RK],0)),"")</f>
        <v>Devaughn Vele</v>
      </c>
      <c r="AQ235" s="161" t="str">
        <f>IFERROR(INDEX(TableOverallMaster[POS RK],MATCH(TableOverallRank[[#This Row],[OVERALL PLAYER]],TableOverallMaster[OVERALL PLAYER],0)),"")</f>
        <v>WR100</v>
      </c>
      <c r="AR235" s="162">
        <f>IFERROR(INDEX(TableOverallMaster[BYE],MATCH(TableOverallRank[[#This Row],[OVERALL PLAYER]],TableOverallMaster[OVERALL PLAYER],0)),"")</f>
        <v>8</v>
      </c>
      <c r="AS235" s="161">
        <f>IFERROR(INDEX(TableOverallMaster[Custom],MATCH(TableOverallRank[[#This Row],[OVERALL PLAYER]],TableOverallMaster[OVERALL PLAYER],0)),"")</f>
        <v>51.274309412403603</v>
      </c>
      <c r="AT235" s="163">
        <f>IFERROR(INDEX(TableOverallMaster[VORP],MATCH(TableOverallRank[[#This Row],[OVERALL PLAYER]],TableOverallMaster[OVERALL PLAYER],0)),"")</f>
        <v>-39.009875977962459</v>
      </c>
      <c r="AV235" s="58">
        <v>234</v>
      </c>
      <c r="AW235" s="164" t="str">
        <f>IFERROR(INDEX(TableWRTECalcPts[PLAYER],MATCH(TableWRTERank[[#This Row],[RK]],TableWRTECalcPts[RK],0)),"")</f>
        <v>Casey Washington</v>
      </c>
      <c r="AX235" s="164" t="str">
        <f>IFERROR(INDEX(TableWRTECalcPts[POS RK],MATCH(TableWRTERank[[#This Row],[WR and TE COMBINED]],TableWRTECalcPts[PLAYER],0)),"")</f>
        <v>WR159</v>
      </c>
      <c r="AY235" s="164">
        <f>IFERROR(INDEX(TableWRTECalcPts[BYE],MATCH(TableWRTERank[[#This Row],[RK]],TableWRTECalcPts[RK],0)),"")</f>
        <v>11</v>
      </c>
      <c r="AZ235" s="165">
        <f>IFERROR(INDEX(TableWRTECalcPts[Custom],MATCH(TableWRTERank[[#This Row],[RK]],TableWRTECalcPts[RK],0)),"")</f>
        <v>7.5085715524680019</v>
      </c>
      <c r="BA235" s="166">
        <f>IFERROR((TableWRTERank[[#This Row],[FPS]]-INDEX(TableWRTERank[FPS],MATCH(WRTEVORPCalc,TableWRTERank[RK],0))),"")</f>
        <v>-133.7278000298237</v>
      </c>
      <c r="BC235" s="58" t="s">
        <v>8</v>
      </c>
    </row>
    <row r="236" spans="15:55" x14ac:dyDescent="0.25">
      <c r="AF236" s="58" t="s">
        <v>148</v>
      </c>
      <c r="AG236" s="58">
        <v>95</v>
      </c>
      <c r="AH236" s="100">
        <f>RANK(TableOverallMaster[[#This Row],[VORP]],TableOverallMaster[VORP])+COUNTIF($AM$2:AM236,AM236)-1</f>
        <v>226</v>
      </c>
      <c r="AI236" s="157" t="str">
        <f>IFERROR(INDEX(TableWRVORP[WIDE RECEIVER],MATCH(TableOverallMaster[[#This Row],[RK]],TableWRVORP[RK],0)),"")</f>
        <v>Tre' Harris</v>
      </c>
      <c r="AJ236" s="157" t="str">
        <f t="shared" si="3"/>
        <v>WR95</v>
      </c>
      <c r="AK236" s="157">
        <f>IFERROR(INDEX(TableWRVORP[BYE],MATCH(TableOverallMaster[[#This Row],[RK]],TableWRVORP[RK],0)),"")</f>
        <v>7</v>
      </c>
      <c r="AL236" s="158">
        <f>IFERROR(INDEX(TableWRVORP[FPS],MATCH(TableOverallMaster[[#This Row],[RK]],TableWRVORP[RK],0)),"")</f>
        <v>54.683768684072831</v>
      </c>
      <c r="AM236" s="159">
        <f>IFERROR(INDEX(TableWRVORP[VORP],MATCH(TableOverallMaster[[#This Row],[RK]],TableWRVORP[RK],0)),"")</f>
        <v>-35.600416706293231</v>
      </c>
      <c r="AO236" s="58">
        <v>235</v>
      </c>
      <c r="AP236" s="160" t="str">
        <f>IFERROR(INDEX(TableOverallMaster[OVERALL PLAYER],MATCH(TableOverallRank[[#This Row],[RK]],TableOverallMaster[OVR RK],0)),"")</f>
        <v>Emari Demercado</v>
      </c>
      <c r="AQ236" s="161" t="str">
        <f>IFERROR(INDEX(TableOverallMaster[POS RK],MATCH(TableOverallRank[[#This Row],[OVERALL PLAYER]],TableOverallMaster[OVERALL PLAYER],0)),"")</f>
        <v>RB61</v>
      </c>
      <c r="AR236" s="162">
        <f>IFERROR(INDEX(TableOverallMaster[BYE],MATCH(TableOverallRank[[#This Row],[OVERALL PLAYER]],TableOverallMaster[OVERALL PLAYER],0)),"")</f>
        <v>5</v>
      </c>
      <c r="AS236" s="161">
        <f>IFERROR(INDEX(TableOverallMaster[Custom],MATCH(TableOverallRank[[#This Row],[OVERALL PLAYER]],TableOverallMaster[OVERALL PLAYER],0)),"")</f>
        <v>54.897524150868009</v>
      </c>
      <c r="AT236" s="163">
        <f>IFERROR(INDEX(TableOverallMaster[VORP],MATCH(TableOverallRank[[#This Row],[OVERALL PLAYER]],TableOverallMaster[OVERALL PLAYER],0)),"")</f>
        <v>-39.288252064127498</v>
      </c>
      <c r="AV236" s="58">
        <v>235</v>
      </c>
      <c r="AW236" s="164" t="str">
        <f>IFERROR(INDEX(TableWRTECalcPts[PLAYER],MATCH(TableWRTERank[[#This Row],[RK]],TableWRTECalcPts[RK],0)),"")</f>
        <v>Foster Moreau</v>
      </c>
      <c r="AX236" s="164" t="str">
        <f>IFERROR(INDEX(TableWRTECalcPts[POS RK],MATCH(TableWRTERank[[#This Row],[WR and TE COMBINED]],TableWRTECalcPts[PLAYER],0)),"")</f>
        <v>TE76</v>
      </c>
      <c r="AY236" s="164">
        <f>IFERROR(INDEX(TableWRTECalcPts[BYE],MATCH(TableWRTERank[[#This Row],[RK]],TableWRTECalcPts[RK],0)),"")</f>
        <v>8</v>
      </c>
      <c r="AZ236" s="165">
        <f>IFERROR(INDEX(TableWRTECalcPts[Custom],MATCH(TableWRTERank[[#This Row],[RK]],TableWRTECalcPts[RK],0)),"")</f>
        <v>7.3582274793798348</v>
      </c>
      <c r="BA236" s="166">
        <f>IFERROR((TableWRTERank[[#This Row],[FPS]]-INDEX(TableWRTERank[FPS],MATCH(WRTEVORPCalc,TableWRTERank[RK],0))),"")</f>
        <v>-133.87814410291185</v>
      </c>
      <c r="BC236" s="58" t="s">
        <v>8</v>
      </c>
    </row>
    <row r="237" spans="15:55" x14ac:dyDescent="0.25">
      <c r="AF237" s="58" t="s">
        <v>148</v>
      </c>
      <c r="AG237" s="58">
        <v>96</v>
      </c>
      <c r="AH237" s="100">
        <f>RANK(TableOverallMaster[[#This Row],[VORP]],TableOverallMaster[VORP])+COUNTIF($AM$2:AM237,AM237)-1</f>
        <v>230</v>
      </c>
      <c r="AI237" s="157" t="str">
        <f>IFERROR(INDEX(TableWRVORP[WIDE RECEIVER],MATCH(TableOverallMaster[[#This Row],[RK]],TableWRVORP[RK],0)),"")</f>
        <v>Kendrick Bourne</v>
      </c>
      <c r="AJ237" s="157" t="str">
        <f t="shared" si="3"/>
        <v>WR96</v>
      </c>
      <c r="AK237" s="157">
        <f>IFERROR(INDEX(TableWRVORP[BYE],MATCH(TableOverallMaster[[#This Row],[RK]],TableWRVORP[RK],0)),"")</f>
        <v>14</v>
      </c>
      <c r="AL237" s="158">
        <f>IFERROR(INDEX(TableWRVORP[FPS],MATCH(TableOverallMaster[[#This Row],[RK]],TableWRVORP[RK],0)),"")</f>
        <v>53.352890943744001</v>
      </c>
      <c r="AM237" s="159">
        <f>IFERROR(INDEX(TableWRVORP[VORP],MATCH(TableOverallMaster[[#This Row],[RK]],TableWRVORP[RK],0)),"")</f>
        <v>-36.931294446622061</v>
      </c>
      <c r="AO237" s="58">
        <v>236</v>
      </c>
      <c r="AP237" s="160" t="str">
        <f>IFERROR(INDEX(TableOverallMaster[OVERALL PLAYER],MATCH(TableOverallRank[[#This Row],[RK]],TableOverallMaster[OVR RK],0)),"")</f>
        <v>Savion Williams</v>
      </c>
      <c r="AQ237" s="161" t="str">
        <f>IFERROR(INDEX(TableOverallMaster[POS RK],MATCH(TableOverallRank[[#This Row],[OVERALL PLAYER]],TableOverallMaster[OVERALL PLAYER],0)),"")</f>
        <v>WR101</v>
      </c>
      <c r="AR237" s="162">
        <f>IFERROR(INDEX(TableOverallMaster[BYE],MATCH(TableOverallRank[[#This Row],[OVERALL PLAYER]],TableOverallMaster[OVERALL PLAYER],0)),"")</f>
        <v>11</v>
      </c>
      <c r="AS237" s="161">
        <f>IFERROR(INDEX(TableOverallMaster[Custom],MATCH(TableOverallRank[[#This Row],[OVERALL PLAYER]],TableOverallMaster[OVERALL PLAYER],0)),"")</f>
        <v>50.259188410268962</v>
      </c>
      <c r="AT237" s="163">
        <f>IFERROR(INDEX(TableOverallMaster[VORP],MATCH(TableOverallRank[[#This Row],[OVERALL PLAYER]],TableOverallMaster[OVERALL PLAYER],0)),"")</f>
        <v>-40.0249969800971</v>
      </c>
      <c r="AV237" s="58">
        <v>236</v>
      </c>
      <c r="AW237" s="164" t="str">
        <f>IFERROR(INDEX(TableWRTECalcPts[PLAYER],MATCH(TableWRTERank[[#This Row],[RK]],TableWRTECalcPts[RK],0)),"")</f>
        <v>Jahdae Walker</v>
      </c>
      <c r="AX237" s="164" t="str">
        <f>IFERROR(INDEX(TableWRTECalcPts[POS RK],MATCH(TableWRTERank[[#This Row],[WR and TE COMBINED]],TableWRTECalcPts[PLAYER],0)),"")</f>
        <v>WR160</v>
      </c>
      <c r="AY237" s="164">
        <f>IFERROR(INDEX(TableWRTECalcPts[BYE],MATCH(TableWRTERank[[#This Row],[RK]],TableWRTECalcPts[RK],0)),"")</f>
        <v>10</v>
      </c>
      <c r="AZ237" s="165">
        <f>IFERROR(INDEX(TableWRTECalcPts[Custom],MATCH(TableWRTERank[[#This Row],[RK]],TableWRTECalcPts[RK],0)),"")</f>
        <v>7.3437099440049272</v>
      </c>
      <c r="BA237" s="166">
        <f>IFERROR((TableWRTERank[[#This Row],[FPS]]-INDEX(TableWRTERank[FPS],MATCH(WRTEVORPCalc,TableWRTERank[RK],0))),"")</f>
        <v>-133.89266163828677</v>
      </c>
      <c r="BC237" s="58" t="s">
        <v>8</v>
      </c>
    </row>
    <row r="238" spans="15:55" x14ac:dyDescent="0.25">
      <c r="AF238" s="58" t="s">
        <v>148</v>
      </c>
      <c r="AG238" s="58">
        <v>97</v>
      </c>
      <c r="AH238" s="100">
        <f>RANK(TableOverallMaster[[#This Row],[VORP]],TableOverallMaster[VORP])+COUNTIF($AM$2:AM238,AM238)-1</f>
        <v>231</v>
      </c>
      <c r="AI238" s="157" t="str">
        <f>IFERROR(INDEX(TableWRVORP[WIDE RECEIVER],MATCH(TableOverallMaster[[#This Row],[RK]],TableWRVORP[RK],0)),"")</f>
        <v>Chris Bell</v>
      </c>
      <c r="AJ238" s="157" t="str">
        <f t="shared" si="3"/>
        <v>WR97</v>
      </c>
      <c r="AK238" s="157">
        <f>IFERROR(INDEX(TableWRVORP[BYE],MATCH(TableOverallMaster[[#This Row],[RK]],TableWRVORP[RK],0)),"")</f>
        <v>6</v>
      </c>
      <c r="AL238" s="158">
        <f>IFERROR(INDEX(TableWRVORP[FPS],MATCH(TableOverallMaster[[#This Row],[RK]],TableWRVORP[RK],0)),"")</f>
        <v>53.023781179522445</v>
      </c>
      <c r="AM238" s="159">
        <f>IFERROR(INDEX(TableWRVORP[VORP],MATCH(TableOverallMaster[[#This Row],[RK]],TableWRVORP[RK],0)),"")</f>
        <v>-37.260404210843618</v>
      </c>
      <c r="AO238" s="58">
        <v>237</v>
      </c>
      <c r="AP238" s="160" t="str">
        <f>IFERROR(INDEX(TableOverallMaster[OVERALL PLAYER],MATCH(TableOverallRank[[#This Row],[RK]],TableOverallMaster[OVR RK],0)),"")</f>
        <v>Dyami Brown</v>
      </c>
      <c r="AQ238" s="161" t="str">
        <f>IFERROR(INDEX(TableOverallMaster[POS RK],MATCH(TableOverallRank[[#This Row],[OVERALL PLAYER]],TableOverallMaster[OVERALL PLAYER],0)),"")</f>
        <v>WR102</v>
      </c>
      <c r="AR238" s="162">
        <f>IFERROR(INDEX(TableOverallMaster[BYE],MATCH(TableOverallRank[[#This Row],[OVERALL PLAYER]],TableOverallMaster[OVERALL PLAYER],0)),"")</f>
        <v>7</v>
      </c>
      <c r="AS238" s="161">
        <f>IFERROR(INDEX(TableOverallMaster[Custom],MATCH(TableOverallRank[[#This Row],[OVERALL PLAYER]],TableOverallMaster[OVERALL PLAYER],0)),"")</f>
        <v>50.015364219898544</v>
      </c>
      <c r="AT238" s="163">
        <f>IFERROR(INDEX(TableOverallMaster[VORP],MATCH(TableOverallRank[[#This Row],[OVERALL PLAYER]],TableOverallMaster[OVERALL PLAYER],0)),"")</f>
        <v>-40.268821170467518</v>
      </c>
      <c r="AV238" s="58">
        <v>237</v>
      </c>
      <c r="AW238" s="164" t="str">
        <f>IFERROR(INDEX(TableWRTECalcPts[PLAYER],MATCH(TableWRTERank[[#This Row],[RK]],TableWRTECalcPts[RK],0)),"")</f>
        <v>Jake Bobo</v>
      </c>
      <c r="AX238" s="164" t="str">
        <f>IFERROR(INDEX(TableWRTECalcPts[POS RK],MATCH(TableWRTERank[[#This Row],[WR and TE COMBINED]],TableWRTECalcPts[PLAYER],0)),"")</f>
        <v>WR161</v>
      </c>
      <c r="AY238" s="164">
        <f>IFERROR(INDEX(TableWRTECalcPts[BYE],MATCH(TableWRTERank[[#This Row],[RK]],TableWRTECalcPts[RK],0)),"")</f>
        <v>11</v>
      </c>
      <c r="AZ238" s="165">
        <f>IFERROR(INDEX(TableWRTECalcPts[Custom],MATCH(TableWRTERank[[#This Row],[RK]],TableWRTECalcPts[RK],0)),"")</f>
        <v>7.1671548843720014</v>
      </c>
      <c r="BA238" s="166">
        <f>IFERROR((TableWRTERank[[#This Row],[FPS]]-INDEX(TableWRTERank[FPS],MATCH(WRTEVORPCalc,TableWRTERank[RK],0))),"")</f>
        <v>-134.0692166979197</v>
      </c>
      <c r="BC238" s="58" t="s">
        <v>8</v>
      </c>
    </row>
    <row r="239" spans="15:55" x14ac:dyDescent="0.25">
      <c r="AF239" s="58" t="s">
        <v>148</v>
      </c>
      <c r="AG239" s="58">
        <v>98</v>
      </c>
      <c r="AH239" s="100">
        <f>RANK(TableOverallMaster[[#This Row],[VORP]],TableOverallMaster[VORP])+COUNTIF($AM$2:AM239,AM239)-1</f>
        <v>232</v>
      </c>
      <c r="AI239" s="157" t="str">
        <f>IFERROR(INDEX(TableWRVORP[WIDE RECEIVER],MATCH(TableOverallMaster[[#This Row],[RK]],TableWRVORP[RK],0)),"")</f>
        <v>Dontayvion Wicks</v>
      </c>
      <c r="AJ239" s="157" t="str">
        <f t="shared" si="3"/>
        <v>WR98</v>
      </c>
      <c r="AK239" s="157">
        <f>IFERROR(INDEX(TableWRVORP[BYE],MATCH(TableOverallMaster[[#This Row],[RK]],TableWRVORP[RK],0)),"")</f>
        <v>10</v>
      </c>
      <c r="AL239" s="158">
        <f>IFERROR(INDEX(TableWRVORP[FPS],MATCH(TableOverallMaster[[#This Row],[RK]],TableWRVORP[RK],0)),"")</f>
        <v>52.067609080945914</v>
      </c>
      <c r="AM239" s="159">
        <f>IFERROR(INDEX(TableWRVORP[VORP],MATCH(TableOverallMaster[[#This Row],[RK]],TableWRVORP[RK],0)),"")</f>
        <v>-38.216576309420148</v>
      </c>
      <c r="AO239" s="58">
        <v>238</v>
      </c>
      <c r="AP239" s="160" t="str">
        <f>IFERROR(INDEX(TableOverallMaster[OVERALL PLAYER],MATCH(TableOverallRank[[#This Row],[RK]],TableOverallMaster[OVR RK],0)),"")</f>
        <v>Keon Coleman</v>
      </c>
      <c r="AQ239" s="161" t="str">
        <f>IFERROR(INDEX(TableOverallMaster[POS RK],MATCH(TableOverallRank[[#This Row],[OVERALL PLAYER]],TableOverallMaster[OVERALL PLAYER],0)),"")</f>
        <v>WR103</v>
      </c>
      <c r="AR239" s="162">
        <f>IFERROR(INDEX(TableOverallMaster[BYE],MATCH(TableOverallRank[[#This Row],[OVERALL PLAYER]],TableOverallMaster[OVERALL PLAYER],0)),"")</f>
        <v>7</v>
      </c>
      <c r="AS239" s="161">
        <f>IFERROR(INDEX(TableOverallMaster[Custom],MATCH(TableOverallRank[[#This Row],[OVERALL PLAYER]],TableOverallMaster[OVERALL PLAYER],0)),"")</f>
        <v>49.820494964486386</v>
      </c>
      <c r="AT239" s="163">
        <f>IFERROR(INDEX(TableOverallMaster[VORP],MATCH(TableOverallRank[[#This Row],[OVERALL PLAYER]],TableOverallMaster[OVERALL PLAYER],0)),"")</f>
        <v>-40.463690425879676</v>
      </c>
      <c r="AV239" s="58">
        <v>238</v>
      </c>
      <c r="AW239" s="164" t="str">
        <f>IFERROR(INDEX(TableWRTECalcPts[PLAYER],MATCH(TableWRTERank[[#This Row],[RK]],TableWRTECalcPts[RK],0)),"")</f>
        <v>Kyle Williams</v>
      </c>
      <c r="AX239" s="164" t="str">
        <f>IFERROR(INDEX(TableWRTECalcPts[POS RK],MATCH(TableWRTERank[[#This Row],[WR and TE COMBINED]],TableWRTECalcPts[PLAYER],0)),"")</f>
        <v>WR162</v>
      </c>
      <c r="AY239" s="164">
        <f>IFERROR(INDEX(TableWRTECalcPts[BYE],MATCH(TableWRTERank[[#This Row],[RK]],TableWRTECalcPts[RK],0)),"")</f>
        <v>11</v>
      </c>
      <c r="AZ239" s="165">
        <f>IFERROR(INDEX(TableWRTECalcPts[Custom],MATCH(TableWRTERank[[#This Row],[RK]],TableWRTECalcPts[RK],0)),"")</f>
        <v>7.1026774721279979</v>
      </c>
      <c r="BA239" s="166">
        <f>IFERROR((TableWRTERank[[#This Row],[FPS]]-INDEX(TableWRTERank[FPS],MATCH(WRTEVORPCalc,TableWRTERank[RK],0))),"")</f>
        <v>-134.1336941101637</v>
      </c>
      <c r="BC239" s="58" t="s">
        <v>8</v>
      </c>
    </row>
    <row r="240" spans="15:55" x14ac:dyDescent="0.25">
      <c r="AF240" s="58" t="s">
        <v>148</v>
      </c>
      <c r="AG240" s="58">
        <v>99</v>
      </c>
      <c r="AH240" s="100">
        <f>RANK(TableOverallMaster[[#This Row],[VORP]],TableOverallMaster[VORP])+COUNTIF($AM$2:AM240,AM240)-1</f>
        <v>233</v>
      </c>
      <c r="AI240" s="157" t="str">
        <f>IFERROR(INDEX(TableWRVORP[WIDE RECEIVER],MATCH(TableOverallMaster[[#This Row],[RK]],TableWRVORP[RK],0)),"")</f>
        <v>Pat Bryant</v>
      </c>
      <c r="AJ240" s="157" t="str">
        <f t="shared" si="3"/>
        <v>WR99</v>
      </c>
      <c r="AK240" s="157">
        <f>IFERROR(INDEX(TableWRVORP[BYE],MATCH(TableOverallMaster[[#This Row],[RK]],TableWRVORP[RK],0)),"")</f>
        <v>10</v>
      </c>
      <c r="AL240" s="158">
        <f>IFERROR(INDEX(TableWRVORP[FPS],MATCH(TableOverallMaster[[#This Row],[RK]],TableWRVORP[RK],0)),"")</f>
        <v>51.354758488633621</v>
      </c>
      <c r="AM240" s="159">
        <f>IFERROR(INDEX(TableWRVORP[VORP],MATCH(TableOverallMaster[[#This Row],[RK]],TableWRVORP[RK],0)),"")</f>
        <v>-38.929426901732441</v>
      </c>
      <c r="AO240" s="58">
        <v>239</v>
      </c>
      <c r="AP240" s="160" t="str">
        <f>IFERROR(INDEX(TableOverallMaster[OVERALL PLAYER],MATCH(TableOverallRank[[#This Row],[RK]],TableOverallMaster[OVR RK],0)),"")</f>
        <v>Max Klare</v>
      </c>
      <c r="AQ240" s="161" t="str">
        <f>IFERROR(INDEX(TableOverallMaster[POS RK],MATCH(TableOverallRank[[#This Row],[OVERALL PLAYER]],TableOverallMaster[OVERALL PLAYER],0)),"")</f>
        <v>TE45</v>
      </c>
      <c r="AR240" s="162">
        <f>IFERROR(INDEX(TableOverallMaster[BYE],MATCH(TableOverallRank[[#This Row],[OVERALL PLAYER]],TableOverallMaster[OVERALL PLAYER],0)),"")</f>
        <v>11</v>
      </c>
      <c r="AS240" s="161">
        <f>IFERROR(INDEX(TableOverallMaster[Custom],MATCH(TableOverallRank[[#This Row],[OVERALL PLAYER]],TableOverallMaster[OVERALL PLAYER],0)),"")</f>
        <v>35.785164132437984</v>
      </c>
      <c r="AT240" s="163">
        <f>IFERROR(INDEX(TableOverallMaster[VORP],MATCH(TableOverallRank[[#This Row],[OVERALL PLAYER]],TableOverallMaster[OVERALL PLAYER],0)),"")</f>
        <v>-42.100629843803702</v>
      </c>
      <c r="AV240" s="58">
        <v>239</v>
      </c>
      <c r="AW240" s="164" t="str">
        <f>IFERROR(INDEX(TableWRTECalcPts[PLAYER],MATCH(TableWRTERank[[#This Row],[RK]],TableWRTECalcPts[RK],0)),"")</f>
        <v>Charlie Woerner</v>
      </c>
      <c r="AX240" s="164" t="str">
        <f>IFERROR(INDEX(TableWRTECalcPts[POS RK],MATCH(TableWRTERank[[#This Row],[WR and TE COMBINED]],TableWRTECalcPts[PLAYER],0)),"")</f>
        <v>TE77</v>
      </c>
      <c r="AY240" s="164">
        <f>IFERROR(INDEX(TableWRTECalcPts[BYE],MATCH(TableWRTERank[[#This Row],[RK]],TableWRTECalcPts[RK],0)),"")</f>
        <v>11</v>
      </c>
      <c r="AZ240" s="165">
        <f>IFERROR(INDEX(TableWRTECalcPts[Custom],MATCH(TableWRTERank[[#This Row],[RK]],TableWRTECalcPts[RK],0)),"")</f>
        <v>6.9441723627850118</v>
      </c>
      <c r="BA240" s="166">
        <f>IFERROR((TableWRTERank[[#This Row],[FPS]]-INDEX(TableWRTERank[FPS],MATCH(WRTEVORPCalc,TableWRTERank[RK],0))),"")</f>
        <v>-134.29219921950667</v>
      </c>
      <c r="BC240" s="58" t="s">
        <v>8</v>
      </c>
    </row>
    <row r="241" spans="32:55" x14ac:dyDescent="0.25">
      <c r="AF241" s="58" t="s">
        <v>148</v>
      </c>
      <c r="AG241" s="58">
        <v>100</v>
      </c>
      <c r="AH241" s="100">
        <f>RANK(TableOverallMaster[[#This Row],[VORP]],TableOverallMaster[VORP])+COUNTIF($AM$2:AM241,AM241)-1</f>
        <v>234</v>
      </c>
      <c r="AI241" s="157" t="str">
        <f>IFERROR(INDEX(TableWRVORP[WIDE RECEIVER],MATCH(TableOverallMaster[[#This Row],[RK]],TableWRVORP[RK],0)),"")</f>
        <v>Devaughn Vele</v>
      </c>
      <c r="AJ241" s="157" t="str">
        <f t="shared" si="3"/>
        <v>WR100</v>
      </c>
      <c r="AK241" s="157">
        <f>IFERROR(INDEX(TableWRVORP[BYE],MATCH(TableOverallMaster[[#This Row],[RK]],TableWRVORP[RK],0)),"")</f>
        <v>8</v>
      </c>
      <c r="AL241" s="158">
        <f>IFERROR(INDEX(TableWRVORP[FPS],MATCH(TableOverallMaster[[#This Row],[RK]],TableWRVORP[RK],0)),"")</f>
        <v>51.274309412403603</v>
      </c>
      <c r="AM241" s="159">
        <f>IFERROR(INDEX(TableWRVORP[VORP],MATCH(TableOverallMaster[[#This Row],[RK]],TableWRVORP[RK],0)),"")</f>
        <v>-39.009875977962459</v>
      </c>
      <c r="AO241" s="58">
        <v>240</v>
      </c>
      <c r="AP241" s="160" t="str">
        <f>IFERROR(INDEX(TableOverallMaster[OVERALL PLAYER],MATCH(TableOverallRank[[#This Row],[RK]],TableOverallMaster[OVR RK],0)),"")</f>
        <v>Nicholas Singleton</v>
      </c>
      <c r="AQ241" s="161" t="str">
        <f>IFERROR(INDEX(TableOverallMaster[POS RK],MATCH(TableOverallRank[[#This Row],[OVERALL PLAYER]],TableOverallMaster[OVERALL PLAYER],0)),"")</f>
        <v>RB62</v>
      </c>
      <c r="AR241" s="162">
        <f>IFERROR(INDEX(TableOverallMaster[BYE],MATCH(TableOverallRank[[#This Row],[OVERALL PLAYER]],TableOverallMaster[OVERALL PLAYER],0)),"")</f>
        <v>9</v>
      </c>
      <c r="AS241" s="161">
        <f>IFERROR(INDEX(TableOverallMaster[Custom],MATCH(TableOverallRank[[#This Row],[OVERALL PLAYER]],TableOverallMaster[OVERALL PLAYER],0)),"")</f>
        <v>50.882765347008004</v>
      </c>
      <c r="AT241" s="163">
        <f>IFERROR(INDEX(TableOverallMaster[VORP],MATCH(TableOverallRank[[#This Row],[OVERALL PLAYER]],TableOverallMaster[OVERALL PLAYER],0)),"")</f>
        <v>-42.500059107215499</v>
      </c>
      <c r="AV241" s="58">
        <v>240</v>
      </c>
      <c r="AW241" s="164" t="str">
        <f>IFERROR(INDEX(TableWRTECalcPts[PLAYER],MATCH(TableWRTERank[[#This Row],[RK]],TableWRTECalcPts[RK],0)),"")</f>
        <v>Mason Tipton</v>
      </c>
      <c r="AX241" s="164" t="str">
        <f>IFERROR(INDEX(TableWRTECalcPts[POS RK],MATCH(TableWRTERank[[#This Row],[WR and TE COMBINED]],TableWRTECalcPts[PLAYER],0)),"")</f>
        <v>WR163</v>
      </c>
      <c r="AY241" s="164">
        <f>IFERROR(INDEX(TableWRTECalcPts[BYE],MATCH(TableWRTERank[[#This Row],[RK]],TableWRTECalcPts[RK],0)),"")</f>
        <v>8</v>
      </c>
      <c r="AZ241" s="165">
        <f>IFERROR(INDEX(TableWRTECalcPts[Custom],MATCH(TableWRTERank[[#This Row],[RK]],TableWRTECalcPts[RK],0)),"")</f>
        <v>6.7051481333759995</v>
      </c>
      <c r="BA241" s="166">
        <f>IFERROR((TableWRTERank[[#This Row],[FPS]]-INDEX(TableWRTERank[FPS],MATCH(WRTEVORPCalc,TableWRTERank[RK],0))),"")</f>
        <v>-134.53122344891568</v>
      </c>
      <c r="BC241" s="58" t="s">
        <v>8</v>
      </c>
    </row>
    <row r="242" spans="32:55" x14ac:dyDescent="0.25">
      <c r="AF242" s="58" t="s">
        <v>148</v>
      </c>
      <c r="AG242" s="58">
        <v>101</v>
      </c>
      <c r="AH242" s="100">
        <f>RANK(TableOverallMaster[[#This Row],[VORP]],TableOverallMaster[VORP])+COUNTIF($AM$2:AM242,AM242)-1</f>
        <v>236</v>
      </c>
      <c r="AI242" s="157" t="str">
        <f>IFERROR(INDEX(TableWRVORP[WIDE RECEIVER],MATCH(TableOverallMaster[[#This Row],[RK]],TableWRVORP[RK],0)),"")</f>
        <v>Savion Williams</v>
      </c>
      <c r="AJ242" s="157" t="str">
        <f t="shared" si="3"/>
        <v>WR101</v>
      </c>
      <c r="AK242" s="157">
        <f>IFERROR(INDEX(TableWRVORP[BYE],MATCH(TableOverallMaster[[#This Row],[RK]],TableWRVORP[RK],0)),"")</f>
        <v>11</v>
      </c>
      <c r="AL242" s="158">
        <f>IFERROR(INDEX(TableWRVORP[FPS],MATCH(TableOverallMaster[[#This Row],[RK]],TableWRVORP[RK],0)),"")</f>
        <v>50.259188410268962</v>
      </c>
      <c r="AM242" s="159">
        <f>IFERROR(INDEX(TableWRVORP[VORP],MATCH(TableOverallMaster[[#This Row],[RK]],TableWRVORP[RK],0)),"")</f>
        <v>-40.0249969800971</v>
      </c>
      <c r="AO242" s="58">
        <v>241</v>
      </c>
      <c r="AP242" s="160" t="str">
        <f>IFERROR(INDEX(TableOverallMaster[OVERALL PLAYER],MATCH(TableOverallRank[[#This Row],[RK]],TableOverallMaster[OVR RK],0)),"")</f>
        <v>Ted Hurst</v>
      </c>
      <c r="AQ242" s="161" t="str">
        <f>IFERROR(INDEX(TableOverallMaster[POS RK],MATCH(TableOverallRank[[#This Row],[OVERALL PLAYER]],TableOverallMaster[OVERALL PLAYER],0)),"")</f>
        <v>WR104</v>
      </c>
      <c r="AR242" s="162">
        <f>IFERROR(INDEX(TableOverallMaster[BYE],MATCH(TableOverallRank[[#This Row],[OVERALL PLAYER]],TableOverallMaster[OVERALL PLAYER],0)),"")</f>
        <v>10</v>
      </c>
      <c r="AS242" s="161">
        <f>IFERROR(INDEX(TableOverallMaster[Custom],MATCH(TableOverallRank[[#This Row],[OVERALL PLAYER]],TableOverallMaster[OVERALL PLAYER],0)),"")</f>
        <v>47.619043990707816</v>
      </c>
      <c r="AT242" s="163">
        <f>IFERROR(INDEX(TableOverallMaster[VORP],MATCH(TableOverallRank[[#This Row],[OVERALL PLAYER]],TableOverallMaster[OVERALL PLAYER],0)),"")</f>
        <v>-42.665141399658246</v>
      </c>
      <c r="AV242" s="58">
        <v>241</v>
      </c>
      <c r="AW242" s="164" t="str">
        <f>IFERROR(INDEX(TableWRTECalcPts[PLAYER],MATCH(TableWRTERank[[#This Row],[RK]],TableWRTECalcPts[RK],0)),"")</f>
        <v>Jordan Watkins</v>
      </c>
      <c r="AX242" s="164" t="str">
        <f>IFERROR(INDEX(TableWRTECalcPts[POS RK],MATCH(TableWRTERank[[#This Row],[WR and TE COMBINED]],TableWRTECalcPts[PLAYER],0)),"")</f>
        <v>WR164</v>
      </c>
      <c r="AY242" s="164">
        <f>IFERROR(INDEX(TableWRTECalcPts[BYE],MATCH(TableWRTERank[[#This Row],[RK]],TableWRTECalcPts[RK],0)),"")</f>
        <v>8</v>
      </c>
      <c r="AZ242" s="165">
        <f>IFERROR(INDEX(TableWRTECalcPts[Custom],MATCH(TableWRTERank[[#This Row],[RK]],TableWRTECalcPts[RK],0)),"")</f>
        <v>6.6859447263304252</v>
      </c>
      <c r="BA242" s="166">
        <f>IFERROR((TableWRTERank[[#This Row],[FPS]]-INDEX(TableWRTERank[FPS],MATCH(WRTEVORPCalc,TableWRTERank[RK],0))),"")</f>
        <v>-134.55042685596126</v>
      </c>
      <c r="BC242" s="58" t="s">
        <v>8</v>
      </c>
    </row>
    <row r="243" spans="32:55" x14ac:dyDescent="0.25">
      <c r="AF243" s="58" t="s">
        <v>148</v>
      </c>
      <c r="AG243" s="58">
        <v>102</v>
      </c>
      <c r="AH243" s="100">
        <f>RANK(TableOverallMaster[[#This Row],[VORP]],TableOverallMaster[VORP])+COUNTIF($AM$2:AM243,AM243)-1</f>
        <v>237</v>
      </c>
      <c r="AI243" s="157" t="str">
        <f>IFERROR(INDEX(TableWRVORP[WIDE RECEIVER],MATCH(TableOverallMaster[[#This Row],[RK]],TableWRVORP[RK],0)),"")</f>
        <v>Dyami Brown</v>
      </c>
      <c r="AJ243" s="157" t="str">
        <f t="shared" si="3"/>
        <v>WR102</v>
      </c>
      <c r="AK243" s="157">
        <f>IFERROR(INDEX(TableWRVORP[BYE],MATCH(TableOverallMaster[[#This Row],[RK]],TableWRVORP[RK],0)),"")</f>
        <v>7</v>
      </c>
      <c r="AL243" s="158">
        <f>IFERROR(INDEX(TableWRVORP[FPS],MATCH(TableOverallMaster[[#This Row],[RK]],TableWRVORP[RK],0)),"")</f>
        <v>50.015364219898544</v>
      </c>
      <c r="AM243" s="159">
        <f>IFERROR(INDEX(TableWRVORP[VORP],MATCH(TableOverallMaster[[#This Row],[RK]],TableWRVORP[RK],0)),"")</f>
        <v>-40.268821170467518</v>
      </c>
      <c r="AO243" s="58">
        <v>242</v>
      </c>
      <c r="AP243" s="160" t="str">
        <f>IFERROR(INDEX(TableOverallMaster[OVERALL PLAYER],MATCH(TableOverallRank[[#This Row],[RK]],TableOverallMaster[OVR RK],0)),"")</f>
        <v>Ray Davis</v>
      </c>
      <c r="AQ243" s="161" t="str">
        <f>IFERROR(INDEX(TableOverallMaster[POS RK],MATCH(TableOverallRank[[#This Row],[OVERALL PLAYER]],TableOverallMaster[OVERALL PLAYER],0)),"")</f>
        <v>RB63</v>
      </c>
      <c r="AR243" s="162">
        <f>IFERROR(INDEX(TableOverallMaster[BYE],MATCH(TableOverallRank[[#This Row],[OVERALL PLAYER]],TableOverallMaster[OVERALL PLAYER],0)),"")</f>
        <v>7</v>
      </c>
      <c r="AS243" s="161">
        <f>IFERROR(INDEX(TableOverallMaster[Custom],MATCH(TableOverallRank[[#This Row],[OVERALL PLAYER]],TableOverallMaster[OVERALL PLAYER],0)),"")</f>
        <v>48.763805613529733</v>
      </c>
      <c r="AT243" s="163">
        <f>IFERROR(INDEX(TableOverallMaster[VORP],MATCH(TableOverallRank[[#This Row],[OVERALL PLAYER]],TableOverallMaster[OVERALL PLAYER],0)),"")</f>
        <v>-44.195226893998118</v>
      </c>
      <c r="AV243" s="58">
        <v>242</v>
      </c>
      <c r="AW243" s="164" t="str">
        <f>IFERROR(INDEX(TableWRTECalcPts[PLAYER],MATCH(TableWRTERank[[#This Row],[RK]],TableWRTECalcPts[RK],0)),"")</f>
        <v>CJ Daniels</v>
      </c>
      <c r="AX243" s="164" t="str">
        <f>IFERROR(INDEX(TableWRTECalcPts[POS RK],MATCH(TableWRTERank[[#This Row],[WR and TE COMBINED]],TableWRTECalcPts[PLAYER],0)),"")</f>
        <v>WR165</v>
      </c>
      <c r="AY243" s="164">
        <f>IFERROR(INDEX(TableWRTECalcPts[BYE],MATCH(TableWRTERank[[#This Row],[RK]],TableWRTECalcPts[RK],0)),"")</f>
        <v>11</v>
      </c>
      <c r="AZ243" s="165">
        <f>IFERROR(INDEX(TableWRTECalcPts[Custom],MATCH(TableWRTERank[[#This Row],[RK]],TableWRTECalcPts[RK],0)),"")</f>
        <v>6.4120360256657101</v>
      </c>
      <c r="BA243" s="166">
        <f>IFERROR((TableWRTERank[[#This Row],[FPS]]-INDEX(TableWRTERank[FPS],MATCH(WRTEVORPCalc,TableWRTERank[RK],0))),"")</f>
        <v>-134.82433555662598</v>
      </c>
      <c r="BC243" s="58" t="s">
        <v>8</v>
      </c>
    </row>
    <row r="244" spans="32:55" x14ac:dyDescent="0.25">
      <c r="AF244" s="58" t="s">
        <v>148</v>
      </c>
      <c r="AG244" s="58">
        <v>103</v>
      </c>
      <c r="AH244" s="100">
        <f>RANK(TableOverallMaster[[#This Row],[VORP]],TableOverallMaster[VORP])+COUNTIF($AM$2:AM244,AM244)-1</f>
        <v>238</v>
      </c>
      <c r="AI244" s="157" t="str">
        <f>IFERROR(INDEX(TableWRVORP[WIDE RECEIVER],MATCH(TableOverallMaster[[#This Row],[RK]],TableWRVORP[RK],0)),"")</f>
        <v>Keon Coleman</v>
      </c>
      <c r="AJ244" s="157" t="str">
        <f t="shared" si="3"/>
        <v>WR103</v>
      </c>
      <c r="AK244" s="157">
        <f>IFERROR(INDEX(TableWRVORP[BYE],MATCH(TableOverallMaster[[#This Row],[RK]],TableWRVORP[RK],0)),"")</f>
        <v>7</v>
      </c>
      <c r="AL244" s="158">
        <f>IFERROR(INDEX(TableWRVORP[FPS],MATCH(TableOverallMaster[[#This Row],[RK]],TableWRVORP[RK],0)),"")</f>
        <v>49.820494964486386</v>
      </c>
      <c r="AM244" s="159">
        <f>IFERROR(INDEX(TableWRVORP[VORP],MATCH(TableOverallMaster[[#This Row],[RK]],TableWRVORP[RK],0)),"")</f>
        <v>-40.463690425879676</v>
      </c>
      <c r="AO244" s="58">
        <v>243</v>
      </c>
      <c r="AP244" s="160" t="str">
        <f>IFERROR(INDEX(TableOverallMaster[OVERALL PLAYER],MATCH(TableOverallRank[[#This Row],[RK]],TableOverallMaster[OVR RK],0)),"")</f>
        <v>Emmett Johnson</v>
      </c>
      <c r="AQ244" s="161" t="str">
        <f>IFERROR(INDEX(TableOverallMaster[POS RK],MATCH(TableOverallRank[[#This Row],[OVERALL PLAYER]],TableOverallMaster[OVERALL PLAYER],0)),"")</f>
        <v>RB64</v>
      </c>
      <c r="AR244" s="162">
        <f>IFERROR(INDEX(TableOverallMaster[BYE],MATCH(TableOverallRank[[#This Row],[OVERALL PLAYER]],TableOverallMaster[OVERALL PLAYER],0)),"")</f>
        <v>5</v>
      </c>
      <c r="AS244" s="161">
        <f>IFERROR(INDEX(TableOverallMaster[Custom],MATCH(TableOverallRank[[#This Row],[OVERALL PLAYER]],TableOverallMaster[OVERALL PLAYER],0)),"")</f>
        <v>48.16206971898</v>
      </c>
      <c r="AT244" s="163">
        <f>IFERROR(INDEX(TableOverallMaster[VORP],MATCH(TableOverallRank[[#This Row],[OVERALL PLAYER]],TableOverallMaster[OVERALL PLAYER],0)),"")</f>
        <v>-44.676615609637906</v>
      </c>
      <c r="AV244" s="58">
        <v>243</v>
      </c>
      <c r="AW244" s="164" t="str">
        <f>IFERROR(INDEX(TableWRTECalcPts[PLAYER],MATCH(TableWRTERank[[#This Row],[RK]],TableWRTECalcPts[RK],0)),"")</f>
        <v>Kameron Johnson</v>
      </c>
      <c r="AX244" s="164" t="str">
        <f>IFERROR(INDEX(TableWRTECalcPts[POS RK],MATCH(TableWRTERank[[#This Row],[WR and TE COMBINED]],TableWRTECalcPts[PLAYER],0)),"")</f>
        <v>WR166</v>
      </c>
      <c r="AY244" s="164">
        <f>IFERROR(INDEX(TableWRTECalcPts[BYE],MATCH(TableWRTERank[[#This Row],[RK]],TableWRTECalcPts[RK],0)),"")</f>
        <v>10</v>
      </c>
      <c r="AZ244" s="165">
        <f>IFERROR(INDEX(TableWRTECalcPts[Custom],MATCH(TableWRTERank[[#This Row],[RK]],TableWRTECalcPts[RK],0)),"")</f>
        <v>6.3680204445311972</v>
      </c>
      <c r="BA244" s="166">
        <f>IFERROR((TableWRTERank[[#This Row],[FPS]]-INDEX(TableWRTERank[FPS],MATCH(WRTEVORPCalc,TableWRTERank[RK],0))),"")</f>
        <v>-134.8683511377605</v>
      </c>
      <c r="BC244" s="58" t="s">
        <v>8</v>
      </c>
    </row>
    <row r="245" spans="32:55" x14ac:dyDescent="0.25">
      <c r="AF245" s="58" t="s">
        <v>148</v>
      </c>
      <c r="AG245" s="58">
        <v>104</v>
      </c>
      <c r="AH245" s="100">
        <f>RANK(TableOverallMaster[[#This Row],[VORP]],TableOverallMaster[VORP])+COUNTIF($AM$2:AM245,AM245)-1</f>
        <v>241</v>
      </c>
      <c r="AI245" s="157" t="str">
        <f>IFERROR(INDEX(TableWRVORP[WIDE RECEIVER],MATCH(TableOverallMaster[[#This Row],[RK]],TableWRVORP[RK],0)),"")</f>
        <v>Ted Hurst</v>
      </c>
      <c r="AJ245" s="157" t="str">
        <f t="shared" si="3"/>
        <v>WR104</v>
      </c>
      <c r="AK245" s="157">
        <f>IFERROR(INDEX(TableWRVORP[BYE],MATCH(TableOverallMaster[[#This Row],[RK]],TableWRVORP[RK],0)),"")</f>
        <v>10</v>
      </c>
      <c r="AL245" s="158">
        <f>IFERROR(INDEX(TableWRVORP[FPS],MATCH(TableOverallMaster[[#This Row],[RK]],TableWRVORP[RK],0)),"")</f>
        <v>47.619043990707816</v>
      </c>
      <c r="AM245" s="159">
        <f>IFERROR(INDEX(TableWRVORP[VORP],MATCH(TableOverallMaster[[#This Row],[RK]],TableWRVORP[RK],0)),"")</f>
        <v>-42.665141399658246</v>
      </c>
      <c r="AO245" s="58">
        <v>244</v>
      </c>
      <c r="AP245" s="160" t="str">
        <f>IFERROR(INDEX(TableOverallMaster[OVERALL PLAYER],MATCH(TableOverallRank[[#This Row],[RK]],TableOverallMaster[OVR RK],0)),"")</f>
        <v>Austin Hooper</v>
      </c>
      <c r="AQ245" s="161" t="str">
        <f>IFERROR(INDEX(TableOverallMaster[POS RK],MATCH(TableOverallRank[[#This Row],[OVERALL PLAYER]],TableOverallMaster[OVERALL PLAYER],0)),"")</f>
        <v>TE46</v>
      </c>
      <c r="AR245" s="162">
        <f>IFERROR(INDEX(TableOverallMaster[BYE],MATCH(TableOverallRank[[#This Row],[OVERALL PLAYER]],TableOverallMaster[OVERALL PLAYER],0)),"")</f>
        <v>11</v>
      </c>
      <c r="AS245" s="161">
        <f>IFERROR(INDEX(TableOverallMaster[Custom],MATCH(TableOverallRank[[#This Row],[OVERALL PLAYER]],TableOverallMaster[OVERALL PLAYER],0)),"")</f>
        <v>33.184453283020098</v>
      </c>
      <c r="AT245" s="163">
        <f>IFERROR(INDEX(TableOverallMaster[VORP],MATCH(TableOverallRank[[#This Row],[OVERALL PLAYER]],TableOverallMaster[OVERALL PLAYER],0)),"")</f>
        <v>-44.701340693221589</v>
      </c>
      <c r="AV245" s="58">
        <v>244</v>
      </c>
      <c r="AW245" s="164" t="str">
        <f>IFERROR(INDEX(TableWRTECalcPts[PLAYER],MATCH(TableWRTERank[[#This Row],[RK]],TableWRTECalcPts[RK],0)),"")</f>
        <v>Justin Watson</v>
      </c>
      <c r="AX245" s="164" t="str">
        <f>IFERROR(INDEX(TableWRTECalcPts[POS RK],MATCH(TableWRTERank[[#This Row],[WR and TE COMBINED]],TableWRTECalcPts[PLAYER],0)),"")</f>
        <v>WR167</v>
      </c>
      <c r="AY245" s="164">
        <f>IFERROR(INDEX(TableWRTECalcPts[BYE],MATCH(TableWRTERank[[#This Row],[RK]],TableWRTECalcPts[RK],0)),"")</f>
        <v>8</v>
      </c>
      <c r="AZ245" s="165">
        <f>IFERROR(INDEX(TableWRTECalcPts[Custom],MATCH(TableWRTERank[[#This Row],[RK]],TableWRTECalcPts[RK],0)),"")</f>
        <v>6.2971187382564455</v>
      </c>
      <c r="BA245" s="166">
        <f>IFERROR((TableWRTERank[[#This Row],[FPS]]-INDEX(TableWRTERank[FPS],MATCH(WRTEVORPCalc,TableWRTERank[RK],0))),"")</f>
        <v>-134.93925284403525</v>
      </c>
      <c r="BC245" s="58" t="s">
        <v>8</v>
      </c>
    </row>
    <row r="246" spans="32:55" x14ac:dyDescent="0.25">
      <c r="AF246" s="58" t="s">
        <v>148</v>
      </c>
      <c r="AG246" s="58">
        <v>105</v>
      </c>
      <c r="AH246" s="100">
        <f>RANK(TableOverallMaster[[#This Row],[VORP]],TableOverallMaster[VORP])+COUNTIF($AM$2:AM246,AM246)-1</f>
        <v>246</v>
      </c>
      <c r="AI246" s="157" t="str">
        <f>IFERROR(INDEX(TableWRVORP[WIDE RECEIVER],MATCH(TableOverallMaster[[#This Row],[RK]],TableWRVORP[RK],0)),"")</f>
        <v>Travis Hunter</v>
      </c>
      <c r="AJ246" s="157" t="str">
        <f t="shared" si="3"/>
        <v>WR105</v>
      </c>
      <c r="AK246" s="157">
        <f>IFERROR(INDEX(TableWRVORP[BYE],MATCH(TableOverallMaster[[#This Row],[RK]],TableWRVORP[RK],0)),"")</f>
        <v>7</v>
      </c>
      <c r="AL246" s="158">
        <f>IFERROR(INDEX(TableWRVORP[FPS],MATCH(TableOverallMaster[[#This Row],[RK]],TableWRVORP[RK],0)),"")</f>
        <v>45.395094095769608</v>
      </c>
      <c r="AM246" s="159">
        <f>IFERROR(INDEX(TableWRVORP[VORP],MATCH(TableOverallMaster[[#This Row],[RK]],TableWRVORP[RK],0)),"")</f>
        <v>-44.889091294596454</v>
      </c>
      <c r="AO246" s="58">
        <v>245</v>
      </c>
      <c r="AP246" s="160" t="str">
        <f>IFERROR(INDEX(TableOverallMaster[OVERALL PLAYER],MATCH(TableOverallRank[[#This Row],[RK]],TableOverallMaster[OVR RK],0)),"")</f>
        <v>Ollie Gordon</v>
      </c>
      <c r="AQ246" s="161" t="str">
        <f>IFERROR(INDEX(TableOverallMaster[POS RK],MATCH(TableOverallRank[[#This Row],[OVERALL PLAYER]],TableOverallMaster[OVERALL PLAYER],0)),"")</f>
        <v>RB65</v>
      </c>
      <c r="AR246" s="162">
        <f>IFERROR(INDEX(TableOverallMaster[BYE],MATCH(TableOverallRank[[#This Row],[OVERALL PLAYER]],TableOverallMaster[OVERALL PLAYER],0)),"")</f>
        <v>6</v>
      </c>
      <c r="AS246" s="161">
        <f>IFERROR(INDEX(TableOverallMaster[Custom],MATCH(TableOverallRank[[#This Row],[OVERALL PLAYER]],TableOverallMaster[OVERALL PLAYER],0)),"")</f>
        <v>48.085238757441402</v>
      </c>
      <c r="AT246" s="163">
        <f>IFERROR(INDEX(TableOverallMaster[VORP],MATCH(TableOverallRank[[#This Row],[OVERALL PLAYER]],TableOverallMaster[OVERALL PLAYER],0)),"")</f>
        <v>-44.73808037886878</v>
      </c>
      <c r="AV246" s="58">
        <v>245</v>
      </c>
      <c r="AW246" s="164" t="str">
        <f>IFERROR(INDEX(TableWRTECalcPts[PLAYER],MATCH(TableWRTERank[[#This Row],[RK]],TableWRTECalcPts[RK],0)),"")</f>
        <v>Isaiah Williams</v>
      </c>
      <c r="AX246" s="164" t="str">
        <f>IFERROR(INDEX(TableWRTECalcPts[POS RK],MATCH(TableWRTERank[[#This Row],[WR and TE COMBINED]],TableWRTECalcPts[PLAYER],0)),"")</f>
        <v>WR168</v>
      </c>
      <c r="AY246" s="164">
        <f>IFERROR(INDEX(TableWRTECalcPts[BYE],MATCH(TableWRTERank[[#This Row],[RK]],TableWRTECalcPts[RK],0)),"")</f>
        <v>13</v>
      </c>
      <c r="AZ246" s="165">
        <f>IFERROR(INDEX(TableWRTECalcPts[Custom],MATCH(TableWRTERank[[#This Row],[RK]],TableWRTECalcPts[RK],0)),"")</f>
        <v>6.2127515792074117</v>
      </c>
      <c r="BA246" s="166">
        <f>IFERROR((TableWRTERank[[#This Row],[FPS]]-INDEX(TableWRTERank[FPS],MATCH(WRTEVORPCalc,TableWRTERank[RK],0))),"")</f>
        <v>-135.02362000308429</v>
      </c>
      <c r="BC246" s="58" t="s">
        <v>8</v>
      </c>
    </row>
    <row r="247" spans="32:55" x14ac:dyDescent="0.25">
      <c r="AF247" s="58" t="s">
        <v>148</v>
      </c>
      <c r="AG247" s="58">
        <v>106</v>
      </c>
      <c r="AH247" s="100">
        <f>RANK(TableOverallMaster[[#This Row],[VORP]],TableOverallMaster[VORP])+COUNTIF($AM$2:AM247,AM247)-1</f>
        <v>247</v>
      </c>
      <c r="AI247" s="157" t="str">
        <f>IFERROR(INDEX(TableWRVORP[WIDE RECEIVER],MATCH(TableOverallMaster[[#This Row],[RK]],TableWRVORP[RK],0)),"")</f>
        <v>De'Zhaun Stribling</v>
      </c>
      <c r="AJ247" s="157" t="str">
        <f t="shared" si="3"/>
        <v>WR106</v>
      </c>
      <c r="AK247" s="157">
        <f>IFERROR(INDEX(TableWRVORP[BYE],MATCH(TableOverallMaster[[#This Row],[RK]],TableWRVORP[RK],0)),"")</f>
        <v>8</v>
      </c>
      <c r="AL247" s="158">
        <f>IFERROR(INDEX(TableWRVORP[FPS],MATCH(TableOverallMaster[[#This Row],[RK]],TableWRVORP[RK],0)),"")</f>
        <v>45.1604312615232</v>
      </c>
      <c r="AM247" s="159">
        <f>IFERROR(INDEX(TableWRVORP[VORP],MATCH(TableOverallMaster[[#This Row],[RK]],TableWRVORP[RK],0)),"")</f>
        <v>-45.123754128842862</v>
      </c>
      <c r="AO247" s="58">
        <v>246</v>
      </c>
      <c r="AP247" s="160" t="str">
        <f>IFERROR(INDEX(TableOverallMaster[OVERALL PLAYER],MATCH(TableOverallRank[[#This Row],[RK]],TableOverallMaster[OVR RK],0)),"")</f>
        <v>Travis Hunter</v>
      </c>
      <c r="AQ247" s="161" t="str">
        <f>IFERROR(INDEX(TableOverallMaster[POS RK],MATCH(TableOverallRank[[#This Row],[OVERALL PLAYER]],TableOverallMaster[OVERALL PLAYER],0)),"")</f>
        <v>WR105</v>
      </c>
      <c r="AR247" s="162">
        <f>IFERROR(INDEX(TableOverallMaster[BYE],MATCH(TableOverallRank[[#This Row],[OVERALL PLAYER]],TableOverallMaster[OVERALL PLAYER],0)),"")</f>
        <v>7</v>
      </c>
      <c r="AS247" s="161">
        <f>IFERROR(INDEX(TableOverallMaster[Custom],MATCH(TableOverallRank[[#This Row],[OVERALL PLAYER]],TableOverallMaster[OVERALL PLAYER],0)),"")</f>
        <v>45.395094095769608</v>
      </c>
      <c r="AT247" s="163">
        <f>IFERROR(INDEX(TableOverallMaster[VORP],MATCH(TableOverallRank[[#This Row],[OVERALL PLAYER]],TableOverallMaster[OVERALL PLAYER],0)),"")</f>
        <v>-44.889091294596454</v>
      </c>
      <c r="AV247" s="58">
        <v>246</v>
      </c>
      <c r="AW247" s="164" t="str">
        <f>IFERROR(INDEX(TableWRTECalcPts[PLAYER],MATCH(TableWRTERank[[#This Row],[RK]],TableWRTECalcPts[RK],0)),"")</f>
        <v>Scotty Miller</v>
      </c>
      <c r="AX247" s="164" t="str">
        <f>IFERROR(INDEX(TableWRTECalcPts[POS RK],MATCH(TableWRTERank[[#This Row],[WR and TE COMBINED]],TableWRTECalcPts[PLAYER],0)),"")</f>
        <v>WR169</v>
      </c>
      <c r="AY247" s="164">
        <f>IFERROR(INDEX(TableWRTECalcPts[BYE],MATCH(TableWRTERank[[#This Row],[RK]],TableWRTECalcPts[RK],0)),"")</f>
        <v>10</v>
      </c>
      <c r="AZ247" s="165">
        <f>IFERROR(INDEX(TableWRTECalcPts[Custom],MATCH(TableWRTERank[[#This Row],[RK]],TableWRTECalcPts[RK],0)),"")</f>
        <v>6.1120980110959993</v>
      </c>
      <c r="BA247" s="166">
        <f>IFERROR((TableWRTERank[[#This Row],[FPS]]-INDEX(TableWRTERank[FPS],MATCH(WRTEVORPCalc,TableWRTERank[RK],0))),"")</f>
        <v>-135.12427357119569</v>
      </c>
      <c r="BC247" s="58" t="s">
        <v>8</v>
      </c>
    </row>
    <row r="248" spans="32:55" x14ac:dyDescent="0.25">
      <c r="AF248" s="58" t="s">
        <v>148</v>
      </c>
      <c r="AG248" s="58">
        <v>107</v>
      </c>
      <c r="AH248" s="100">
        <f>RANK(TableOverallMaster[[#This Row],[VORP]],TableOverallMaster[VORP])+COUNTIF($AM$2:AM248,AM248)-1</f>
        <v>252</v>
      </c>
      <c r="AI248" s="157" t="str">
        <f>IFERROR(INDEX(TableWRVORP[WIDE RECEIVER],MATCH(TableOverallMaster[[#This Row],[RK]],TableWRVORP[RK],0)),"")</f>
        <v>John Metchie</v>
      </c>
      <c r="AJ248" s="157" t="str">
        <f t="shared" si="3"/>
        <v>WR107</v>
      </c>
      <c r="AK248" s="157">
        <f>IFERROR(INDEX(TableWRVORP[BYE],MATCH(TableOverallMaster[[#This Row],[RK]],TableWRVORP[RK],0)),"")</f>
        <v>5</v>
      </c>
      <c r="AL248" s="158">
        <f>IFERROR(INDEX(TableWRVORP[FPS],MATCH(TableOverallMaster[[#This Row],[RK]],TableWRVORP[RK],0)),"")</f>
        <v>44.115849021183735</v>
      </c>
      <c r="AM248" s="159">
        <f>IFERROR(INDEX(TableWRVORP[VORP],MATCH(TableOverallMaster[[#This Row],[RK]],TableWRVORP[RK],0)),"")</f>
        <v>-46.168336369182327</v>
      </c>
      <c r="AO248" s="58">
        <v>247</v>
      </c>
      <c r="AP248" s="160" t="str">
        <f>IFERROR(INDEX(TableOverallMaster[OVERALL PLAYER],MATCH(TableOverallRank[[#This Row],[RK]],TableOverallMaster[OVR RK],0)),"")</f>
        <v>De'Zhaun Stribling</v>
      </c>
      <c r="AQ248" s="161" t="str">
        <f>IFERROR(INDEX(TableOverallMaster[POS RK],MATCH(TableOverallRank[[#This Row],[OVERALL PLAYER]],TableOverallMaster[OVERALL PLAYER],0)),"")</f>
        <v>WR106</v>
      </c>
      <c r="AR248" s="162">
        <f>IFERROR(INDEX(TableOverallMaster[BYE],MATCH(TableOverallRank[[#This Row],[OVERALL PLAYER]],TableOverallMaster[OVERALL PLAYER],0)),"")</f>
        <v>8</v>
      </c>
      <c r="AS248" s="161">
        <f>IFERROR(INDEX(TableOverallMaster[Custom],MATCH(TableOverallRank[[#This Row],[OVERALL PLAYER]],TableOverallMaster[OVERALL PLAYER],0)),"")</f>
        <v>45.1604312615232</v>
      </c>
      <c r="AT248" s="163">
        <f>IFERROR(INDEX(TableOverallMaster[VORP],MATCH(TableOverallRank[[#This Row],[OVERALL PLAYER]],TableOverallMaster[OVERALL PLAYER],0)),"")</f>
        <v>-45.123754128842862</v>
      </c>
      <c r="AV248" s="58">
        <v>247</v>
      </c>
      <c r="AW248" s="164" t="str">
        <f>IFERROR(INDEX(TableWRTECalcPts[PLAYER],MATCH(TableWRTERank[[#This Row],[RK]],TableWRTECalcPts[RK],0)),"")</f>
        <v>CJ Williams</v>
      </c>
      <c r="AX248" s="164" t="str">
        <f>IFERROR(INDEX(TableWRTECalcPts[POS RK],MATCH(TableWRTERank[[#This Row],[WR and TE COMBINED]],TableWRTECalcPts[PLAYER],0)),"")</f>
        <v>WR170</v>
      </c>
      <c r="AY248" s="164">
        <f>IFERROR(INDEX(TableWRTECalcPts[BYE],MATCH(TableWRTERank[[#This Row],[RK]],TableWRTECalcPts[RK],0)),"")</f>
        <v>7</v>
      </c>
      <c r="AZ248" s="165">
        <f>IFERROR(INDEX(TableWRTECalcPts[Custom],MATCH(TableWRTERank[[#This Row],[RK]],TableWRTECalcPts[RK],0)),"")</f>
        <v>5.9840247851999999</v>
      </c>
      <c r="BA248" s="166">
        <f>IFERROR((TableWRTERank[[#This Row],[FPS]]-INDEX(TableWRTERank[FPS],MATCH(WRTEVORPCalc,TableWRTERank[RK],0))),"")</f>
        <v>-135.25234679709169</v>
      </c>
      <c r="BC248" s="58" t="s">
        <v>8</v>
      </c>
    </row>
    <row r="249" spans="32:55" x14ac:dyDescent="0.25">
      <c r="AF249" s="58" t="s">
        <v>148</v>
      </c>
      <c r="AG249" s="58">
        <v>108</v>
      </c>
      <c r="AH249" s="100">
        <f>RANK(TableOverallMaster[[#This Row],[VORP]],TableOverallMaster[VORP])+COUNTIF($AM$2:AM249,AM249)-1</f>
        <v>255</v>
      </c>
      <c r="AI249" s="157" t="str">
        <f>IFERROR(INDEX(TableWRVORP[WIDE RECEIVER],MATCH(TableOverallMaster[[#This Row],[RK]],TableWRVORP[RK],0)),"")</f>
        <v>Mack Hollins</v>
      </c>
      <c r="AJ249" s="157" t="str">
        <f t="shared" si="3"/>
        <v>WR108</v>
      </c>
      <c r="AK249" s="157">
        <f>IFERROR(INDEX(TableWRVORP[BYE],MATCH(TableOverallMaster[[#This Row],[RK]],TableWRVORP[RK],0)),"")</f>
        <v>11</v>
      </c>
      <c r="AL249" s="158">
        <f>IFERROR(INDEX(TableWRVORP[FPS],MATCH(TableOverallMaster[[#This Row],[RK]],TableWRVORP[RK],0)),"")</f>
        <v>42.408964281509647</v>
      </c>
      <c r="AM249" s="159">
        <f>IFERROR(INDEX(TableWRVORP[VORP],MATCH(TableOverallMaster[[#This Row],[RK]],TableWRVORP[RK],0)),"")</f>
        <v>-47.875221108856415</v>
      </c>
      <c r="AO249" s="58">
        <v>248</v>
      </c>
      <c r="AP249" s="160" t="str">
        <f>IFERROR(INDEX(TableOverallMaster[OVERALL PLAYER],MATCH(TableOverallRank[[#This Row],[RK]],TableOverallMaster[OVR RK],0)),"")</f>
        <v>Jonah Coleman</v>
      </c>
      <c r="AQ249" s="161" t="str">
        <f>IFERROR(INDEX(TableOverallMaster[POS RK],MATCH(TableOverallRank[[#This Row],[OVERALL PLAYER]],TableOverallMaster[OVERALL PLAYER],0)),"")</f>
        <v>RB66</v>
      </c>
      <c r="AR249" s="162">
        <f>IFERROR(INDEX(TableOverallMaster[BYE],MATCH(TableOverallRank[[#This Row],[OVERALL PLAYER]],TableOverallMaster[OVERALL PLAYER],0)),"")</f>
        <v>10</v>
      </c>
      <c r="AS249" s="161">
        <f>IFERROR(INDEX(TableOverallMaster[Custom],MATCH(TableOverallRank[[#This Row],[OVERALL PLAYER]],TableOverallMaster[OVERALL PLAYER],0)),"")</f>
        <v>47.585302106049355</v>
      </c>
      <c r="AT249" s="163">
        <f>IFERROR(INDEX(TableOverallMaster[VORP],MATCH(TableOverallRank[[#This Row],[OVERALL PLAYER]],TableOverallMaster[OVERALL PLAYER],0)),"")</f>
        <v>-45.138029699982418</v>
      </c>
      <c r="AV249" s="58">
        <v>248</v>
      </c>
      <c r="AW249" s="164" t="str">
        <f>IFERROR(INDEX(TableWRTECalcPts[PLAYER],MATCH(TableWRTERank[[#This Row],[RK]],TableWRTECalcPts[RK],0)),"")</f>
        <v>Jeshaun Jones</v>
      </c>
      <c r="AX249" s="164" t="str">
        <f>IFERROR(INDEX(TableWRTECalcPts[POS RK],MATCH(TableWRTERank[[#This Row],[WR and TE COMBINED]],TableWRTECalcPts[PLAYER],0)),"")</f>
        <v>WR171</v>
      </c>
      <c r="AY249" s="164">
        <f>IFERROR(INDEX(TableWRTECalcPts[BYE],MATCH(TableWRTERank[[#This Row],[RK]],TableWRTECalcPts[RK],0)),"")</f>
        <v>6</v>
      </c>
      <c r="AZ249" s="165">
        <f>IFERROR(INDEX(TableWRTECalcPts[Custom],MATCH(TableWRTERank[[#This Row],[RK]],TableWRTECalcPts[RK],0)),"")</f>
        <v>5.9596989836810934</v>
      </c>
      <c r="BA249" s="166">
        <f>IFERROR((TableWRTERank[[#This Row],[FPS]]-INDEX(TableWRTERank[FPS],MATCH(WRTEVORPCalc,TableWRTERank[RK],0))),"")</f>
        <v>-135.27667259861062</v>
      </c>
      <c r="BC249" s="58" t="s">
        <v>8</v>
      </c>
    </row>
    <row r="250" spans="32:55" x14ac:dyDescent="0.25">
      <c r="AF250" s="58" t="s">
        <v>148</v>
      </c>
      <c r="AG250" s="58">
        <v>109</v>
      </c>
      <c r="AH250" s="100">
        <f>RANK(TableOverallMaster[[#This Row],[VORP]],TableOverallMaster[VORP])+COUNTIF($AM$2:AM250,AM250)-1</f>
        <v>256</v>
      </c>
      <c r="AI250" s="157" t="str">
        <f>IFERROR(INDEX(TableWRVORP[WIDE RECEIVER],MATCH(TableOverallMaster[[#This Row],[RK]],TableWRVORP[RK],0)),"")</f>
        <v>Elic Ayomanor</v>
      </c>
      <c r="AJ250" s="157" t="str">
        <f t="shared" si="3"/>
        <v>WR109</v>
      </c>
      <c r="AK250" s="157">
        <f>IFERROR(INDEX(TableWRVORP[BYE],MATCH(TableOverallMaster[[#This Row],[RK]],TableWRVORP[RK],0)),"")</f>
        <v>9</v>
      </c>
      <c r="AL250" s="158">
        <f>IFERROR(INDEX(TableWRVORP[FPS],MATCH(TableOverallMaster[[#This Row],[RK]],TableWRVORP[RK],0)),"")</f>
        <v>42.293158152537607</v>
      </c>
      <c r="AM250" s="159">
        <f>IFERROR(INDEX(TableWRVORP[VORP],MATCH(TableOverallMaster[[#This Row],[RK]],TableWRVORP[RK],0)),"")</f>
        <v>-47.991027237828455</v>
      </c>
      <c r="AO250" s="58">
        <v>249</v>
      </c>
      <c r="AP250" s="160" t="str">
        <f>IFERROR(INDEX(TableOverallMaster[OVERALL PLAYER],MATCH(TableOverallRank[[#This Row],[RK]],TableOverallMaster[OVR RK],0)),"")</f>
        <v>Justin Joly</v>
      </c>
      <c r="AQ250" s="161" t="str">
        <f>IFERROR(INDEX(TableOverallMaster[POS RK],MATCH(TableOverallRank[[#This Row],[OVERALL PLAYER]],TableOverallMaster[OVERALL PLAYER],0)),"")</f>
        <v>TE47</v>
      </c>
      <c r="AR250" s="162">
        <f>IFERROR(INDEX(TableOverallMaster[BYE],MATCH(TableOverallRank[[#This Row],[OVERALL PLAYER]],TableOverallMaster[OVERALL PLAYER],0)),"")</f>
        <v>10</v>
      </c>
      <c r="AS250" s="161">
        <f>IFERROR(INDEX(TableOverallMaster[Custom],MATCH(TableOverallRank[[#This Row],[OVERALL PLAYER]],TableOverallMaster[OVERALL PLAYER],0)),"")</f>
        <v>32.391832742321469</v>
      </c>
      <c r="AT250" s="163">
        <f>IFERROR(INDEX(TableOverallMaster[VORP],MATCH(TableOverallRank[[#This Row],[OVERALL PLAYER]],TableOverallMaster[OVERALL PLAYER],0)),"")</f>
        <v>-45.493961233920217</v>
      </c>
      <c r="AV250" s="58">
        <v>249</v>
      </c>
      <c r="AW250" s="164" t="str">
        <f>IFERROR(INDEX(TableWRTECalcPts[PLAYER],MATCH(TableWRTERank[[#This Row],[RK]],TableWRTECalcPts[RK],0)),"")</f>
        <v>Dareke Young</v>
      </c>
      <c r="AX250" s="164" t="str">
        <f>IFERROR(INDEX(TableWRTECalcPts[POS RK],MATCH(TableWRTERank[[#This Row],[WR and TE COMBINED]],TableWRTECalcPts[PLAYER],0)),"")</f>
        <v>WR172</v>
      </c>
      <c r="AY250" s="164">
        <f>IFERROR(INDEX(TableWRTECalcPts[BYE],MATCH(TableWRTERank[[#This Row],[RK]],TableWRTECalcPts[RK],0)),"")</f>
        <v>13</v>
      </c>
      <c r="AZ250" s="165">
        <f>IFERROR(INDEX(TableWRTECalcPts[Custom],MATCH(TableWRTERank[[#This Row],[RK]],TableWRTECalcPts[RK],0)),"")</f>
        <v>5.5403300973887992</v>
      </c>
      <c r="BA250" s="166">
        <f>IFERROR((TableWRTERank[[#This Row],[FPS]]-INDEX(TableWRTERank[FPS],MATCH(WRTEVORPCalc,TableWRTERank[RK],0))),"")</f>
        <v>-135.69604148490291</v>
      </c>
      <c r="BC250" s="58" t="s">
        <v>8</v>
      </c>
    </row>
    <row r="251" spans="32:55" x14ac:dyDescent="0.25">
      <c r="AF251" s="58" t="s">
        <v>148</v>
      </c>
      <c r="AG251" s="58">
        <v>110</v>
      </c>
      <c r="AH251" s="100">
        <f>RANK(TableOverallMaster[[#This Row],[VORP]],TableOverallMaster[VORP])+COUNTIF($AM$2:AM251,AM251)-1</f>
        <v>258</v>
      </c>
      <c r="AI251" s="157" t="str">
        <f>IFERROR(INDEX(TableWRVORP[WIDE RECEIVER],MATCH(TableOverallMaster[[#This Row],[RK]],TableWRVORP[RK],0)),"")</f>
        <v>Kalif Raymond</v>
      </c>
      <c r="AJ251" s="157" t="str">
        <f t="shared" si="3"/>
        <v>WR110</v>
      </c>
      <c r="AK251" s="157">
        <f>IFERROR(INDEX(TableWRVORP[BYE],MATCH(TableOverallMaster[[#This Row],[RK]],TableWRVORP[RK],0)),"")</f>
        <v>10</v>
      </c>
      <c r="AL251" s="158">
        <f>IFERROR(INDEX(TableWRVORP[FPS],MATCH(TableOverallMaster[[#This Row],[RK]],TableWRVORP[RK],0)),"")</f>
        <v>41.749922059333976</v>
      </c>
      <c r="AM251" s="159">
        <f>IFERROR(INDEX(TableWRVORP[VORP],MATCH(TableOverallMaster[[#This Row],[RK]],TableWRVORP[RK],0)),"")</f>
        <v>-48.534263331032086</v>
      </c>
      <c r="AO251" s="58">
        <v>250</v>
      </c>
      <c r="AP251" s="160" t="str">
        <f>IFERROR(INDEX(TableOverallMaster[OVERALL PLAYER],MATCH(TableOverallRank[[#This Row],[RK]],TableOverallMaster[OVR RK],0)),"")</f>
        <v>Jake Tonges</v>
      </c>
      <c r="AQ251" s="161" t="str">
        <f>IFERROR(INDEX(TableOverallMaster[POS RK],MATCH(TableOverallRank[[#This Row],[OVERALL PLAYER]],TableOverallMaster[OVERALL PLAYER],0)),"")</f>
        <v>TE48</v>
      </c>
      <c r="AR251" s="162">
        <f>IFERROR(INDEX(TableOverallMaster[BYE],MATCH(TableOverallRank[[#This Row],[OVERALL PLAYER]],TableOverallMaster[OVERALL PLAYER],0)),"")</f>
        <v>8</v>
      </c>
      <c r="AS251" s="161">
        <f>IFERROR(INDEX(TableOverallMaster[Custom],MATCH(TableOverallRank[[#This Row],[OVERALL PLAYER]],TableOverallMaster[OVERALL PLAYER],0)),"")</f>
        <v>32.157489867619205</v>
      </c>
      <c r="AT251" s="163">
        <f>IFERROR(INDEX(TableOverallMaster[VORP],MATCH(TableOverallRank[[#This Row],[OVERALL PLAYER]],TableOverallMaster[OVERALL PLAYER],0)),"")</f>
        <v>-45.728304108622481</v>
      </c>
      <c r="AV251" s="58">
        <v>250</v>
      </c>
      <c r="AW251" s="164" t="str">
        <f>IFERROR(INDEX(TableWRTECalcPts[PLAYER],MATCH(TableWRTERank[[#This Row],[RK]],TableWRTECalcPts[RK],0)),"")</f>
        <v>Devin Duvernay</v>
      </c>
      <c r="AX251" s="164" t="str">
        <f>IFERROR(INDEX(TableWRTECalcPts[POS RK],MATCH(TableWRTERank[[#This Row],[WR and TE COMBINED]],TableWRTECalcPts[PLAYER],0)),"")</f>
        <v>WR173</v>
      </c>
      <c r="AY251" s="164">
        <f>IFERROR(INDEX(TableWRTECalcPts[BYE],MATCH(TableWRTERank[[#This Row],[RK]],TableWRTECalcPts[RK],0)),"")</f>
        <v>14</v>
      </c>
      <c r="AZ251" s="165">
        <f>IFERROR(INDEX(TableWRTECalcPts[Custom],MATCH(TableWRTERank[[#This Row],[RK]],TableWRTECalcPts[RK],0)),"")</f>
        <v>5.4590765981733336</v>
      </c>
      <c r="BA251" s="166">
        <f>IFERROR((TableWRTERank[[#This Row],[FPS]]-INDEX(TableWRTERank[FPS],MATCH(WRTEVORPCalc,TableWRTERank[RK],0))),"")</f>
        <v>-135.77729498411836</v>
      </c>
      <c r="BC251" s="58" t="s">
        <v>8</v>
      </c>
    </row>
    <row r="252" spans="32:55" x14ac:dyDescent="0.25">
      <c r="AF252" s="58" t="s">
        <v>8</v>
      </c>
      <c r="AG252" s="58">
        <v>1</v>
      </c>
      <c r="AH252" s="100">
        <f>RANK(TableOverallMaster[[#This Row],[VORP]],TableOverallMaster[VORP])+COUNTIF($AM$2:AM252,AM252)-1</f>
        <v>31</v>
      </c>
      <c r="AI252" s="157" t="str">
        <f>IFERROR(INDEX(TableTEVORP[TIGHT END],MATCH(TableOverallMaster[[#This Row],[RK]],TableTEVORP[RK],0)),"")</f>
        <v>Colston Loveland</v>
      </c>
      <c r="AJ252" s="157" t="str">
        <f t="shared" si="3"/>
        <v>TE1</v>
      </c>
      <c r="AK252" s="157">
        <f>IFERROR(INDEX(TableTEVORP[BYE],MATCH(TableOverallMaster[[#This Row],[RK]],TableTEVORP[RK],0)),"")</f>
        <v>10</v>
      </c>
      <c r="AL252" s="158">
        <f>IFERROR(INDEX(TableTEVORP[FPS],MATCH(TableOverallMaster[[#This Row],[RK]],TableTEVORP[RK],0)),"")</f>
        <v>193.51107011578497</v>
      </c>
      <c r="AM252" s="159">
        <f>IFERROR(INDEX(TableTEVORP[VORP],MATCH(TableOverallMaster[[#This Row],[RK]],TableTEVORP[RK],0)),"")</f>
        <v>115.62527613954329</v>
      </c>
      <c r="AO252" s="58">
        <v>251</v>
      </c>
      <c r="AP252" s="160" t="str">
        <f>IFERROR(INDEX(TableOverallMaster[OVERALL PLAYER],MATCH(TableOverallRank[[#This Row],[RK]],TableOverallMaster[OVR RK],0)),"")</f>
        <v>Eli Stowers</v>
      </c>
      <c r="AQ252" s="161" t="str">
        <f>IFERROR(INDEX(TableOverallMaster[POS RK],MATCH(TableOverallRank[[#This Row],[OVERALL PLAYER]],TableOverallMaster[OVERALL PLAYER],0)),"")</f>
        <v>TE49</v>
      </c>
      <c r="AR252" s="162">
        <f>IFERROR(INDEX(TableOverallMaster[BYE],MATCH(TableOverallRank[[#This Row],[OVERALL PLAYER]],TableOverallMaster[OVERALL PLAYER],0)),"")</f>
        <v>10</v>
      </c>
      <c r="AS252" s="161">
        <f>IFERROR(INDEX(TableOverallMaster[Custom],MATCH(TableOverallRank[[#This Row],[OVERALL PLAYER]],TableOverallMaster[OVERALL PLAYER],0)),"")</f>
        <v>32.087305180512104</v>
      </c>
      <c r="AT252" s="163">
        <f>IFERROR(INDEX(TableOverallMaster[VORP],MATCH(TableOverallRank[[#This Row],[OVERALL PLAYER]],TableOverallMaster[OVERALL PLAYER],0)),"")</f>
        <v>-45.798488795729583</v>
      </c>
      <c r="AV252" s="58">
        <v>251</v>
      </c>
      <c r="AW252" s="164" t="str">
        <f>IFERROR(INDEX(TableWRTECalcPts[PLAYER],MATCH(TableWRTERank[[#This Row],[RK]],TableWRTECalcPts[RK],0)),"")</f>
        <v>Michael Trigg</v>
      </c>
      <c r="AX252" s="164" t="str">
        <f>IFERROR(INDEX(TableWRTECalcPts[POS RK],MATCH(TableWRTERank[[#This Row],[WR and TE COMBINED]],TableWRTECalcPts[PLAYER],0)),"")</f>
        <v>TE78</v>
      </c>
      <c r="AY252" s="164">
        <f>IFERROR(INDEX(TableWRTECalcPts[BYE],MATCH(TableWRTERank[[#This Row],[RK]],TableWRTECalcPts[RK],0)),"")</f>
        <v>14</v>
      </c>
      <c r="AZ252" s="165">
        <f>IFERROR(INDEX(TableWRTECalcPts[Custom],MATCH(TableWRTERank[[#This Row],[RK]],TableWRTECalcPts[RK],0)),"")</f>
        <v>5.4358435993400001</v>
      </c>
      <c r="BA252" s="166">
        <f>IFERROR((TableWRTERank[[#This Row],[FPS]]-INDEX(TableWRTERank[FPS],MATCH(WRTEVORPCalc,TableWRTERank[RK],0))),"")</f>
        <v>-135.80052798295171</v>
      </c>
      <c r="BC252" s="58" t="s">
        <v>8</v>
      </c>
    </row>
    <row r="253" spans="32:55" x14ac:dyDescent="0.25">
      <c r="AF253" s="58" t="s">
        <v>8</v>
      </c>
      <c r="AG253" s="58">
        <v>2</v>
      </c>
      <c r="AH253" s="100">
        <f>RANK(TableOverallMaster[[#This Row],[VORP]],TableOverallMaster[VORP])+COUNTIF($AM$2:AM253,AM253)-1</f>
        <v>34</v>
      </c>
      <c r="AI253" s="157" t="str">
        <f>IFERROR(INDEX(TableTEVORP[TIGHT END],MATCH(TableOverallMaster[[#This Row],[RK]],TableTEVORP[RK],0)),"")</f>
        <v>Brock Bowers</v>
      </c>
      <c r="AJ253" s="157" t="str">
        <f t="shared" si="3"/>
        <v>TE2</v>
      </c>
      <c r="AK253" s="157">
        <f>IFERROR(INDEX(TableTEVORP[BYE],MATCH(TableOverallMaster[[#This Row],[RK]],TableTEVORP[RK],0)),"")</f>
        <v>13</v>
      </c>
      <c r="AL253" s="158">
        <f>IFERROR(INDEX(TableTEVORP[FPS],MATCH(TableOverallMaster[[#This Row],[RK]],TableTEVORP[RK],0)),"")</f>
        <v>189.22979775372039</v>
      </c>
      <c r="AM253" s="159">
        <f>IFERROR(INDEX(TableTEVORP[VORP],MATCH(TableOverallMaster[[#This Row],[RK]],TableTEVORP[RK],0)),"")</f>
        <v>111.3440037774787</v>
      </c>
      <c r="AO253" s="58">
        <v>252</v>
      </c>
      <c r="AP253" s="160" t="str">
        <f>IFERROR(INDEX(TableOverallMaster[OVERALL PLAYER],MATCH(TableOverallRank[[#This Row],[RK]],TableOverallMaster[OVR RK],0)),"")</f>
        <v>John Metchie</v>
      </c>
      <c r="AQ253" s="161" t="str">
        <f>IFERROR(INDEX(TableOverallMaster[POS RK],MATCH(TableOverallRank[[#This Row],[OVERALL PLAYER]],TableOverallMaster[OVERALL PLAYER],0)),"")</f>
        <v>WR107</v>
      </c>
      <c r="AR253" s="162">
        <f>IFERROR(INDEX(TableOverallMaster[BYE],MATCH(TableOverallRank[[#This Row],[OVERALL PLAYER]],TableOverallMaster[OVERALL PLAYER],0)),"")</f>
        <v>5</v>
      </c>
      <c r="AS253" s="161">
        <f>IFERROR(INDEX(TableOverallMaster[Custom],MATCH(TableOverallRank[[#This Row],[OVERALL PLAYER]],TableOverallMaster[OVERALL PLAYER],0)),"")</f>
        <v>44.115849021183735</v>
      </c>
      <c r="AT253" s="163">
        <f>IFERROR(INDEX(TableOverallMaster[VORP],MATCH(TableOverallRank[[#This Row],[OVERALL PLAYER]],TableOverallMaster[OVERALL PLAYER],0)),"")</f>
        <v>-46.168336369182327</v>
      </c>
      <c r="AV253" s="58">
        <v>252</v>
      </c>
      <c r="AW253" s="164" t="str">
        <f>IFERROR(INDEX(TableWRTECalcPts[PLAYER],MATCH(TableWRTERank[[#This Row],[RK]],TableWRTECalcPts[RK],0)),"")</f>
        <v>Anthony Gould</v>
      </c>
      <c r="AX253" s="164" t="str">
        <f>IFERROR(INDEX(TableWRTECalcPts[POS RK],MATCH(TableWRTERank[[#This Row],[WR and TE COMBINED]],TableWRTECalcPts[PLAYER],0)),"")</f>
        <v>WR174</v>
      </c>
      <c r="AY253" s="164">
        <f>IFERROR(INDEX(TableWRTECalcPts[BYE],MATCH(TableWRTERank[[#This Row],[RK]],TableWRTECalcPts[RK],0)),"")</f>
        <v>13</v>
      </c>
      <c r="AZ253" s="165">
        <f>IFERROR(INDEX(TableWRTECalcPts[Custom],MATCH(TableWRTERank[[#This Row],[RK]],TableWRTECalcPts[RK],0)),"")</f>
        <v>5.4349145164160007</v>
      </c>
      <c r="BA253" s="166">
        <f>IFERROR((TableWRTERank[[#This Row],[FPS]]-INDEX(TableWRTERank[FPS],MATCH(WRTEVORPCalc,TableWRTERank[RK],0))),"")</f>
        <v>-135.8014570658757</v>
      </c>
      <c r="BC253" s="58" t="s">
        <v>8</v>
      </c>
    </row>
    <row r="254" spans="32:55" x14ac:dyDescent="0.25">
      <c r="AF254" s="58" t="s">
        <v>8</v>
      </c>
      <c r="AG254" s="58">
        <v>3</v>
      </c>
      <c r="AH254" s="100">
        <f>RANK(TableOverallMaster[[#This Row],[VORP]],TableOverallMaster[VORP])+COUNTIF($AM$2:AM254,AM254)-1</f>
        <v>43</v>
      </c>
      <c r="AI254" s="157" t="str">
        <f>IFERROR(INDEX(TableTEVORP[TIGHT END],MATCH(TableOverallMaster[[#This Row],[RK]],TableTEVORP[RK],0)),"")</f>
        <v>Trey McBride</v>
      </c>
      <c r="AJ254" s="157" t="str">
        <f t="shared" si="3"/>
        <v>TE3</v>
      </c>
      <c r="AK254" s="157">
        <f>IFERROR(INDEX(TableTEVORP[BYE],MATCH(TableOverallMaster[[#This Row],[RK]],TableTEVORP[RK],0)),"")</f>
        <v>14</v>
      </c>
      <c r="AL254" s="158">
        <f>IFERROR(INDEX(TableTEVORP[FPS],MATCH(TableOverallMaster[[#This Row],[RK]],TableTEVORP[RK],0)),"")</f>
        <v>183.17818580821358</v>
      </c>
      <c r="AM254" s="159">
        <f>IFERROR(INDEX(TableTEVORP[VORP],MATCH(TableOverallMaster[[#This Row],[RK]],TableTEVORP[RK],0)),"")</f>
        <v>105.2923918319719</v>
      </c>
      <c r="AO254" s="58">
        <v>253</v>
      </c>
      <c r="AP254" s="160" t="str">
        <f>IFERROR(INDEX(TableOverallMaster[OVERALL PLAYER],MATCH(TableOverallRank[[#This Row],[RK]],TableOverallMaster[OVR RK],0)),"")</f>
        <v>Jaydon Blue</v>
      </c>
      <c r="AQ254" s="161" t="str">
        <f>IFERROR(INDEX(TableOverallMaster[POS RK],MATCH(TableOverallRank[[#This Row],[OVERALL PLAYER]],TableOverallMaster[OVERALL PLAYER],0)),"")</f>
        <v>RB67</v>
      </c>
      <c r="AR254" s="162">
        <f>IFERROR(INDEX(TableOverallMaster[BYE],MATCH(TableOverallRank[[#This Row],[OVERALL PLAYER]],TableOverallMaster[OVERALL PLAYER],0)),"")</f>
        <v>14</v>
      </c>
      <c r="AS254" s="161">
        <f>IFERROR(INDEX(TableOverallMaster[Custom],MATCH(TableOverallRank[[#This Row],[OVERALL PLAYER]],TableOverallMaster[OVERALL PLAYER],0)),"")</f>
        <v>46.267647023298039</v>
      </c>
      <c r="AT254" s="163">
        <f>IFERROR(INDEX(TableOverallMaster[VORP],MATCH(TableOverallRank[[#This Row],[OVERALL PLAYER]],TableOverallMaster[OVERALL PLAYER],0)),"")</f>
        <v>-46.192153766183473</v>
      </c>
      <c r="AV254" s="58">
        <v>253</v>
      </c>
      <c r="AW254" s="164" t="str">
        <f>IFERROR(INDEX(TableWRTECalcPts[PLAYER],MATCH(TableWRTERank[[#This Row],[RK]],TableWRTECalcPts[RK],0)),"")</f>
        <v>Joe Royer</v>
      </c>
      <c r="AX254" s="164" t="str">
        <f>IFERROR(INDEX(TableWRTECalcPts[POS RK],MATCH(TableWRTERank[[#This Row],[WR and TE COMBINED]],TableWRTECalcPts[PLAYER],0)),"")</f>
        <v>TE79</v>
      </c>
      <c r="AY254" s="164">
        <f>IFERROR(INDEX(TableWRTECalcPts[BYE],MATCH(TableWRTERank[[#This Row],[RK]],TableWRTECalcPts[RK],0)),"")</f>
        <v>11</v>
      </c>
      <c r="AZ254" s="165">
        <f>IFERROR(INDEX(TableWRTECalcPts[Custom],MATCH(TableWRTERank[[#This Row],[RK]],TableWRTECalcPts[RK],0)),"")</f>
        <v>5.3156238957660626</v>
      </c>
      <c r="BA254" s="166">
        <f>IFERROR((TableWRTERank[[#This Row],[FPS]]-INDEX(TableWRTERank[FPS],MATCH(WRTEVORPCalc,TableWRTERank[RK],0))),"")</f>
        <v>-135.92074768652563</v>
      </c>
      <c r="BC254" s="58" t="s">
        <v>8</v>
      </c>
    </row>
    <row r="255" spans="32:55" x14ac:dyDescent="0.25">
      <c r="AF255" s="58" t="s">
        <v>8</v>
      </c>
      <c r="AG255" s="58">
        <v>4</v>
      </c>
      <c r="AH255" s="100">
        <f>RANK(TableOverallMaster[[#This Row],[VORP]],TableOverallMaster[VORP])+COUNTIF($AM$2:AM255,AM255)-1</f>
        <v>65</v>
      </c>
      <c r="AI255" s="157" t="str">
        <f>IFERROR(INDEX(TableTEVORP[TIGHT END],MATCH(TableOverallMaster[[#This Row],[RK]],TableTEVORP[RK],0)),"")</f>
        <v>Tyler Warren</v>
      </c>
      <c r="AJ255" s="157" t="str">
        <f t="shared" si="3"/>
        <v>TE4</v>
      </c>
      <c r="AK255" s="157">
        <f>IFERROR(INDEX(TableTEVORP[BYE],MATCH(TableOverallMaster[[#This Row],[RK]],TableTEVORP[RK],0)),"")</f>
        <v>13</v>
      </c>
      <c r="AL255" s="158">
        <f>IFERROR(INDEX(TableTEVORP[FPS],MATCH(TableOverallMaster[[#This Row],[RK]],TableTEVORP[RK],0)),"")</f>
        <v>168.31977546975355</v>
      </c>
      <c r="AM255" s="159">
        <f>IFERROR(INDEX(TableTEVORP[VORP],MATCH(TableOverallMaster[[#This Row],[RK]],TableTEVORP[RK],0)),"")</f>
        <v>90.433981493511865</v>
      </c>
      <c r="AO255" s="58">
        <v>254</v>
      </c>
      <c r="AP255" s="160" t="str">
        <f>IFERROR(INDEX(TableOverallMaster[OVERALL PLAYER],MATCH(TableOverallRank[[#This Row],[RK]],TableOverallMaster[OVR RK],0)),"")</f>
        <v>Erick All</v>
      </c>
      <c r="AQ255" s="161" t="str">
        <f>IFERROR(INDEX(TableOverallMaster[POS RK],MATCH(TableOverallRank[[#This Row],[OVERALL PLAYER]],TableOverallMaster[OVERALL PLAYER],0)),"")</f>
        <v>TE50</v>
      </c>
      <c r="AR255" s="162">
        <f>IFERROR(INDEX(TableOverallMaster[BYE],MATCH(TableOverallRank[[#This Row],[OVERALL PLAYER]],TableOverallMaster[OVERALL PLAYER],0)),"")</f>
        <v>6</v>
      </c>
      <c r="AS255" s="161">
        <f>IFERROR(INDEX(TableOverallMaster[Custom],MATCH(TableOverallRank[[#This Row],[OVERALL PLAYER]],TableOverallMaster[OVERALL PLAYER],0)),"")</f>
        <v>30.702244123332896</v>
      </c>
      <c r="AT255" s="163">
        <f>IFERROR(INDEX(TableOverallMaster[VORP],MATCH(TableOverallRank[[#This Row],[OVERALL PLAYER]],TableOverallMaster[OVERALL PLAYER],0)),"")</f>
        <v>-47.18354985290879</v>
      </c>
      <c r="AV255" s="58">
        <v>254</v>
      </c>
      <c r="AW255" s="164" t="str">
        <f>IFERROR(INDEX(TableWRTECalcPts[PLAYER],MATCH(TableWRTERank[[#This Row],[RK]],TableWRTECalcPts[RK],0)),"")</f>
        <v>Tylan Wallace</v>
      </c>
      <c r="AX255" s="164" t="str">
        <f>IFERROR(INDEX(TableWRTECalcPts[POS RK],MATCH(TableWRTERank[[#This Row],[WR and TE COMBINED]],TableWRTECalcPts[PLAYER],0)),"")</f>
        <v>WR175</v>
      </c>
      <c r="AY255" s="164">
        <f>IFERROR(INDEX(TableWRTECalcPts[BYE],MATCH(TableWRTERank[[#This Row],[RK]],TableWRTECalcPts[RK],0)),"")</f>
        <v>11</v>
      </c>
      <c r="AZ255" s="165">
        <f>IFERROR(INDEX(TableWRTECalcPts[Custom],MATCH(TableWRTERank[[#This Row],[RK]],TableWRTECalcPts[RK],0)),"")</f>
        <v>5.0916214364399996</v>
      </c>
      <c r="BA255" s="166">
        <f>IFERROR((TableWRTERank[[#This Row],[FPS]]-INDEX(TableWRTERank[FPS],MATCH(WRTEVORPCalc,TableWRTERank[RK],0))),"")</f>
        <v>-136.1447501458517</v>
      </c>
      <c r="BC255" s="58" t="s">
        <v>8</v>
      </c>
    </row>
    <row r="256" spans="32:55" x14ac:dyDescent="0.25">
      <c r="AF256" s="58" t="s">
        <v>8</v>
      </c>
      <c r="AG256" s="58">
        <v>5</v>
      </c>
      <c r="AH256" s="100">
        <f>RANK(TableOverallMaster[[#This Row],[VORP]],TableOverallMaster[VORP])+COUNTIF($AM$2:AM256,AM256)-1</f>
        <v>76</v>
      </c>
      <c r="AI256" s="157" t="str">
        <f>IFERROR(INDEX(TableTEVORP[TIGHT END],MATCH(TableOverallMaster[[#This Row],[RK]],TableTEVORP[RK],0)),"")</f>
        <v>Sam LaPorta</v>
      </c>
      <c r="AJ256" s="157" t="str">
        <f t="shared" si="3"/>
        <v>TE5</v>
      </c>
      <c r="AK256" s="157">
        <f>IFERROR(INDEX(TableTEVORP[BYE],MATCH(TableOverallMaster[[#This Row],[RK]],TableTEVORP[RK],0)),"")</f>
        <v>6</v>
      </c>
      <c r="AL256" s="158">
        <f>IFERROR(INDEX(TableTEVORP[FPS],MATCH(TableOverallMaster[[#This Row],[RK]],TableTEVORP[RK],0)),"")</f>
        <v>155.89636881295675</v>
      </c>
      <c r="AM256" s="159">
        <f>IFERROR(INDEX(TableTEVORP[VORP],MATCH(TableOverallMaster[[#This Row],[RK]],TableTEVORP[RK],0)),"")</f>
        <v>78.010574836715065</v>
      </c>
      <c r="AO256" s="58">
        <v>255</v>
      </c>
      <c r="AP256" s="160" t="str">
        <f>IFERROR(INDEX(TableOverallMaster[OVERALL PLAYER],MATCH(TableOverallRank[[#This Row],[RK]],TableOverallMaster[OVR RK],0)),"")</f>
        <v>Mack Hollins</v>
      </c>
      <c r="AQ256" s="161" t="str">
        <f>IFERROR(INDEX(TableOverallMaster[POS RK],MATCH(TableOverallRank[[#This Row],[OVERALL PLAYER]],TableOverallMaster[OVERALL PLAYER],0)),"")</f>
        <v>WR108</v>
      </c>
      <c r="AR256" s="162">
        <f>IFERROR(INDEX(TableOverallMaster[BYE],MATCH(TableOverallRank[[#This Row],[OVERALL PLAYER]],TableOverallMaster[OVERALL PLAYER],0)),"")</f>
        <v>11</v>
      </c>
      <c r="AS256" s="161">
        <f>IFERROR(INDEX(TableOverallMaster[Custom],MATCH(TableOverallRank[[#This Row],[OVERALL PLAYER]],TableOverallMaster[OVERALL PLAYER],0)),"")</f>
        <v>42.408964281509647</v>
      </c>
      <c r="AT256" s="163">
        <f>IFERROR(INDEX(TableOverallMaster[VORP],MATCH(TableOverallRank[[#This Row],[OVERALL PLAYER]],TableOverallMaster[OVERALL PLAYER],0)),"")</f>
        <v>-47.875221108856415</v>
      </c>
      <c r="AV256" s="58">
        <v>255</v>
      </c>
      <c r="AW256" s="164" t="str">
        <f>IFERROR(INDEX(TableWRTECalcPts[PLAYER],MATCH(TableWRTERank[[#This Row],[RK]],TableWRTECalcPts[RK],0)),"")</f>
        <v>Tyler Conklin</v>
      </c>
      <c r="AX256" s="164" t="str">
        <f>IFERROR(INDEX(TableWRTECalcPts[POS RK],MATCH(TableWRTERank[[#This Row],[WR and TE COMBINED]],TableWRTECalcPts[PLAYER],0)),"")</f>
        <v>TE80</v>
      </c>
      <c r="AY256" s="164">
        <f>IFERROR(INDEX(TableWRTECalcPts[BYE],MATCH(TableWRTERank[[#This Row],[RK]],TableWRTECalcPts[RK],0)),"")</f>
        <v>6</v>
      </c>
      <c r="AZ256" s="165">
        <f>IFERROR(INDEX(TableWRTECalcPts[Custom],MATCH(TableWRTERank[[#This Row],[RK]],TableWRTECalcPts[RK],0)),"")</f>
        <v>3.6983102392319984</v>
      </c>
      <c r="BA256" s="166">
        <f>IFERROR((TableWRTERank[[#This Row],[FPS]]-INDEX(TableWRTERank[FPS],MATCH(WRTEVORPCalc,TableWRTERank[RK],0))),"")</f>
        <v>-137.5380613430597</v>
      </c>
      <c r="BC256" s="58" t="s">
        <v>8</v>
      </c>
    </row>
    <row r="257" spans="32:55" x14ac:dyDescent="0.25">
      <c r="AF257" s="58" t="s">
        <v>8</v>
      </c>
      <c r="AG257" s="58">
        <v>6</v>
      </c>
      <c r="AH257" s="100">
        <f>RANK(TableOverallMaster[[#This Row],[VORP]],TableOverallMaster[VORP])+COUNTIF($AM$2:AM257,AM257)-1</f>
        <v>77</v>
      </c>
      <c r="AI257" s="157" t="str">
        <f>IFERROR(INDEX(TableTEVORP[TIGHT END],MATCH(TableOverallMaster[[#This Row],[RK]],TableTEVORP[RK],0)),"")</f>
        <v>George Kittle</v>
      </c>
      <c r="AJ257" s="157" t="str">
        <f t="shared" si="3"/>
        <v>TE6</v>
      </c>
      <c r="AK257" s="157">
        <f>IFERROR(INDEX(TableTEVORP[BYE],MATCH(TableOverallMaster[[#This Row],[RK]],TableTEVORP[RK],0)),"")</f>
        <v>8</v>
      </c>
      <c r="AL257" s="158">
        <f>IFERROR(INDEX(TableTEVORP[FPS],MATCH(TableOverallMaster[[#This Row],[RK]],TableTEVORP[RK],0)),"")</f>
        <v>155.06993486799362</v>
      </c>
      <c r="AM257" s="159">
        <f>IFERROR(INDEX(TableTEVORP[VORP],MATCH(TableOverallMaster[[#This Row],[RK]],TableTEVORP[RK],0)),"")</f>
        <v>77.184140891751937</v>
      </c>
      <c r="AO257" s="58">
        <v>256</v>
      </c>
      <c r="AP257" s="160" t="str">
        <f>IFERROR(INDEX(TableOverallMaster[OVERALL PLAYER],MATCH(TableOverallRank[[#This Row],[RK]],TableOverallMaster[OVR RK],0)),"")</f>
        <v>Elic Ayomanor</v>
      </c>
      <c r="AQ257" s="161" t="str">
        <f>IFERROR(INDEX(TableOverallMaster[POS RK],MATCH(TableOverallRank[[#This Row],[OVERALL PLAYER]],TableOverallMaster[OVERALL PLAYER],0)),"")</f>
        <v>WR109</v>
      </c>
      <c r="AR257" s="162">
        <f>IFERROR(INDEX(TableOverallMaster[BYE],MATCH(TableOverallRank[[#This Row],[OVERALL PLAYER]],TableOverallMaster[OVERALL PLAYER],0)),"")</f>
        <v>9</v>
      </c>
      <c r="AS257" s="161">
        <f>IFERROR(INDEX(TableOverallMaster[Custom],MATCH(TableOverallRank[[#This Row],[OVERALL PLAYER]],TableOverallMaster[OVERALL PLAYER],0)),"")</f>
        <v>42.293158152537607</v>
      </c>
      <c r="AT257" s="163">
        <f>IFERROR(INDEX(TableOverallMaster[VORP],MATCH(TableOverallRank[[#This Row],[OVERALL PLAYER]],TableOverallMaster[OVERALL PLAYER],0)),"")</f>
        <v>-47.991027237828455</v>
      </c>
      <c r="AV257" s="58">
        <v>256</v>
      </c>
      <c r="AW257" s="164" t="str">
        <f>IFERROR(INDEX(TableWRTECalcPts[PLAYER],MATCH(TableWRTERank[[#This Row],[RK]],TableWRTECalcPts[RK],0)),"")</f>
        <v>Josh Cameron</v>
      </c>
      <c r="AX257" s="164" t="str">
        <f>IFERROR(INDEX(TableWRTECalcPts[POS RK],MATCH(TableWRTERank[[#This Row],[WR and TE COMBINED]],TableWRTECalcPts[PLAYER],0)),"")</f>
        <v>WR176</v>
      </c>
      <c r="AY257" s="164">
        <f>IFERROR(INDEX(TableWRTECalcPts[BYE],MATCH(TableWRTERank[[#This Row],[RK]],TableWRTECalcPts[RK],0)),"")</f>
        <v>7</v>
      </c>
      <c r="AZ257" s="165">
        <f>IFERROR(INDEX(TableWRTECalcPts[Custom],MATCH(TableWRTERank[[#This Row],[RK]],TableWRTECalcPts[RK],0)),"")</f>
        <v>3.4133063186250001</v>
      </c>
      <c r="BA257" s="166">
        <f>IFERROR((TableWRTERank[[#This Row],[FPS]]-INDEX(TableWRTERank[FPS],MATCH(WRTEVORPCalc,TableWRTERank[RK],0))),"")</f>
        <v>-137.82306526366671</v>
      </c>
      <c r="BC257" s="58" t="s">
        <v>8</v>
      </c>
    </row>
    <row r="258" spans="32:55" x14ac:dyDescent="0.25">
      <c r="AF258" s="58" t="s">
        <v>8</v>
      </c>
      <c r="AG258" s="58">
        <v>7</v>
      </c>
      <c r="AH258" s="100">
        <f>RANK(TableOverallMaster[[#This Row],[VORP]],TableOverallMaster[VORP])+COUNTIF($AM$2:AM258,AM258)-1</f>
        <v>78</v>
      </c>
      <c r="AI258" s="157" t="str">
        <f>IFERROR(INDEX(TableTEVORP[TIGHT END],MATCH(TableOverallMaster[[#This Row],[RK]],TableTEVORP[RK],0)),"")</f>
        <v>Harold Fannin</v>
      </c>
      <c r="AJ258" s="157" t="str">
        <f t="shared" ref="AJ258:AJ301" si="4">CONCATENATE(AF258,AG258)</f>
        <v>TE7</v>
      </c>
      <c r="AK258" s="157">
        <f>IFERROR(INDEX(TableTEVORP[BYE],MATCH(TableOverallMaster[[#This Row],[RK]],TableTEVORP[RK],0)),"")</f>
        <v>11</v>
      </c>
      <c r="AL258" s="158">
        <f>IFERROR(INDEX(TableTEVORP[FPS],MATCH(TableOverallMaster[[#This Row],[RK]],TableTEVORP[RK],0)),"")</f>
        <v>154.01102933720159</v>
      </c>
      <c r="AM258" s="159">
        <f>IFERROR(INDEX(TableTEVORP[VORP],MATCH(TableOverallMaster[[#This Row],[RK]],TableTEVORP[RK],0)),"")</f>
        <v>76.125235360959906</v>
      </c>
      <c r="AO258" s="58">
        <v>257</v>
      </c>
      <c r="AP258" s="160" t="str">
        <f>IFERROR(INDEX(TableOverallMaster[OVERALL PLAYER],MATCH(TableOverallRank[[#This Row],[RK]],TableOverallMaster[OVR RK],0)),"")</f>
        <v>Kaelon Black</v>
      </c>
      <c r="AQ258" s="161" t="str">
        <f>IFERROR(INDEX(TableOverallMaster[POS RK],MATCH(TableOverallRank[[#This Row],[OVERALL PLAYER]],TableOverallMaster[OVERALL PLAYER],0)),"")</f>
        <v>RB68</v>
      </c>
      <c r="AR258" s="162">
        <f>IFERROR(INDEX(TableOverallMaster[BYE],MATCH(TableOverallRank[[#This Row],[OVERALL PLAYER]],TableOverallMaster[OVERALL PLAYER],0)),"")</f>
        <v>8</v>
      </c>
      <c r="AS258" s="161">
        <f>IFERROR(INDEX(TableOverallMaster[Custom],MATCH(TableOverallRank[[#This Row],[OVERALL PLAYER]],TableOverallMaster[OVERALL PLAYER],0)),"")</f>
        <v>43.76929730431057</v>
      </c>
      <c r="AT258" s="163">
        <f>IFERROR(INDEX(TableOverallMaster[VORP],MATCH(TableOverallRank[[#This Row],[OVERALL PLAYER]],TableOverallMaster[OVERALL PLAYER],0)),"")</f>
        <v>-48.190833541373451</v>
      </c>
      <c r="AV258" s="58">
        <v>257</v>
      </c>
      <c r="AW258" s="164" t="str">
        <f>IFERROR(INDEX(TableWRTECalcPts[PLAYER],MATCH(TableWRTERank[[#This Row],[RK]],TableWRTECalcPts[RK],0)),"")</f>
        <v>Jeff Caldwell</v>
      </c>
      <c r="AX258" s="164" t="str">
        <f>IFERROR(INDEX(TableWRTECalcPts[POS RK],MATCH(TableWRTERank[[#This Row],[WR and TE COMBINED]],TableWRTECalcPts[PLAYER],0)),"")</f>
        <v>WR177</v>
      </c>
      <c r="AY258" s="164">
        <f>IFERROR(INDEX(TableWRTECalcPts[BYE],MATCH(TableWRTERank[[#This Row],[RK]],TableWRTECalcPts[RK],0)),"")</f>
        <v>5</v>
      </c>
      <c r="AZ258" s="165">
        <f>IFERROR(INDEX(TableWRTECalcPts[Custom],MATCH(TableWRTERank[[#This Row],[RK]],TableWRTECalcPts[RK],0)),"")</f>
        <v>3.3126962941800002</v>
      </c>
      <c r="BA258" s="166">
        <f>IFERROR((TableWRTERank[[#This Row],[FPS]]-INDEX(TableWRTERank[FPS],MATCH(WRTEVORPCalc,TableWRTERank[RK],0))),"")</f>
        <v>-137.9236752881117</v>
      </c>
      <c r="BC258" s="58" t="s">
        <v>8</v>
      </c>
    </row>
    <row r="259" spans="32:55" x14ac:dyDescent="0.25">
      <c r="AF259" s="58" t="s">
        <v>8</v>
      </c>
      <c r="AG259" s="58">
        <v>8</v>
      </c>
      <c r="AH259" s="100">
        <f>RANK(TableOverallMaster[[#This Row],[VORP]],TableOverallMaster[VORP])+COUNTIF($AM$2:AM259,AM259)-1</f>
        <v>80</v>
      </c>
      <c r="AI259" s="157" t="str">
        <f>IFERROR(INDEX(TableTEVORP[TIGHT END],MATCH(TableOverallMaster[[#This Row],[RK]],TableTEVORP[RK],0)),"")</f>
        <v>Tucker Kraft</v>
      </c>
      <c r="AJ259" s="157" t="str">
        <f t="shared" si="4"/>
        <v>TE8</v>
      </c>
      <c r="AK259" s="157">
        <f>IFERROR(INDEX(TableTEVORP[BYE],MATCH(TableOverallMaster[[#This Row],[RK]],TableTEVORP[RK],0)),"")</f>
        <v>11</v>
      </c>
      <c r="AL259" s="158">
        <f>IFERROR(INDEX(TableTEVORP[FPS],MATCH(TableOverallMaster[[#This Row],[RK]],TableTEVORP[RK],0)),"")</f>
        <v>153.12367420756547</v>
      </c>
      <c r="AM259" s="159">
        <f>IFERROR(INDEX(TableTEVORP[VORP],MATCH(TableOverallMaster[[#This Row],[RK]],TableTEVORP[RK],0)),"")</f>
        <v>75.237880231323786</v>
      </c>
      <c r="AO259" s="58">
        <v>258</v>
      </c>
      <c r="AP259" s="160" t="str">
        <f>IFERROR(INDEX(TableOverallMaster[OVERALL PLAYER],MATCH(TableOverallRank[[#This Row],[RK]],TableOverallMaster[OVR RK],0)),"")</f>
        <v>Kalif Raymond</v>
      </c>
      <c r="AQ259" s="161" t="str">
        <f>IFERROR(INDEX(TableOverallMaster[POS RK],MATCH(TableOverallRank[[#This Row],[OVERALL PLAYER]],TableOverallMaster[OVERALL PLAYER],0)),"")</f>
        <v>WR110</v>
      </c>
      <c r="AR259" s="162">
        <f>IFERROR(INDEX(TableOverallMaster[BYE],MATCH(TableOverallRank[[#This Row],[OVERALL PLAYER]],TableOverallMaster[OVERALL PLAYER],0)),"")</f>
        <v>10</v>
      </c>
      <c r="AS259" s="161">
        <f>IFERROR(INDEX(TableOverallMaster[Custom],MATCH(TableOverallRank[[#This Row],[OVERALL PLAYER]],TableOverallMaster[OVERALL PLAYER],0)),"")</f>
        <v>41.749922059333976</v>
      </c>
      <c r="AT259" s="163">
        <f>IFERROR(INDEX(TableOverallMaster[VORP],MATCH(TableOverallRank[[#This Row],[OVERALL PLAYER]],TableOverallMaster[OVERALL PLAYER],0)),"")</f>
        <v>-48.534263331032086</v>
      </c>
      <c r="AV259" s="58">
        <v>258</v>
      </c>
      <c r="AW259" s="164" t="str">
        <f>IFERROR(INDEX(TableWRTECalcPts[PLAYER],MATCH(TableWRTERank[[#This Row],[RK]],TableWRTECalcPts[RK],0)),"")</f>
        <v>Derius Davis</v>
      </c>
      <c r="AX259" s="164" t="str">
        <f>IFERROR(INDEX(TableWRTECalcPts[POS RK],MATCH(TableWRTERank[[#This Row],[WR and TE COMBINED]],TableWRTECalcPts[PLAYER],0)),"")</f>
        <v>WR178</v>
      </c>
      <c r="AY259" s="164">
        <f>IFERROR(INDEX(TableWRTECalcPts[BYE],MATCH(TableWRTERank[[#This Row],[RK]],TableWRTECalcPts[RK],0)),"")</f>
        <v>7</v>
      </c>
      <c r="AZ259" s="165">
        <f>IFERROR(INDEX(TableWRTECalcPts[Custom],MATCH(TableWRTERank[[#This Row],[RK]],TableWRTECalcPts[RK],0)),"")</f>
        <v>3.2245767982961859</v>
      </c>
      <c r="BA259" s="166">
        <f>IFERROR((TableWRTERank[[#This Row],[FPS]]-INDEX(TableWRTERank[FPS],MATCH(WRTEVORPCalc,TableWRTERank[RK],0))),"")</f>
        <v>-138.0117947839955</v>
      </c>
      <c r="BC259" s="58" t="s">
        <v>8</v>
      </c>
    </row>
    <row r="260" spans="32:55" x14ac:dyDescent="0.25">
      <c r="AF260" s="58" t="s">
        <v>8</v>
      </c>
      <c r="AG260" s="58">
        <v>9</v>
      </c>
      <c r="AH260" s="100">
        <f>RANK(TableOverallMaster[[#This Row],[VORP]],TableOverallMaster[VORP])+COUNTIF($AM$2:AM260,AM260)-1</f>
        <v>87</v>
      </c>
      <c r="AI260" s="157" t="str">
        <f>IFERROR(INDEX(TableTEVORP[TIGHT END],MATCH(TableOverallMaster[[#This Row],[RK]],TableTEVORP[RK],0)),"")</f>
        <v>Isaiah Likely</v>
      </c>
      <c r="AJ260" s="157" t="str">
        <f t="shared" si="4"/>
        <v>TE9</v>
      </c>
      <c r="AK260" s="157">
        <f>IFERROR(INDEX(TableTEVORP[BYE],MATCH(TableOverallMaster[[#This Row],[RK]],TableTEVORP[RK],0)),"")</f>
        <v>8</v>
      </c>
      <c r="AL260" s="158">
        <f>IFERROR(INDEX(TableTEVORP[FPS],MATCH(TableOverallMaster[[#This Row],[RK]],TableTEVORP[RK],0)),"")</f>
        <v>148.89250113248056</v>
      </c>
      <c r="AM260" s="159">
        <f>IFERROR(INDEX(TableTEVORP[VORP],MATCH(TableOverallMaster[[#This Row],[RK]],TableTEVORP[RK],0)),"")</f>
        <v>71.006707156238875</v>
      </c>
      <c r="AO260" s="58">
        <v>259</v>
      </c>
      <c r="AP260" s="160" t="str">
        <f>IFERROR(INDEX(TableOverallMaster[OVERALL PLAYER],MATCH(TableOverallRank[[#This Row],[RK]],TableOverallMaster[OVR RK],0)),"")</f>
        <v>Demond Claiborne</v>
      </c>
      <c r="AQ260" s="161" t="str">
        <f>IFERROR(INDEX(TableOverallMaster[POS RK],MATCH(TableOverallRank[[#This Row],[OVERALL PLAYER]],TableOverallMaster[OVERALL PLAYER],0)),"")</f>
        <v>RB69</v>
      </c>
      <c r="AR260" s="162">
        <f>IFERROR(INDEX(TableOverallMaster[BYE],MATCH(TableOverallRank[[#This Row],[OVERALL PLAYER]],TableOverallMaster[OVERALL PLAYER],0)),"")</f>
        <v>6</v>
      </c>
      <c r="AS260" s="161">
        <f>IFERROR(INDEX(TableOverallMaster[Custom],MATCH(TableOverallRank[[#This Row],[OVERALL PLAYER]],TableOverallMaster[OVERALL PLAYER],0)),"")</f>
        <v>41.682847688636514</v>
      </c>
      <c r="AT260" s="163">
        <f>IFERROR(INDEX(TableOverallMaster[VORP],MATCH(TableOverallRank[[#This Row],[OVERALL PLAYER]],TableOverallMaster[OVERALL PLAYER],0)),"")</f>
        <v>-49.859993233912689</v>
      </c>
      <c r="AV260" s="58">
        <v>259</v>
      </c>
      <c r="AW260" s="164" t="str">
        <f>IFERROR(INDEX(TableWRTECalcPts[PLAYER],MATCH(TableWRTERank[[#This Row],[RK]],TableWRTECalcPts[RK],0)),"")</f>
        <v>Malik Benson</v>
      </c>
      <c r="AX260" s="164" t="str">
        <f>IFERROR(INDEX(TableWRTECalcPts[POS RK],MATCH(TableWRTERank[[#This Row],[WR and TE COMBINED]],TableWRTECalcPts[PLAYER],0)),"")</f>
        <v>WR179</v>
      </c>
      <c r="AY260" s="164">
        <f>IFERROR(INDEX(TableWRTECalcPts[BYE],MATCH(TableWRTERank[[#This Row],[RK]],TableWRTECalcPts[RK],0)),"")</f>
        <v>13</v>
      </c>
      <c r="AZ260" s="165">
        <f>IFERROR(INDEX(TableWRTECalcPts[Custom],MATCH(TableWRTERank[[#This Row],[RK]],TableWRTECalcPts[RK],0)),"")</f>
        <v>3.1943596859999999</v>
      </c>
      <c r="BA260" s="166">
        <f>IFERROR((TableWRTERank[[#This Row],[FPS]]-INDEX(TableWRTERank[FPS],MATCH(WRTEVORPCalc,TableWRTERank[RK],0))),"")</f>
        <v>-138.04201189629168</v>
      </c>
      <c r="BC260" s="58" t="s">
        <v>8</v>
      </c>
    </row>
    <row r="261" spans="32:55" x14ac:dyDescent="0.25">
      <c r="AF261" s="58" t="s">
        <v>8</v>
      </c>
      <c r="AG261" s="58">
        <v>10</v>
      </c>
      <c r="AH261" s="100">
        <f>RANK(TableOverallMaster[[#This Row],[VORP]],TableOverallMaster[VORP])+COUNTIF($AM$2:AM261,AM261)-1</f>
        <v>88</v>
      </c>
      <c r="AI261" s="157" t="str">
        <f>IFERROR(INDEX(TableTEVORP[TIGHT END],MATCH(TableOverallMaster[[#This Row],[RK]],TableTEVORP[RK],0)),"")</f>
        <v>Travis Kelce</v>
      </c>
      <c r="AJ261" s="157" t="str">
        <f t="shared" si="4"/>
        <v>TE10</v>
      </c>
      <c r="AK261" s="157">
        <f>IFERROR(INDEX(TableTEVORP[BYE],MATCH(TableOverallMaster[[#This Row],[RK]],TableTEVORP[RK],0)),"")</f>
        <v>5</v>
      </c>
      <c r="AL261" s="158">
        <f>IFERROR(INDEX(TableTEVORP[FPS],MATCH(TableOverallMaster[[#This Row],[RK]],TableTEVORP[RK],0)),"")</f>
        <v>147.70317535955797</v>
      </c>
      <c r="AM261" s="159">
        <f>IFERROR(INDEX(TableTEVORP[VORP],MATCH(TableOverallMaster[[#This Row],[RK]],TableTEVORP[RK],0)),"")</f>
        <v>69.817381383316288</v>
      </c>
      <c r="AO261" s="58">
        <v>260</v>
      </c>
      <c r="AP261" s="160" t="str">
        <f>IFERROR(INDEX(TableOverallMaster[OVERALL PLAYER],MATCH(TableOverallRank[[#This Row],[RK]],TableOverallMaster[OVR RK],0)),"")</f>
        <v>Sean Tucker</v>
      </c>
      <c r="AQ261" s="161" t="str">
        <f>IFERROR(INDEX(TableOverallMaster[POS RK],MATCH(TableOverallRank[[#This Row],[OVERALL PLAYER]],TableOverallMaster[OVERALL PLAYER],0)),"")</f>
        <v>RB70</v>
      </c>
      <c r="AR261" s="162">
        <f>IFERROR(INDEX(TableOverallMaster[BYE],MATCH(TableOverallRank[[#This Row],[OVERALL PLAYER]],TableOverallMaster[OVERALL PLAYER],0)),"")</f>
        <v>10</v>
      </c>
      <c r="AS261" s="161">
        <f>IFERROR(INDEX(TableOverallMaster[Custom],MATCH(TableOverallRank[[#This Row],[OVERALL PLAYER]],TableOverallMaster[OVERALL PLAYER],0)),"")</f>
        <v>39.186673354115001</v>
      </c>
      <c r="AT261" s="163">
        <f>IFERROR(INDEX(TableOverallMaster[VORP],MATCH(TableOverallRank[[#This Row],[OVERALL PLAYER]],TableOverallMaster[OVERALL PLAYER],0)),"")</f>
        <v>-51.8569327015299</v>
      </c>
      <c r="AV261" s="58">
        <v>260</v>
      </c>
      <c r="AW261" s="164" t="str">
        <f>IFERROR(INDEX(TableWRTECalcPts[PLAYER],MATCH(TableWRTERank[[#This Row],[RK]],TableWRTECalcPts[RK],0)),"")</f>
        <v>Tip Reiman</v>
      </c>
      <c r="AX261" s="164" t="str">
        <f>IFERROR(INDEX(TableWRTECalcPts[POS RK],MATCH(TableWRTERank[[#This Row],[WR and TE COMBINED]],TableWRTECalcPts[PLAYER],0)),"")</f>
        <v>TE81</v>
      </c>
      <c r="AY261" s="164">
        <f>IFERROR(INDEX(TableWRTECalcPts[BYE],MATCH(TableWRTERank[[#This Row],[RK]],TableWRTECalcPts[RK],0)),"")</f>
        <v>14</v>
      </c>
      <c r="AZ261" s="165">
        <f>IFERROR(INDEX(TableWRTECalcPts[Custom],MATCH(TableWRTERank[[#This Row],[RK]],TableWRTECalcPts[RK],0)),"")</f>
        <v>3.1609387125002493</v>
      </c>
      <c r="BA261" s="166">
        <f>IFERROR((TableWRTERank[[#This Row],[FPS]]-INDEX(TableWRTERank[FPS],MATCH(WRTEVORPCalc,TableWRTERank[RK],0))),"")</f>
        <v>-138.07543286979146</v>
      </c>
      <c r="BC261" s="58" t="s">
        <v>8</v>
      </c>
    </row>
    <row r="262" spans="32:55" x14ac:dyDescent="0.25">
      <c r="AF262" s="58" t="s">
        <v>8</v>
      </c>
      <c r="AG262" s="58">
        <v>11</v>
      </c>
      <c r="AH262" s="100">
        <f>RANK(TableOverallMaster[[#This Row],[VORP]],TableOverallMaster[VORP])+COUNTIF($AM$2:AM262,AM262)-1</f>
        <v>94</v>
      </c>
      <c r="AI262" s="157" t="str">
        <f>IFERROR(INDEX(TableTEVORP[TIGHT END],MATCH(TableOverallMaster[[#This Row],[RK]],TableTEVORP[RK],0)),"")</f>
        <v>Kyle Pitts</v>
      </c>
      <c r="AJ262" s="157" t="str">
        <f t="shared" si="4"/>
        <v>TE11</v>
      </c>
      <c r="AK262" s="157">
        <f>IFERROR(INDEX(TableTEVORP[BYE],MATCH(TableOverallMaster[[#This Row],[RK]],TableTEVORP[RK],0)),"")</f>
        <v>11</v>
      </c>
      <c r="AL262" s="158">
        <f>IFERROR(INDEX(TableTEVORP[FPS],MATCH(TableOverallMaster[[#This Row],[RK]],TableTEVORP[RK],0)),"")</f>
        <v>141.2363715822917</v>
      </c>
      <c r="AM262" s="159">
        <f>IFERROR(INDEX(TableTEVORP[VORP],MATCH(TableOverallMaster[[#This Row],[RK]],TableTEVORP[RK],0)),"")</f>
        <v>63.35057760605001</v>
      </c>
      <c r="AO262" s="58">
        <v>261</v>
      </c>
      <c r="AP262" s="160" t="str">
        <f>IFERROR(INDEX(TableOverallMaster[OVERALL PLAYER],MATCH(TableOverallRank[[#This Row],[RK]],TableOverallMaster[OVR RK],0)),"")</f>
        <v>Chris Brooks</v>
      </c>
      <c r="AQ262" s="161" t="str">
        <f>IFERROR(INDEX(TableOverallMaster[POS RK],MATCH(TableOverallRank[[#This Row],[OVERALL PLAYER]],TableOverallMaster[OVERALL PLAYER],0)),"")</f>
        <v>RB71</v>
      </c>
      <c r="AR262" s="162">
        <f>IFERROR(INDEX(TableOverallMaster[BYE],MATCH(TableOverallRank[[#This Row],[OVERALL PLAYER]],TableOverallMaster[OVERALL PLAYER],0)),"")</f>
        <v>11</v>
      </c>
      <c r="AS262" s="161">
        <f>IFERROR(INDEX(TableOverallMaster[Custom],MATCH(TableOverallRank[[#This Row],[OVERALL PLAYER]],TableOverallMaster[OVERALL PLAYER],0)),"")</f>
        <v>38.045966669694593</v>
      </c>
      <c r="AT262" s="163">
        <f>IFERROR(INDEX(TableOverallMaster[VORP],MATCH(TableOverallRank[[#This Row],[OVERALL PLAYER]],TableOverallMaster[OVERALL PLAYER],0)),"")</f>
        <v>-52.769498049066229</v>
      </c>
      <c r="AV262" s="58">
        <v>261</v>
      </c>
      <c r="AW262" s="164" t="str">
        <f>IFERROR(INDEX(TableWRTECalcPts[PLAYER],MATCH(TableWRTERank[[#This Row],[RK]],TableWRTECalcPts[RK],0)),"")</f>
        <v>Xavier Weaver</v>
      </c>
      <c r="AX262" s="164" t="str">
        <f>IFERROR(INDEX(TableWRTECalcPts[POS RK],MATCH(TableWRTERank[[#This Row],[WR and TE COMBINED]],TableWRTECalcPts[PLAYER],0)),"")</f>
        <v>WR180</v>
      </c>
      <c r="AY262" s="164">
        <f>IFERROR(INDEX(TableWRTECalcPts[BYE],MATCH(TableWRTERank[[#This Row],[RK]],TableWRTECalcPts[RK],0)),"")</f>
        <v>14</v>
      </c>
      <c r="AZ262" s="165">
        <f>IFERROR(INDEX(TableWRTECalcPts[Custom],MATCH(TableWRTERank[[#This Row],[RK]],TableWRTECalcPts[RK],0)),"")</f>
        <v>3.0454781350000002</v>
      </c>
      <c r="BA262" s="166">
        <f>IFERROR((TableWRTERank[[#This Row],[FPS]]-INDEX(TableWRTERank[FPS],MATCH(WRTEVORPCalc,TableWRTERank[RK],0))),"")</f>
        <v>-138.1908934472917</v>
      </c>
      <c r="BC262" s="58" t="s">
        <v>8</v>
      </c>
    </row>
    <row r="263" spans="32:55" x14ac:dyDescent="0.25">
      <c r="AF263" s="58" t="s">
        <v>8</v>
      </c>
      <c r="AG263" s="58">
        <v>12</v>
      </c>
      <c r="AH263" s="100">
        <f>RANK(TableOverallMaster[[#This Row],[VORP]],TableOverallMaster[VORP])+COUNTIF($AM$2:AM263,AM263)-1</f>
        <v>102</v>
      </c>
      <c r="AI263" s="157" t="str">
        <f>IFERROR(INDEX(TableTEVORP[TIGHT END],MATCH(TableOverallMaster[[#This Row],[RK]],TableTEVORP[RK],0)),"")</f>
        <v>Dalton Kincaid</v>
      </c>
      <c r="AJ263" s="157" t="str">
        <f t="shared" si="4"/>
        <v>TE12</v>
      </c>
      <c r="AK263" s="157">
        <f>IFERROR(INDEX(TableTEVORP[BYE],MATCH(TableOverallMaster[[#This Row],[RK]],TableTEVORP[RK],0)),"")</f>
        <v>7</v>
      </c>
      <c r="AL263" s="158">
        <f>IFERROR(INDEX(TableTEVORP[FPS],MATCH(TableOverallMaster[[#This Row],[RK]],TableTEVORP[RK],0)),"")</f>
        <v>137.45097051248635</v>
      </c>
      <c r="AM263" s="159">
        <f>IFERROR(INDEX(TableTEVORP[VORP],MATCH(TableOverallMaster[[#This Row],[RK]],TableTEVORP[RK],0)),"")</f>
        <v>59.565176536244664</v>
      </c>
      <c r="AO263" s="58">
        <v>262</v>
      </c>
      <c r="AP263" s="160" t="str">
        <f>IFERROR(INDEX(TableOverallMaster[OVERALL PLAYER],MATCH(TableOverallRank[[#This Row],[RK]],TableOverallMaster[OVR RK],0)),"")</f>
        <v>Zach Charbonnet</v>
      </c>
      <c r="AQ263" s="161" t="str">
        <f>IFERROR(INDEX(TableOverallMaster[POS RK],MATCH(TableOverallRank[[#This Row],[OVERALL PLAYER]],TableOverallMaster[OVERALL PLAYER],0)),"")</f>
        <v>RB72</v>
      </c>
      <c r="AR263" s="162">
        <f>IFERROR(INDEX(TableOverallMaster[BYE],MATCH(TableOverallRank[[#This Row],[OVERALL PLAYER]],TableOverallMaster[OVERALL PLAYER],0)),"")</f>
        <v>11</v>
      </c>
      <c r="AS263" s="161">
        <f>IFERROR(INDEX(TableOverallMaster[Custom],MATCH(TableOverallRank[[#This Row],[OVERALL PLAYER]],TableOverallMaster[OVERALL PLAYER],0)),"")</f>
        <v>37.480893777180206</v>
      </c>
      <c r="AT263" s="163">
        <f>IFERROR(INDEX(TableOverallMaster[VORP],MATCH(TableOverallRank[[#This Row],[OVERALL PLAYER]],TableOverallMaster[OVERALL PLAYER],0)),"")</f>
        <v>-53.221556363077731</v>
      </c>
      <c r="AV263" s="58">
        <v>262</v>
      </c>
      <c r="AW263" s="164" t="str">
        <f>IFERROR(INDEX(TableWRTECalcPts[PLAYER],MATCH(TableWRTERank[[#This Row],[RK]],TableWRTECalcPts[RK],0)),"")</f>
        <v>Thomas Fidone</v>
      </c>
      <c r="AX263" s="164" t="str">
        <f>IFERROR(INDEX(TableWRTECalcPts[POS RK],MATCH(TableWRTERank[[#This Row],[WR and TE COMBINED]],TableWRTECalcPts[PLAYER],0)),"")</f>
        <v>TE82</v>
      </c>
      <c r="AY263" s="164">
        <f>IFERROR(INDEX(TableWRTECalcPts[BYE],MATCH(TableWRTERank[[#This Row],[RK]],TableWRTECalcPts[RK],0)),"")</f>
        <v>8</v>
      </c>
      <c r="AZ263" s="165">
        <f>IFERROR(INDEX(TableWRTECalcPts[Custom],MATCH(TableWRTERank[[#This Row],[RK]],TableWRTECalcPts[RK],0)),"")</f>
        <v>2.8762172109034005</v>
      </c>
      <c r="BA263" s="166">
        <f>IFERROR((TableWRTERank[[#This Row],[FPS]]-INDEX(TableWRTERank[FPS],MATCH(WRTEVORPCalc,TableWRTERank[RK],0))),"")</f>
        <v>-138.36015437138829</v>
      </c>
      <c r="BC263" s="58" t="s">
        <v>8</v>
      </c>
    </row>
    <row r="264" spans="32:55" x14ac:dyDescent="0.25">
      <c r="AF264" s="58" t="s">
        <v>8</v>
      </c>
      <c r="AG264" s="58">
        <v>13</v>
      </c>
      <c r="AH264" s="100">
        <f>RANK(TableOverallMaster[[#This Row],[VORP]],TableOverallMaster[VORP])+COUNTIF($AM$2:AM264,AM264)-1</f>
        <v>105</v>
      </c>
      <c r="AI264" s="157" t="str">
        <f>IFERROR(INDEX(TableTEVORP[TIGHT END],MATCH(TableOverallMaster[[#This Row],[RK]],TableTEVORP[RK],0)),"")</f>
        <v>Jake Ferguson</v>
      </c>
      <c r="AJ264" s="157" t="str">
        <f t="shared" si="4"/>
        <v>TE13</v>
      </c>
      <c r="AK264" s="157">
        <f>IFERROR(INDEX(TableTEVORP[BYE],MATCH(TableOverallMaster[[#This Row],[RK]],TableTEVORP[RK],0)),"")</f>
        <v>14</v>
      </c>
      <c r="AL264" s="158">
        <f>IFERROR(INDEX(TableTEVORP[FPS],MATCH(TableOverallMaster[[#This Row],[RK]],TableTEVORP[RK],0)),"")</f>
        <v>135.53776951944241</v>
      </c>
      <c r="AM264" s="159">
        <f>IFERROR(INDEX(TableTEVORP[VORP],MATCH(TableOverallMaster[[#This Row],[RK]],TableTEVORP[RK],0)),"")</f>
        <v>57.65197554320072</v>
      </c>
      <c r="AO264" s="58">
        <v>263</v>
      </c>
      <c r="AP264" s="160" t="str">
        <f>IFERROR(INDEX(TableOverallMaster[OVERALL PLAYER],MATCH(TableOverallRank[[#This Row],[RK]],TableOverallMaster[OVR RK],0)),"")</f>
        <v>Jordan James</v>
      </c>
      <c r="AQ264" s="161" t="str">
        <f>IFERROR(INDEX(TableOverallMaster[POS RK],MATCH(TableOverallRank[[#This Row],[OVERALL PLAYER]],TableOverallMaster[OVERALL PLAYER],0)),"")</f>
        <v>RB73</v>
      </c>
      <c r="AR264" s="162">
        <f>IFERROR(INDEX(TableOverallMaster[BYE],MATCH(TableOverallRank[[#This Row],[OVERALL PLAYER]],TableOverallMaster[OVERALL PLAYER],0)),"")</f>
        <v>8</v>
      </c>
      <c r="AS264" s="161">
        <f>IFERROR(INDEX(TableOverallMaster[Custom],MATCH(TableOverallRank[[#This Row],[OVERALL PLAYER]],TableOverallMaster[OVERALL PLAYER],0)),"")</f>
        <v>36.135550445991981</v>
      </c>
      <c r="AT264" s="163">
        <f>IFERROR(INDEX(TableOverallMaster[VORP],MATCH(TableOverallRank[[#This Row],[OVERALL PLAYER]],TableOverallMaster[OVERALL PLAYER],0)),"")</f>
        <v>-54.29783102802832</v>
      </c>
      <c r="AV264" s="58">
        <v>263</v>
      </c>
      <c r="AW264" s="164" t="str">
        <f>IFERROR(INDEX(TableWRTECalcPts[PLAYER],MATCH(TableWRTERank[[#This Row],[RK]],TableWRTECalcPts[RK],0)),"")</f>
        <v>Ben Yurosek</v>
      </c>
      <c r="AX264" s="164" t="str">
        <f>IFERROR(INDEX(TableWRTECalcPts[POS RK],MATCH(TableWRTERank[[#This Row],[WR and TE COMBINED]],TableWRTECalcPts[PLAYER],0)),"")</f>
        <v>TE83</v>
      </c>
      <c r="AY264" s="164">
        <f>IFERROR(INDEX(TableWRTECalcPts[BYE],MATCH(TableWRTERank[[#This Row],[RK]],TableWRTECalcPts[RK],0)),"")</f>
        <v>6</v>
      </c>
      <c r="AZ264" s="165">
        <f>IFERROR(INDEX(TableWRTECalcPts[Custom],MATCH(TableWRTERank[[#This Row],[RK]],TableWRTECalcPts[RK],0)),"")</f>
        <v>2.8280353109866665</v>
      </c>
      <c r="BA264" s="166">
        <f>IFERROR((TableWRTERank[[#This Row],[FPS]]-INDEX(TableWRTERank[FPS],MATCH(WRTEVORPCalc,TableWRTERank[RK],0))),"")</f>
        <v>-138.40833627130502</v>
      </c>
      <c r="BC264" s="58" t="s">
        <v>8</v>
      </c>
    </row>
    <row r="265" spans="32:55" x14ac:dyDescent="0.25">
      <c r="AF265" s="58" t="s">
        <v>8</v>
      </c>
      <c r="AG265" s="58">
        <v>14</v>
      </c>
      <c r="AH265" s="100">
        <f>RANK(TableOverallMaster[[#This Row],[VORP]],TableOverallMaster[VORP])+COUNTIF($AM$2:AM265,AM265)-1</f>
        <v>115</v>
      </c>
      <c r="AI265" s="157" t="str">
        <f>IFERROR(INDEX(TableTEVORP[TIGHT END],MATCH(TableOverallMaster[[#This Row],[RK]],TableTEVORP[RK],0)),"")</f>
        <v>Mark Andrews</v>
      </c>
      <c r="AJ265" s="157" t="str">
        <f t="shared" si="4"/>
        <v>TE14</v>
      </c>
      <c r="AK265" s="157">
        <f>IFERROR(INDEX(TableTEVORP[BYE],MATCH(TableOverallMaster[[#This Row],[RK]],TableTEVORP[RK],0)),"")</f>
        <v>13</v>
      </c>
      <c r="AL265" s="158">
        <f>IFERROR(INDEX(TableTEVORP[FPS],MATCH(TableOverallMaster[[#This Row],[RK]],TableTEVORP[RK],0)),"")</f>
        <v>128.78263794049053</v>
      </c>
      <c r="AM265" s="159">
        <f>IFERROR(INDEX(TableTEVORP[VORP],MATCH(TableOverallMaster[[#This Row],[RK]],TableTEVORP[RK],0)),"")</f>
        <v>50.896843964248845</v>
      </c>
      <c r="AO265" s="58">
        <v>264</v>
      </c>
      <c r="AP265" s="160" t="str">
        <f>IFERROR(INDEX(TableOverallMaster[OVERALL PLAYER],MATCH(TableOverallRank[[#This Row],[RK]],TableOverallMaster[OVR RK],0)),"")</f>
        <v>Malik Davis</v>
      </c>
      <c r="AQ265" s="161" t="str">
        <f>IFERROR(INDEX(TableOverallMaster[POS RK],MATCH(TableOverallRank[[#This Row],[OVERALL PLAYER]],TableOverallMaster[OVERALL PLAYER],0)),"")</f>
        <v>RB74</v>
      </c>
      <c r="AR265" s="162">
        <f>IFERROR(INDEX(TableOverallMaster[BYE],MATCH(TableOverallRank[[#This Row],[OVERALL PLAYER]],TableOverallMaster[OVERALL PLAYER],0)),"")</f>
        <v>14</v>
      </c>
      <c r="AS265" s="161">
        <f>IFERROR(INDEX(TableOverallMaster[Custom],MATCH(TableOverallRank[[#This Row],[OVERALL PLAYER]],TableOverallMaster[OVERALL PLAYER],0)),"")</f>
        <v>35.551474799190409</v>
      </c>
      <c r="AT265" s="163">
        <f>IFERROR(INDEX(TableOverallMaster[VORP],MATCH(TableOverallRank[[#This Row],[OVERALL PLAYER]],TableOverallMaster[OVERALL PLAYER],0)),"")</f>
        <v>-54.765091545469573</v>
      </c>
      <c r="AV265" s="58">
        <v>264</v>
      </c>
      <c r="AW265" s="164" t="str">
        <f>IFERROR(INDEX(TableWRTECalcPts[PLAYER],MATCH(TableWRTERank[[#This Row],[RK]],TableWRTECalcPts[RK],0)),"")</f>
        <v>Arian Smith</v>
      </c>
      <c r="AX265" s="164" t="str">
        <f>IFERROR(INDEX(TableWRTECalcPts[POS RK],MATCH(TableWRTERank[[#This Row],[WR and TE COMBINED]],TableWRTECalcPts[PLAYER],0)),"")</f>
        <v>WR181</v>
      </c>
      <c r="AY265" s="164">
        <f>IFERROR(INDEX(TableWRTECalcPts[BYE],MATCH(TableWRTERank[[#This Row],[RK]],TableWRTECalcPts[RK],0)),"")</f>
        <v>13</v>
      </c>
      <c r="AZ265" s="165">
        <f>IFERROR(INDEX(TableWRTECalcPts[Custom],MATCH(TableWRTERank[[#This Row],[RK]],TableWRTECalcPts[RK],0)),"")</f>
        <v>2.818823583122898</v>
      </c>
      <c r="BA265" s="166">
        <f>IFERROR((TableWRTERank[[#This Row],[FPS]]-INDEX(TableWRTERank[FPS],MATCH(WRTEVORPCalc,TableWRTERank[RK],0))),"")</f>
        <v>-138.41754799916879</v>
      </c>
      <c r="BC265" s="58" t="s">
        <v>8</v>
      </c>
    </row>
    <row r="266" spans="32:55" x14ac:dyDescent="0.25">
      <c r="AF266" s="58" t="s">
        <v>8</v>
      </c>
      <c r="AG266" s="58">
        <v>15</v>
      </c>
      <c r="AH266" s="100">
        <f>RANK(TableOverallMaster[[#This Row],[VORP]],TableOverallMaster[VORP])+COUNTIF($AM$2:AM266,AM266)-1</f>
        <v>123</v>
      </c>
      <c r="AI266" s="157" t="str">
        <f>IFERROR(INDEX(TableTEVORP[TIGHT END],MATCH(TableOverallMaster[[#This Row],[RK]],TableTEVORP[RK],0)),"")</f>
        <v>T.J. Hockenson</v>
      </c>
      <c r="AJ266" s="157" t="str">
        <f t="shared" si="4"/>
        <v>TE15</v>
      </c>
      <c r="AK266" s="157">
        <f>IFERROR(INDEX(TableTEVORP[BYE],MATCH(TableOverallMaster[[#This Row],[RK]],TableTEVORP[RK],0)),"")</f>
        <v>6</v>
      </c>
      <c r="AL266" s="158">
        <f>IFERROR(INDEX(TableTEVORP[FPS],MATCH(TableOverallMaster[[#This Row],[RK]],TableTEVORP[RK],0)),"")</f>
        <v>122.26222914582712</v>
      </c>
      <c r="AM266" s="159">
        <f>IFERROR(INDEX(TableTEVORP[VORP],MATCH(TableOverallMaster[[#This Row],[RK]],TableTEVORP[RK],0)),"")</f>
        <v>44.376435169585434</v>
      </c>
      <c r="AO266" s="58">
        <v>265</v>
      </c>
      <c r="AP266" s="160" t="str">
        <f>IFERROR(INDEX(TableOverallMaster[OVERALL PLAYER],MATCH(TableOverallRank[[#This Row],[RK]],TableOverallMaster[OVR RK],0)),"")</f>
        <v>Trey Benson</v>
      </c>
      <c r="AQ266" s="161" t="str">
        <f>IFERROR(INDEX(TableOverallMaster[POS RK],MATCH(TableOverallRank[[#This Row],[OVERALL PLAYER]],TableOverallMaster[OVERALL PLAYER],0)),"")</f>
        <v>RB75</v>
      </c>
      <c r="AR266" s="162">
        <f>IFERROR(INDEX(TableOverallMaster[BYE],MATCH(TableOverallRank[[#This Row],[OVERALL PLAYER]],TableOverallMaster[OVERALL PLAYER],0)),"")</f>
        <v>14</v>
      </c>
      <c r="AS266" s="161">
        <f>IFERROR(INDEX(TableOverallMaster[Custom],MATCH(TableOverallRank[[#This Row],[OVERALL PLAYER]],TableOverallMaster[OVERALL PLAYER],0)),"")</f>
        <v>35.444868379199995</v>
      </c>
      <c r="AT266" s="163">
        <f>IFERROR(INDEX(TableOverallMaster[VORP],MATCH(TableOverallRank[[#This Row],[OVERALL PLAYER]],TableOverallMaster[OVERALL PLAYER],0)),"")</f>
        <v>-54.850376681461903</v>
      </c>
      <c r="AV266" s="58">
        <v>265</v>
      </c>
      <c r="AW266" s="164" t="str">
        <f>IFERROR(INDEX(TableWRTECalcPts[PLAYER],MATCH(TableWRTERank[[#This Row],[RK]],TableWRTECalcPts[RK],0)),"")</f>
        <v>Grant Calcaterra</v>
      </c>
      <c r="AX266" s="164" t="str">
        <f>IFERROR(INDEX(TableWRTECalcPts[POS RK],MATCH(TableWRTERank[[#This Row],[WR and TE COMBINED]],TableWRTECalcPts[PLAYER],0)),"")</f>
        <v>TE84</v>
      </c>
      <c r="AY266" s="164">
        <f>IFERROR(INDEX(TableWRTECalcPts[BYE],MATCH(TableWRTERank[[#This Row],[RK]],TableWRTECalcPts[RK],0)),"")</f>
        <v>10</v>
      </c>
      <c r="AZ266" s="165">
        <f>IFERROR(INDEX(TableWRTECalcPts[Custom],MATCH(TableWRTERank[[#This Row],[RK]],TableWRTECalcPts[RK],0)),"")</f>
        <v>2.7483376113387723</v>
      </c>
      <c r="BA266" s="166">
        <f>IFERROR((TableWRTERank[[#This Row],[FPS]]-INDEX(TableWRTERank[FPS],MATCH(WRTEVORPCalc,TableWRTERank[RK],0))),"")</f>
        <v>-138.48803397095293</v>
      </c>
      <c r="BC266" s="58" t="s">
        <v>8</v>
      </c>
    </row>
    <row r="267" spans="32:55" x14ac:dyDescent="0.25">
      <c r="AF267" s="58" t="s">
        <v>8</v>
      </c>
      <c r="AG267" s="58">
        <v>16</v>
      </c>
      <c r="AH267" s="100">
        <f>RANK(TableOverallMaster[[#This Row],[VORP]],TableOverallMaster[VORP])+COUNTIF($AM$2:AM267,AM267)-1</f>
        <v>124</v>
      </c>
      <c r="AI267" s="157" t="str">
        <f>IFERROR(INDEX(TableTEVORP[TIGHT END],MATCH(TableOverallMaster[[#This Row],[RK]],TableTEVORP[RK],0)),"")</f>
        <v>Chig Okonkwo</v>
      </c>
      <c r="AJ267" s="157" t="str">
        <f t="shared" si="4"/>
        <v>TE16</v>
      </c>
      <c r="AK267" s="157">
        <f>IFERROR(INDEX(TableTEVORP[BYE],MATCH(TableOverallMaster[[#This Row],[RK]],TableTEVORP[RK],0)),"")</f>
        <v>7</v>
      </c>
      <c r="AL267" s="158">
        <f>IFERROR(INDEX(TableTEVORP[FPS],MATCH(TableOverallMaster[[#This Row],[RK]],TableTEVORP[RK],0)),"")</f>
        <v>121.96386463260998</v>
      </c>
      <c r="AM267" s="159">
        <f>IFERROR(INDEX(TableTEVORP[VORP],MATCH(TableOverallMaster[[#This Row],[RK]],TableTEVORP[RK],0)),"")</f>
        <v>44.078070656368297</v>
      </c>
      <c r="AO267" s="58">
        <v>266</v>
      </c>
      <c r="AP267" s="160" t="str">
        <f>IFERROR(INDEX(TableOverallMaster[OVERALL PLAYER],MATCH(TableOverallRank[[#This Row],[RK]],TableOverallMaster[OVR RK],0)),"")</f>
        <v>Kimani Vidal</v>
      </c>
      <c r="AQ267" s="161" t="str">
        <f>IFERROR(INDEX(TableOverallMaster[POS RK],MATCH(TableOverallRank[[#This Row],[OVERALL PLAYER]],TableOverallMaster[OVERALL PLAYER],0)),"")</f>
        <v>RB76</v>
      </c>
      <c r="AR267" s="162">
        <f>IFERROR(INDEX(TableOverallMaster[BYE],MATCH(TableOverallRank[[#This Row],[OVERALL PLAYER]],TableOverallMaster[OVERALL PLAYER],0)),"")</f>
        <v>7</v>
      </c>
      <c r="AS267" s="161">
        <f>IFERROR(INDEX(TableOverallMaster[Custom],MATCH(TableOverallRank[[#This Row],[OVERALL PLAYER]],TableOverallMaster[OVERALL PLAYER],0)),"")</f>
        <v>33.511478500499997</v>
      </c>
      <c r="AT267" s="163">
        <f>IFERROR(INDEX(TableOverallMaster[VORP],MATCH(TableOverallRank[[#This Row],[OVERALL PLAYER]],TableOverallMaster[OVERALL PLAYER],0)),"")</f>
        <v>-56.397088584421908</v>
      </c>
      <c r="AV267" s="58">
        <v>266</v>
      </c>
      <c r="AW267" s="164" t="str">
        <f>IFERROR(INDEX(TableWRTECalcPts[PLAYER],MATCH(TableWRTERank[[#This Row],[RK]],TableWRTECalcPts[RK],0)),"")</f>
        <v>Jack Stoll</v>
      </c>
      <c r="AX267" s="164" t="str">
        <f>IFERROR(INDEX(TableWRTECalcPts[POS RK],MATCH(TableWRTERank[[#This Row],[WR and TE COMBINED]],TableWRTECalcPts[PLAYER],0)),"")</f>
        <v>TE85</v>
      </c>
      <c r="AY267" s="164">
        <f>IFERROR(INDEX(TableWRTECalcPts[BYE],MATCH(TableWRTERank[[#This Row],[RK]],TableWRTECalcPts[RK],0)),"")</f>
        <v>11</v>
      </c>
      <c r="AZ267" s="165">
        <f>IFERROR(INDEX(TableWRTECalcPts[Custom],MATCH(TableWRTERank[[#This Row],[RK]],TableWRTECalcPts[RK],0)),"")</f>
        <v>2.41486631694</v>
      </c>
      <c r="BA267" s="166">
        <f>IFERROR((TableWRTERank[[#This Row],[FPS]]-INDEX(TableWRTERank[FPS],MATCH(WRTEVORPCalc,TableWRTERank[RK],0))),"")</f>
        <v>-138.8215052653517</v>
      </c>
      <c r="BC267" s="58" t="s">
        <v>8</v>
      </c>
    </row>
    <row r="268" spans="32:55" x14ac:dyDescent="0.25">
      <c r="AF268" s="58" t="s">
        <v>8</v>
      </c>
      <c r="AG268" s="58">
        <v>17</v>
      </c>
      <c r="AH268" s="100">
        <f>RANK(TableOverallMaster[[#This Row],[VORP]],TableOverallMaster[VORP])+COUNTIF($AM$2:AM268,AM268)-1</f>
        <v>125</v>
      </c>
      <c r="AI268" s="157" t="str">
        <f>IFERROR(INDEX(TableTEVORP[TIGHT END],MATCH(TableOverallMaster[[#This Row],[RK]],TableTEVORP[RK],0)),"")</f>
        <v>Dalton Schultz</v>
      </c>
      <c r="AJ268" s="157" t="str">
        <f t="shared" si="4"/>
        <v>TE17</v>
      </c>
      <c r="AK268" s="157">
        <f>IFERROR(INDEX(TableTEVORP[BYE],MATCH(TableOverallMaster[[#This Row],[RK]],TableTEVORP[RK],0)),"")</f>
        <v>8</v>
      </c>
      <c r="AL268" s="158">
        <f>IFERROR(INDEX(TableTEVORP[FPS],MATCH(TableOverallMaster[[#This Row],[RK]],TableTEVORP[RK],0)),"")</f>
        <v>120.45266133204058</v>
      </c>
      <c r="AM268" s="159">
        <f>IFERROR(INDEX(TableTEVORP[VORP],MATCH(TableOverallMaster[[#This Row],[RK]],TableTEVORP[RK],0)),"")</f>
        <v>42.566867355798891</v>
      </c>
      <c r="AO268" s="58">
        <v>267</v>
      </c>
      <c r="AP268" s="160" t="str">
        <f>IFERROR(INDEX(TableOverallMaster[OVERALL PLAYER],MATCH(TableOverallRank[[#This Row],[RK]],TableOverallMaster[OVR RK],0)),"")</f>
        <v>Jaylen Wright</v>
      </c>
      <c r="AQ268" s="161" t="str">
        <f>IFERROR(INDEX(TableOverallMaster[POS RK],MATCH(TableOverallRank[[#This Row],[OVERALL PLAYER]],TableOverallMaster[OVERALL PLAYER],0)),"")</f>
        <v>RB77</v>
      </c>
      <c r="AR268" s="162">
        <f>IFERROR(INDEX(TableOverallMaster[BYE],MATCH(TableOverallRank[[#This Row],[OVERALL PLAYER]],TableOverallMaster[OVERALL PLAYER],0)),"")</f>
        <v>6</v>
      </c>
      <c r="AS268" s="161">
        <f>IFERROR(INDEX(TableOverallMaster[Custom],MATCH(TableOverallRank[[#This Row],[OVERALL PLAYER]],TableOverallMaster[OVERALL PLAYER],0)),"")</f>
        <v>28.488157787613616</v>
      </c>
      <c r="AT268" s="163">
        <f>IFERROR(INDEX(TableOverallMaster[VORP],MATCH(TableOverallRank[[#This Row],[OVERALL PLAYER]],TableOverallMaster[OVERALL PLAYER],0)),"")</f>
        <v>-60.415745154731013</v>
      </c>
      <c r="AV268" s="58">
        <v>267</v>
      </c>
      <c r="AW268" s="164" t="str">
        <f>IFERROR(INDEX(TableWRTECalcPts[PLAYER],MATCH(TableWRTERank[[#This Row],[RK]],TableWRTECalcPts[RK],0)),"")</f>
        <v>Josh Cuevas</v>
      </c>
      <c r="AX268" s="164" t="str">
        <f>IFERROR(INDEX(TableWRTECalcPts[POS RK],MATCH(TableWRTERank[[#This Row],[WR and TE COMBINED]],TableWRTECalcPts[PLAYER],0)),"")</f>
        <v>TE86</v>
      </c>
      <c r="AY268" s="164">
        <f>IFERROR(INDEX(TableWRTECalcPts[BYE],MATCH(TableWRTERank[[#This Row],[RK]],TableWRTECalcPts[RK],0)),"")</f>
        <v>13</v>
      </c>
      <c r="AZ268" s="165">
        <f>IFERROR(INDEX(TableWRTECalcPts[Custom],MATCH(TableWRTERank[[#This Row],[RK]],TableWRTECalcPts[RK],0)),"")</f>
        <v>0</v>
      </c>
      <c r="BA268" s="166">
        <f>IFERROR((TableWRTERank[[#This Row],[FPS]]-INDEX(TableWRTERank[FPS],MATCH(WRTEVORPCalc,TableWRTERank[RK],0))),"")</f>
        <v>-141.2363715822917</v>
      </c>
      <c r="BC268" s="58" t="s">
        <v>8</v>
      </c>
    </row>
    <row r="269" spans="32:55" x14ac:dyDescent="0.25">
      <c r="AF269" s="58" t="s">
        <v>8</v>
      </c>
      <c r="AG269" s="58">
        <v>18</v>
      </c>
      <c r="AH269" s="100">
        <f>RANK(TableOverallMaster[[#This Row],[VORP]],TableOverallMaster[VORP])+COUNTIF($AM$2:AM269,AM269)-1</f>
        <v>126</v>
      </c>
      <c r="AI269" s="157" t="str">
        <f>IFERROR(INDEX(TableTEVORP[TIGHT END],MATCH(TableOverallMaster[[#This Row],[RK]],TableTEVORP[RK],0)),"")</f>
        <v>Hunter Henry</v>
      </c>
      <c r="AJ269" s="157" t="str">
        <f t="shared" si="4"/>
        <v>TE18</v>
      </c>
      <c r="AK269" s="157">
        <f>IFERROR(INDEX(TableTEVORP[BYE],MATCH(TableOverallMaster[[#This Row],[RK]],TableTEVORP[RK],0)),"")</f>
        <v>11</v>
      </c>
      <c r="AL269" s="158">
        <f>IFERROR(INDEX(TableTEVORP[FPS],MATCH(TableOverallMaster[[#This Row],[RK]],TableTEVORP[RK],0)),"")</f>
        <v>119.83960027840953</v>
      </c>
      <c r="AM269" s="159">
        <f>IFERROR(INDEX(TableTEVORP[VORP],MATCH(TableOverallMaster[[#This Row],[RK]],TableTEVORP[RK],0)),"")</f>
        <v>41.953806302167848</v>
      </c>
      <c r="AO269" s="58">
        <v>268</v>
      </c>
      <c r="AP269" s="160" t="str">
        <f>IFERROR(INDEX(TableOverallMaster[OVERALL PLAYER],MATCH(TableOverallRank[[#This Row],[RK]],TableOverallMaster[OVR RK],0)),"")</f>
        <v>Seth McGowan</v>
      </c>
      <c r="AQ269" s="161" t="str">
        <f>IFERROR(INDEX(TableOverallMaster[POS RK],MATCH(TableOverallRank[[#This Row],[OVERALL PLAYER]],TableOverallMaster[OVERALL PLAYER],0)),"")</f>
        <v>RB78</v>
      </c>
      <c r="AR269" s="162">
        <f>IFERROR(INDEX(TableOverallMaster[BYE],MATCH(TableOverallRank[[#This Row],[OVERALL PLAYER]],TableOverallMaster[OVERALL PLAYER],0)),"")</f>
        <v>13</v>
      </c>
      <c r="AS269" s="161">
        <f>IFERROR(INDEX(TableOverallMaster[Custom],MATCH(TableOverallRank[[#This Row],[OVERALL PLAYER]],TableOverallMaster[OVERALL PLAYER],0)),"")</f>
        <v>28.320244486467573</v>
      </c>
      <c r="AT269" s="163">
        <f>IFERROR(INDEX(TableOverallMaster[VORP],MATCH(TableOverallRank[[#This Row],[OVERALL PLAYER]],TableOverallMaster[OVERALL PLAYER],0)),"")</f>
        <v>-60.550075795647842</v>
      </c>
      <c r="AV269" s="58">
        <v>268</v>
      </c>
      <c r="AW269" s="164" t="str">
        <f>IFERROR(INDEX(TableWRTECalcPts[PLAYER],MATCH(TableWRTERank[[#This Row],[RK]],TableWRTECalcPts[RK],0)),"")</f>
        <v>Drew Sample</v>
      </c>
      <c r="AX269" s="164" t="str">
        <f>IFERROR(INDEX(TableWRTECalcPts[POS RK],MATCH(TableWRTERank[[#This Row],[WR and TE COMBINED]],TableWRTECalcPts[PLAYER],0)),"")</f>
        <v>TE87</v>
      </c>
      <c r="AY269" s="164">
        <f>IFERROR(INDEX(TableWRTECalcPts[BYE],MATCH(TableWRTERank[[#This Row],[RK]],TableWRTECalcPts[RK],0)),"")</f>
        <v>6</v>
      </c>
      <c r="AZ269" s="165">
        <f>IFERROR(INDEX(TableWRTECalcPts[Custom],MATCH(TableWRTERank[[#This Row],[RK]],TableWRTECalcPts[RK],0)),"")</f>
        <v>0</v>
      </c>
      <c r="BA269" s="166">
        <f>IFERROR((TableWRTERank[[#This Row],[FPS]]-INDEX(TableWRTERank[FPS],MATCH(WRTEVORPCalc,TableWRTERank[RK],0))),"")</f>
        <v>-141.2363715822917</v>
      </c>
      <c r="BC269" s="58" t="s">
        <v>8</v>
      </c>
    </row>
    <row r="270" spans="32:55" x14ac:dyDescent="0.25">
      <c r="AF270" s="58" t="s">
        <v>8</v>
      </c>
      <c r="AG270" s="58">
        <v>19</v>
      </c>
      <c r="AH270" s="100">
        <f>RANK(TableOverallMaster[[#This Row],[VORP]],TableOverallMaster[VORP])+COUNTIF($AM$2:AM270,AM270)-1</f>
        <v>130</v>
      </c>
      <c r="AI270" s="157" t="str">
        <f>IFERROR(INDEX(TableTEVORP[TIGHT END],MATCH(TableOverallMaster[[#This Row],[RK]],TableTEVORP[RK],0)),"")</f>
        <v>Dallas Goedert</v>
      </c>
      <c r="AJ270" s="157" t="str">
        <f t="shared" si="4"/>
        <v>TE19</v>
      </c>
      <c r="AK270" s="157">
        <f>IFERROR(INDEX(TableTEVORP[BYE],MATCH(TableOverallMaster[[#This Row],[RK]],TableTEVORP[RK],0)),"")</f>
        <v>10</v>
      </c>
      <c r="AL270" s="158">
        <f>IFERROR(INDEX(TableTEVORP[FPS],MATCH(TableOverallMaster[[#This Row],[RK]],TableTEVORP[RK],0)),"")</f>
        <v>114.12704445993541</v>
      </c>
      <c r="AM270" s="159">
        <f>IFERROR(INDEX(TableTEVORP[VORP],MATCH(TableOverallMaster[[#This Row],[RK]],TableTEVORP[RK],0)),"")</f>
        <v>36.241250483693719</v>
      </c>
      <c r="AO270" s="58">
        <v>269</v>
      </c>
      <c r="AP270" s="160" t="str">
        <f>IFERROR(INDEX(TableOverallMaster[OVERALL PLAYER],MATCH(TableOverallRank[[#This Row],[RK]],TableOverallMaster[OVR RK],0)),"")</f>
        <v>Isaiah Davis</v>
      </c>
      <c r="AQ270" s="161" t="str">
        <f>IFERROR(INDEX(TableOverallMaster[POS RK],MATCH(TableOverallRank[[#This Row],[OVERALL PLAYER]],TableOverallMaster[OVERALL PLAYER],0)),"")</f>
        <v>RB79</v>
      </c>
      <c r="AR270" s="162">
        <f>IFERROR(INDEX(TableOverallMaster[BYE],MATCH(TableOverallRank[[#This Row],[OVERALL PLAYER]],TableOverallMaster[OVERALL PLAYER],0)),"")</f>
        <v>13</v>
      </c>
      <c r="AS270" s="161">
        <f>IFERROR(INDEX(TableOverallMaster[Custom],MATCH(TableOverallRank[[#This Row],[OVERALL PLAYER]],TableOverallMaster[OVERALL PLAYER],0)),"")</f>
        <v>27.570308632263728</v>
      </c>
      <c r="AT270" s="163">
        <f>IFERROR(INDEX(TableOverallMaster[VORP],MATCH(TableOverallRank[[#This Row],[OVERALL PLAYER]],TableOverallMaster[OVERALL PLAYER],0)),"")</f>
        <v>-61.150024479010916</v>
      </c>
      <c r="AV270" s="58">
        <v>269</v>
      </c>
      <c r="AW270" s="164" t="str">
        <f>IFERROR(INDEX(TableWRTECalcPts[PLAYER],MATCH(TableWRTERank[[#This Row],[RK]],TableWRTECalcPts[RK],0)),"")</f>
        <v>Skyy Moore</v>
      </c>
      <c r="AX270" s="164" t="str">
        <f>IFERROR(INDEX(TableWRTECalcPts[POS RK],MATCH(TableWRTERank[[#This Row],[WR and TE COMBINED]],TableWRTECalcPts[PLAYER],0)),"")</f>
        <v>WR182</v>
      </c>
      <c r="AY270" s="164">
        <f>IFERROR(INDEX(TableWRTECalcPts[BYE],MATCH(TableWRTERank[[#This Row],[RK]],TableWRTECalcPts[RK],0)),"")</f>
        <v>11</v>
      </c>
      <c r="AZ270" s="165">
        <f>IFERROR(INDEX(TableWRTECalcPts[Custom],MATCH(TableWRTERank[[#This Row],[RK]],TableWRTECalcPts[RK],0)),"")</f>
        <v>0</v>
      </c>
      <c r="BA270" s="166">
        <f>IFERROR((TableWRTERank[[#This Row],[FPS]]-INDEX(TableWRTERank[FPS],MATCH(WRTEVORPCalc,TableWRTERank[RK],0))),"")</f>
        <v>-141.2363715822917</v>
      </c>
      <c r="BC270" s="58" t="s">
        <v>8</v>
      </c>
    </row>
    <row r="271" spans="32:55" x14ac:dyDescent="0.25">
      <c r="AF271" s="58" t="s">
        <v>8</v>
      </c>
      <c r="AG271" s="58">
        <v>20</v>
      </c>
      <c r="AH271" s="100">
        <f>RANK(TableOverallMaster[[#This Row],[VORP]],TableOverallMaster[VORP])+COUNTIF($AM$2:AM271,AM271)-1</f>
        <v>133</v>
      </c>
      <c r="AI271" s="157" t="str">
        <f>IFERROR(INDEX(TableTEVORP[TIGHT END],MATCH(TableOverallMaster[[#This Row],[RK]],TableTEVORP[RK],0)),"")</f>
        <v>Greg Dulcich</v>
      </c>
      <c r="AJ271" s="157" t="str">
        <f t="shared" si="4"/>
        <v>TE20</v>
      </c>
      <c r="AK271" s="157">
        <f>IFERROR(INDEX(TableTEVORP[BYE],MATCH(TableOverallMaster[[#This Row],[RK]],TableTEVORP[RK],0)),"")</f>
        <v>6</v>
      </c>
      <c r="AL271" s="158">
        <f>IFERROR(INDEX(TableTEVORP[FPS],MATCH(TableOverallMaster[[#This Row],[RK]],TableTEVORP[RK],0)),"")</f>
        <v>110.66370102094356</v>
      </c>
      <c r="AM271" s="159">
        <f>IFERROR(INDEX(TableTEVORP[VORP],MATCH(TableOverallMaster[[#This Row],[RK]],TableTEVORP[RK],0)),"")</f>
        <v>32.777907044701877</v>
      </c>
      <c r="AO271" s="58">
        <v>270</v>
      </c>
      <c r="AP271" s="160" t="str">
        <f>IFERROR(INDEX(TableOverallMaster[OVERALL PLAYER],MATCH(TableOverallRank[[#This Row],[RK]],TableOverallMaster[OVR RK],0)),"")</f>
        <v>LeQuint Allen</v>
      </c>
      <c r="AQ271" s="161" t="str">
        <f>IFERROR(INDEX(TableOverallMaster[POS RK],MATCH(TableOverallRank[[#This Row],[OVERALL PLAYER]],TableOverallMaster[OVERALL PLAYER],0)),"")</f>
        <v>RB80</v>
      </c>
      <c r="AR271" s="162">
        <f>IFERROR(INDEX(TableOverallMaster[BYE],MATCH(TableOverallRank[[#This Row],[OVERALL PLAYER]],TableOverallMaster[OVERALL PLAYER],0)),"")</f>
        <v>7</v>
      </c>
      <c r="AS271" s="161">
        <f>IFERROR(INDEX(TableOverallMaster[Custom],MATCH(TableOverallRank[[#This Row],[OVERALL PLAYER]],TableOverallMaster[OVERALL PLAYER],0)),"")</f>
        <v>26.449989953767805</v>
      </c>
      <c r="AT271" s="163">
        <f>IFERROR(INDEX(TableOverallMaster[VORP],MATCH(TableOverallRank[[#This Row],[OVERALL PLAYER]],TableOverallMaster[OVERALL PLAYER],0)),"")</f>
        <v>-62.046279421807668</v>
      </c>
      <c r="AV271" s="58">
        <v>270</v>
      </c>
      <c r="AW271" s="164" t="str">
        <f>IFERROR(INDEX(TableWRTECalcPts[PLAYER],MATCH(TableWRTERank[[#This Row],[RK]],TableWRTECalcPts[RK],0)),"")</f>
        <v/>
      </c>
      <c r="AX271" s="164" t="str">
        <f>IFERROR(INDEX(TableWRTECalcPts[POS RK],MATCH(TableWRTERank[[#This Row],[WR and TE COMBINED]],TableWRTECalcPts[PLAYER],0)),"")</f>
        <v>TE88</v>
      </c>
      <c r="AY271" s="164" t="str">
        <f>IFERROR(INDEX(TableWRTECalcPts[BYE],MATCH(TableWRTERank[[#This Row],[RK]],TableWRTECalcPts[RK],0)),"")</f>
        <v/>
      </c>
      <c r="AZ271" s="165" t="str">
        <f>IFERROR(INDEX(TableWRTECalcPts[Custom],MATCH(TableWRTERank[[#This Row],[RK]],TableWRTECalcPts[RK],0)),"")</f>
        <v/>
      </c>
      <c r="BA271" s="166" t="str">
        <f>IFERROR((TableWRTERank[[#This Row],[FPS]]-INDEX(TableWRTERank[FPS],MATCH(WRTEVORPCalc,TableWRTERank[RK],0))),"")</f>
        <v/>
      </c>
      <c r="BC271" s="58" t="s">
        <v>8</v>
      </c>
    </row>
    <row r="272" spans="32:55" x14ac:dyDescent="0.25">
      <c r="AF272" s="58" t="s">
        <v>8</v>
      </c>
      <c r="AG272" s="58">
        <v>21</v>
      </c>
      <c r="AH272" s="100">
        <f>RANK(TableOverallMaster[[#This Row],[VORP]],TableOverallMaster[VORP])+COUNTIF($AM$2:AM272,AM272)-1</f>
        <v>135</v>
      </c>
      <c r="AI272" s="157" t="str">
        <f>IFERROR(INDEX(TableTEVORP[TIGHT END],MATCH(TableOverallMaster[[#This Row],[RK]],TableTEVORP[RK],0)),"")</f>
        <v>Pat Freiermuth</v>
      </c>
      <c r="AJ272" s="157" t="str">
        <f t="shared" si="4"/>
        <v>TE21</v>
      </c>
      <c r="AK272" s="157">
        <f>IFERROR(INDEX(TableTEVORP[BYE],MATCH(TableOverallMaster[[#This Row],[RK]],TableTEVORP[RK],0)),"")</f>
        <v>9</v>
      </c>
      <c r="AL272" s="158">
        <f>IFERROR(INDEX(TableTEVORP[FPS],MATCH(TableOverallMaster[[#This Row],[RK]],TableTEVORP[RK],0)),"")</f>
        <v>109.06915797030996</v>
      </c>
      <c r="AM272" s="159">
        <f>IFERROR(INDEX(TableTEVORP[VORP],MATCH(TableOverallMaster[[#This Row],[RK]],TableTEVORP[RK],0)),"")</f>
        <v>31.183363994068273</v>
      </c>
      <c r="AO272" s="58">
        <v>271</v>
      </c>
      <c r="AP272" s="160" t="str">
        <f>IFERROR(INDEX(TableOverallMaster[OVERALL PLAYER],MATCH(TableOverallRank[[#This Row],[RK]],TableOverallMaster[OVR RK],0)),"")</f>
        <v>Rasheen Ali</v>
      </c>
      <c r="AQ272" s="161" t="str">
        <f>IFERROR(INDEX(TableOverallMaster[POS RK],MATCH(TableOverallRank[[#This Row],[OVERALL PLAYER]],TableOverallMaster[OVERALL PLAYER],0)),"")</f>
        <v>RB81</v>
      </c>
      <c r="AR272" s="162">
        <f>IFERROR(INDEX(TableOverallMaster[BYE],MATCH(TableOverallRank[[#This Row],[OVERALL PLAYER]],TableOverallMaster[OVERALL PLAYER],0)),"")</f>
        <v>13</v>
      </c>
      <c r="AS272" s="161">
        <f>IFERROR(INDEX(TableOverallMaster[Custom],MATCH(TableOverallRank[[#This Row],[OVERALL PLAYER]],TableOverallMaster[OVERALL PLAYER],0)),"")</f>
        <v>25.033389440736602</v>
      </c>
      <c r="AT272" s="163">
        <f>IFERROR(INDEX(TableOverallMaster[VORP],MATCH(TableOverallRank[[#This Row],[OVERALL PLAYER]],TableOverallMaster[OVERALL PLAYER],0)),"")</f>
        <v>-63.179559832232627</v>
      </c>
      <c r="AV272" s="58">
        <v>271</v>
      </c>
      <c r="AW272" s="164" t="str">
        <f>IFERROR(INDEX(TableWRTECalcPts[PLAYER],MATCH(TableWRTERank[[#This Row],[RK]],TableWRTECalcPts[RK],0)),"")</f>
        <v/>
      </c>
      <c r="AX272" s="164" t="str">
        <f>IFERROR(INDEX(TableWRTECalcPts[POS RK],MATCH(TableWRTERank[[#This Row],[WR and TE COMBINED]],TableWRTECalcPts[PLAYER],0)),"")</f>
        <v>TE88</v>
      </c>
      <c r="AY272" s="164" t="str">
        <f>IFERROR(INDEX(TableWRTECalcPts[BYE],MATCH(TableWRTERank[[#This Row],[RK]],TableWRTECalcPts[RK],0)),"")</f>
        <v/>
      </c>
      <c r="AZ272" s="165" t="str">
        <f>IFERROR(INDEX(TableWRTECalcPts[Custom],MATCH(TableWRTERank[[#This Row],[RK]],TableWRTECalcPts[RK],0)),"")</f>
        <v/>
      </c>
      <c r="BA272" s="166" t="str">
        <f>IFERROR((TableWRTERank[[#This Row],[FPS]]-INDEX(TableWRTERank[FPS],MATCH(WRTEVORPCalc,TableWRTERank[RK],0))),"")</f>
        <v/>
      </c>
      <c r="BC272" s="58" t="s">
        <v>8</v>
      </c>
    </row>
    <row r="273" spans="32:55" x14ac:dyDescent="0.25">
      <c r="AF273" s="58" t="s">
        <v>8</v>
      </c>
      <c r="AG273" s="58">
        <v>22</v>
      </c>
      <c r="AH273" s="100">
        <f>RANK(TableOverallMaster[[#This Row],[VORP]],TableOverallMaster[VORP])+COUNTIF($AM$2:AM273,AM273)-1</f>
        <v>138</v>
      </c>
      <c r="AI273" s="157" t="str">
        <f>IFERROR(INDEX(TableTEVORP[TIGHT END],MATCH(TableOverallMaster[[#This Row],[RK]],TableTEVORP[RK],0)),"")</f>
        <v>Juwan Johnson</v>
      </c>
      <c r="AJ273" s="157" t="str">
        <f t="shared" si="4"/>
        <v>TE22</v>
      </c>
      <c r="AK273" s="157">
        <f>IFERROR(INDEX(TableTEVORP[BYE],MATCH(TableOverallMaster[[#This Row],[RK]],TableTEVORP[RK],0)),"")</f>
        <v>8</v>
      </c>
      <c r="AL273" s="158">
        <f>IFERROR(INDEX(TableTEVORP[FPS],MATCH(TableOverallMaster[[#This Row],[RK]],TableTEVORP[RK],0)),"")</f>
        <v>100.82874804237828</v>
      </c>
      <c r="AM273" s="159">
        <f>IFERROR(INDEX(TableTEVORP[VORP],MATCH(TableOverallMaster[[#This Row],[RK]],TableTEVORP[RK],0)),"")</f>
        <v>22.942954066136593</v>
      </c>
      <c r="AO273" s="58">
        <v>272</v>
      </c>
      <c r="AP273" s="160" t="str">
        <f>IFERROR(INDEX(TableOverallMaster[OVERALL PLAYER],MATCH(TableOverallRank[[#This Row],[RK]],TableOverallMaster[OVR RK],0)),"")</f>
        <v>Raheim Sanders</v>
      </c>
      <c r="AQ273" s="161" t="str">
        <f>IFERROR(INDEX(TableOverallMaster[POS RK],MATCH(TableOverallRank[[#This Row],[OVERALL PLAYER]],TableOverallMaster[OVERALL PLAYER],0)),"")</f>
        <v>RB82</v>
      </c>
      <c r="AR273" s="162">
        <f>IFERROR(INDEX(TableOverallMaster[BYE],MATCH(TableOverallRank[[#This Row],[OVERALL PLAYER]],TableOverallMaster[OVERALL PLAYER],0)),"")</f>
        <v>11</v>
      </c>
      <c r="AS273" s="161">
        <f>IFERROR(INDEX(TableOverallMaster[Custom],MATCH(TableOverallRank[[#This Row],[OVERALL PLAYER]],TableOverallMaster[OVERALL PLAYER],0)),"")</f>
        <v>24.411917979477352</v>
      </c>
      <c r="AT273" s="163">
        <f>IFERROR(INDEX(TableOverallMaster[VORP],MATCH(TableOverallRank[[#This Row],[OVERALL PLAYER]],TableOverallMaster[OVERALL PLAYER],0)),"")</f>
        <v>-63.676737001240021</v>
      </c>
      <c r="AV273" s="58">
        <v>272</v>
      </c>
      <c r="AW273" s="164" t="str">
        <f>IFERROR(INDEX(TableWRTECalcPts[PLAYER],MATCH(TableWRTERank[[#This Row],[RK]],TableWRTECalcPts[RK],0)),"")</f>
        <v/>
      </c>
      <c r="AX273" s="164" t="str">
        <f>IFERROR(INDEX(TableWRTECalcPts[POS RK],MATCH(TableWRTERank[[#This Row],[WR and TE COMBINED]],TableWRTECalcPts[PLAYER],0)),"")</f>
        <v>TE88</v>
      </c>
      <c r="AY273" s="164" t="str">
        <f>IFERROR(INDEX(TableWRTECalcPts[BYE],MATCH(TableWRTERank[[#This Row],[RK]],TableWRTECalcPts[RK],0)),"")</f>
        <v/>
      </c>
      <c r="AZ273" s="165" t="str">
        <f>IFERROR(INDEX(TableWRTECalcPts[Custom],MATCH(TableWRTERank[[#This Row],[RK]],TableWRTECalcPts[RK],0)),"")</f>
        <v/>
      </c>
      <c r="BA273" s="166" t="str">
        <f>IFERROR((TableWRTERank[[#This Row],[FPS]]-INDEX(TableWRTERank[FPS],MATCH(WRTEVORPCalc,TableWRTERank[RK],0))),"")</f>
        <v/>
      </c>
      <c r="BC273" s="58" t="s">
        <v>8</v>
      </c>
    </row>
    <row r="274" spans="32:55" x14ac:dyDescent="0.25">
      <c r="AF274" s="58" t="s">
        <v>8</v>
      </c>
      <c r="AG274" s="58">
        <v>23</v>
      </c>
      <c r="AH274" s="100">
        <f>RANK(TableOverallMaster[[#This Row],[VORP]],TableOverallMaster[VORP])+COUNTIF($AM$2:AM274,AM274)-1</f>
        <v>141</v>
      </c>
      <c r="AI274" s="157" t="str">
        <f>IFERROR(INDEX(TableTEVORP[TIGHT END],MATCH(TableOverallMaster[[#This Row],[RK]],TableTEVORP[RK],0)),"")</f>
        <v>Terrance Ferguson</v>
      </c>
      <c r="AJ274" s="157" t="str">
        <f t="shared" si="4"/>
        <v>TE23</v>
      </c>
      <c r="AK274" s="157">
        <f>IFERROR(INDEX(TableTEVORP[BYE],MATCH(TableOverallMaster[[#This Row],[RK]],TableTEVORP[RK],0)),"")</f>
        <v>11</v>
      </c>
      <c r="AL274" s="158">
        <f>IFERROR(INDEX(TableTEVORP[FPS],MATCH(TableOverallMaster[[#This Row],[RK]],TableTEVORP[RK],0)),"")</f>
        <v>99.499741342592898</v>
      </c>
      <c r="AM274" s="159">
        <f>IFERROR(INDEX(TableTEVORP[VORP],MATCH(TableOverallMaster[[#This Row],[RK]],TableTEVORP[RK],0)),"")</f>
        <v>21.613947366351212</v>
      </c>
      <c r="AO274" s="58">
        <v>273</v>
      </c>
      <c r="AP274" s="160" t="str">
        <f>IFERROR(INDEX(TableOverallMaster[OVERALL PLAYER],MATCH(TableOverallRank[[#This Row],[RK]],TableOverallMaster[OVR RK],0)),"")</f>
        <v>Isaac Guerendo</v>
      </c>
      <c r="AQ274" s="161" t="str">
        <f>IFERROR(INDEX(TableOverallMaster[POS RK],MATCH(TableOverallRank[[#This Row],[OVERALL PLAYER]],TableOverallMaster[OVERALL PLAYER],0)),"")</f>
        <v>RB83</v>
      </c>
      <c r="AR274" s="162">
        <f>IFERROR(INDEX(TableOverallMaster[BYE],MATCH(TableOverallRank[[#This Row],[OVERALL PLAYER]],TableOverallMaster[OVERALL PLAYER],0)),"")</f>
        <v>8</v>
      </c>
      <c r="AS274" s="161">
        <f>IFERROR(INDEX(TableOverallMaster[Custom],MATCH(TableOverallRank[[#This Row],[OVERALL PLAYER]],TableOverallMaster[OVERALL PLAYER],0)),"")</f>
        <v>23.5249336472157</v>
      </c>
      <c r="AT274" s="163">
        <f>IFERROR(INDEX(TableOverallMaster[VORP],MATCH(TableOverallRank[[#This Row],[OVERALL PLAYER]],TableOverallMaster[OVERALL PLAYER],0)),"")</f>
        <v>-64.386324467049334</v>
      </c>
      <c r="AV274" s="58">
        <v>273</v>
      </c>
      <c r="AW274" s="164" t="str">
        <f>IFERROR(INDEX(TableWRTECalcPts[PLAYER],MATCH(TableWRTERank[[#This Row],[RK]],TableWRTECalcPts[RK],0)),"")</f>
        <v/>
      </c>
      <c r="AX274" s="164" t="str">
        <f>IFERROR(INDEX(TableWRTECalcPts[POS RK],MATCH(TableWRTERank[[#This Row],[WR and TE COMBINED]],TableWRTECalcPts[PLAYER],0)),"")</f>
        <v>TE88</v>
      </c>
      <c r="AY274" s="164" t="str">
        <f>IFERROR(INDEX(TableWRTECalcPts[BYE],MATCH(TableWRTERank[[#This Row],[RK]],TableWRTECalcPts[RK],0)),"")</f>
        <v/>
      </c>
      <c r="AZ274" s="165" t="str">
        <f>IFERROR(INDEX(TableWRTECalcPts[Custom],MATCH(TableWRTERank[[#This Row],[RK]],TableWRTECalcPts[RK],0)),"")</f>
        <v/>
      </c>
      <c r="BA274" s="166" t="str">
        <f>IFERROR((TableWRTERank[[#This Row],[FPS]]-INDEX(TableWRTERank[FPS],MATCH(WRTEVORPCalc,TableWRTERank[RK],0))),"")</f>
        <v/>
      </c>
      <c r="BC274" s="58" t="s">
        <v>8</v>
      </c>
    </row>
    <row r="275" spans="32:55" x14ac:dyDescent="0.25">
      <c r="AF275" s="58" t="s">
        <v>8</v>
      </c>
      <c r="AG275" s="58">
        <v>24</v>
      </c>
      <c r="AH275" s="100">
        <f>RANK(TableOverallMaster[[#This Row],[VORP]],TableOverallMaster[VORP])+COUNTIF($AM$2:AM275,AM275)-1</f>
        <v>143</v>
      </c>
      <c r="AI275" s="157" t="str">
        <f>IFERROR(INDEX(TableTEVORP[TIGHT END],MATCH(TableOverallMaster[[#This Row],[RK]],TableTEVORP[RK],0)),"")</f>
        <v>Brenton Strange</v>
      </c>
      <c r="AJ275" s="157" t="str">
        <f t="shared" si="4"/>
        <v>TE24</v>
      </c>
      <c r="AK275" s="157">
        <f>IFERROR(INDEX(TableTEVORP[BYE],MATCH(TableOverallMaster[[#This Row],[RK]],TableTEVORP[RK],0)),"")</f>
        <v>7</v>
      </c>
      <c r="AL275" s="158">
        <f>IFERROR(INDEX(TableTEVORP[FPS],MATCH(TableOverallMaster[[#This Row],[RK]],TableTEVORP[RK],0)),"")</f>
        <v>99.194542803959408</v>
      </c>
      <c r="AM275" s="159">
        <f>IFERROR(INDEX(TableTEVORP[VORP],MATCH(TableOverallMaster[[#This Row],[RK]],TableTEVORP[RK],0)),"")</f>
        <v>21.308748827717721</v>
      </c>
      <c r="AO275" s="58">
        <v>274</v>
      </c>
      <c r="AP275" s="160" t="str">
        <f>IFERROR(INDEX(TableOverallMaster[OVERALL PLAYER],MATCH(TableOverallRank[[#This Row],[RK]],TableOverallMaster[OVR RK],0)),"")</f>
        <v>Kendre Miller</v>
      </c>
      <c r="AQ275" s="161" t="str">
        <f>IFERROR(INDEX(TableOverallMaster[POS RK],MATCH(TableOverallRank[[#This Row],[OVERALL PLAYER]],TableOverallMaster[OVERALL PLAYER],0)),"")</f>
        <v>RB84</v>
      </c>
      <c r="AR275" s="162">
        <f>IFERROR(INDEX(TableOverallMaster[BYE],MATCH(TableOverallRank[[#This Row],[OVERALL PLAYER]],TableOverallMaster[OVERALL PLAYER],0)),"")</f>
        <v>8</v>
      </c>
      <c r="AS275" s="161">
        <f>IFERROR(INDEX(TableOverallMaster[Custom],MATCH(TableOverallRank[[#This Row],[OVERALL PLAYER]],TableOverallMaster[OVERALL PLAYER],0)),"")</f>
        <v>19.692740092522268</v>
      </c>
      <c r="AT275" s="163">
        <f>IFERROR(INDEX(TableOverallMaster[VORP],MATCH(TableOverallRank[[#This Row],[OVERALL PLAYER]],TableOverallMaster[OVERALL PLAYER],0)),"")</f>
        <v>-67.452079310804081</v>
      </c>
      <c r="AV275" s="58">
        <v>274</v>
      </c>
      <c r="AW275" s="164" t="str">
        <f>IFERROR(INDEX(TableWRTECalcPts[PLAYER],MATCH(TableWRTERank[[#This Row],[RK]],TableWRTECalcPts[RK],0)),"")</f>
        <v/>
      </c>
      <c r="AX275" s="164" t="str">
        <f>IFERROR(INDEX(TableWRTECalcPts[POS RK],MATCH(TableWRTERank[[#This Row],[WR and TE COMBINED]],TableWRTECalcPts[PLAYER],0)),"")</f>
        <v>TE88</v>
      </c>
      <c r="AY275" s="164" t="str">
        <f>IFERROR(INDEX(TableWRTECalcPts[BYE],MATCH(TableWRTERank[[#This Row],[RK]],TableWRTECalcPts[RK],0)),"")</f>
        <v/>
      </c>
      <c r="AZ275" s="165" t="str">
        <f>IFERROR(INDEX(TableWRTECalcPts[Custom],MATCH(TableWRTERank[[#This Row],[RK]],TableWRTECalcPts[RK],0)),"")</f>
        <v/>
      </c>
      <c r="BA275" s="166" t="str">
        <f>IFERROR((TableWRTERank[[#This Row],[FPS]]-INDEX(TableWRTERank[FPS],MATCH(WRTEVORPCalc,TableWRTERank[RK],0))),"")</f>
        <v/>
      </c>
      <c r="BC275" s="58" t="s">
        <v>8</v>
      </c>
    </row>
    <row r="276" spans="32:55" x14ac:dyDescent="0.25">
      <c r="AF276" s="58" t="s">
        <v>8</v>
      </c>
      <c r="AG276" s="58">
        <v>25</v>
      </c>
      <c r="AH276" s="100">
        <f>RANK(TableOverallMaster[[#This Row],[VORP]],TableOverallMaster[VORP])+COUNTIF($AM$2:AM276,AM276)-1</f>
        <v>144</v>
      </c>
      <c r="AI276" s="157" t="str">
        <f>IFERROR(INDEX(TableTEVORP[TIGHT END],MATCH(TableOverallMaster[[#This Row],[RK]],TableTEVORP[RK],0)),"")</f>
        <v>Oronde Gadsden</v>
      </c>
      <c r="AJ276" s="157" t="str">
        <f t="shared" si="4"/>
        <v>TE25</v>
      </c>
      <c r="AK276" s="157">
        <f>IFERROR(INDEX(TableTEVORP[BYE],MATCH(TableOverallMaster[[#This Row],[RK]],TableTEVORP[RK],0)),"")</f>
        <v>7</v>
      </c>
      <c r="AL276" s="158">
        <f>IFERROR(INDEX(TableTEVORP[FPS],MATCH(TableOverallMaster[[#This Row],[RK]],TableTEVORP[RK],0)),"")</f>
        <v>97.774303753526368</v>
      </c>
      <c r="AM276" s="159">
        <f>IFERROR(INDEX(TableTEVORP[VORP],MATCH(TableOverallMaster[[#This Row],[RK]],TableTEVORP[RK],0)),"")</f>
        <v>19.888509777284682</v>
      </c>
      <c r="AO276" s="58">
        <v>275</v>
      </c>
      <c r="AP276" s="160" t="str">
        <f>IFERROR(INDEX(TableOverallMaster[OVERALL PLAYER],MATCH(TableOverallRank[[#This Row],[RK]],TableOverallMaster[OVR RK],0)),"")</f>
        <v>DJ Giddens</v>
      </c>
      <c r="AQ276" s="161" t="str">
        <f>IFERROR(INDEX(TableOverallMaster[POS RK],MATCH(TableOverallRank[[#This Row],[OVERALL PLAYER]],TableOverallMaster[OVERALL PLAYER],0)),"")</f>
        <v>RB85</v>
      </c>
      <c r="AR276" s="162">
        <f>IFERROR(INDEX(TableOverallMaster[BYE],MATCH(TableOverallRank[[#This Row],[OVERALL PLAYER]],TableOverallMaster[OVERALL PLAYER],0)),"")</f>
        <v>13</v>
      </c>
      <c r="AS276" s="161">
        <f>IFERROR(INDEX(TableOverallMaster[Custom],MATCH(TableOverallRank[[#This Row],[OVERALL PLAYER]],TableOverallMaster[OVERALL PLAYER],0)),"")</f>
        <v>18.811448871008182</v>
      </c>
      <c r="AT276" s="163">
        <f>IFERROR(INDEX(TableOverallMaster[VORP],MATCH(TableOverallRank[[#This Row],[OVERALL PLAYER]],TableOverallMaster[OVERALL PLAYER],0)),"")</f>
        <v>-68.157112288015355</v>
      </c>
      <c r="AV276" s="58">
        <v>275</v>
      </c>
      <c r="AW276" s="164" t="str">
        <f>IFERROR(INDEX(TableWRTECalcPts[PLAYER],MATCH(TableWRTERank[[#This Row],[RK]],TableWRTECalcPts[RK],0)),"")</f>
        <v/>
      </c>
      <c r="AX276" s="164" t="str">
        <f>IFERROR(INDEX(TableWRTECalcPts[POS RK],MATCH(TableWRTERank[[#This Row],[WR and TE COMBINED]],TableWRTECalcPts[PLAYER],0)),"")</f>
        <v>TE88</v>
      </c>
      <c r="AY276" s="164" t="str">
        <f>IFERROR(INDEX(TableWRTECalcPts[BYE],MATCH(TableWRTERank[[#This Row],[RK]],TableWRTECalcPts[RK],0)),"")</f>
        <v/>
      </c>
      <c r="AZ276" s="165" t="str">
        <f>IFERROR(INDEX(TableWRTECalcPts[Custom],MATCH(TableWRTERank[[#This Row],[RK]],TableWRTECalcPts[RK],0)),"")</f>
        <v/>
      </c>
      <c r="BA276" s="166" t="str">
        <f>IFERROR((TableWRTERank[[#This Row],[FPS]]-INDEX(TableWRTERank[FPS],MATCH(WRTEVORPCalc,TableWRTERank[RK],0))),"")</f>
        <v/>
      </c>
      <c r="BC276" s="58" t="s">
        <v>8</v>
      </c>
    </row>
    <row r="277" spans="32:55" x14ac:dyDescent="0.25">
      <c r="AF277" s="58" t="s">
        <v>8</v>
      </c>
      <c r="AG277" s="58">
        <v>26</v>
      </c>
      <c r="AH277" s="100">
        <f>RANK(TableOverallMaster[[#This Row],[VORP]],TableOverallMaster[VORP])+COUNTIF($AM$2:AM277,AM277)-1</f>
        <v>158</v>
      </c>
      <c r="AI277" s="157" t="str">
        <f>IFERROR(INDEX(TableTEVORP[TIGHT END],MATCH(TableOverallMaster[[#This Row],[RK]],TableTEVORP[RK],0)),"")</f>
        <v>Cade Otton</v>
      </c>
      <c r="AJ277" s="157" t="str">
        <f t="shared" si="4"/>
        <v>TE26</v>
      </c>
      <c r="AK277" s="157">
        <f>IFERROR(INDEX(TableTEVORP[BYE],MATCH(TableOverallMaster[[#This Row],[RK]],TableTEVORP[RK],0)),"")</f>
        <v>10</v>
      </c>
      <c r="AL277" s="158">
        <f>IFERROR(INDEX(TableTEVORP[FPS],MATCH(TableOverallMaster[[#This Row],[RK]],TableTEVORP[RK],0)),"")</f>
        <v>87.892710735944519</v>
      </c>
      <c r="AM277" s="159">
        <f>IFERROR(INDEX(TableTEVORP[VORP],MATCH(TableOverallMaster[[#This Row],[RK]],TableTEVORP[RK],0)),"")</f>
        <v>10.006916759702833</v>
      </c>
      <c r="AO277" s="58">
        <v>276</v>
      </c>
      <c r="AP277" s="160" t="str">
        <f>IFERROR(INDEX(TableOverallMaster[OVERALL PLAYER],MATCH(TableOverallRank[[#This Row],[RK]],TableOverallMaster[OVR RK],0)),"")</f>
        <v>Eli Heidenreich</v>
      </c>
      <c r="AQ277" s="161" t="str">
        <f>IFERROR(INDEX(TableOverallMaster[POS RK],MATCH(TableOverallRank[[#This Row],[OVERALL PLAYER]],TableOverallMaster[OVERALL PLAYER],0)),"")</f>
        <v>RB86</v>
      </c>
      <c r="AR277" s="162">
        <f>IFERROR(INDEX(TableOverallMaster[BYE],MATCH(TableOverallRank[[#This Row],[OVERALL PLAYER]],TableOverallMaster[OVERALL PLAYER],0)),"")</f>
        <v>9</v>
      </c>
      <c r="AS277" s="161">
        <f>IFERROR(INDEX(TableOverallMaster[Custom],MATCH(TableOverallRank[[#This Row],[OVERALL PLAYER]],TableOverallMaster[OVERALL PLAYER],0)),"")</f>
        <v>18.546025150799998</v>
      </c>
      <c r="AT277" s="163">
        <f>IFERROR(INDEX(TableOverallMaster[VORP],MATCH(TableOverallRank[[#This Row],[OVERALL PLAYER]],TableOverallMaster[OVERALL PLAYER],0)),"")</f>
        <v>-68.369451264181905</v>
      </c>
      <c r="AV277" s="58">
        <v>276</v>
      </c>
      <c r="AW277" s="164" t="str">
        <f>IFERROR(INDEX(TableWRTECalcPts[PLAYER],MATCH(TableWRTERank[[#This Row],[RK]],TableWRTECalcPts[RK],0)),"")</f>
        <v/>
      </c>
      <c r="AX277" s="164" t="str">
        <f>IFERROR(INDEX(TableWRTECalcPts[POS RK],MATCH(TableWRTERank[[#This Row],[WR and TE COMBINED]],TableWRTECalcPts[PLAYER],0)),"")</f>
        <v>TE88</v>
      </c>
      <c r="AY277" s="164" t="str">
        <f>IFERROR(INDEX(TableWRTECalcPts[BYE],MATCH(TableWRTERank[[#This Row],[RK]],TableWRTECalcPts[RK],0)),"")</f>
        <v/>
      </c>
      <c r="AZ277" s="165" t="str">
        <f>IFERROR(INDEX(TableWRTECalcPts[Custom],MATCH(TableWRTERank[[#This Row],[RK]],TableWRTECalcPts[RK],0)),"")</f>
        <v/>
      </c>
      <c r="BA277" s="166" t="str">
        <f>IFERROR((TableWRTERank[[#This Row],[FPS]]-INDEX(TableWRTERank[FPS],MATCH(WRTEVORPCalc,TableWRTERank[RK],0))),"")</f>
        <v/>
      </c>
      <c r="BC277" s="58" t="s">
        <v>8</v>
      </c>
    </row>
    <row r="278" spans="32:55" x14ac:dyDescent="0.25">
      <c r="AF278" s="58" t="s">
        <v>8</v>
      </c>
      <c r="AG278" s="58">
        <v>27</v>
      </c>
      <c r="AH278" s="100">
        <f>RANK(TableOverallMaster[[#This Row],[VORP]],TableOverallMaster[VORP])+COUNTIF($AM$2:AM278,AM278)-1</f>
        <v>160</v>
      </c>
      <c r="AI278" s="157" t="str">
        <f>IFERROR(INDEX(TableTEVORP[TIGHT END],MATCH(TableOverallMaster[[#This Row],[RK]],TableTEVORP[RK],0)),"")</f>
        <v>Mike Gesicki</v>
      </c>
      <c r="AJ278" s="157" t="str">
        <f t="shared" si="4"/>
        <v>TE27</v>
      </c>
      <c r="AK278" s="157">
        <f>IFERROR(INDEX(TableTEVORP[BYE],MATCH(TableOverallMaster[[#This Row],[RK]],TableTEVORP[RK],0)),"")</f>
        <v>6</v>
      </c>
      <c r="AL278" s="158">
        <f>IFERROR(INDEX(TableTEVORP[FPS],MATCH(TableOverallMaster[[#This Row],[RK]],TableTEVORP[RK],0)),"")</f>
        <v>87.626855526529326</v>
      </c>
      <c r="AM278" s="159">
        <f>IFERROR(INDEX(TableTEVORP[VORP],MATCH(TableOverallMaster[[#This Row],[RK]],TableTEVORP[RK],0)),"")</f>
        <v>9.7410615502876396</v>
      </c>
      <c r="AO278" s="58">
        <v>277</v>
      </c>
      <c r="AP278" s="160" t="str">
        <f>IFERROR(INDEX(TableOverallMaster[OVERALL PLAYER],MATCH(TableOverallRank[[#This Row],[RK]],TableOverallMaster[OVR RK],0)),"")</f>
        <v>Jeremy McNichols</v>
      </c>
      <c r="AQ278" s="161" t="str">
        <f>IFERROR(INDEX(TableOverallMaster[POS RK],MATCH(TableOverallRank[[#This Row],[OVERALL PLAYER]],TableOverallMaster[OVERALL PLAYER],0)),"")</f>
        <v>RB87</v>
      </c>
      <c r="AR278" s="162">
        <f>IFERROR(INDEX(TableOverallMaster[BYE],MATCH(TableOverallRank[[#This Row],[OVERALL PLAYER]],TableOverallMaster[OVERALL PLAYER],0)),"")</f>
        <v>7</v>
      </c>
      <c r="AS278" s="161">
        <f>IFERROR(INDEX(TableOverallMaster[Custom],MATCH(TableOverallRank[[#This Row],[OVERALL PLAYER]],TableOverallMaster[OVERALL PLAYER],0)),"")</f>
        <v>17.610929481321268</v>
      </c>
      <c r="AT278" s="163">
        <f>IFERROR(INDEX(TableOverallMaster[VORP],MATCH(TableOverallRank[[#This Row],[OVERALL PLAYER]],TableOverallMaster[OVERALL PLAYER],0)),"")</f>
        <v>-69.117527799764886</v>
      </c>
      <c r="AV278" s="58">
        <v>277</v>
      </c>
      <c r="AW278" s="164" t="str">
        <f>IFERROR(INDEX(TableWRTECalcPts[PLAYER],MATCH(TableWRTERank[[#This Row],[RK]],TableWRTECalcPts[RK],0)),"")</f>
        <v/>
      </c>
      <c r="AX278" s="164" t="str">
        <f>IFERROR(INDEX(TableWRTECalcPts[POS RK],MATCH(TableWRTERank[[#This Row],[WR and TE COMBINED]],TableWRTECalcPts[PLAYER],0)),"")</f>
        <v>TE88</v>
      </c>
      <c r="AY278" s="164" t="str">
        <f>IFERROR(INDEX(TableWRTECalcPts[BYE],MATCH(TableWRTERank[[#This Row],[RK]],TableWRTECalcPts[RK],0)),"")</f>
        <v/>
      </c>
      <c r="AZ278" s="165" t="str">
        <f>IFERROR(INDEX(TableWRTECalcPts[Custom],MATCH(TableWRTERank[[#This Row],[RK]],TableWRTECalcPts[RK],0)),"")</f>
        <v/>
      </c>
      <c r="BA278" s="166" t="str">
        <f>IFERROR((TableWRTERank[[#This Row],[FPS]]-INDEX(TableWRTERank[FPS],MATCH(WRTEVORPCalc,TableWRTERank[RK],0))),"")</f>
        <v/>
      </c>
      <c r="BC278" s="58" t="s">
        <v>8</v>
      </c>
    </row>
    <row r="279" spans="32:55" x14ac:dyDescent="0.25">
      <c r="AF279" s="58" t="s">
        <v>8</v>
      </c>
      <c r="AG279" s="58">
        <v>28</v>
      </c>
      <c r="AH279" s="100">
        <f>RANK(TableOverallMaster[[#This Row],[VORP]],TableOverallMaster[VORP])+COUNTIF($AM$2:AM279,AM279)-1</f>
        <v>163</v>
      </c>
      <c r="AI279" s="157" t="str">
        <f>IFERROR(INDEX(TableTEVORP[TIGHT END],MATCH(TableOverallMaster[[#This Row],[RK]],TableTEVORP[RK],0)),"")</f>
        <v>Kenyon Sadiq</v>
      </c>
      <c r="AJ279" s="157" t="str">
        <f t="shared" si="4"/>
        <v>TE28</v>
      </c>
      <c r="AK279" s="157">
        <f>IFERROR(INDEX(TableTEVORP[BYE],MATCH(TableOverallMaster[[#This Row],[RK]],TableTEVORP[RK],0)),"")</f>
        <v>13</v>
      </c>
      <c r="AL279" s="158">
        <f>IFERROR(INDEX(TableTEVORP[FPS],MATCH(TableOverallMaster[[#This Row],[RK]],TableTEVORP[RK],0)),"")</f>
        <v>86.789669330026697</v>
      </c>
      <c r="AM279" s="159">
        <f>IFERROR(INDEX(TableTEVORP[VORP],MATCH(TableOverallMaster[[#This Row],[RK]],TableTEVORP[RK],0)),"")</f>
        <v>8.9038753537850113</v>
      </c>
      <c r="AO279" s="58">
        <v>278</v>
      </c>
      <c r="AP279" s="160" t="str">
        <f>IFERROR(INDEX(TableOverallMaster[OVERALL PLAYER],MATCH(TableOverallRank[[#This Row],[RK]],TableOverallMaster[OVR RK],0)),"")</f>
        <v>Adam Randall</v>
      </c>
      <c r="AQ279" s="161" t="str">
        <f>IFERROR(INDEX(TableOverallMaster[POS RK],MATCH(TableOverallRank[[#This Row],[OVERALL PLAYER]],TableOverallMaster[OVERALL PLAYER],0)),"")</f>
        <v>RB88</v>
      </c>
      <c r="AR279" s="162">
        <f>IFERROR(INDEX(TableOverallMaster[BYE],MATCH(TableOverallRank[[#This Row],[OVERALL PLAYER]],TableOverallMaster[OVERALL PLAYER],0)),"")</f>
        <v>13</v>
      </c>
      <c r="AS279" s="161">
        <f>IFERROR(INDEX(TableOverallMaster[Custom],MATCH(TableOverallRank[[#This Row],[OVERALL PLAYER]],TableOverallMaster[OVERALL PLAYER],0)),"")</f>
        <v>17.490709129228215</v>
      </c>
      <c r="AT279" s="163">
        <f>IFERROR(INDEX(TableOverallMaster[VORP],MATCH(TableOverallRank[[#This Row],[OVERALL PLAYER]],TableOverallMaster[OVERALL PLAYER],0)),"")</f>
        <v>-69.213704081439332</v>
      </c>
      <c r="AV279" s="58">
        <v>278</v>
      </c>
      <c r="AW279" s="164" t="str">
        <f>IFERROR(INDEX(TableWRTECalcPts[PLAYER],MATCH(TableWRTERank[[#This Row],[RK]],TableWRTECalcPts[RK],0)),"")</f>
        <v/>
      </c>
      <c r="AX279" s="164" t="str">
        <f>IFERROR(INDEX(TableWRTECalcPts[POS RK],MATCH(TableWRTERank[[#This Row],[WR and TE COMBINED]],TableWRTECalcPts[PLAYER],0)),"")</f>
        <v>TE88</v>
      </c>
      <c r="AY279" s="164" t="str">
        <f>IFERROR(INDEX(TableWRTECalcPts[BYE],MATCH(TableWRTERank[[#This Row],[RK]],TableWRTECalcPts[RK],0)),"")</f>
        <v/>
      </c>
      <c r="AZ279" s="165" t="str">
        <f>IFERROR(INDEX(TableWRTECalcPts[Custom],MATCH(TableWRTERank[[#This Row],[RK]],TableWRTECalcPts[RK],0)),"")</f>
        <v/>
      </c>
      <c r="BA279" s="166" t="str">
        <f>IFERROR((TableWRTERank[[#This Row],[FPS]]-INDEX(TableWRTERank[FPS],MATCH(WRTEVORPCalc,TableWRTERank[RK],0))),"")</f>
        <v/>
      </c>
      <c r="BC279" s="58" t="s">
        <v>8</v>
      </c>
    </row>
    <row r="280" spans="32:55" x14ac:dyDescent="0.25">
      <c r="AF280" s="58" t="s">
        <v>8</v>
      </c>
      <c r="AG280" s="58">
        <v>29</v>
      </c>
      <c r="AH280" s="100">
        <f>RANK(TableOverallMaster[[#This Row],[VORP]],TableOverallMaster[VORP])+COUNTIF($AM$2:AM280,AM280)-1</f>
        <v>165</v>
      </c>
      <c r="AI280" s="157" t="str">
        <f>IFERROR(INDEX(TableTEVORP[TIGHT END],MATCH(TableOverallMaster[[#This Row],[RK]],TableTEVORP[RK],0)),"")</f>
        <v>AJ Barner</v>
      </c>
      <c r="AJ280" s="157" t="str">
        <f t="shared" si="4"/>
        <v>TE29</v>
      </c>
      <c r="AK280" s="157">
        <f>IFERROR(INDEX(TableTEVORP[BYE],MATCH(TableOverallMaster[[#This Row],[RK]],TableTEVORP[RK],0)),"")</f>
        <v>11</v>
      </c>
      <c r="AL280" s="158">
        <f>IFERROR(INDEX(TableTEVORP[FPS],MATCH(TableOverallMaster[[#This Row],[RK]],TableTEVORP[RK],0)),"")</f>
        <v>84.45884130942207</v>
      </c>
      <c r="AM280" s="159">
        <f>IFERROR(INDEX(TableTEVORP[VORP],MATCH(TableOverallMaster[[#This Row],[RK]],TableTEVORP[RK],0)),"")</f>
        <v>6.5730473331803836</v>
      </c>
      <c r="AO280" s="58">
        <v>279</v>
      </c>
      <c r="AP280" s="160" t="str">
        <f>IFERROR(INDEX(TableOverallMaster[OVERALL PLAYER],MATCH(TableOverallRank[[#This Row],[RK]],TableOverallMaster[OVR RK],0)),"")</f>
        <v>Devin Singletary</v>
      </c>
      <c r="AQ280" s="161" t="str">
        <f>IFERROR(INDEX(TableOverallMaster[POS RK],MATCH(TableOverallRank[[#This Row],[OVERALL PLAYER]],TableOverallMaster[OVERALL PLAYER],0)),"")</f>
        <v>RB89</v>
      </c>
      <c r="AR280" s="162">
        <f>IFERROR(INDEX(TableOverallMaster[BYE],MATCH(TableOverallRank[[#This Row],[OVERALL PLAYER]],TableOverallMaster[OVERALL PLAYER],0)),"")</f>
        <v>8</v>
      </c>
      <c r="AS280" s="161">
        <f>IFERROR(INDEX(TableOverallMaster[Custom],MATCH(TableOverallRank[[#This Row],[OVERALL PLAYER]],TableOverallMaster[OVERALL PLAYER],0)),"")</f>
        <v>17.45946486942</v>
      </c>
      <c r="AT280" s="163">
        <f>IFERROR(INDEX(TableOverallMaster[VORP],MATCH(TableOverallRank[[#This Row],[OVERALL PLAYER]],TableOverallMaster[OVERALL PLAYER],0)),"")</f>
        <v>-69.238699489285906</v>
      </c>
      <c r="AV280" s="58">
        <v>279</v>
      </c>
      <c r="AW280" s="164" t="str">
        <f>IFERROR(INDEX(TableWRTECalcPts[PLAYER],MATCH(TableWRTERank[[#This Row],[RK]],TableWRTECalcPts[RK],0)),"")</f>
        <v/>
      </c>
      <c r="AX280" s="164" t="str">
        <f>IFERROR(INDEX(TableWRTECalcPts[POS RK],MATCH(TableWRTERank[[#This Row],[WR and TE COMBINED]],TableWRTECalcPts[PLAYER],0)),"")</f>
        <v>TE88</v>
      </c>
      <c r="AY280" s="164" t="str">
        <f>IFERROR(INDEX(TableWRTECalcPts[BYE],MATCH(TableWRTERank[[#This Row],[RK]],TableWRTECalcPts[RK],0)),"")</f>
        <v/>
      </c>
      <c r="AZ280" s="165" t="str">
        <f>IFERROR(INDEX(TableWRTECalcPts[Custom],MATCH(TableWRTERank[[#This Row],[RK]],TableWRTECalcPts[RK],0)),"")</f>
        <v/>
      </c>
      <c r="BA280" s="166" t="str">
        <f>IFERROR((TableWRTERank[[#This Row],[FPS]]-INDEX(TableWRTERank[FPS],MATCH(WRTEVORPCalc,TableWRTERank[RK],0))),"")</f>
        <v/>
      </c>
      <c r="BC280" s="58" t="s">
        <v>8</v>
      </c>
    </row>
    <row r="281" spans="32:55" x14ac:dyDescent="0.25">
      <c r="AF281" s="58" t="s">
        <v>8</v>
      </c>
      <c r="AG281" s="58">
        <v>30</v>
      </c>
      <c r="AH281" s="100">
        <f>RANK(TableOverallMaster[[#This Row],[VORP]],TableOverallMaster[VORP])+COUNTIF($AM$2:AM281,AM281)-1</f>
        <v>175</v>
      </c>
      <c r="AI281" s="157" t="str">
        <f>IFERROR(INDEX(TableTEVORP[TIGHT END],MATCH(TableOverallMaster[[#This Row],[RK]],TableTEVORP[RK],0)),"")</f>
        <v>Gunnar Helm</v>
      </c>
      <c r="AJ281" s="157" t="str">
        <f t="shared" si="4"/>
        <v>TE30</v>
      </c>
      <c r="AK281" s="157">
        <f>IFERROR(INDEX(TableTEVORP[BYE],MATCH(TableOverallMaster[[#This Row],[RK]],TableTEVORP[RK],0)),"")</f>
        <v>9</v>
      </c>
      <c r="AL281" s="158">
        <f>IFERROR(INDEX(TableTEVORP[FPS],MATCH(TableOverallMaster[[#This Row],[RK]],TableTEVORP[RK],0)),"")</f>
        <v>77.885793976241686</v>
      </c>
      <c r="AM281" s="159">
        <f>IFERROR(INDEX(TableTEVORP[VORP],MATCH(TableOverallMaster[[#This Row],[RK]],TableTEVORP[RK],0)),"")</f>
        <v>0</v>
      </c>
      <c r="AO281" s="58">
        <v>280</v>
      </c>
      <c r="AP281" s="160" t="str">
        <f>IFERROR(INDEX(TableOverallMaster[OVERALL PLAYER],MATCH(TableOverallRank[[#This Row],[RK]],TableOverallMaster[OVR RK],0)),"")</f>
        <v>Jacob Saylors</v>
      </c>
      <c r="AQ281" s="161" t="str">
        <f>IFERROR(INDEX(TableOverallMaster[POS RK],MATCH(TableOverallRank[[#This Row],[OVERALL PLAYER]],TableOverallMaster[OVERALL PLAYER],0)),"")</f>
        <v>RB90</v>
      </c>
      <c r="AR281" s="162">
        <f>IFERROR(INDEX(TableOverallMaster[BYE],MATCH(TableOverallRank[[#This Row],[OVERALL PLAYER]],TableOverallMaster[OVERALL PLAYER],0)),"")</f>
        <v>6</v>
      </c>
      <c r="AS281" s="161">
        <f>IFERROR(INDEX(TableOverallMaster[Custom],MATCH(TableOverallRank[[#This Row],[OVERALL PLAYER]],TableOverallMaster[OVERALL PLAYER],0)),"")</f>
        <v>15.698531844016635</v>
      </c>
      <c r="AT281" s="163">
        <f>IFERROR(INDEX(TableOverallMaster[VORP],MATCH(TableOverallRank[[#This Row],[OVERALL PLAYER]],TableOverallMaster[OVERALL PLAYER],0)),"")</f>
        <v>-70.647445909608592</v>
      </c>
      <c r="AV281" s="58">
        <v>280</v>
      </c>
      <c r="AW281" s="164" t="str">
        <f>IFERROR(INDEX(TableWRTECalcPts[PLAYER],MATCH(TableWRTERank[[#This Row],[RK]],TableWRTECalcPts[RK],0)),"")</f>
        <v/>
      </c>
      <c r="AX281" s="164" t="str">
        <f>IFERROR(INDEX(TableWRTECalcPts[POS RK],MATCH(TableWRTERank[[#This Row],[WR and TE COMBINED]],TableWRTECalcPts[PLAYER],0)),"")</f>
        <v>TE88</v>
      </c>
      <c r="AY281" s="164" t="str">
        <f>IFERROR(INDEX(TableWRTECalcPts[BYE],MATCH(TableWRTERank[[#This Row],[RK]],TableWRTECalcPts[RK],0)),"")</f>
        <v/>
      </c>
      <c r="AZ281" s="165" t="str">
        <f>IFERROR(INDEX(TableWRTECalcPts[Custom],MATCH(TableWRTERank[[#This Row],[RK]],TableWRTECalcPts[RK],0)),"")</f>
        <v/>
      </c>
      <c r="BA281" s="166" t="str">
        <f>IFERROR((TableWRTERank[[#This Row],[FPS]]-INDEX(TableWRTERank[FPS],MATCH(WRTEVORPCalc,TableWRTERank[RK],0))),"")</f>
        <v/>
      </c>
      <c r="BC281" s="58" t="s">
        <v>8</v>
      </c>
    </row>
    <row r="282" spans="32:55" x14ac:dyDescent="0.25">
      <c r="AF282" s="58" t="s">
        <v>8</v>
      </c>
      <c r="AG282" s="58">
        <v>31</v>
      </c>
      <c r="AH282" s="100">
        <f>RANK(TableOverallMaster[[#This Row],[VORP]],TableOverallMaster[VORP])+COUNTIF($AM$2:AM282,AM282)-1</f>
        <v>179</v>
      </c>
      <c r="AI282" s="157" t="str">
        <f>IFERROR(INDEX(TableTEVORP[TIGHT END],MATCH(TableOverallMaster[[#This Row],[RK]],TableTEVORP[RK],0)),"")</f>
        <v>David Njoku</v>
      </c>
      <c r="AJ282" s="157" t="str">
        <f t="shared" si="4"/>
        <v>TE31</v>
      </c>
      <c r="AK282" s="157">
        <f>IFERROR(INDEX(TableTEVORP[BYE],MATCH(TableOverallMaster[[#This Row],[RK]],TableTEVORP[RK],0)),"")</f>
        <v>7</v>
      </c>
      <c r="AL282" s="158">
        <f>IFERROR(INDEX(TableTEVORP[FPS],MATCH(TableOverallMaster[[#This Row],[RK]],TableTEVORP[RK],0)),"")</f>
        <v>71.842267786673858</v>
      </c>
      <c r="AM282" s="159">
        <f>IFERROR(INDEX(TableTEVORP[VORP],MATCH(TableOverallMaster[[#This Row],[RK]],TableTEVORP[RK],0)),"")</f>
        <v>-6.0435261895678281</v>
      </c>
      <c r="AO282" s="58">
        <v>281</v>
      </c>
      <c r="AP282" s="160" t="str">
        <f>IFERROR(INDEX(TableOverallMaster[OVERALL PLAYER],MATCH(TableOverallRank[[#This Row],[RK]],TableOverallMaster[OVR RK],0)),"")</f>
        <v>Tyler Goodson</v>
      </c>
      <c r="AQ282" s="161" t="str">
        <f>IFERROR(INDEX(TableOverallMaster[POS RK],MATCH(TableOverallRank[[#This Row],[OVERALL PLAYER]],TableOverallMaster[OVERALL PLAYER],0)),"")</f>
        <v>RB91</v>
      </c>
      <c r="AR282" s="162">
        <f>IFERROR(INDEX(TableOverallMaster[BYE],MATCH(TableOverallRank[[#This Row],[OVERALL PLAYER]],TableOverallMaster[OVERALL PLAYER],0)),"")</f>
        <v>11</v>
      </c>
      <c r="AS282" s="161">
        <f>IFERROR(INDEX(TableOverallMaster[Custom],MATCH(TableOverallRank[[#This Row],[OVERALL PLAYER]],TableOverallMaster[OVERALL PLAYER],0)),"")</f>
        <v>15.265039037157166</v>
      </c>
      <c r="AT282" s="163">
        <f>IFERROR(INDEX(TableOverallMaster[VORP],MATCH(TableOverallRank[[#This Row],[OVERALL PLAYER]],TableOverallMaster[OVERALL PLAYER],0)),"")</f>
        <v>-70.994240155096165</v>
      </c>
      <c r="AY282" s="95"/>
      <c r="AZ282" s="168"/>
    </row>
    <row r="283" spans="32:55" x14ac:dyDescent="0.25">
      <c r="AF283" s="58" t="s">
        <v>8</v>
      </c>
      <c r="AG283" s="58">
        <v>32</v>
      </c>
      <c r="AH283" s="100">
        <f>RANK(TableOverallMaster[[#This Row],[VORP]],TableOverallMaster[VORP])+COUNTIF($AM$2:AM283,AM283)-1</f>
        <v>180</v>
      </c>
      <c r="AI283" s="157" t="str">
        <f>IFERROR(INDEX(TableTEVORP[TIGHT END],MATCH(TableOverallMaster[[#This Row],[RK]],TableTEVORP[RK],0)),"")</f>
        <v>Evan Engram</v>
      </c>
      <c r="AJ283" s="157" t="str">
        <f t="shared" si="4"/>
        <v>TE32</v>
      </c>
      <c r="AK283" s="157">
        <f>IFERROR(INDEX(TableTEVORP[BYE],MATCH(TableOverallMaster[[#This Row],[RK]],TableTEVORP[RK],0)),"")</f>
        <v>10</v>
      </c>
      <c r="AL283" s="158">
        <f>IFERROR(INDEX(TableTEVORP[FPS],MATCH(TableOverallMaster[[#This Row],[RK]],TableTEVORP[RK],0)),"")</f>
        <v>71.134066611231063</v>
      </c>
      <c r="AM283" s="159">
        <f>IFERROR(INDEX(TableTEVORP[VORP],MATCH(TableOverallMaster[[#This Row],[RK]],TableTEVORP[RK],0)),"")</f>
        <v>-6.7517273650106233</v>
      </c>
      <c r="AO283" s="58">
        <v>282</v>
      </c>
      <c r="AP283" s="160" t="str">
        <f>IFERROR(INDEX(TableOverallMaster[OVERALL PLAYER],MATCH(TableOverallRank[[#This Row],[RK]],TableOverallMaster[OVR RK],0)),"")</f>
        <v>Jawhar Jordan</v>
      </c>
      <c r="AQ283" s="161" t="str">
        <f>IFERROR(INDEX(TableOverallMaster[POS RK],MATCH(TableOverallRank[[#This Row],[OVERALL PLAYER]],TableOverallMaster[OVERALL PLAYER],0)),"")</f>
        <v>RB92</v>
      </c>
      <c r="AR283" s="162">
        <f>IFERROR(INDEX(TableOverallMaster[BYE],MATCH(TableOverallRank[[#This Row],[OVERALL PLAYER]],TableOverallMaster[OVERALL PLAYER],0)),"")</f>
        <v>8</v>
      </c>
      <c r="AS283" s="161">
        <f>IFERROR(INDEX(TableOverallMaster[Custom],MATCH(TableOverallRank[[#This Row],[OVERALL PLAYER]],TableOverallMaster[OVERALL PLAYER],0)),"")</f>
        <v>14.980269438246003</v>
      </c>
      <c r="AT283" s="163">
        <f>IFERROR(INDEX(TableOverallMaster[VORP],MATCH(TableOverallRank[[#This Row],[OVERALL PLAYER]],TableOverallMaster[OVERALL PLAYER],0)),"")</f>
        <v>-71.222055834225102</v>
      </c>
      <c r="AY283" s="95"/>
      <c r="AZ283" s="168"/>
    </row>
    <row r="284" spans="32:55" x14ac:dyDescent="0.25">
      <c r="AF284" s="58" t="s">
        <v>8</v>
      </c>
      <c r="AG284" s="58">
        <v>33</v>
      </c>
      <c r="AH284" s="100">
        <f>RANK(TableOverallMaster[[#This Row],[VORP]],TableOverallMaster[VORP])+COUNTIF($AM$2:AM284,AM284)-1</f>
        <v>191</v>
      </c>
      <c r="AI284" s="157" t="str">
        <f>IFERROR(INDEX(TableTEVORP[TIGHT END],MATCH(TableOverallMaster[[#This Row],[RK]],TableTEVORP[RK],0)),"")</f>
        <v>Mason Taylor</v>
      </c>
      <c r="AJ284" s="157" t="str">
        <f t="shared" si="4"/>
        <v>TE33</v>
      </c>
      <c r="AK284" s="157">
        <f>IFERROR(INDEX(TableTEVORP[BYE],MATCH(TableOverallMaster[[#This Row],[RK]],TableTEVORP[RK],0)),"")</f>
        <v>13</v>
      </c>
      <c r="AL284" s="158">
        <f>IFERROR(INDEX(TableTEVORP[FPS],MATCH(TableOverallMaster[[#This Row],[RK]],TableTEVORP[RK],0)),"")</f>
        <v>64.620107061078613</v>
      </c>
      <c r="AM284" s="159">
        <f>IFERROR(INDEX(TableTEVORP[VORP],MATCH(TableOverallMaster[[#This Row],[RK]],TableTEVORP[RK],0)),"")</f>
        <v>-13.265686915163073</v>
      </c>
      <c r="AO284" s="58">
        <v>283</v>
      </c>
      <c r="AP284" s="160" t="str">
        <f>IFERROR(INDEX(TableOverallMaster[OVERALL PLAYER],MATCH(TableOverallRank[[#This Row],[RK]],TableOverallMaster[OVR RK],0)),"")</f>
        <v>Tahj Brooks</v>
      </c>
      <c r="AQ284" s="161" t="str">
        <f>IFERROR(INDEX(TableOverallMaster[POS RK],MATCH(TableOverallRank[[#This Row],[OVERALL PLAYER]],TableOverallMaster[OVERALL PLAYER],0)),"")</f>
        <v>RB93</v>
      </c>
      <c r="AR284" s="162">
        <f>IFERROR(INDEX(TableOverallMaster[BYE],MATCH(TableOverallRank[[#This Row],[OVERALL PLAYER]],TableOverallMaster[OVERALL PLAYER],0)),"")</f>
        <v>6</v>
      </c>
      <c r="AS284" s="161">
        <f>IFERROR(INDEX(TableOverallMaster[Custom],MATCH(TableOverallRank[[#This Row],[OVERALL PLAYER]],TableOverallMaster[OVERALL PLAYER],0)),"")</f>
        <v>14.242156410960854</v>
      </c>
      <c r="AT284" s="163">
        <f>IFERROR(INDEX(TableOverallMaster[VORP],MATCH(TableOverallRank[[#This Row],[OVERALL PLAYER]],TableOverallMaster[OVERALL PLAYER],0)),"")</f>
        <v>-71.81254625605321</v>
      </c>
      <c r="AY284" s="95"/>
      <c r="AZ284" s="168"/>
    </row>
    <row r="285" spans="32:55" x14ac:dyDescent="0.25">
      <c r="AF285" s="58" t="s">
        <v>8</v>
      </c>
      <c r="AG285" s="58">
        <v>34</v>
      </c>
      <c r="AH285" s="100">
        <f>RANK(TableOverallMaster[[#This Row],[VORP]],TableOverallMaster[VORP])+COUNTIF($AM$2:AM285,AM285)-1</f>
        <v>192</v>
      </c>
      <c r="AI285" s="157" t="str">
        <f>IFERROR(INDEX(TableTEVORP[TIGHT END],MATCH(TableOverallMaster[[#This Row],[RK]],TableTEVORP[RK],0)),"")</f>
        <v>Darnell Washington</v>
      </c>
      <c r="AJ285" s="157" t="str">
        <f t="shared" si="4"/>
        <v>TE34</v>
      </c>
      <c r="AK285" s="157">
        <f>IFERROR(INDEX(TableTEVORP[BYE],MATCH(TableOverallMaster[[#This Row],[RK]],TableTEVORP[RK],0)),"")</f>
        <v>9</v>
      </c>
      <c r="AL285" s="158">
        <f>IFERROR(INDEX(TableTEVORP[FPS],MATCH(TableOverallMaster[[#This Row],[RK]],TableTEVORP[RK],0)),"")</f>
        <v>63.316144832859713</v>
      </c>
      <c r="AM285" s="159">
        <f>IFERROR(INDEX(TableTEVORP[VORP],MATCH(TableOverallMaster[[#This Row],[RK]],TableTEVORP[RK],0)),"")</f>
        <v>-14.569649143381973</v>
      </c>
      <c r="AO285" s="58">
        <v>284</v>
      </c>
      <c r="AP285" s="160" t="str">
        <f>IFERROR(INDEX(TableOverallMaster[OVERALL PLAYER],MATCH(TableOverallRank[[#This Row],[RK]],TableOverallMaster[OVR RK],0)),"")</f>
        <v>Trevor Etienne</v>
      </c>
      <c r="AQ285" s="161" t="str">
        <f>IFERROR(INDEX(TableOverallMaster[POS RK],MATCH(TableOverallRank[[#This Row],[OVERALL PLAYER]],TableOverallMaster[OVERALL PLAYER],0)),"")</f>
        <v>RB94</v>
      </c>
      <c r="AR285" s="162">
        <f>IFERROR(INDEX(TableOverallMaster[BYE],MATCH(TableOverallRank[[#This Row],[OVERALL PLAYER]],TableOverallMaster[OVERALL PLAYER],0)),"")</f>
        <v>5</v>
      </c>
      <c r="AS285" s="161">
        <f>IFERROR(INDEX(TableOverallMaster[Custom],MATCH(TableOverallRank[[#This Row],[OVERALL PLAYER]],TableOverallMaster[OVERALL PLAYER],0)),"")</f>
        <v>13.911921761422212</v>
      </c>
      <c r="AT285" s="163">
        <f>IFERROR(INDEX(TableOverallMaster[VORP],MATCH(TableOverallRank[[#This Row],[OVERALL PLAYER]],TableOverallMaster[OVERALL PLAYER],0)),"")</f>
        <v>-72.076733975684135</v>
      </c>
      <c r="AY285" s="95"/>
      <c r="AZ285" s="168"/>
    </row>
    <row r="286" spans="32:55" x14ac:dyDescent="0.25">
      <c r="AF286" s="58" t="s">
        <v>8</v>
      </c>
      <c r="AG286" s="58">
        <v>35</v>
      </c>
      <c r="AH286" s="100">
        <f>RANK(TableOverallMaster[[#This Row],[VORP]],TableOverallMaster[VORP])+COUNTIF($AM$2:AM286,AM286)-1</f>
        <v>196</v>
      </c>
      <c r="AI286" s="157" t="str">
        <f>IFERROR(INDEX(TableTEVORP[TIGHT END],MATCH(TableOverallMaster[[#This Row],[RK]],TableTEVORP[RK],0)),"")</f>
        <v>Dawson Knox</v>
      </c>
      <c r="AJ286" s="157" t="str">
        <f t="shared" si="4"/>
        <v>TE35</v>
      </c>
      <c r="AK286" s="157">
        <f>IFERROR(INDEX(TableTEVORP[BYE],MATCH(TableOverallMaster[[#This Row],[RK]],TableTEVORP[RK],0)),"")</f>
        <v>7</v>
      </c>
      <c r="AL286" s="158">
        <f>IFERROR(INDEX(TableTEVORP[FPS],MATCH(TableOverallMaster[[#This Row],[RK]],TableTEVORP[RK],0)),"")</f>
        <v>61.473812892346771</v>
      </c>
      <c r="AM286" s="159">
        <f>IFERROR(INDEX(TableTEVORP[VORP],MATCH(TableOverallMaster[[#This Row],[RK]],TableTEVORP[RK],0)),"")</f>
        <v>-16.411981083894915</v>
      </c>
      <c r="AO286" s="58">
        <v>285</v>
      </c>
      <c r="AP286" s="160" t="str">
        <f>IFERROR(INDEX(TableOverallMaster[OVERALL PLAYER],MATCH(TableOverallRank[[#This Row],[RK]],TableOverallMaster[OVR RK],0)),"")</f>
        <v>Jam Miller</v>
      </c>
      <c r="AQ286" s="161" t="str">
        <f>IFERROR(INDEX(TableOverallMaster[POS RK],MATCH(TableOverallRank[[#This Row],[OVERALL PLAYER]],TableOverallMaster[OVERALL PLAYER],0)),"")</f>
        <v>RB95</v>
      </c>
      <c r="AR286" s="162">
        <f>IFERROR(INDEX(TableOverallMaster[BYE],MATCH(TableOverallRank[[#This Row],[OVERALL PLAYER]],TableOverallMaster[OVERALL PLAYER],0)),"")</f>
        <v>11</v>
      </c>
      <c r="AS286" s="161">
        <f>IFERROR(INDEX(TableOverallMaster[Custom],MATCH(TableOverallRank[[#This Row],[OVERALL PLAYER]],TableOverallMaster[OVERALL PLAYER],0)),"")</f>
        <v>13.865478244445967</v>
      </c>
      <c r="AT286" s="163">
        <f>IFERROR(INDEX(TableOverallMaster[VORP],MATCH(TableOverallRank[[#This Row],[OVERALL PLAYER]],TableOverallMaster[OVERALL PLAYER],0)),"")</f>
        <v>-72.113888789265133</v>
      </c>
      <c r="AY286" s="95"/>
      <c r="AZ286" s="168"/>
    </row>
    <row r="287" spans="32:55" x14ac:dyDescent="0.25">
      <c r="AF287" s="58" t="s">
        <v>8</v>
      </c>
      <c r="AG287" s="58">
        <v>36</v>
      </c>
      <c r="AH287" s="100">
        <f>RANK(TableOverallMaster[[#This Row],[VORP]],TableOverallMaster[VORP])+COUNTIF($AM$2:AM287,AM287)-1</f>
        <v>197</v>
      </c>
      <c r="AI287" s="157" t="str">
        <f>IFERROR(INDEX(TableTEVORP[TIGHT END],MATCH(TableOverallMaster[[#This Row],[RK]],TableTEVORP[RK],0)),"")</f>
        <v>Colby Parkinson</v>
      </c>
      <c r="AJ287" s="157" t="str">
        <f t="shared" si="4"/>
        <v>TE36</v>
      </c>
      <c r="AK287" s="157">
        <f>IFERROR(INDEX(TableTEVORP[BYE],MATCH(TableOverallMaster[[#This Row],[RK]],TableTEVORP[RK],0)),"")</f>
        <v>11</v>
      </c>
      <c r="AL287" s="158">
        <f>IFERROR(INDEX(TableTEVORP[FPS],MATCH(TableOverallMaster[[#This Row],[RK]],TableTEVORP[RK],0)),"")</f>
        <v>61.096125666883822</v>
      </c>
      <c r="AM287" s="159">
        <f>IFERROR(INDEX(TableTEVORP[VORP],MATCH(TableOverallMaster[[#This Row],[RK]],TableTEVORP[RK],0)),"")</f>
        <v>-16.789668309357864</v>
      </c>
      <c r="AO287" s="58">
        <v>286</v>
      </c>
      <c r="AP287" s="160" t="str">
        <f>IFERROR(INDEX(TableOverallMaster[OVERALL PLAYER],MATCH(TableOverallRank[[#This Row],[RK]],TableOverallMaster[OVR RK],0)),"")</f>
        <v>James Conner</v>
      </c>
      <c r="AQ287" s="161" t="str">
        <f>IFERROR(INDEX(TableOverallMaster[POS RK],MATCH(TableOverallRank[[#This Row],[OVERALL PLAYER]],TableOverallMaster[OVERALL PLAYER],0)),"")</f>
        <v>RB96</v>
      </c>
      <c r="AR287" s="162">
        <f>IFERROR(INDEX(TableOverallMaster[BYE],MATCH(TableOverallRank[[#This Row],[OVERALL PLAYER]],TableOverallMaster[OVERALL PLAYER],0)),"")</f>
        <v>14</v>
      </c>
      <c r="AS287" s="161">
        <f>IFERROR(INDEX(TableOverallMaster[Custom],MATCH(TableOverallRank[[#This Row],[OVERALL PLAYER]],TableOverallMaster[OVERALL PLAYER],0)),"")</f>
        <v>13.772880264725597</v>
      </c>
      <c r="AT287" s="163">
        <f>IFERROR(INDEX(TableOverallMaster[VORP],MATCH(TableOverallRank[[#This Row],[OVERALL PLAYER]],TableOverallMaster[OVERALL PLAYER],0)),"")</f>
        <v>-72.187967173041429</v>
      </c>
      <c r="AY287" s="95"/>
      <c r="AZ287" s="168"/>
    </row>
    <row r="288" spans="32:55" x14ac:dyDescent="0.25">
      <c r="AF288" s="58" t="s">
        <v>8</v>
      </c>
      <c r="AG288" s="58">
        <v>37</v>
      </c>
      <c r="AH288" s="100">
        <f>RANK(TableOverallMaster[[#This Row],[VORP]],TableOverallMaster[VORP])+COUNTIF($AM$2:AM288,AM288)-1</f>
        <v>206</v>
      </c>
      <c r="AI288" s="157" t="str">
        <f>IFERROR(INDEX(TableTEVORP[TIGHT END],MATCH(TableOverallMaster[[#This Row],[RK]],TableTEVORP[RK],0)),"")</f>
        <v>Ja'Tavion Sanders</v>
      </c>
      <c r="AJ288" s="157" t="str">
        <f t="shared" si="4"/>
        <v>TE37</v>
      </c>
      <c r="AK288" s="157">
        <f>IFERROR(INDEX(TableTEVORP[BYE],MATCH(TableOverallMaster[[#This Row],[RK]],TableTEVORP[RK],0)),"")</f>
        <v>5</v>
      </c>
      <c r="AL288" s="158">
        <f>IFERROR(INDEX(TableTEVORP[FPS],MATCH(TableOverallMaster[[#This Row],[RK]],TableTEVORP[RK],0)),"")</f>
        <v>52.136489551557439</v>
      </c>
      <c r="AM288" s="159">
        <f>IFERROR(INDEX(TableTEVORP[VORP],MATCH(TableOverallMaster[[#This Row],[RK]],TableTEVORP[RK],0)),"")</f>
        <v>-25.749304424684247</v>
      </c>
      <c r="AO288" s="58">
        <v>287</v>
      </c>
      <c r="AP288" s="160" t="str">
        <f>IFERROR(INDEX(TableOverallMaster[OVERALL PLAYER],MATCH(TableOverallRank[[#This Row],[RK]],TableOverallMaster[OVR RK],0)),"")</f>
        <v>Will Shipley</v>
      </c>
      <c r="AQ288" s="161" t="str">
        <f>IFERROR(INDEX(TableOverallMaster[POS RK],MATCH(TableOverallRank[[#This Row],[OVERALL PLAYER]],TableOverallMaster[OVERALL PLAYER],0)),"")</f>
        <v>RB97</v>
      </c>
      <c r="AR288" s="162">
        <f>IFERROR(INDEX(TableOverallMaster[BYE],MATCH(TableOverallRank[[#This Row],[OVERALL PLAYER]],TableOverallMaster[OVERALL PLAYER],0)),"")</f>
        <v>10</v>
      </c>
      <c r="AS288" s="161">
        <f>IFERROR(INDEX(TableOverallMaster[Custom],MATCH(TableOverallRank[[#This Row],[OVERALL PLAYER]],TableOverallMaster[OVERALL PLAYER],0)),"")</f>
        <v>13.630349818932</v>
      </c>
      <c r="AT288" s="163">
        <f>IFERROR(INDEX(TableOverallMaster[VORP],MATCH(TableOverallRank[[#This Row],[OVERALL PLAYER]],TableOverallMaster[OVERALL PLAYER],0)),"")</f>
        <v>-72.3019915296763</v>
      </c>
      <c r="AY288" s="95"/>
      <c r="AZ288" s="168"/>
    </row>
    <row r="289" spans="32:52" x14ac:dyDescent="0.25">
      <c r="AF289" s="58" t="s">
        <v>8</v>
      </c>
      <c r="AG289" s="58">
        <v>38</v>
      </c>
      <c r="AH289" s="100">
        <f>RANK(TableOverallMaster[[#This Row],[VORP]],TableOverallMaster[VORP])+COUNTIF($AM$2:AM289,AM289)-1</f>
        <v>211</v>
      </c>
      <c r="AI289" s="157" t="str">
        <f>IFERROR(INDEX(TableTEVORP[TIGHT END],MATCH(TableOverallMaster[[#This Row],[RK]],TableTEVORP[RK],0)),"")</f>
        <v>Eli Raridon</v>
      </c>
      <c r="AJ289" s="157" t="str">
        <f t="shared" si="4"/>
        <v>TE38</v>
      </c>
      <c r="AK289" s="157">
        <f>IFERROR(INDEX(TableTEVORP[BYE],MATCH(TableOverallMaster[[#This Row],[RK]],TableTEVORP[RK],0)),"")</f>
        <v>11</v>
      </c>
      <c r="AL289" s="158">
        <f>IFERROR(INDEX(TableTEVORP[FPS],MATCH(TableOverallMaster[[#This Row],[RK]],TableTEVORP[RK],0)),"")</f>
        <v>50.386639635027102</v>
      </c>
      <c r="AM289" s="159">
        <f>IFERROR(INDEX(TableTEVORP[VORP],MATCH(TableOverallMaster[[#This Row],[RK]],TableTEVORP[RK],0)),"")</f>
        <v>-27.499154341214584</v>
      </c>
      <c r="AO289" s="58">
        <v>288</v>
      </c>
      <c r="AP289" s="160" t="str">
        <f>IFERROR(INDEX(TableOverallMaster[OVERALL PLAYER],MATCH(TableOverallRank[[#This Row],[RK]],TableOverallMaster[OVR RK],0)),"")</f>
        <v>George Holani</v>
      </c>
      <c r="AQ289" s="161" t="str">
        <f>IFERROR(INDEX(TableOverallMaster[POS RK],MATCH(TableOverallRank[[#This Row],[OVERALL PLAYER]],TableOverallMaster[OVERALL PLAYER],0)),"")</f>
        <v>RB98</v>
      </c>
      <c r="AR289" s="162">
        <f>IFERROR(INDEX(TableOverallMaster[BYE],MATCH(TableOverallRank[[#This Row],[OVERALL PLAYER]],TableOverallMaster[OVERALL PLAYER],0)),"")</f>
        <v>11</v>
      </c>
      <c r="AS289" s="161">
        <f>IFERROR(INDEX(TableOverallMaster[Custom],MATCH(TableOverallRank[[#This Row],[OVERALL PLAYER]],TableOverallMaster[OVERALL PLAYER],0)),"")</f>
        <v>12.132345115509112</v>
      </c>
      <c r="AT289" s="163">
        <f>IFERROR(INDEX(TableOverallMaster[VORP],MATCH(TableOverallRank[[#This Row],[OVERALL PLAYER]],TableOverallMaster[OVERALL PLAYER],0)),"")</f>
        <v>-73.500395292414609</v>
      </c>
      <c r="AY289" s="95"/>
      <c r="AZ289" s="168"/>
    </row>
    <row r="290" spans="32:52" x14ac:dyDescent="0.25">
      <c r="AF290" s="58" t="s">
        <v>8</v>
      </c>
      <c r="AG290" s="58">
        <v>39</v>
      </c>
      <c r="AH290" s="100">
        <f>RANK(TableOverallMaster[[#This Row],[VORP]],TableOverallMaster[VORP])+COUNTIF($AM$2:AM290,AM290)-1</f>
        <v>212</v>
      </c>
      <c r="AI290" s="157" t="str">
        <f>IFERROR(INDEX(TableTEVORP[TIGHT END],MATCH(TableOverallMaster[[#This Row],[RK]],TableTEVORP[RK],0)),"")</f>
        <v>Noah Gray</v>
      </c>
      <c r="AJ290" s="157" t="str">
        <f t="shared" si="4"/>
        <v>TE39</v>
      </c>
      <c r="AK290" s="157">
        <f>IFERROR(INDEX(TableTEVORP[BYE],MATCH(TableOverallMaster[[#This Row],[RK]],TableTEVORP[RK],0)),"")</f>
        <v>5</v>
      </c>
      <c r="AL290" s="158">
        <f>IFERROR(INDEX(TableTEVORP[FPS],MATCH(TableOverallMaster[[#This Row],[RK]],TableTEVORP[RK],0)),"")</f>
        <v>49.391673692991986</v>
      </c>
      <c r="AM290" s="159">
        <f>IFERROR(INDEX(TableTEVORP[VORP],MATCH(TableOverallMaster[[#This Row],[RK]],TableTEVORP[RK],0)),"")</f>
        <v>-28.4941202832497</v>
      </c>
      <c r="AO290" s="58">
        <v>289</v>
      </c>
      <c r="AP290" s="160" t="str">
        <f>IFERROR(INDEX(TableOverallMaster[OVERALL PLAYER],MATCH(TableOverallRank[[#This Row],[RK]],TableOverallMaster[OVR RK],0)),"")</f>
        <v>Roschon Johnson</v>
      </c>
      <c r="AQ290" s="161" t="str">
        <f>IFERROR(INDEX(TableOverallMaster[POS RK],MATCH(TableOverallRank[[#This Row],[OVERALL PLAYER]],TableOverallMaster[OVERALL PLAYER],0)),"")</f>
        <v>RB99</v>
      </c>
      <c r="AR290" s="162">
        <f>IFERROR(INDEX(TableOverallMaster[BYE],MATCH(TableOverallRank[[#This Row],[OVERALL PLAYER]],TableOverallMaster[OVERALL PLAYER],0)),"")</f>
        <v>10</v>
      </c>
      <c r="AS290" s="161">
        <f>IFERROR(INDEX(TableOverallMaster[Custom],MATCH(TableOverallRank[[#This Row],[OVERALL PLAYER]],TableOverallMaster[OVERALL PLAYER],0)),"")</f>
        <v>12.132202592868293</v>
      </c>
      <c r="AT290" s="163">
        <f>IFERROR(INDEX(TableOverallMaster[VORP],MATCH(TableOverallRank[[#This Row],[OVERALL PLAYER]],TableOverallMaster[OVERALL PLAYER],0)),"")</f>
        <v>-73.500509310527264</v>
      </c>
      <c r="AY290" s="95"/>
      <c r="AZ290" s="168"/>
    </row>
    <row r="291" spans="32:52" x14ac:dyDescent="0.25">
      <c r="AF291" s="58" t="s">
        <v>8</v>
      </c>
      <c r="AG291" s="58">
        <v>40</v>
      </c>
      <c r="AH291" s="100">
        <f>RANK(TableOverallMaster[[#This Row],[VORP]],TableOverallMaster[VORP])+COUNTIF($AM$2:AM291,AM291)-1</f>
        <v>215</v>
      </c>
      <c r="AI291" s="157" t="str">
        <f>IFERROR(INDEX(TableTEVORP[TIGHT END],MATCH(TableOverallMaster[[#This Row],[RK]],TableTEVORP[RK],0)),"")</f>
        <v>Cole Kmet</v>
      </c>
      <c r="AJ291" s="157" t="str">
        <f t="shared" si="4"/>
        <v>TE40</v>
      </c>
      <c r="AK291" s="157">
        <f>IFERROR(INDEX(TableTEVORP[BYE],MATCH(TableOverallMaster[[#This Row],[RK]],TableTEVORP[RK],0)),"")</f>
        <v>10</v>
      </c>
      <c r="AL291" s="158">
        <f>IFERROR(INDEX(TableTEVORP[FPS],MATCH(TableOverallMaster[[#This Row],[RK]],TableTEVORP[RK],0)),"")</f>
        <v>47.577931581028814</v>
      </c>
      <c r="AM291" s="159">
        <f>IFERROR(INDEX(TableTEVORP[VORP],MATCH(TableOverallMaster[[#This Row],[RK]],TableTEVORP[RK],0)),"")</f>
        <v>-30.307862395212872</v>
      </c>
      <c r="AO291" s="58">
        <v>290</v>
      </c>
      <c r="AP291" s="160" t="str">
        <f>IFERROR(INDEX(TableOverallMaster[OVERALL PLAYER],MATCH(TableOverallRank[[#This Row],[RK]],TableOverallMaster[OVR RK],0)),"")</f>
        <v>AJ Dillon</v>
      </c>
      <c r="AQ291" s="161" t="str">
        <f>IFERROR(INDEX(TableOverallMaster[POS RK],MATCH(TableOverallRank[[#This Row],[OVERALL PLAYER]],TableOverallMaster[OVERALL PLAYER],0)),"")</f>
        <v>RB100</v>
      </c>
      <c r="AR291" s="162">
        <f>IFERROR(INDEX(TableOverallMaster[BYE],MATCH(TableOverallRank[[#This Row],[OVERALL PLAYER]],TableOverallMaster[OVERALL PLAYER],0)),"")</f>
        <v>5</v>
      </c>
      <c r="AS291" s="161">
        <f>IFERROR(INDEX(TableOverallMaster[Custom],MATCH(TableOverallRank[[#This Row],[OVERALL PLAYER]],TableOverallMaster[OVERALL PLAYER],0)),"")</f>
        <v>11.967500160000002</v>
      </c>
      <c r="AT291" s="163">
        <f>IFERROR(INDEX(TableOverallMaster[VORP],MATCH(TableOverallRank[[#This Row],[OVERALL PLAYER]],TableOverallMaster[OVERALL PLAYER],0)),"")</f>
        <v>-73.632271256821909</v>
      </c>
      <c r="AY291" s="95"/>
      <c r="AZ291" s="168"/>
    </row>
    <row r="292" spans="32:52" x14ac:dyDescent="0.25">
      <c r="AF292" s="58" t="s">
        <v>8</v>
      </c>
      <c r="AG292" s="58">
        <v>41</v>
      </c>
      <c r="AH292" s="100">
        <f>RANK(TableOverallMaster[[#This Row],[VORP]],TableOverallMaster[VORP])+COUNTIF($AM$2:AM292,AM292)-1</f>
        <v>220</v>
      </c>
      <c r="AI292" s="157" t="str">
        <f>IFERROR(INDEX(TableTEVORP[TIGHT END],MATCH(TableOverallMaster[[#This Row],[RK]],TableTEVORP[RK],0)),"")</f>
        <v>Michael Mayer</v>
      </c>
      <c r="AJ292" s="157" t="str">
        <f t="shared" si="4"/>
        <v>TE41</v>
      </c>
      <c r="AK292" s="157">
        <f>IFERROR(INDEX(TableTEVORP[BYE],MATCH(TableOverallMaster[[#This Row],[RK]],TableTEVORP[RK],0)),"")</f>
        <v>13</v>
      </c>
      <c r="AL292" s="158">
        <f>IFERROR(INDEX(TableTEVORP[FPS],MATCH(TableOverallMaster[[#This Row],[RK]],TableTEVORP[RK],0)),"")</f>
        <v>46.282097929207907</v>
      </c>
      <c r="AM292" s="159">
        <f>IFERROR(INDEX(TableTEVORP[VORP],MATCH(TableOverallMaster[[#This Row],[RK]],TableTEVORP[RK],0)),"")</f>
        <v>-31.603696047033779</v>
      </c>
      <c r="AO292" s="58">
        <v>291</v>
      </c>
      <c r="AP292" s="160" t="str">
        <f>IFERROR(INDEX(TableOverallMaster[OVERALL PLAYER],MATCH(TableOverallRank[[#This Row],[RK]],TableOverallMaster[OVR RK],0)),"")</f>
        <v>Kirk Cousins</v>
      </c>
      <c r="AQ292" s="161" t="str">
        <f>IFERROR(INDEX(TableOverallMaster[POS RK],MATCH(TableOverallRank[[#This Row],[OVERALL PLAYER]],TableOverallMaster[OVERALL PLAYER],0)),"")</f>
        <v>QB31</v>
      </c>
      <c r="AR292" s="162">
        <f>IFERROR(INDEX(TableOverallMaster[BYE],MATCH(TableOverallRank[[#This Row],[OVERALL PLAYER]],TableOverallMaster[OVERALL PLAYER],0)),"")</f>
        <v>13</v>
      </c>
      <c r="AS292" s="161">
        <f>IFERROR(INDEX(TableOverallMaster[Custom],MATCH(TableOverallRank[[#This Row],[OVERALL PLAYER]],TableOverallMaster[OVERALL PLAYER],0)),"")</f>
        <v>191.74774367975132</v>
      </c>
      <c r="AT292" s="163">
        <f>IFERROR(INDEX(TableOverallMaster[VORP],MATCH(TableOverallRank[[#This Row],[OVERALL PLAYER]],TableOverallMaster[OVERALL PLAYER],0)),"")</f>
        <v>-122.5128762967976</v>
      </c>
      <c r="AY292" s="95"/>
      <c r="AZ292" s="168"/>
    </row>
    <row r="293" spans="32:52" x14ac:dyDescent="0.25">
      <c r="AF293" s="58" t="s">
        <v>8</v>
      </c>
      <c r="AG293" s="58">
        <v>42</v>
      </c>
      <c r="AH293" s="100">
        <f>RANK(TableOverallMaster[[#This Row],[VORP]],TableOverallMaster[VORP])+COUNTIF($AM$2:AM293,AM293)-1</f>
        <v>227</v>
      </c>
      <c r="AI293" s="157" t="str">
        <f>IFERROR(INDEX(TableTEVORP[TIGHT END],MATCH(TableOverallMaster[[#This Row],[RK]],TableTEVORP[RK],0)),"")</f>
        <v>Elijah Arroyo</v>
      </c>
      <c r="AJ293" s="157" t="str">
        <f t="shared" si="4"/>
        <v>TE42</v>
      </c>
      <c r="AK293" s="157">
        <f>IFERROR(INDEX(TableTEVORP[BYE],MATCH(TableOverallMaster[[#This Row],[RK]],TableTEVORP[RK],0)),"")</f>
        <v>11</v>
      </c>
      <c r="AL293" s="158">
        <f>IFERROR(INDEX(TableTEVORP[FPS],MATCH(TableOverallMaster[[#This Row],[RK]],TableTEVORP[RK],0)),"")</f>
        <v>41.558434084112932</v>
      </c>
      <c r="AM293" s="159">
        <f>IFERROR(INDEX(TableTEVORP[VORP],MATCH(TableOverallMaster[[#This Row],[RK]],TableTEVORP[RK],0)),"")</f>
        <v>-36.327359892128754</v>
      </c>
      <c r="AO293" s="58">
        <v>292</v>
      </c>
      <c r="AP293" s="160" t="str">
        <f>IFERROR(INDEX(TableOverallMaster[OVERALL PLAYER],MATCH(TableOverallRank[[#This Row],[RK]],TableOverallMaster[OVR RK],0)),"")</f>
        <v>Shedeur Sanders</v>
      </c>
      <c r="AQ293" s="161" t="str">
        <f>IFERROR(INDEX(TableOverallMaster[POS RK],MATCH(TableOverallRank[[#This Row],[OVERALL PLAYER]],TableOverallMaster[OVERALL PLAYER],0)),"")</f>
        <v>QB32</v>
      </c>
      <c r="AR293" s="162">
        <f>IFERROR(INDEX(TableOverallMaster[BYE],MATCH(TableOverallRank[[#This Row],[OVERALL PLAYER]],TableOverallMaster[OVERALL PLAYER],0)),"")</f>
        <v>11</v>
      </c>
      <c r="AS293" s="161">
        <f>IFERROR(INDEX(TableOverallMaster[Custom],MATCH(TableOverallRank[[#This Row],[OVERALL PLAYER]],TableOverallMaster[OVERALL PLAYER],0)),"")</f>
        <v>156.36882801555461</v>
      </c>
      <c r="AT293" s="163">
        <f>IFERROR(INDEX(TableOverallMaster[VORP],MATCH(TableOverallRank[[#This Row],[OVERALL PLAYER]],TableOverallMaster[OVERALL PLAYER],0)),"")</f>
        <v>-158.78691304029672</v>
      </c>
      <c r="AY293" s="95"/>
      <c r="AZ293" s="168"/>
    </row>
    <row r="294" spans="32:52" x14ac:dyDescent="0.25">
      <c r="AF294" s="58" t="s">
        <v>8</v>
      </c>
      <c r="AG294" s="58">
        <v>43</v>
      </c>
      <c r="AH294" s="100">
        <f>RANK(TableOverallMaster[[#This Row],[VORP]],TableOverallMaster[VORP])+COUNTIF($AM$2:AM294,AM294)-1</f>
        <v>228</v>
      </c>
      <c r="AI294" s="157" t="str">
        <f>IFERROR(INDEX(TableTEVORP[TIGHT END],MATCH(TableOverallMaster[[#This Row],[RK]],TableTEVORP[RK],0)),"")</f>
        <v>Tommy Tremble</v>
      </c>
      <c r="AJ294" s="157" t="str">
        <f t="shared" si="4"/>
        <v>TE43</v>
      </c>
      <c r="AK294" s="157">
        <f>IFERROR(INDEX(TableTEVORP[BYE],MATCH(TableOverallMaster[[#This Row],[RK]],TableTEVORP[RK],0)),"")</f>
        <v>5</v>
      </c>
      <c r="AL294" s="158">
        <f>IFERROR(INDEX(TableTEVORP[FPS],MATCH(TableOverallMaster[[#This Row],[RK]],TableTEVORP[RK],0)),"")</f>
        <v>41.058899402597987</v>
      </c>
      <c r="AM294" s="159">
        <f>IFERROR(INDEX(TableTEVORP[VORP],MATCH(TableOverallMaster[[#This Row],[RK]],TableTEVORP[RK],0)),"")</f>
        <v>-36.826894573643699</v>
      </c>
      <c r="AO294" s="58">
        <v>293</v>
      </c>
      <c r="AP294" s="160" t="str">
        <f>IFERROR(INDEX(TableOverallMaster[OVERALL PLAYER],MATCH(TableOverallRank[[#This Row],[RK]],TableOverallMaster[OVR RK],0)),"")</f>
        <v>Deshaun Watson</v>
      </c>
      <c r="AQ294" s="161" t="str">
        <f>IFERROR(INDEX(TableOverallMaster[POS RK],MATCH(TableOverallRank[[#This Row],[OVERALL PLAYER]],TableOverallMaster[OVERALL PLAYER],0)),"")</f>
        <v>QB33</v>
      </c>
      <c r="AR294" s="162">
        <f>IFERROR(INDEX(TableOverallMaster[BYE],MATCH(TableOverallRank[[#This Row],[OVERALL PLAYER]],TableOverallMaster[OVERALL PLAYER],0)),"")</f>
        <v>11</v>
      </c>
      <c r="AS294" s="161">
        <f>IFERROR(INDEX(TableOverallMaster[Custom],MATCH(TableOverallRank[[#This Row],[OVERALL PLAYER]],TableOverallMaster[OVERALL PLAYER],0)),"")</f>
        <v>148.1598360756762</v>
      </c>
      <c r="AT294" s="163">
        <f>IFERROR(INDEX(TableOverallMaster[VORP],MATCH(TableOverallRank[[#This Row],[OVERALL PLAYER]],TableOverallMaster[OVERALL PLAYER],0)),"")</f>
        <v>-167.21520137495784</v>
      </c>
      <c r="AY294" s="95"/>
      <c r="AZ294" s="168"/>
    </row>
    <row r="295" spans="32:52" x14ac:dyDescent="0.25">
      <c r="AF295" s="58" t="s">
        <v>8</v>
      </c>
      <c r="AG295" s="58">
        <v>44</v>
      </c>
      <c r="AH295" s="100">
        <f>RANK(TableOverallMaster[[#This Row],[VORP]],TableOverallMaster[VORP])+COUNTIF($AM$2:AM295,AM295)-1</f>
        <v>229</v>
      </c>
      <c r="AI295" s="157" t="str">
        <f>IFERROR(INDEX(TableTEVORP[TIGHT END],MATCH(TableOverallMaster[[#This Row],[RK]],TableTEVORP[RK],0)),"")</f>
        <v>Theo Johnson</v>
      </c>
      <c r="AJ295" s="157" t="str">
        <f t="shared" si="4"/>
        <v>TE44</v>
      </c>
      <c r="AK295" s="157">
        <f>IFERROR(INDEX(TableTEVORP[BYE],MATCH(TableOverallMaster[[#This Row],[RK]],TableTEVORP[RK],0)),"")</f>
        <v>8</v>
      </c>
      <c r="AL295" s="158">
        <f>IFERROR(INDEX(TableTEVORP[FPS],MATCH(TableOverallMaster[[#This Row],[RK]],TableTEVORP[RK],0)),"")</f>
        <v>41.026183631433959</v>
      </c>
      <c r="AM295" s="159">
        <f>IFERROR(INDEX(TableTEVORP[VORP],MATCH(TableOverallMaster[[#This Row],[RK]],TableTEVORP[RK],0)),"")</f>
        <v>-36.859610344807727</v>
      </c>
      <c r="AO295" s="58">
        <v>294</v>
      </c>
      <c r="AP295" s="160" t="str">
        <f>IFERROR(INDEX(TableOverallMaster[OVERALL PLAYER],MATCH(TableOverallRank[[#This Row],[RK]],TableOverallMaster[OVR RK],0)),"")</f>
        <v>Fernando Mendoza</v>
      </c>
      <c r="AQ295" s="161" t="str">
        <f>IFERROR(INDEX(TableOverallMaster[POS RK],MATCH(TableOverallRank[[#This Row],[OVERALL PLAYER]],TableOverallMaster[OVERALL PLAYER],0)),"")</f>
        <v>QB34</v>
      </c>
      <c r="AR295" s="162">
        <f>IFERROR(INDEX(TableOverallMaster[BYE],MATCH(TableOverallRank[[#This Row],[OVERALL PLAYER]],TableOverallMaster[OVERALL PLAYER],0)),"")</f>
        <v>13</v>
      </c>
      <c r="AS295" s="161">
        <f>IFERROR(INDEX(TableOverallMaster[Custom],MATCH(TableOverallRank[[#This Row],[OVERALL PLAYER]],TableOverallMaster[OVERALL PLAYER],0)),"")</f>
        <v>134.27768356155099</v>
      </c>
      <c r="AT295" s="163">
        <f>IFERROR(INDEX(TableOverallMaster[VORP],MATCH(TableOverallRank[[#This Row],[OVERALL PLAYER]],TableOverallMaster[OVERALL PLAYER],0)),"")</f>
        <v>-187.51548214718269</v>
      </c>
      <c r="AY295" s="95"/>
      <c r="AZ295" s="168"/>
    </row>
    <row r="296" spans="32:52" x14ac:dyDescent="0.25">
      <c r="AF296" s="58" t="s">
        <v>8</v>
      </c>
      <c r="AG296" s="58">
        <v>45</v>
      </c>
      <c r="AH296" s="100">
        <f>RANK(TableOverallMaster[[#This Row],[VORP]],TableOverallMaster[VORP])+COUNTIF($AM$2:AM296,AM296)-1</f>
        <v>239</v>
      </c>
      <c r="AI296" s="157" t="str">
        <f>IFERROR(INDEX(TableTEVORP[TIGHT END],MATCH(TableOverallMaster[[#This Row],[RK]],TableTEVORP[RK],0)),"")</f>
        <v>Max Klare</v>
      </c>
      <c r="AJ296" s="157" t="str">
        <f t="shared" si="4"/>
        <v>TE45</v>
      </c>
      <c r="AK296" s="157">
        <f>IFERROR(INDEX(TableTEVORP[BYE],MATCH(TableOverallMaster[[#This Row],[RK]],TableTEVORP[RK],0)),"")</f>
        <v>11</v>
      </c>
      <c r="AL296" s="158">
        <f>IFERROR(INDEX(TableTEVORP[FPS],MATCH(TableOverallMaster[[#This Row],[RK]],TableTEVORP[RK],0)),"")</f>
        <v>35.785164132437984</v>
      </c>
      <c r="AM296" s="159">
        <f>IFERROR(INDEX(TableTEVORP[VORP],MATCH(TableOverallMaster[[#This Row],[RK]],TableTEVORP[RK],0)),"")</f>
        <v>-42.100629843803702</v>
      </c>
      <c r="AO296" s="58">
        <v>295</v>
      </c>
      <c r="AP296" s="160" t="str">
        <f>IFERROR(INDEX(TableOverallMaster[OVERALL PLAYER],MATCH(TableOverallRank[[#This Row],[RK]],TableOverallMaster[OVR RK],0)),"")</f>
        <v>Michael Penix</v>
      </c>
      <c r="AQ296" s="161" t="str">
        <f>IFERROR(INDEX(TableOverallMaster[POS RK],MATCH(TableOverallRank[[#This Row],[OVERALL PLAYER]],TableOverallMaster[OVERALL PLAYER],0)),"")</f>
        <v>QB35</v>
      </c>
      <c r="AR296" s="162">
        <f>IFERROR(INDEX(TableOverallMaster[BYE],MATCH(TableOverallRank[[#This Row],[OVERALL PLAYER]],TableOverallMaster[OVERALL PLAYER],0)),"")</f>
        <v>11</v>
      </c>
      <c r="AS296" s="161">
        <f>IFERROR(INDEX(TableOverallMaster[Custom],MATCH(TableOverallRank[[#This Row],[OVERALL PLAYER]],TableOverallMaster[OVERALL PLAYER],0)),"")</f>
        <v>41.951258611673893</v>
      </c>
      <c r="AT296" s="163">
        <f>IFERROR(INDEX(TableOverallMaster[VORP],MATCH(TableOverallRank[[#This Row],[OVERALL PLAYER]],TableOverallMaster[OVERALL PLAYER],0)),"")</f>
        <v>-285.36232872174753</v>
      </c>
      <c r="AY296" s="95"/>
      <c r="AZ296" s="168"/>
    </row>
    <row r="297" spans="32:52" x14ac:dyDescent="0.25">
      <c r="AF297" s="58" t="s">
        <v>8</v>
      </c>
      <c r="AG297" s="58">
        <v>46</v>
      </c>
      <c r="AH297" s="100">
        <f>RANK(TableOverallMaster[[#This Row],[VORP]],TableOverallMaster[VORP])+COUNTIF($AM$2:AM297,AM297)-1</f>
        <v>244</v>
      </c>
      <c r="AI297" s="157" t="str">
        <f>IFERROR(INDEX(TableTEVORP[TIGHT END],MATCH(TableOverallMaster[[#This Row],[RK]],TableTEVORP[RK],0)),"")</f>
        <v>Austin Hooper</v>
      </c>
      <c r="AJ297" s="157" t="str">
        <f t="shared" si="4"/>
        <v>TE46</v>
      </c>
      <c r="AK297" s="157">
        <f>IFERROR(INDEX(TableTEVORP[BYE],MATCH(TableOverallMaster[[#This Row],[RK]],TableTEVORP[RK],0)),"")</f>
        <v>11</v>
      </c>
      <c r="AL297" s="158">
        <f>IFERROR(INDEX(TableTEVORP[FPS],MATCH(TableOverallMaster[[#This Row],[RK]],TableTEVORP[RK],0)),"")</f>
        <v>33.184453283020098</v>
      </c>
      <c r="AM297" s="159">
        <f>IFERROR(INDEX(TableTEVORP[VORP],MATCH(TableOverallMaster[[#This Row],[RK]],TableTEVORP[RK],0)),"")</f>
        <v>-44.701340693221589</v>
      </c>
      <c r="AO297" s="58">
        <v>296</v>
      </c>
      <c r="AP297" s="160" t="str">
        <f>IFERROR(INDEX(TableOverallMaster[OVERALL PLAYER],MATCH(TableOverallRank[[#This Row],[RK]],TableOverallMaster[OVR RK],0)),"")</f>
        <v>Anthony Richardson</v>
      </c>
      <c r="AQ297" s="161" t="str">
        <f>IFERROR(INDEX(TableOverallMaster[POS RK],MATCH(TableOverallRank[[#This Row],[OVERALL PLAYER]],TableOverallMaster[OVERALL PLAYER],0)),"")</f>
        <v>QB36</v>
      </c>
      <c r="AR297" s="162">
        <f>IFERROR(INDEX(TableOverallMaster[BYE],MATCH(TableOverallRank[[#This Row],[OVERALL PLAYER]],TableOverallMaster[OVERALL PLAYER],0)),"")</f>
        <v>13</v>
      </c>
      <c r="AS297" s="161">
        <f>IFERROR(INDEX(TableOverallMaster[Custom],MATCH(TableOverallRank[[#This Row],[OVERALL PLAYER]],TableOverallMaster[OVERALL PLAYER],0)),"")</f>
        <v>34.144032787890652</v>
      </c>
      <c r="AT297" s="163">
        <f>IFERROR(INDEX(TableOverallMaster[VORP],MATCH(TableOverallRank[[#This Row],[OVERALL PLAYER]],TableOverallMaster[OVERALL PLAYER],0)),"")</f>
        <v>-293.2062907453813</v>
      </c>
      <c r="AY297" s="95"/>
      <c r="AZ297" s="168"/>
    </row>
    <row r="298" spans="32:52" x14ac:dyDescent="0.25">
      <c r="AF298" s="58" t="s">
        <v>8</v>
      </c>
      <c r="AG298" s="58">
        <v>47</v>
      </c>
      <c r="AH298" s="100">
        <f>RANK(TableOverallMaster[[#This Row],[VORP]],TableOverallMaster[VORP])+COUNTIF($AM$2:AM298,AM298)-1</f>
        <v>249</v>
      </c>
      <c r="AI298" s="157" t="str">
        <f>IFERROR(INDEX(TableTEVORP[TIGHT END],MATCH(TableOverallMaster[[#This Row],[RK]],TableTEVORP[RK],0)),"")</f>
        <v>Justin Joly</v>
      </c>
      <c r="AJ298" s="157" t="str">
        <f t="shared" si="4"/>
        <v>TE47</v>
      </c>
      <c r="AK298" s="157">
        <f>IFERROR(INDEX(TableTEVORP[BYE],MATCH(TableOverallMaster[[#This Row],[RK]],TableTEVORP[RK],0)),"")</f>
        <v>10</v>
      </c>
      <c r="AL298" s="158">
        <f>IFERROR(INDEX(TableTEVORP[FPS],MATCH(TableOverallMaster[[#This Row],[RK]],TableTEVORP[RK],0)),"")</f>
        <v>32.391832742321469</v>
      </c>
      <c r="AM298" s="159">
        <f>IFERROR(INDEX(TableTEVORP[VORP],MATCH(TableOverallMaster[[#This Row],[RK]],TableTEVORP[RK],0)),"")</f>
        <v>-45.493961233920217</v>
      </c>
      <c r="AO298" s="58">
        <v>297</v>
      </c>
      <c r="AP298" s="160" t="str">
        <f>IFERROR(INDEX(TableOverallMaster[OVERALL PLAYER],MATCH(TableOverallRank[[#This Row],[RK]],TableOverallMaster[OVR RK],0)),"")</f>
        <v>Carson Beck</v>
      </c>
      <c r="AQ298" s="161" t="str">
        <f>IFERROR(INDEX(TableOverallMaster[POS RK],MATCH(TableOverallRank[[#This Row],[OVERALL PLAYER]],TableOverallMaster[OVERALL PLAYER],0)),"")</f>
        <v>QB37</v>
      </c>
      <c r="AR298" s="162">
        <f>IFERROR(INDEX(TableOverallMaster[BYE],MATCH(TableOverallRank[[#This Row],[OVERALL PLAYER]],TableOverallMaster[OVERALL PLAYER],0)),"")</f>
        <v>14</v>
      </c>
      <c r="AS298" s="161">
        <f>IFERROR(INDEX(TableOverallMaster[Custom],MATCH(TableOverallRank[[#This Row],[OVERALL PLAYER]],TableOverallMaster[OVERALL PLAYER],0)),"")</f>
        <v>22.154240727309414</v>
      </c>
      <c r="AT298" s="163">
        <f>IFERROR(INDEX(TableOverallMaster[VORP],MATCH(TableOverallRank[[#This Row],[OVERALL PLAYER]],TableOverallMaster[OVERALL PLAYER],0)),"")</f>
        <v>-305.65800871352349</v>
      </c>
      <c r="AY298" s="95"/>
      <c r="AZ298" s="168"/>
    </row>
    <row r="299" spans="32:52" x14ac:dyDescent="0.25">
      <c r="AF299" s="58" t="s">
        <v>8</v>
      </c>
      <c r="AG299" s="58">
        <v>48</v>
      </c>
      <c r="AH299" s="100">
        <f>RANK(TableOverallMaster[[#This Row],[VORP]],TableOverallMaster[VORP])+COUNTIF($AM$2:AM299,AM299)-1</f>
        <v>250</v>
      </c>
      <c r="AI299" s="157" t="str">
        <f>IFERROR(INDEX(TableTEVORP[TIGHT END],MATCH(TableOverallMaster[[#This Row],[RK]],TableTEVORP[RK],0)),"")</f>
        <v>Jake Tonges</v>
      </c>
      <c r="AJ299" s="157" t="str">
        <f t="shared" si="4"/>
        <v>TE48</v>
      </c>
      <c r="AK299" s="157">
        <f>IFERROR(INDEX(TableTEVORP[BYE],MATCH(TableOverallMaster[[#This Row],[RK]],TableTEVORP[RK],0)),"")</f>
        <v>8</v>
      </c>
      <c r="AL299" s="158">
        <f>IFERROR(INDEX(TableTEVORP[FPS],MATCH(TableOverallMaster[[#This Row],[RK]],TableTEVORP[RK],0)),"")</f>
        <v>32.157489867619205</v>
      </c>
      <c r="AM299" s="159">
        <f>IFERROR(INDEX(TableTEVORP[VORP],MATCH(TableOverallMaster[[#This Row],[RK]],TableTEVORP[RK],0)),"")</f>
        <v>-45.728304108622481</v>
      </c>
      <c r="AO299" s="58">
        <v>298</v>
      </c>
      <c r="AP299" s="160" t="str">
        <f>IFERROR(INDEX(TableOverallMaster[OVERALL PLAYER],MATCH(TableOverallRank[[#This Row],[RK]],TableOverallMaster[OVR RK],0)),"")</f>
        <v>Justin Fields</v>
      </c>
      <c r="AQ299" s="161" t="str">
        <f>IFERROR(INDEX(TableOverallMaster[POS RK],MATCH(TableOverallRank[[#This Row],[OVERALL PLAYER]],TableOverallMaster[OVERALL PLAYER],0)),"")</f>
        <v>QB38</v>
      </c>
      <c r="AR299" s="162">
        <f>IFERROR(INDEX(TableOverallMaster[BYE],MATCH(TableOverallRank[[#This Row],[OVERALL PLAYER]],TableOverallMaster[OVERALL PLAYER],0)),"")</f>
        <v>5</v>
      </c>
      <c r="AS299" s="161">
        <f>IFERROR(INDEX(TableOverallMaster[Custom],MATCH(TableOverallRank[[#This Row],[OVERALL PLAYER]],TableOverallMaster[OVERALL PLAYER],0)),"")</f>
        <v>20.709034516463291</v>
      </c>
      <c r="AT299" s="163">
        <f>IFERROR(INDEX(TableOverallMaster[VORP],MATCH(TableOverallRank[[#This Row],[OVERALL PLAYER]],TableOverallMaster[OVERALL PLAYER],0)),"")</f>
        <v>-308.75936837294148</v>
      </c>
      <c r="AY299" s="95"/>
      <c r="AZ299" s="168"/>
    </row>
    <row r="300" spans="32:52" x14ac:dyDescent="0.25">
      <c r="AF300" s="58" t="s">
        <v>8</v>
      </c>
      <c r="AG300" s="58">
        <v>49</v>
      </c>
      <c r="AH300" s="100">
        <f>RANK(TableOverallMaster[[#This Row],[VORP]],TableOverallMaster[VORP])+COUNTIF($AM$2:AM300,AM300)-1</f>
        <v>251</v>
      </c>
      <c r="AI300" s="157" t="str">
        <f>IFERROR(INDEX(TableTEVORP[TIGHT END],MATCH(TableOverallMaster[[#This Row],[RK]],TableTEVORP[RK],0)),"")</f>
        <v>Eli Stowers</v>
      </c>
      <c r="AJ300" s="157" t="str">
        <f t="shared" si="4"/>
        <v>TE49</v>
      </c>
      <c r="AK300" s="157">
        <f>IFERROR(INDEX(TableTEVORP[BYE],MATCH(TableOverallMaster[[#This Row],[RK]],TableTEVORP[RK],0)),"")</f>
        <v>10</v>
      </c>
      <c r="AL300" s="158">
        <f>IFERROR(INDEX(TableTEVORP[FPS],MATCH(TableOverallMaster[[#This Row],[RK]],TableTEVORP[RK],0)),"")</f>
        <v>32.087305180512104</v>
      </c>
      <c r="AM300" s="159">
        <f>IFERROR(INDEX(TableTEVORP[VORP],MATCH(TableOverallMaster[[#This Row],[RK]],TableTEVORP[RK],0)),"")</f>
        <v>-45.798488795729583</v>
      </c>
      <c r="AO300" s="58">
        <v>299</v>
      </c>
      <c r="AP300" s="160" t="str">
        <f>IFERROR(INDEX(TableOverallMaster[OVERALL PLAYER],MATCH(TableOverallRank[[#This Row],[RK]],TableOverallMaster[OVR RK],0)),"")</f>
        <v>Marcus Mariota</v>
      </c>
      <c r="AQ300" s="161" t="str">
        <f>IFERROR(INDEX(TableOverallMaster[POS RK],MATCH(TableOverallRank[[#This Row],[OVERALL PLAYER]],TableOverallMaster[OVERALL PLAYER],0)),"")</f>
        <v>QB39</v>
      </c>
      <c r="AR300" s="162">
        <f>IFERROR(INDEX(TableOverallMaster[BYE],MATCH(TableOverallRank[[#This Row],[OVERALL PLAYER]],TableOverallMaster[OVERALL PLAYER],0)),"")</f>
        <v>7</v>
      </c>
      <c r="AS300" s="161">
        <f>IFERROR(INDEX(TableOverallMaster[Custom],MATCH(TableOverallRank[[#This Row],[OVERALL PLAYER]],TableOverallMaster[OVERALL PLAYER],0)),"")</f>
        <v>20.087651290103864</v>
      </c>
      <c r="AT300" s="163">
        <f>IFERROR(INDEX(TableOverallMaster[VORP],MATCH(TableOverallRank[[#This Row],[OVERALL PLAYER]],TableOverallMaster[OVERALL PLAYER],0)),"")</f>
        <v>-310.20327596216066</v>
      </c>
      <c r="AY300" s="95"/>
      <c r="AZ300" s="168"/>
    </row>
    <row r="301" spans="32:52" x14ac:dyDescent="0.25">
      <c r="AF301" s="58" t="s">
        <v>8</v>
      </c>
      <c r="AG301" s="58">
        <v>50</v>
      </c>
      <c r="AH301" s="100">
        <f>RANK(TableOverallMaster[[#This Row],[VORP]],TableOverallMaster[VORP])+COUNTIF($AM$2:AM301,AM301)-1</f>
        <v>254</v>
      </c>
      <c r="AI301" s="157" t="str">
        <f>IFERROR(INDEX(TableTEVORP[TIGHT END],MATCH(TableOverallMaster[[#This Row],[RK]],TableTEVORP[RK],0)),"")</f>
        <v>Erick All</v>
      </c>
      <c r="AJ301" s="157" t="str">
        <f t="shared" si="4"/>
        <v>TE50</v>
      </c>
      <c r="AK301" s="157">
        <f>IFERROR(INDEX(TableTEVORP[BYE],MATCH(TableOverallMaster[[#This Row],[RK]],TableTEVORP[RK],0)),"")</f>
        <v>6</v>
      </c>
      <c r="AL301" s="158">
        <f>IFERROR(INDEX(TableTEVORP[FPS],MATCH(TableOverallMaster[[#This Row],[RK]],TableTEVORP[RK],0)),"")</f>
        <v>30.702244123332896</v>
      </c>
      <c r="AM301" s="159">
        <f>IFERROR(INDEX(TableTEVORP[VORP],MATCH(TableOverallMaster[[#This Row],[RK]],TableTEVORP[RK],0)),"")</f>
        <v>-47.18354985290879</v>
      </c>
      <c r="AO301" s="58">
        <v>300</v>
      </c>
      <c r="AP301" s="160" t="str">
        <f>IFERROR(INDEX(TableOverallMaster[OVERALL PLAYER],MATCH(TableOverallRank[[#This Row],[RK]],TableOverallMaster[OVR RK],0)),"")</f>
        <v>Joe Flacco</v>
      </c>
      <c r="AQ301" s="161" t="str">
        <f>IFERROR(INDEX(TableOverallMaster[POS RK],MATCH(TableOverallRank[[#This Row],[OVERALL PLAYER]],TableOverallMaster[OVERALL PLAYER],0)),"")</f>
        <v>QB40</v>
      </c>
      <c r="AR301" s="162">
        <f>IFERROR(INDEX(TableOverallMaster[BYE],MATCH(TableOverallRank[[#This Row],[OVERALL PLAYER]],TableOverallMaster[OVERALL PLAYER],0)),"")</f>
        <v>6</v>
      </c>
      <c r="AS301" s="161">
        <f>IFERROR(INDEX(TableOverallMaster[Custom],MATCH(TableOverallRank[[#This Row],[OVERALL PLAYER]],TableOverallMaster[OVERALL PLAYER],0)),"")</f>
        <v>18.398348837547346</v>
      </c>
      <c r="AT301" s="163">
        <f>IFERROR(INDEX(TableOverallMaster[VORP],MATCH(TableOverallRank[[#This Row],[OVERALL PLAYER]],TableOverallMaster[OVERALL PLAYER],0)),"")</f>
        <v>-312.00560049167427</v>
      </c>
      <c r="AY301" s="95"/>
      <c r="AZ301" s="168"/>
    </row>
    <row r="302" spans="32:52" x14ac:dyDescent="0.25">
      <c r="AY302" s="95"/>
      <c r="AZ302" s="168"/>
    </row>
    <row r="303" spans="32:52" x14ac:dyDescent="0.25">
      <c r="AY303" s="95"/>
      <c r="AZ303" s="168"/>
    </row>
    <row r="304" spans="32:52" x14ac:dyDescent="0.25">
      <c r="AY304" s="95"/>
      <c r="AZ304" s="168"/>
    </row>
    <row r="305" spans="51:52" x14ac:dyDescent="0.25">
      <c r="AY305" s="95"/>
      <c r="AZ305" s="168"/>
    </row>
    <row r="306" spans="51:52" x14ac:dyDescent="0.25">
      <c r="AY306" s="95"/>
      <c r="AZ306" s="168"/>
    </row>
  </sheetData>
  <sheetProtection sheet="1"/>
  <protectedRanges>
    <protectedRange sqref="AS1 AZ1 A1:AE239" name="VORPSort"/>
  </protectedRanges>
  <sortState xmlns:xlrd2="http://schemas.microsoft.com/office/spreadsheetml/2017/richdata2" ref="AW2:AZ281">
    <sortCondition descending="1" ref="AZ2:AZ281"/>
  </sortState>
  <pageMargins left="0.7" right="0.7" top="0.75" bottom="0.75" header="0.3" footer="0.3"/>
  <pageSetup orientation="portrait" verticalDpi="90" r:id="rId1"/>
  <ignoredErrors>
    <ignoredError sqref="AI42:AI141 AI142:AI251 AI252:AI301 AL2:AL301 A2:A101 V2:V101 O2:O226 H2:H176" calculatedColumn="1"/>
  </ignoredErrors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0A53-FD7F-45F9-8CCB-FEE11D881F35}">
  <sheetPr codeName="Sheet40">
    <tabColor rgb="FFFFD5D5"/>
  </sheetPr>
  <dimension ref="A1:BA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149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4.140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49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149" bestFit="1" customWidth="1"/>
    <col min="53" max="16384" width="9.7109375" style="58"/>
  </cols>
  <sheetData>
    <row r="1" spans="1:53" s="139" customFormat="1" ht="28.5" x14ac:dyDescent="0.2">
      <c r="A1" s="141" t="s">
        <v>98</v>
      </c>
      <c r="B1" s="141" t="s">
        <v>252</v>
      </c>
      <c r="C1" s="141" t="s">
        <v>51</v>
      </c>
      <c r="D1" s="141" t="s">
        <v>87</v>
      </c>
      <c r="E1" s="142" t="s">
        <v>150</v>
      </c>
      <c r="F1" s="142" t="s">
        <v>1</v>
      </c>
      <c r="G1" s="142" t="s">
        <v>153</v>
      </c>
      <c r="H1" s="142" t="s">
        <v>168</v>
      </c>
      <c r="I1" s="142" t="s">
        <v>2</v>
      </c>
      <c r="J1" s="142" t="s">
        <v>169</v>
      </c>
      <c r="K1" s="142" t="s">
        <v>157</v>
      </c>
      <c r="L1" s="142" t="s">
        <v>170</v>
      </c>
      <c r="M1" s="141" t="s">
        <v>82</v>
      </c>
      <c r="N1" s="143" t="s">
        <v>232</v>
      </c>
      <c r="P1" s="141" t="s">
        <v>98</v>
      </c>
      <c r="Q1" s="141" t="s">
        <v>252</v>
      </c>
      <c r="R1" s="141" t="s">
        <v>51</v>
      </c>
      <c r="S1" s="141" t="s">
        <v>87</v>
      </c>
      <c r="T1" s="142" t="s">
        <v>169</v>
      </c>
      <c r="U1" s="142" t="s">
        <v>157</v>
      </c>
      <c r="V1" s="142" t="s">
        <v>170</v>
      </c>
      <c r="W1" s="142" t="s">
        <v>353</v>
      </c>
      <c r="X1" s="142" t="s">
        <v>4</v>
      </c>
      <c r="Y1" s="142" t="s">
        <v>163</v>
      </c>
      <c r="Z1" s="142" t="s">
        <v>171</v>
      </c>
      <c r="AA1" s="141" t="s">
        <v>82</v>
      </c>
      <c r="AB1" s="141" t="s">
        <v>232</v>
      </c>
      <c r="AD1" s="141" t="s">
        <v>98</v>
      </c>
      <c r="AE1" s="141" t="s">
        <v>252</v>
      </c>
      <c r="AF1" s="141" t="s">
        <v>51</v>
      </c>
      <c r="AG1" s="141" t="s">
        <v>87</v>
      </c>
      <c r="AH1" s="142" t="s">
        <v>157</v>
      </c>
      <c r="AI1" s="142" t="s">
        <v>170</v>
      </c>
      <c r="AJ1" s="142" t="s">
        <v>353</v>
      </c>
      <c r="AK1" s="142" t="s">
        <v>4</v>
      </c>
      <c r="AL1" s="142" t="s">
        <v>163</v>
      </c>
      <c r="AM1" s="142" t="s">
        <v>171</v>
      </c>
      <c r="AN1" s="141" t="s">
        <v>82</v>
      </c>
      <c r="AO1" s="143" t="s">
        <v>232</v>
      </c>
      <c r="AQ1" s="141" t="s">
        <v>98</v>
      </c>
      <c r="AR1" s="141" t="s">
        <v>252</v>
      </c>
      <c r="AS1" s="141" t="s">
        <v>51</v>
      </c>
      <c r="AT1" s="141" t="s">
        <v>87</v>
      </c>
      <c r="AU1" s="142" t="s">
        <v>353</v>
      </c>
      <c r="AV1" s="142" t="s">
        <v>4</v>
      </c>
      <c r="AW1" s="142" t="s">
        <v>163</v>
      </c>
      <c r="AX1" s="142" t="s">
        <v>171</v>
      </c>
      <c r="AY1" s="141" t="s">
        <v>82</v>
      </c>
      <c r="AZ1" s="143" t="s">
        <v>232</v>
      </c>
      <c r="BA1" s="144" t="s">
        <v>589</v>
      </c>
    </row>
    <row r="2" spans="1:53" x14ac:dyDescent="0.25">
      <c r="A2" s="145">
        <v>1</v>
      </c>
      <c r="B2" s="145" t="str">
        <f>IFERROR(INDEX(TableQBCalcPts[PLAYER],MATCH(TableQBRanks30[[#This Row],[RK]],TableQBCalcPts[RK],0)),"")</f>
        <v>Josh Allen</v>
      </c>
      <c r="C2" s="145" t="str">
        <f>IFERROR(INDEX(TableQBCalcPts[TM],MATCH(TableQBRanks30[[#This Row],[Player]],TableQBCalcPts[PLAYER],0)),"")</f>
        <v>BUF</v>
      </c>
      <c r="D2" s="145">
        <f>IFERROR(INDEX(TableQBCalcPts[BYE],MATCH(TableQBRanks30[[#This Row],[Player]],TableQBCalcPts[PLAYER],0)),"")</f>
        <v>7</v>
      </c>
      <c r="E2" s="146">
        <f>IFERROR((VLOOKUP(TableQBRanks30[[#This Row],[Player]],QB!B:O,4,FALSE)),"")</f>
        <v>515.96819999999991</v>
      </c>
      <c r="F2" s="146">
        <f>IFERROR((VLOOKUP(TableQBRanks30[[#This Row],[Player]],QB!B:O,5,FALSE)),"")</f>
        <v>346.46237053878565</v>
      </c>
      <c r="G2" s="146">
        <f>IFERROR((VLOOKUP(TableQBRanks30[[#This Row],[Player]],QB!B:O,6,FALSE)),"")</f>
        <v>4001.6403797229746</v>
      </c>
      <c r="H2" s="146">
        <f>IFERROR((VLOOKUP(TableQBRanks30[[#This Row],[Player]],QB!B:O,7,FALSE)),"")</f>
        <v>27.370527272564068</v>
      </c>
      <c r="I2" s="146">
        <f>IFERROR((VLOOKUP(TableQBRanks30[[#This Row],[Player]],QB!B:O,8,FALSE)),"")</f>
        <v>11.143251191832489</v>
      </c>
      <c r="J2" s="146">
        <f>IFERROR((VLOOKUP(TableQBRanks30[[#This Row],[Player]],QB!B:O,9,FALSE)),"")</f>
        <v>105.7124432</v>
      </c>
      <c r="K2" s="146">
        <f>IFERROR((VLOOKUP(TableQBRanks30[[#This Row],[Player]],QB!B:O,10,FALSE)),"")</f>
        <v>538.18209884132466</v>
      </c>
      <c r="L2" s="146">
        <f>IFERROR((VLOOKUP(TableQBRanks30[[#This Row],[Player]],QB!B:O,11,FALSE)),"")</f>
        <v>11.659311123198451</v>
      </c>
      <c r="M2" s="147">
        <f>IFERROR(INDEX(TableQBCalcPts[Custom],MATCH(TableQBRanks30[[#This Row],[RK]],TableQBCalcPts[RK],0)),"")</f>
        <v>471.56584130967269</v>
      </c>
      <c r="N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40.077402131621454</v>
      </c>
      <c r="P2" s="58">
        <v>1</v>
      </c>
      <c r="Q2" s="58" t="str">
        <f>IFERROR(INDEX(TableRBCalcPts[PLAYER],MATCH(TableRBRanks31[[#This Row],[RK]],TableRBCalcPts[RK],0)),"")</f>
        <v>Jahmyr Gibbs</v>
      </c>
      <c r="R2" s="58" t="str">
        <f>IFERROR(INDEX(TableRBCalcPts[TM],MATCH(TableRBRanks31[[#This Row],[Player]],TableRBCalcPts[PLAYER],0)),"")</f>
        <v>DET</v>
      </c>
      <c r="S2" s="58">
        <f>IFERROR(INDEX(TableRBCalcPts[BYE],MATCH(TableRBRanks31[[#This Row],[Player]],TableRBCalcPts[PLAYER],0)),"")</f>
        <v>6</v>
      </c>
      <c r="T2" s="100">
        <f>IFERROR((VLOOKUP(TableRBRanks31[[#This Row],[Player]],RB!B:O,4,FALSE)),"")</f>
        <v>260.11842080000002</v>
      </c>
      <c r="U2" s="100">
        <f>IFERROR((VLOOKUP(TableRBRanks31[[#This Row],[Player]],RB!B:O,5,FALSE)),"")</f>
        <v>1279.782630336</v>
      </c>
      <c r="V2" s="100">
        <f>IFERROR((VLOOKUP(TableRBRanks31[[#This Row],[Player]],RB!B:O,6,FALSE)),"")</f>
        <v>13.526157881600001</v>
      </c>
      <c r="W2" s="100">
        <f>IFERROR((VLOOKUP(TableRBRanks31[[#This Row],[Player]],RB!B:O,7,FALSE)),"")</f>
        <v>93.666047999999975</v>
      </c>
      <c r="X2" s="100">
        <f>IFERROR((VLOOKUP(TableRBRanks31[[#This Row],[Player]],RB!B:O,8,FALSE)),"")</f>
        <v>72.778519295999985</v>
      </c>
      <c r="Y2" s="100">
        <f>IFERROR((VLOOKUP(TableRBRanks31[[#This Row],[Player]],RB!B:O,9,FALSE)),"")</f>
        <v>575.01351531904493</v>
      </c>
      <c r="Z2" s="100">
        <f>IFERROR((VLOOKUP(TableRBRanks31[[#This Row],[Player]],RB!B:O,10,FALSE)),"")</f>
        <v>3.5207265372926151</v>
      </c>
      <c r="AA2" s="95">
        <f>IFERROR((IFERROR(INDEX(TableRBCalcPts[Custom],MATCH(TableRBRanks31[[#This Row],[RK]],TableRBCalcPts[RK],0)),"")),"")</f>
        <v>324.15018072686019</v>
      </c>
      <c r="AB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33.087955403678862</v>
      </c>
      <c r="AD2" s="145">
        <v>1</v>
      </c>
      <c r="AE2" s="145" t="str">
        <f>IFERROR(INDEX(TableWRCalcPts[PLAYER],MATCH(TableWRRanks32[[#This Row],[RK]],TableWRCalcPts[RK],0)),"")</f>
        <v>Jaxon Smith-Njigba</v>
      </c>
      <c r="AF2" s="145" t="str">
        <f>IFERROR(INDEX(TableWRCalcPts[TM],MATCH(TableWRRanks32[[#This Row],[Player]],TableWRCalcPts[PLAYER],0)),"")</f>
        <v>SEA</v>
      </c>
      <c r="AG2" s="145">
        <f>IFERROR(INDEX(TableWRCalcPts[BYE],MATCH(TableWRRanks32[[#This Row],[Player]],TableWRCalcPts[PLAYER],0)),"")</f>
        <v>11</v>
      </c>
      <c r="AH2" s="146">
        <f>IFERROR((VLOOKUP(TableWRRanks32[[#This Row],[Player]],WR!B:O,4,FALSE)),"")</f>
        <v>29.701884942186943</v>
      </c>
      <c r="AI2" s="146">
        <f>IFERROR((VLOOKUP(TableWRRanks32[[#This Row],[Player]],WR!B:O,5,FALSE)),"")</f>
        <v>6.7405473662896301E-2</v>
      </c>
      <c r="AJ2" s="146">
        <f>IFERROR((VLOOKUP(TableWRRanks32[[#This Row],[Player]],WR!B:O,6,FALSE)),"")</f>
        <v>166.05532776000001</v>
      </c>
      <c r="AK2" s="146">
        <f>IFERROR((VLOOKUP(TableWRRanks32[[#This Row],[Player]],WR!B:O,7,FALSE)),"")</f>
        <v>119.72589131496001</v>
      </c>
      <c r="AL2" s="146">
        <f>IFERROR((VLOOKUP(TableWRRanks32[[#This Row],[Player]],WR!B:O,8,FALSE)),"")</f>
        <v>1773.1404503745578</v>
      </c>
      <c r="AM2" s="146">
        <f>IFERROR((VLOOKUP(TableWRRanks32[[#This Row],[Player]],WR!B:O,9,FALSE)),"")</f>
        <v>9.9372489791416818</v>
      </c>
      <c r="AN2" s="147">
        <f>IFERROR((IFERROR(INDEX(TableWRCalcPts[Custom],MATCH(TableWRRanks32[[#This Row],[RK]],TableWRCalcPts[RK],0)),"")),"")</f>
        <v>300.17510590598198</v>
      </c>
      <c r="AO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39.433925854906846</v>
      </c>
      <c r="AQ2" s="145">
        <v>1</v>
      </c>
      <c r="AR2" s="145" t="str">
        <f>IFERROR(INDEX(TableTECalcPts[PLAYER],MATCH(TableTERanks33[[#This Row],[RK]],TableTECalcPts[RK],0)),"")</f>
        <v>Colston Loveland</v>
      </c>
      <c r="AS2" s="145" t="str">
        <f>IFERROR(INDEX(TableTECalcPts[TM],MATCH(TableTERanks33[[#This Row],[Player]],TableTECalcPts[PLAYER],0)),"")</f>
        <v>CHI</v>
      </c>
      <c r="AT2" s="145">
        <f>IFERROR(INDEX(TableTECalcPts[BYE],MATCH(TableTERanks33[[#This Row],[Player]],TableTECalcPts[PLAYER],0)),"")</f>
        <v>10</v>
      </c>
      <c r="AU2" s="146">
        <f>IFERROR((VLOOKUP(TableTERanks33[[#This Row],[Player]],TE!B:O,4,FALSE)),"")</f>
        <v>122.93785616000001</v>
      </c>
      <c r="AV2" s="146">
        <f>IFERROR((VLOOKUP(TableTERanks33[[#This Row],[Player]],TE!B:O,5,FALSE)),"")</f>
        <v>83.843617901120012</v>
      </c>
      <c r="AW2" s="146">
        <f>IFERROR((VLOOKUP(TableTERanks33[[#This Row],[Player]],TE!B:O,6,FALSE)),"")</f>
        <v>1012.8309042455297</v>
      </c>
      <c r="AX2" s="146">
        <f>IFERROR((VLOOKUP(TableTERanks33[[#This Row],[Player]],TE!B:O,7,FALSE)),"")</f>
        <v>8.3843617901120009</v>
      </c>
      <c r="AY2" s="147">
        <f>IFERROR((IFERROR(INDEX(TableTECalcPts[Custom],MATCH(TableTERanks33[[#This Row],[RK]],TableTECalcPts[RK],0)),"")),"")</f>
        <v>193.51107011578497</v>
      </c>
      <c r="AZ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21.723467385053699</v>
      </c>
      <c r="BA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21.723467385053699</v>
      </c>
    </row>
    <row r="3" spans="1:53" x14ac:dyDescent="0.25">
      <c r="A3" s="145">
        <v>2</v>
      </c>
      <c r="B3" s="145" t="str">
        <f>IFERROR(INDEX(TableQBCalcPts[PLAYER],MATCH(TableQBRanks30[[#This Row],[RK]],TableQBCalcPts[RK],0)),"")</f>
        <v>Joe Burrow</v>
      </c>
      <c r="C3" s="145" t="str">
        <f>IFERROR(INDEX(TableQBCalcPts[TM],MATCH(TableQBRanks30[[#This Row],[Player]],TableQBCalcPts[PLAYER],0)),"")</f>
        <v>CIN</v>
      </c>
      <c r="D3" s="145">
        <f>IFERROR(INDEX(TableQBCalcPts[BYE],MATCH(TableQBRanks30[[#This Row],[Player]],TableQBCalcPts[PLAYER],0)),"")</f>
        <v>6</v>
      </c>
      <c r="E3" s="146">
        <f>IFERROR((VLOOKUP(TableQBRanks30[[#This Row],[Player]],QB!B:O,4,FALSE)),"")</f>
        <v>613.34375</v>
      </c>
      <c r="F3" s="146">
        <f>IFERROR((VLOOKUP(TableQBRanks30[[#This Row],[Player]],QB!B:O,5,FALSE)),"")</f>
        <v>419.80440510814873</v>
      </c>
      <c r="G3" s="146">
        <f>IFERROR((VLOOKUP(TableQBRanks30[[#This Row],[Player]],QB!B:O,6,FALSE)),"")</f>
        <v>4542.2836632701692</v>
      </c>
      <c r="H3" s="146">
        <f>IFERROR((VLOOKUP(TableQBRanks30[[#This Row],[Player]],QB!B:O,7,FALSE)),"")</f>
        <v>36.103178839300789</v>
      </c>
      <c r="I3" s="146">
        <f>IFERROR((VLOOKUP(TableQBRanks30[[#This Row],[Player]],QB!B:O,8,FALSE)),"")</f>
        <v>11.04144846541895</v>
      </c>
      <c r="J3" s="146">
        <f>IFERROR((VLOOKUP(TableQBRanks30[[#This Row],[Player]],QB!B:O,9,FALSE)),"")</f>
        <v>37.203494999999997</v>
      </c>
      <c r="K3" s="146">
        <f>IFERROR((VLOOKUP(TableQBRanks30[[#This Row],[Player]],QB!B:O,10,FALSE)),"")</f>
        <v>131.04229460580694</v>
      </c>
      <c r="L3" s="146">
        <f>IFERROR((VLOOKUP(TableQBRanks30[[#This Row],[Player]],QB!B:O,11,FALSE)),"")</f>
        <v>1.078901355</v>
      </c>
      <c r="M3" s="147">
        <f>IFERROR(INDEX(TableQBCalcPts[Custom],MATCH(TableQBRanks30[[#This Row],[RK]],TableQBCalcPts[RK],0)),"")</f>
        <v>448.82704920258811</v>
      </c>
      <c r="N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35.720992523403901</v>
      </c>
      <c r="P3" s="58">
        <v>2</v>
      </c>
      <c r="Q3" s="58" t="str">
        <f>IFERROR(INDEX(TableRBCalcPts[PLAYER],MATCH(TableRBRanks31[[#This Row],[RK]],TableRBCalcPts[RK],0)),"")</f>
        <v>Bijan Robinson</v>
      </c>
      <c r="R3" s="58" t="str">
        <f>IFERROR(INDEX(TableRBCalcPts[TM],MATCH(TableRBRanks31[[#This Row],[Player]],TableRBCalcPts[PLAYER],0)),"")</f>
        <v>ATL</v>
      </c>
      <c r="S3" s="58">
        <f>IFERROR(INDEX(TableRBCalcPts[BYE],MATCH(TableRBRanks31[[#This Row],[Player]],TableRBCalcPts[PLAYER],0)),"")</f>
        <v>11</v>
      </c>
      <c r="T3" s="100">
        <f>IFERROR((VLOOKUP(TableRBRanks31[[#This Row],[Player]],RB!B:O,4,FALSE)),"")</f>
        <v>264.86942944000003</v>
      </c>
      <c r="U3" s="100">
        <f>IFERROR((VLOOKUP(TableRBRanks31[[#This Row],[Player]],RB!B:O,5,FALSE)),"")</f>
        <v>1287.2654270784003</v>
      </c>
      <c r="V3" s="100">
        <f>IFERROR((VLOOKUP(TableRBRanks31[[#This Row],[Player]],RB!B:O,6,FALSE)),"")</f>
        <v>10.065038318720001</v>
      </c>
      <c r="W3" s="100">
        <f>IFERROR((VLOOKUP(TableRBRanks31[[#This Row],[Player]],RB!B:O,7,FALSE)),"")</f>
        <v>102.17828880000003</v>
      </c>
      <c r="X3" s="100">
        <f>IFERROR((VLOOKUP(TableRBRanks31[[#This Row],[Player]],RB!B:O,8,FALSE)),"")</f>
        <v>76.394583552176854</v>
      </c>
      <c r="Y3" s="100">
        <f>IFERROR((VLOOKUP(TableRBRanks31[[#This Row],[Player]],RB!B:O,9,FALSE)),"")</f>
        <v>737.62506684720006</v>
      </c>
      <c r="Z3" s="100">
        <f>IFERROR((VLOOKUP(TableRBRanks31[[#This Row],[Player]],RB!B:O,10,FALSE)),"")</f>
        <v>3.6379056015915796</v>
      </c>
      <c r="AA3" s="95">
        <f>IFERROR((IFERROR(INDEX(TableRBCalcPts[Custom],MATCH(TableRBRanks31[[#This Row],[RK]],TableRBCalcPts[RK],0)),"")),"")</f>
        <v>322.90400469051792</v>
      </c>
      <c r="AB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32.900651967023052</v>
      </c>
      <c r="AD3" s="145">
        <v>2</v>
      </c>
      <c r="AE3" s="145" t="str">
        <f>IFERROR(INDEX(TableWRCalcPts[PLAYER],MATCH(TableWRRanks32[[#This Row],[RK]],TableWRCalcPts[RK],0)),"")</f>
        <v>Ja'Marr Chase</v>
      </c>
      <c r="AF3" s="145" t="str">
        <f>IFERROR(INDEX(TableWRCalcPts[TM],MATCH(TableWRRanks32[[#This Row],[Player]],TableWRCalcPts[PLAYER],0)),"")</f>
        <v>CIN</v>
      </c>
      <c r="AG3" s="145">
        <f>IFERROR(INDEX(TableWRCalcPts[BYE],MATCH(TableWRRanks32[[#This Row],[Player]],TableWRCalcPts[PLAYER],0)),"")</f>
        <v>6</v>
      </c>
      <c r="AH3" s="146">
        <f>IFERROR((VLOOKUP(TableWRRanks32[[#This Row],[Player]],WR!B:O,4,FALSE)),"")</f>
        <v>14.884963338313767</v>
      </c>
      <c r="AI3" s="146">
        <f>IFERROR((VLOOKUP(TableWRRanks32[[#This Row],[Player]],WR!B:O,5,FALSE)),"")</f>
        <v>4.8294128068303098E-2</v>
      </c>
      <c r="AJ3" s="146">
        <f>IFERROR((VLOOKUP(TableWRRanks32[[#This Row],[Player]],WR!B:O,6,FALSE)),"")</f>
        <v>189.1810375</v>
      </c>
      <c r="AK3" s="146">
        <f>IFERROR((VLOOKUP(TableWRRanks32[[#This Row],[Player]],WR!B:O,7,FALSE)),"")</f>
        <v>130.50871869868942</v>
      </c>
      <c r="AL3" s="146">
        <f>IFERROR((VLOOKUP(TableWRRanks32[[#This Row],[Player]],WR!B:O,8,FALSE)),"")</f>
        <v>1621.4955597299952</v>
      </c>
      <c r="AM3" s="146">
        <f>IFERROR((VLOOKUP(TableWRRanks32[[#This Row],[Player]],WR!B:O,9,FALSE)),"")</f>
        <v>11.615275964183358</v>
      </c>
      <c r="AN3" s="147">
        <f>IFERROR((IFERROR(INDEX(TableWRCalcPts[Custom],MATCH(TableWRRanks32[[#This Row],[RK]],TableWRCalcPts[RK],0)),"")),"")</f>
        <v>298.87383220968559</v>
      </c>
      <c r="AO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39.189444910563786</v>
      </c>
      <c r="AQ3" s="145">
        <v>2</v>
      </c>
      <c r="AR3" s="145" t="str">
        <f>IFERROR(INDEX(TableTECalcPts[PLAYER],MATCH(TableTERanks33[[#This Row],[RK]],TableTECalcPts[RK],0)),"")</f>
        <v>Brock Bowers</v>
      </c>
      <c r="AS3" s="145" t="str">
        <f>IFERROR(INDEX(TableTECalcPts[TM],MATCH(TableTERanks33[[#This Row],[Player]],TableTECalcPts[PLAYER],0)),"")</f>
        <v>LV</v>
      </c>
      <c r="AT3" s="145">
        <f>IFERROR(INDEX(TableTECalcPts[BYE],MATCH(TableTERanks33[[#This Row],[Player]],TableTECalcPts[PLAYER],0)),"")</f>
        <v>13</v>
      </c>
      <c r="AU3" s="146">
        <f>IFERROR((VLOOKUP(TableTERanks33[[#This Row],[Player]],TE!B:O,4,FALSE)),"")</f>
        <v>136.61925984000001</v>
      </c>
      <c r="AV3" s="146">
        <f>IFERROR((VLOOKUP(TableTERanks33[[#This Row],[Player]],TE!B:O,5,FALSE)),"")</f>
        <v>94.540527809280007</v>
      </c>
      <c r="AW3" s="146">
        <f>IFERROR((VLOOKUP(TableTERanks33[[#This Row],[Player]],TE!B:O,6,FALSE)),"")</f>
        <v>1016.8526900232712</v>
      </c>
      <c r="AX3" s="146">
        <f>IFERROR((VLOOKUP(TableTERanks33[[#This Row],[Player]],TE!B:O,7,FALSE)),"")</f>
        <v>6.7123774744588802</v>
      </c>
      <c r="AY3" s="147">
        <f>IFERROR((IFERROR(INDEX(TableTECalcPts[Custom],MATCH(TableTERanks33[[#This Row],[RK]],TableTECalcPts[RK],0)),"")),"")</f>
        <v>189.22979775372039</v>
      </c>
      <c r="AZ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20.919109690706669</v>
      </c>
      <c r="BA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20.919109690706669</v>
      </c>
    </row>
    <row r="4" spans="1:53" x14ac:dyDescent="0.25">
      <c r="A4" s="145">
        <v>3</v>
      </c>
      <c r="B4" s="145" t="str">
        <f>IFERROR(INDEX(TableQBCalcPts[PLAYER],MATCH(TableQBRanks30[[#This Row],[RK]],TableQBCalcPts[RK],0)),"")</f>
        <v>Drake Maye</v>
      </c>
      <c r="C4" s="145" t="str">
        <f>IFERROR(INDEX(TableQBCalcPts[TM],MATCH(TableQBRanks30[[#This Row],[Player]],TableQBCalcPts[PLAYER],0)),"")</f>
        <v>NE</v>
      </c>
      <c r="D4" s="145">
        <f>IFERROR(INDEX(TableQBCalcPts[BYE],MATCH(TableQBRanks30[[#This Row],[Player]],TableQBCalcPts[PLAYER],0)),"")</f>
        <v>11</v>
      </c>
      <c r="E4" s="146">
        <f>IFERROR((VLOOKUP(TableQBRanks30[[#This Row],[Player]],QB!B:O,4,FALSE)),"")</f>
        <v>545.37979999999993</v>
      </c>
      <c r="F4" s="146">
        <f>IFERROR((VLOOKUP(TableQBRanks30[[#This Row],[Player]],QB!B:O,5,FALSE)),"")</f>
        <v>383.40199939999991</v>
      </c>
      <c r="G4" s="146">
        <f>IFERROR((VLOOKUP(TableQBRanks30[[#This Row],[Player]],QB!B:O,6,FALSE)),"")</f>
        <v>4412.9570130939992</v>
      </c>
      <c r="H4" s="146">
        <f>IFERROR((VLOOKUP(TableQBRanks30[[#This Row],[Player]],QB!B:O,7,FALSE)),"")</f>
        <v>29.905355953199994</v>
      </c>
      <c r="I4" s="146">
        <f>IFERROR((VLOOKUP(TableQBRanks30[[#This Row],[Player]],QB!B:O,8,FALSE)),"")</f>
        <v>11.850977386295915</v>
      </c>
      <c r="J4" s="146">
        <f>IFERROR((VLOOKUP(TableQBRanks30[[#This Row],[Player]],QB!B:O,9,FALSE)),"")</f>
        <v>86.66193899999999</v>
      </c>
      <c r="K4" s="146">
        <f>IFERROR((VLOOKUP(TableQBRanks30[[#This Row],[Player]],QB!B:O,10,FALSE)),"")</f>
        <v>416.84392658999991</v>
      </c>
      <c r="L4" s="146">
        <f>IFERROR((VLOOKUP(TableQBRanks30[[#This Row],[Player]],QB!B:O,11,FALSE)),"")</f>
        <v>3.6398014379999997</v>
      </c>
      <c r="M4" s="147">
        <f>IFERROR(INDEX(TableQBCalcPts[Custom],MATCH(TableQBRanks30[[#This Row],[RK]],TableQBCalcPts[RK],0)),"")</f>
        <v>445.96284008366393</v>
      </c>
      <c r="N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34.159683353746708</v>
      </c>
      <c r="P4" s="58">
        <v>3</v>
      </c>
      <c r="Q4" s="58" t="str">
        <f>IFERROR(INDEX(TableRBCalcPts[PLAYER],MATCH(TableRBRanks31[[#This Row],[RK]],TableRBCalcPts[RK],0)),"")</f>
        <v>Christian McCaffrey</v>
      </c>
      <c r="R4" s="58" t="str">
        <f>IFERROR(INDEX(TableRBCalcPts[TM],MATCH(TableRBRanks31[[#This Row],[Player]],TableRBCalcPts[PLAYER],0)),"")</f>
        <v>SF</v>
      </c>
      <c r="S4" s="58">
        <f>IFERROR(INDEX(TableRBCalcPts[BYE],MATCH(TableRBRanks31[[#This Row],[Player]],TableRBCalcPts[PLAYER],0)),"")</f>
        <v>8</v>
      </c>
      <c r="T4" s="100">
        <f>IFERROR((VLOOKUP(TableRBRanks31[[#This Row],[Player]],RB!B:O,4,FALSE)),"")</f>
        <v>254.66866432</v>
      </c>
      <c r="U4" s="100">
        <f>IFERROR((VLOOKUP(TableRBRanks31[[#This Row],[Player]],RB!B:O,5,FALSE)),"")</f>
        <v>1049.2348969984</v>
      </c>
      <c r="V4" s="100">
        <f>IFERROR((VLOOKUP(TableRBRanks31[[#This Row],[Player]],RB!B:O,6,FALSE)),"")</f>
        <v>8.9812697224945435</v>
      </c>
      <c r="W4" s="100">
        <f>IFERROR((VLOOKUP(TableRBRanks31[[#This Row],[Player]],RB!B:O,7,FALSE)),"")</f>
        <v>100.92519808</v>
      </c>
      <c r="X4" s="100">
        <f>IFERROR((VLOOKUP(TableRBRanks31[[#This Row],[Player]],RB!B:O,8,FALSE)),"")</f>
        <v>82.85958762368</v>
      </c>
      <c r="Y4" s="100">
        <f>IFERROR((VLOOKUP(TableRBRanks31[[#This Row],[Player]],RB!B:O,9,FALSE)),"")</f>
        <v>752.20054293276496</v>
      </c>
      <c r="Z4" s="100">
        <f>IFERROR((VLOOKUP(TableRBRanks31[[#This Row],[Player]],RB!B:O,10,FALSE)),"")</f>
        <v>5.3858731955392001</v>
      </c>
      <c r="AA4" s="95">
        <f>IFERROR((IFERROR(INDEX(TableRBCalcPts[Custom],MATCH(TableRBRanks31[[#This Row],[RK]],TableRBCalcPts[RK],0)),"")),"")</f>
        <v>307.77619531315895</v>
      </c>
      <c r="AB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30.626903633866146</v>
      </c>
      <c r="AD4" s="145">
        <v>3</v>
      </c>
      <c r="AE4" s="145" t="str">
        <f>IFERROR(INDEX(TableWRCalcPts[PLAYER],MATCH(TableWRRanks32[[#This Row],[RK]],TableWRCalcPts[RK],0)),"")</f>
        <v>Puka Nacua</v>
      </c>
      <c r="AF4" s="145" t="str">
        <f>IFERROR(INDEX(TableWRCalcPts[TM],MATCH(TableWRRanks32[[#This Row],[Player]],TableWRCalcPts[PLAYER],0)),"")</f>
        <v>LAR</v>
      </c>
      <c r="AG4" s="145">
        <f>IFERROR(INDEX(TableWRCalcPts[BYE],MATCH(TableWRRanks32[[#This Row],[Player]],TableWRCalcPts[PLAYER],0)),"")</f>
        <v>11</v>
      </c>
      <c r="AH4" s="146">
        <f>IFERROR((VLOOKUP(TableWRRanks32[[#This Row],[Player]],WR!B:O,4,FALSE)),"")</f>
        <v>80.681953432518583</v>
      </c>
      <c r="AI4" s="146">
        <f>IFERROR((VLOOKUP(TableWRRanks32[[#This Row],[Player]],WR!B:O,5,FALSE)),"")</f>
        <v>0.80502599893730076</v>
      </c>
      <c r="AJ4" s="146">
        <f>IFERROR((VLOOKUP(TableWRRanks32[[#This Row],[Player]],WR!B:O,6,FALSE)),"")</f>
        <v>173.0302048136553</v>
      </c>
      <c r="AK4" s="146">
        <f>IFERROR((VLOOKUP(TableWRRanks32[[#This Row],[Player]],WR!B:O,7,FALSE)),"")</f>
        <v>122.85144541769526</v>
      </c>
      <c r="AL4" s="146">
        <f>IFERROR((VLOOKUP(TableWRRanks32[[#This Row],[Player]],WR!B:O,8,FALSE)),"")</f>
        <v>1600.7543337925692</v>
      </c>
      <c r="AM4" s="146">
        <f>IFERROR((VLOOKUP(TableWRRanks32[[#This Row],[Player]],WR!B:O,9,FALSE)),"")</f>
        <v>9.0910069609094482</v>
      </c>
      <c r="AN4" s="147">
        <f>IFERROR((IFERROR(INDEX(TableWRCalcPts[Custom],MATCH(TableWRRanks32[[#This Row],[RK]],TableWRCalcPts[RK],0)),"")),"")</f>
        <v>288.94554919043696</v>
      </c>
      <c r="AO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37.324137085500183</v>
      </c>
      <c r="AQ4" s="145">
        <v>3</v>
      </c>
      <c r="AR4" s="145" t="str">
        <f>IFERROR(INDEX(TableTECalcPts[PLAYER],MATCH(TableTERanks33[[#This Row],[RK]],TableTECalcPts[RK],0)),"")</f>
        <v>Trey McBride</v>
      </c>
      <c r="AS4" s="145" t="str">
        <f>IFERROR(INDEX(TableTECalcPts[TM],MATCH(TableTERanks33[[#This Row],[Player]],TableTECalcPts[PLAYER],0)),"")</f>
        <v>ARI</v>
      </c>
      <c r="AT4" s="145">
        <f>IFERROR(INDEX(TableTECalcPts[BYE],MATCH(TableTERanks33[[#This Row],[Player]],TableTECalcPts[PLAYER],0)),"")</f>
        <v>14</v>
      </c>
      <c r="AU4" s="146">
        <f>IFERROR((VLOOKUP(TableTERanks33[[#This Row],[Player]],TE!B:O,4,FALSE)),"")</f>
        <v>140.09546880000002</v>
      </c>
      <c r="AV4" s="146">
        <f>IFERROR((VLOOKUP(TableTERanks33[[#This Row],[Player]],TE!B:O,5,FALSE)),"")</f>
        <v>97.851594983020078</v>
      </c>
      <c r="AW4" s="146">
        <f>IFERROR((VLOOKUP(TableTERanks33[[#This Row],[Player]],TE!B:O,6,FALSE)),"")</f>
        <v>972.64485413121952</v>
      </c>
      <c r="AX4" s="146">
        <f>IFERROR((VLOOKUP(TableTERanks33[[#This Row],[Player]],TE!B:O,7,FALSE)),"")</f>
        <v>6.1646504839302647</v>
      </c>
      <c r="AY4" s="147">
        <f>IFERROR((IFERROR(INDEX(TableTECalcPts[Custom],MATCH(TableTERanks33[[#This Row],[RK]],TableTECalcPts[RK],0)),"")),"")</f>
        <v>183.17818580821358</v>
      </c>
      <c r="AZ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19.782143803018215</v>
      </c>
      <c r="BA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19.782143803018215</v>
      </c>
    </row>
    <row r="5" spans="1:53" x14ac:dyDescent="0.25">
      <c r="A5" s="145">
        <v>4</v>
      </c>
      <c r="B5" s="145" t="str">
        <f>IFERROR(INDEX(TableQBCalcPts[PLAYER],MATCH(TableQBRanks30[[#This Row],[RK]],TableQBCalcPts[RK],0)),"")</f>
        <v>Lamar Jackson</v>
      </c>
      <c r="C5" s="145" t="str">
        <f>IFERROR(INDEX(TableQBCalcPts[TM],MATCH(TableQBRanks30[[#This Row],[Player]],TableQBCalcPts[PLAYER],0)),"")</f>
        <v>BAL</v>
      </c>
      <c r="D5" s="145">
        <f>IFERROR(INDEX(TableQBCalcPts[BYE],MATCH(TableQBRanks30[[#This Row],[Player]],TableQBCalcPts[PLAYER],0)),"")</f>
        <v>13</v>
      </c>
      <c r="E5" s="146">
        <f>IFERROR((VLOOKUP(TableQBRanks30[[#This Row],[Player]],QB!B:O,4,FALSE)),"")</f>
        <v>455.57439999999997</v>
      </c>
      <c r="F5" s="146">
        <f>IFERROR((VLOOKUP(TableQBRanks30[[#This Row],[Player]],QB!B:O,5,FALSE)),"")</f>
        <v>294.66200484712675</v>
      </c>
      <c r="G5" s="146">
        <f>IFERROR((VLOOKUP(TableQBRanks30[[#This Row],[Player]],QB!B:O,6,FALSE)),"")</f>
        <v>3653.8088601043719</v>
      </c>
      <c r="H5" s="146">
        <f>IFERROR((VLOOKUP(TableQBRanks30[[#This Row],[Player]],QB!B:O,7,FALSE)),"")</f>
        <v>27.509901520511995</v>
      </c>
      <c r="I5" s="146">
        <f>IFERROR((VLOOKUP(TableQBRanks30[[#This Row],[Player]],QB!B:O,8,FALSE)),"")</f>
        <v>8.6775547780125564</v>
      </c>
      <c r="J5" s="146">
        <f>IFERROR((VLOOKUP(TableQBRanks30[[#This Row],[Player]],QB!B:O,9,FALSE)),"")</f>
        <v>127.95454966421661</v>
      </c>
      <c r="K5" s="146">
        <f>IFERROR((VLOOKUP(TableQBRanks30[[#This Row],[Player]],QB!B:O,10,FALSE)),"")</f>
        <v>723.43585354761888</v>
      </c>
      <c r="L5" s="146">
        <f>IFERROR((VLOOKUP(TableQBRanks30[[#This Row],[Player]],QB!B:O,11,FALSE)),"")</f>
        <v>3.5060651957753577</v>
      </c>
      <c r="M5" s="147">
        <f>IFERROR(INDEX(TableQBCalcPts[Custom],MATCH(TableQBRanks30[[#This Row],[RK]],TableQBCalcPts[RK],0)),"")</f>
        <v>425.38038576336101</v>
      </c>
      <c r="N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28.94425009689326</v>
      </c>
      <c r="P5" s="58">
        <v>4</v>
      </c>
      <c r="Q5" s="58" t="str">
        <f>IFERROR(INDEX(TableRBCalcPts[PLAYER],MATCH(TableRBRanks31[[#This Row],[RK]],TableRBCalcPts[RK],0)),"")</f>
        <v>Jonathan Taylor</v>
      </c>
      <c r="R5" s="58" t="str">
        <f>IFERROR(INDEX(TableRBCalcPts[TM],MATCH(TableRBRanks31[[#This Row],[Player]],TableRBCalcPts[PLAYER],0)),"")</f>
        <v>IND</v>
      </c>
      <c r="S5" s="58">
        <f>IFERROR(INDEX(TableRBCalcPts[BYE],MATCH(TableRBRanks31[[#This Row],[Player]],TableRBCalcPts[PLAYER],0)),"")</f>
        <v>13</v>
      </c>
      <c r="T5" s="100">
        <f>IFERROR((VLOOKUP(TableRBRanks31[[#This Row],[Player]],RB!B:O,4,FALSE)),"")</f>
        <v>303.2034544</v>
      </c>
      <c r="U5" s="100">
        <f>IFERROR((VLOOKUP(TableRBRanks31[[#This Row],[Player]],RB!B:O,5,FALSE)),"")</f>
        <v>1452.6606494689795</v>
      </c>
      <c r="V5" s="100">
        <f>IFERROR((VLOOKUP(TableRBRanks31[[#This Row],[Player]],RB!B:O,6,FALSE)),"")</f>
        <v>13.251572502380769</v>
      </c>
      <c r="W5" s="100">
        <f>IFERROR((VLOOKUP(TableRBRanks31[[#This Row],[Player]],RB!B:O,7,FALSE)),"")</f>
        <v>56.964969599999996</v>
      </c>
      <c r="X5" s="100">
        <f>IFERROR((VLOOKUP(TableRBRanks31[[#This Row],[Player]],RB!B:O,8,FALSE)),"")</f>
        <v>43.655331304608843</v>
      </c>
      <c r="Y5" s="100">
        <f>IFERROR((VLOOKUP(TableRBRanks31[[#This Row],[Player]],RB!B:O,9,FALSE)),"")</f>
        <v>331.16475852092032</v>
      </c>
      <c r="Z5" s="100">
        <f>IFERROR((VLOOKUP(TableRBRanks31[[#This Row],[Player]],RB!B:O,10,FALSE)),"")</f>
        <v>1.3533152704428741</v>
      </c>
      <c r="AA5" s="95">
        <f>IFERROR((IFERROR(INDEX(TableRBCalcPts[Custom],MATCH(TableRBRanks31[[#This Row],[RK]],TableRBCalcPts[RK],0)),"")),"")</f>
        <v>287.83953308823624</v>
      </c>
      <c r="AB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27.630372452657923</v>
      </c>
      <c r="AD5" s="145">
        <v>4</v>
      </c>
      <c r="AE5" s="145" t="str">
        <f>IFERROR(INDEX(TableWRCalcPts[PLAYER],MATCH(TableWRRanks32[[#This Row],[RK]],TableWRCalcPts[RK],0)),"")</f>
        <v>Amon-Ra St. Brown</v>
      </c>
      <c r="AF5" s="145" t="str">
        <f>IFERROR(INDEX(TableWRCalcPts[TM],MATCH(TableWRRanks32[[#This Row],[Player]],TableWRCalcPts[PLAYER],0)),"")</f>
        <v>DET</v>
      </c>
      <c r="AG5" s="145">
        <f>IFERROR(INDEX(TableWRCalcPts[BYE],MATCH(TableWRRanks32[[#This Row],[Player]],TableWRCalcPts[PLAYER],0)),"")</f>
        <v>6</v>
      </c>
      <c r="AH5" s="146">
        <f>IFERROR((VLOOKUP(TableWRRanks32[[#This Row],[Player]],WR!B:O,4,FALSE)),"")</f>
        <v>10.987722675575707</v>
      </c>
      <c r="AI5" s="146">
        <f>IFERROR((VLOOKUP(TableWRRanks32[[#This Row],[Player]],WR!B:O,5,FALSE)),"")</f>
        <v>2.6346927574275147E-2</v>
      </c>
      <c r="AJ5" s="146">
        <f>IFERROR((VLOOKUP(TableWRRanks32[[#This Row],[Player]],WR!B:O,6,FALSE)),"")</f>
        <v>172.69677599999994</v>
      </c>
      <c r="AK5" s="146">
        <f>IFERROR((VLOOKUP(TableWRRanks32[[#This Row],[Player]],WR!B:O,7,FALSE)),"")</f>
        <v>120.54234964799996</v>
      </c>
      <c r="AL5" s="146">
        <f>IFERROR((VLOOKUP(TableWRRanks32[[#This Row],[Player]],WR!B:O,8,FALSE)),"")</f>
        <v>1423.6051493428795</v>
      </c>
      <c r="AM5" s="146">
        <f>IFERROR((VLOOKUP(TableWRRanks32[[#This Row],[Player]],WR!B:O,9,FALSE)),"")</f>
        <v>9.8844726711359971</v>
      </c>
      <c r="AN5" s="147">
        <f>IFERROR((IFERROR(INDEX(TableWRCalcPts[Custom],MATCH(TableWRRanks32[[#This Row],[RK]],TableWRCalcPts[RK],0)),"")),"")</f>
        <v>263.19537961810715</v>
      </c>
      <c r="AO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32.486241881781815</v>
      </c>
      <c r="AQ5" s="145">
        <v>4</v>
      </c>
      <c r="AR5" s="145" t="str">
        <f>IFERROR(INDEX(TableTECalcPts[PLAYER],MATCH(TableTERanks33[[#This Row],[RK]],TableTECalcPts[RK],0)),"")</f>
        <v>Tyler Warren</v>
      </c>
      <c r="AS5" s="145" t="str">
        <f>IFERROR(INDEX(TableTECalcPts[TM],MATCH(TableTERanks33[[#This Row],[Player]],TableTECalcPts[PLAYER],0)),"")</f>
        <v>IND</v>
      </c>
      <c r="AT5" s="145">
        <f>IFERROR(INDEX(TableTECalcPts[BYE],MATCH(TableTERanks33[[#This Row],[Player]],TableTECalcPts[PLAYER],0)),"")</f>
        <v>13</v>
      </c>
      <c r="AU5" s="146">
        <f>IFERROR((VLOOKUP(TableTERanks33[[#This Row],[Player]],TE!B:O,4,FALSE)),"")</f>
        <v>118.63346879999999</v>
      </c>
      <c r="AV5" s="146">
        <f>IFERROR((VLOOKUP(TableTERanks33[[#This Row],[Player]],TE!B:O,5,FALSE)),"")</f>
        <v>87.076966099199993</v>
      </c>
      <c r="AW5" s="146">
        <f>IFERROR((VLOOKUP(TableTERanks33[[#This Row],[Player]],TE!B:O,6,FALSE)),"")</f>
        <v>902.98813844870381</v>
      </c>
      <c r="AX5" s="146">
        <f>IFERROR((VLOOKUP(TableTERanks33[[#This Row],[Player]],TE!B:O,7,FALSE)),"")</f>
        <v>5.7470797625471999</v>
      </c>
      <c r="AY5" s="147">
        <f>IFERROR((IFERROR(INDEX(TableTECalcPts[Custom],MATCH(TableTERanks33[[#This Row],[RK]],TableTECalcPts[RK],0)),"")),"")</f>
        <v>168.31977546975355</v>
      </c>
      <c r="AZ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16.990572589888863</v>
      </c>
      <c r="BA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16.990572589888863</v>
      </c>
    </row>
    <row r="6" spans="1:53" x14ac:dyDescent="0.25">
      <c r="A6" s="145">
        <v>5</v>
      </c>
      <c r="B6" s="145" t="str">
        <f>IFERROR(INDEX(TableQBCalcPts[PLAYER],MATCH(TableQBRanks30[[#This Row],[RK]],TableQBCalcPts[RK],0)),"")</f>
        <v>Dak Prescott</v>
      </c>
      <c r="C6" s="145" t="str">
        <f>IFERROR(INDEX(TableQBCalcPts[TM],MATCH(TableQBRanks30[[#This Row],[Player]],TableQBCalcPts[PLAYER],0)),"")</f>
        <v>DAL</v>
      </c>
      <c r="D6" s="145">
        <f>IFERROR(INDEX(TableQBCalcPts[BYE],MATCH(TableQBRanks30[[#This Row],[Player]],TableQBCalcPts[PLAYER],0)),"")</f>
        <v>14</v>
      </c>
      <c r="E6" s="146">
        <f>IFERROR((VLOOKUP(TableQBRanks30[[#This Row],[Player]],QB!B:O,4,FALSE)),"")</f>
        <v>602.76369999999997</v>
      </c>
      <c r="F6" s="146">
        <f>IFERROR((VLOOKUP(TableQBRanks30[[#This Row],[Player]],QB!B:O,5,FALSE)),"")</f>
        <v>405.58246881758657</v>
      </c>
      <c r="G6" s="146">
        <f>IFERROR((VLOOKUP(TableQBRanks30[[#This Row],[Player]],QB!B:O,6,FALSE)),"")</f>
        <v>4542.5236507569689</v>
      </c>
      <c r="H6" s="146">
        <f>IFERROR((VLOOKUP(TableQBRanks30[[#This Row],[Player]],QB!B:O,7,FALSE)),"")</f>
        <v>31.229850098954167</v>
      </c>
      <c r="I6" s="146">
        <f>IFERROR((VLOOKUP(TableQBRanks30[[#This Row],[Player]],QB!B:O,8,FALSE)),"")</f>
        <v>12.267773740200933</v>
      </c>
      <c r="J6" s="146">
        <f>IFERROR((VLOOKUP(TableQBRanks30[[#This Row],[Player]],QB!B:O,9,FALSE)),"")</f>
        <v>46.131584100000005</v>
      </c>
      <c r="K6" s="146">
        <f>IFERROR((VLOOKUP(TableQBRanks30[[#This Row],[Player]],QB!B:O,10,FALSE)),"")</f>
        <v>168.88968348237614</v>
      </c>
      <c r="L6" s="146">
        <f>IFERROR((VLOOKUP(TableQBRanks30[[#This Row],[Player]],QB!B:O,11,FALSE)),"")</f>
        <v>1.6670136111378264</v>
      </c>
      <c r="M6" s="147">
        <f>IFERROR(INDEX(TableQBCalcPts[Custom],MATCH(TableQBRanks30[[#This Row],[RK]],TableQBCalcPts[RK],0)),"")</f>
        <v>424.26156978062608</v>
      </c>
      <c r="N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26.377587629938926</v>
      </c>
      <c r="P6" s="58">
        <v>5</v>
      </c>
      <c r="Q6" s="58" t="str">
        <f>IFERROR(INDEX(TableRBCalcPts[PLAYER],MATCH(TableRBRanks31[[#This Row],[RK]],TableRBCalcPts[RK],0)),"")</f>
        <v>James Cook</v>
      </c>
      <c r="R6" s="58" t="str">
        <f>IFERROR(INDEX(TableRBCalcPts[TM],MATCH(TableRBRanks31[[#This Row],[Player]],TableRBCalcPts[PLAYER],0)),"")</f>
        <v>BUF</v>
      </c>
      <c r="S6" s="58">
        <f>IFERROR(INDEX(TableRBCalcPts[BYE],MATCH(TableRBRanks31[[#This Row],[Player]],TableRBCalcPts[PLAYER],0)),"")</f>
        <v>7</v>
      </c>
      <c r="T6" s="100">
        <f>IFERROR((VLOOKUP(TableRBRanks31[[#This Row],[Player]],RB!B:O,4,FALSE)),"")</f>
        <v>275.25126719999997</v>
      </c>
      <c r="U6" s="100">
        <f>IFERROR((VLOOKUP(TableRBRanks31[[#This Row],[Player]],RB!B:O,5,FALSE)),"")</f>
        <v>1356.9887472959997</v>
      </c>
      <c r="V6" s="100">
        <f>IFERROR((VLOOKUP(TableRBRanks31[[#This Row],[Player]],RB!B:O,6,FALSE)),"")</f>
        <v>9.9643321198835419</v>
      </c>
      <c r="W6" s="100">
        <f>IFERROR((VLOOKUP(TableRBRanks31[[#This Row],[Player]],RB!B:O,7,FALSE)),"")</f>
        <v>45.968075999999989</v>
      </c>
      <c r="X6" s="100">
        <f>IFERROR((VLOOKUP(TableRBRanks31[[#This Row],[Player]],RB!B:O,8,FALSE)),"")</f>
        <v>34.768849644722884</v>
      </c>
      <c r="Y6" s="100">
        <f>IFERROR((VLOOKUP(TableRBRanks31[[#This Row],[Player]],RB!B:O,9,FALSE)),"")</f>
        <v>281.62768212225535</v>
      </c>
      <c r="Z6" s="100">
        <f>IFERROR((VLOOKUP(TableRBRanks31[[#This Row],[Player]],RB!B:O,10,FALSE)),"")</f>
        <v>1.9945345104578305</v>
      </c>
      <c r="AA6" s="95">
        <f>IFERROR((IFERROR(INDEX(TableRBCalcPts[Custom],MATCH(TableRBRanks31[[#This Row],[RK]],TableRBCalcPts[RK],0)),"")),"")</f>
        <v>252.99926754623516</v>
      </c>
      <c r="AB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22.393791680994408</v>
      </c>
      <c r="AD6" s="145">
        <v>5</v>
      </c>
      <c r="AE6" s="145" t="str">
        <f>IFERROR(INDEX(TableWRCalcPts[PLAYER],MATCH(TableWRRanks32[[#This Row],[RK]],TableWRCalcPts[RK],0)),"")</f>
        <v>George Pickens</v>
      </c>
      <c r="AF6" s="145" t="str">
        <f>IFERROR(INDEX(TableWRCalcPts[TM],MATCH(TableWRRanks32[[#This Row],[Player]],TableWRCalcPts[PLAYER],0)),"")</f>
        <v>DAL</v>
      </c>
      <c r="AG6" s="145">
        <f>IFERROR(INDEX(TableWRCalcPts[BYE],MATCH(TableWRRanks32[[#This Row],[Player]],TableWRCalcPts[PLAYER],0)),"")</f>
        <v>14</v>
      </c>
      <c r="AH6" s="146">
        <f>IFERROR((VLOOKUP(TableWRRanks32[[#This Row],[Player]],WR!B:O,4,FALSE)),"")</f>
        <v>0</v>
      </c>
      <c r="AI6" s="146">
        <f>IFERROR((VLOOKUP(TableWRRanks32[[#This Row],[Player]],WR!B:O,5,FALSE)),"")</f>
        <v>0</v>
      </c>
      <c r="AJ6" s="146">
        <f>IFERROR((VLOOKUP(TableWRRanks32[[#This Row],[Player]],WR!B:O,6,FALSE)),"")</f>
        <v>139.23841469999999</v>
      </c>
      <c r="AK6" s="146">
        <f>IFERROR((VLOOKUP(TableWRRanks32[[#This Row],[Player]],WR!B:O,7,FALSE)),"")</f>
        <v>91.758115287300001</v>
      </c>
      <c r="AL6" s="146">
        <f>IFERROR((VLOOKUP(TableWRRanks32[[#This Row],[Player]],WR!B:O,8,FALSE)),"")</f>
        <v>1343.3095698179657</v>
      </c>
      <c r="AM6" s="146">
        <f>IFERROR((VLOOKUP(TableWRRanks32[[#This Row],[Player]],WR!B:O,9,FALSE)),"")</f>
        <v>8.7170209522935007</v>
      </c>
      <c r="AN6" s="147">
        <f>IFERROR((IFERROR(INDEX(TableWRCalcPts[Custom],MATCH(TableWRRanks32[[#This Row],[RK]],TableWRCalcPts[RK],0)),"")),"")</f>
        <v>232.51214033920755</v>
      </c>
      <c r="AO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26.721530479591976</v>
      </c>
      <c r="AQ6" s="145">
        <v>5</v>
      </c>
      <c r="AR6" s="145" t="str">
        <f>IFERROR(INDEX(TableTECalcPts[PLAYER],MATCH(TableTERanks33[[#This Row],[RK]],TableTECalcPts[RK],0)),"")</f>
        <v>Sam LaPorta</v>
      </c>
      <c r="AS6" s="145" t="str">
        <f>IFERROR(INDEX(TableTECalcPts[TM],MATCH(TableTERanks33[[#This Row],[Player]],TableTECalcPts[PLAYER],0)),"")</f>
        <v>DET</v>
      </c>
      <c r="AT6" s="145">
        <f>IFERROR(INDEX(TableTECalcPts[BYE],MATCH(TableTERanks33[[#This Row],[Player]],TableTECalcPts[PLAYER],0)),"")</f>
        <v>6</v>
      </c>
      <c r="AU6" s="146">
        <f>IFERROR((VLOOKUP(TableTERanks33[[#This Row],[Player]],TE!B:O,4,FALSE)),"")</f>
        <v>101.86182719999996</v>
      </c>
      <c r="AV6" s="146">
        <f>IFERROR((VLOOKUP(TableTERanks33[[#This Row],[Player]],TE!B:O,5,FALSE)),"")</f>
        <v>75.275890300799972</v>
      </c>
      <c r="AW6" s="146">
        <f>IFERROR((VLOOKUP(TableTERanks33[[#This Row],[Player]],TE!B:O,6,FALSE)),"")</f>
        <v>825.77651659977573</v>
      </c>
      <c r="AX6" s="146">
        <f>IFERROR((VLOOKUP(TableTERanks33[[#This Row],[Player]],TE!B:O,7,FALSE)),"")</f>
        <v>5.9467953337631982</v>
      </c>
      <c r="AY6" s="147">
        <f>IFERROR((IFERROR(INDEX(TableTECalcPts[Custom],MATCH(TableTERanks33[[#This Row],[RK]],TableTECalcPts[RK],0)),"")),"")</f>
        <v>155.89636881295675</v>
      </c>
      <c r="AZ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14.656485456600825</v>
      </c>
      <c r="BA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14.656485456600825</v>
      </c>
    </row>
    <row r="7" spans="1:53" x14ac:dyDescent="0.25">
      <c r="A7" s="145">
        <v>6</v>
      </c>
      <c r="B7" s="145" t="str">
        <f>IFERROR(INDEX(TableQBCalcPts[PLAYER],MATCH(TableQBRanks30[[#This Row],[RK]],TableQBCalcPts[RK],0)),"")</f>
        <v>Brock Purdy</v>
      </c>
      <c r="C7" s="145" t="str">
        <f>IFERROR(INDEX(TableQBCalcPts[TM],MATCH(TableQBRanks30[[#This Row],[Player]],TableQBCalcPts[PLAYER],0)),"")</f>
        <v>SF</v>
      </c>
      <c r="D7" s="145">
        <f>IFERROR(INDEX(TableQBCalcPts[BYE],MATCH(TableQBRanks30[[#This Row],[Player]],TableQBCalcPts[PLAYER],0)),"")</f>
        <v>8</v>
      </c>
      <c r="E7" s="146">
        <f>IFERROR((VLOOKUP(TableQBRanks30[[#This Row],[Player]],QB!B:O,4,FALSE)),"")</f>
        <v>536.83616000000006</v>
      </c>
      <c r="F7" s="146">
        <f>IFERROR((VLOOKUP(TableQBRanks30[[#This Row],[Player]],QB!B:O,5,FALSE)),"")</f>
        <v>361.29073568000007</v>
      </c>
      <c r="G7" s="146">
        <f>IFERROR((VLOOKUP(TableQBRanks30[[#This Row],[Player]],QB!B:O,6,FALSE)),"")</f>
        <v>4295.7468472352011</v>
      </c>
      <c r="H7" s="146">
        <f>IFERROR((VLOOKUP(TableQBRanks30[[#This Row],[Player]],QB!B:O,7,FALSE)),"")</f>
        <v>29.625840325760006</v>
      </c>
      <c r="I7" s="146">
        <f>IFERROR((VLOOKUP(TableQBRanks30[[#This Row],[Player]],QB!B:O,8,FALSE)),"")</f>
        <v>15.441805867686105</v>
      </c>
      <c r="J7" s="146">
        <f>IFERROR((VLOOKUP(TableQBRanks30[[#This Row],[Player]],QB!B:O,9,FALSE)),"")</f>
        <v>64.131889919999992</v>
      </c>
      <c r="K7" s="146">
        <f>IFERROR((VLOOKUP(TableQBRanks30[[#This Row],[Player]],QB!B:O,10,FALSE)),"")</f>
        <v>275.80616229242338</v>
      </c>
      <c r="L7" s="146">
        <f>IFERROR((VLOOKUP(TableQBRanks30[[#This Row],[Player]],QB!B:O,11,FALSE)),"")</f>
        <v>3.9495945227970899</v>
      </c>
      <c r="M7" s="147">
        <f>IFERROR(INDEX(TableQBCalcPts[Custom],MATCH(TableQBRanks30[[#This Row],[RK]],TableQBCalcPts[RK],0)),"")</f>
        <v>421.55036691030688</v>
      </c>
      <c r="N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25.622801754329171</v>
      </c>
      <c r="P7" s="58">
        <v>6</v>
      </c>
      <c r="Q7" s="58" t="str">
        <f>IFERROR(INDEX(TableRBCalcPts[PLAYER],MATCH(TableRBRanks31[[#This Row],[RK]],TableRBCalcPts[RK],0)),"")</f>
        <v>De'Von Achane</v>
      </c>
      <c r="R7" s="58" t="str">
        <f>IFERROR(INDEX(TableRBCalcPts[TM],MATCH(TableRBRanks31[[#This Row],[Player]],TableRBCalcPts[PLAYER],0)),"")</f>
        <v>MIA</v>
      </c>
      <c r="S7" s="58">
        <f>IFERROR(INDEX(TableRBCalcPts[BYE],MATCH(TableRBRanks31[[#This Row],[Player]],TableRBCalcPts[PLAYER],0)),"")</f>
        <v>6</v>
      </c>
      <c r="T7" s="100">
        <f>IFERROR((VLOOKUP(TableRBRanks31[[#This Row],[Player]],RB!B:O,4,FALSE)),"")</f>
        <v>251.27361063396268</v>
      </c>
      <c r="U7" s="100">
        <f>IFERROR((VLOOKUP(TableRBRanks31[[#This Row],[Player]],RB!B:O,5,FALSE)),"")</f>
        <v>1193.5496505113226</v>
      </c>
      <c r="V7" s="100">
        <f>IFERROR((VLOOKUP(TableRBRanks31[[#This Row],[Player]],RB!B:O,6,FALSE)),"")</f>
        <v>6.0305666552151047</v>
      </c>
      <c r="W7" s="100">
        <f>IFERROR((VLOOKUP(TableRBRanks31[[#This Row],[Player]],RB!B:O,7,FALSE)),"")</f>
        <v>78.79152959999999</v>
      </c>
      <c r="X7" s="100">
        <f>IFERROR((VLOOKUP(TableRBRanks31[[#This Row],[Player]],RB!B:O,8,FALSE)),"")</f>
        <v>61.772559206399997</v>
      </c>
      <c r="Y7" s="100">
        <f>IFERROR((VLOOKUP(TableRBRanks31[[#This Row],[Player]],RB!B:O,9,FALSE)),"")</f>
        <v>451.55740779878397</v>
      </c>
      <c r="Z7" s="100">
        <f>IFERROR((VLOOKUP(TableRBRanks31[[#This Row],[Player]],RB!B:O,10,FALSE)),"")</f>
        <v>2.9650828419071997</v>
      </c>
      <c r="AA7" s="95">
        <f>IFERROR((IFERROR(INDEX(TableRBCalcPts[Custom],MATCH(TableRBRanks31[[#This Row],[RK]],TableRBCalcPts[RK],0)),"")),"")</f>
        <v>249.37088241694448</v>
      </c>
      <c r="AB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21.848436141802896</v>
      </c>
      <c r="AD7" s="145">
        <v>6</v>
      </c>
      <c r="AE7" s="145" t="str">
        <f>IFERROR(INDEX(TableWRCalcPts[PLAYER],MATCH(TableWRRanks32[[#This Row],[RK]],TableWRCalcPts[RK],0)),"")</f>
        <v>Drake London</v>
      </c>
      <c r="AF7" s="145" t="str">
        <f>IFERROR(INDEX(TableWRCalcPts[TM],MATCH(TableWRRanks32[[#This Row],[Player]],TableWRCalcPts[PLAYER],0)),"")</f>
        <v>ATL</v>
      </c>
      <c r="AG7" s="145">
        <f>IFERROR(INDEX(TableWRCalcPts[BYE],MATCH(TableWRRanks32[[#This Row],[Player]],TableWRCalcPts[PLAYER],0)),"")</f>
        <v>11</v>
      </c>
      <c r="AH7" s="146">
        <f>IFERROR((VLOOKUP(TableWRRanks32[[#This Row],[Player]],WR!B:O,4,FALSE)),"")</f>
        <v>0</v>
      </c>
      <c r="AI7" s="146">
        <f>IFERROR((VLOOKUP(TableWRRanks32[[#This Row],[Player]],WR!B:O,5,FALSE)),"")</f>
        <v>0</v>
      </c>
      <c r="AJ7" s="146">
        <f>IFERROR((VLOOKUP(TableWRRanks32[[#This Row],[Player]],WR!B:O,6,FALSE)),"")</f>
        <v>158.37634764000006</v>
      </c>
      <c r="AK7" s="146">
        <f>IFERROR((VLOOKUP(TableWRRanks32[[#This Row],[Player]],WR!B:O,7,FALSE)),"")</f>
        <v>101.04410979432004</v>
      </c>
      <c r="AL7" s="146">
        <f>IFERROR((VLOOKUP(TableWRRanks32[[#This Row],[Player]],WR!B:O,8,FALSE)),"")</f>
        <v>1316.60475061999</v>
      </c>
      <c r="AM7" s="146">
        <f>IFERROR((VLOOKUP(TableWRRanks32[[#This Row],[Player]],WR!B:O,9,FALSE)),"")</f>
        <v>7.7803964541626423</v>
      </c>
      <c r="AN7" s="147">
        <f>IFERROR((IFERROR(INDEX(TableWRCalcPts[Custom],MATCH(TableWRRanks32[[#This Row],[RK]],TableWRCalcPts[RK],0)),"")),"")</f>
        <v>228.86490868413486</v>
      </c>
      <c r="AO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26.036295204485807</v>
      </c>
      <c r="AQ7" s="145">
        <v>6</v>
      </c>
      <c r="AR7" s="145" t="str">
        <f>IFERROR(INDEX(TableTECalcPts[PLAYER],MATCH(TableTERanks33[[#This Row],[RK]],TableTECalcPts[RK],0)),"")</f>
        <v>George Kittle</v>
      </c>
      <c r="AS7" s="145" t="str">
        <f>IFERROR(INDEX(TableTECalcPts[TM],MATCH(TableTERanks33[[#This Row],[Player]],TableTECalcPts[PLAYER],0)),"")</f>
        <v>SF</v>
      </c>
      <c r="AT7" s="145">
        <f>IFERROR(INDEX(TableTECalcPts[BYE],MATCH(TableTERanks33[[#This Row],[Player]],TableTECalcPts[PLAYER],0)),"")</f>
        <v>8</v>
      </c>
      <c r="AU7" s="146">
        <f>IFERROR((VLOOKUP(TableTERanks33[[#This Row],[Player]],TE!B:O,4,FALSE)),"")</f>
        <v>86.967457920000015</v>
      </c>
      <c r="AV7" s="146">
        <f>IFERROR((VLOOKUP(TableTERanks33[[#This Row],[Player]],TE!B:O,5,FALSE)),"")</f>
        <v>67.834617177600009</v>
      </c>
      <c r="AW7" s="146">
        <f>IFERROR((VLOOKUP(TableTERanks33[[#This Row],[Player]],TE!B:O,6,FALSE)),"")</f>
        <v>796.37840566502416</v>
      </c>
      <c r="AX7" s="146">
        <f>IFERROR((VLOOKUP(TableTERanks33[[#This Row],[Player]],TE!B:O,7,FALSE)),"")</f>
        <v>6.9191309521152009</v>
      </c>
      <c r="AY7" s="147">
        <f>IFERROR((IFERROR(INDEX(TableTECalcPts[Custom],MATCH(TableTERanks33[[#This Row],[RK]],TableTECalcPts[RK],0)),"")),"")</f>
        <v>155.06993486799362</v>
      </c>
      <c r="AZ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14.501216544398261</v>
      </c>
      <c r="BA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14.501216544398261</v>
      </c>
    </row>
    <row r="8" spans="1:53" x14ac:dyDescent="0.25">
      <c r="A8" s="145">
        <v>7</v>
      </c>
      <c r="B8" s="145" t="str">
        <f>IFERROR(INDEX(TableQBCalcPts[PLAYER],MATCH(TableQBRanks30[[#This Row],[RK]],TableQBCalcPts[RK],0)),"")</f>
        <v>Patrick Mahomes</v>
      </c>
      <c r="C8" s="145" t="str">
        <f>IFERROR(INDEX(TableQBCalcPts[TM],MATCH(TableQBRanks30[[#This Row],[Player]],TableQBCalcPts[PLAYER],0)),"")</f>
        <v>KC</v>
      </c>
      <c r="D8" s="145">
        <f>IFERROR(INDEX(TableQBCalcPts[BYE],MATCH(TableQBRanks30[[#This Row],[Player]],TableQBCalcPts[PLAYER],0)),"")</f>
        <v>5</v>
      </c>
      <c r="E8" s="146">
        <f>IFERROR((VLOOKUP(TableQBRanks30[[#This Row],[Player]],QB!B:O,4,FALSE)),"")</f>
        <v>567.55374999999992</v>
      </c>
      <c r="F8" s="146">
        <f>IFERROR((VLOOKUP(TableQBRanks30[[#This Row],[Player]],QB!B:O,5,FALSE)),"")</f>
        <v>369.37652327206109</v>
      </c>
      <c r="G8" s="146">
        <f>IFERROR((VLOOKUP(TableQBRanks30[[#This Row],[Player]],QB!B:O,6,FALSE)),"")</f>
        <v>4051.9940332102506</v>
      </c>
      <c r="H8" s="146">
        <f>IFERROR((VLOOKUP(TableQBRanks30[[#This Row],[Player]],QB!B:O,7,FALSE)),"")</f>
        <v>30.288874908309012</v>
      </c>
      <c r="I8" s="146">
        <f>IFERROR((VLOOKUP(TableQBRanks30[[#This Row],[Player]],QB!B:O,8,FALSE)),"")</f>
        <v>12.108582487817603</v>
      </c>
      <c r="J8" s="146">
        <f>IFERROR((VLOOKUP(TableQBRanks30[[#This Row],[Player]],QB!B:O,9,FALSE)),"")</f>
        <v>56.256655000000009</v>
      </c>
      <c r="K8" s="146">
        <f>IFERROR((VLOOKUP(TableQBRanks30[[#This Row],[Player]],QB!B:O,10,FALSE)),"")</f>
        <v>327.35795325263115</v>
      </c>
      <c r="L8" s="146">
        <f>IFERROR((VLOOKUP(TableQBRanks30[[#This Row],[Player]],QB!B:O,11,FALSE)),"")</f>
        <v>2.6440627850000005</v>
      </c>
      <c r="M8" s="147">
        <f>IFERROR(INDEX(TableQBCalcPts[Custom],MATCH(TableQBRanks30[[#This Row],[RK]],TableQBCalcPts[RK],0)),"")</f>
        <v>417.24225265291568</v>
      </c>
      <c r="N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24.766975066461786</v>
      </c>
      <c r="P8" s="58">
        <v>7</v>
      </c>
      <c r="Q8" s="58" t="str">
        <f>IFERROR(INDEX(TableRBCalcPts[PLAYER],MATCH(TableRBRanks31[[#This Row],[RK]],TableRBCalcPts[RK],0)),"")</f>
        <v>Chase Brown</v>
      </c>
      <c r="R8" s="58" t="str">
        <f>IFERROR(INDEX(TableRBCalcPts[TM],MATCH(TableRBRanks31[[#This Row],[Player]],TableRBCalcPts[PLAYER],0)),"")</f>
        <v>CIN</v>
      </c>
      <c r="S8" s="58">
        <f>IFERROR(INDEX(TableRBCalcPts[BYE],MATCH(TableRBRanks31[[#This Row],[Player]],TableRBCalcPts[PLAYER],0)),"")</f>
        <v>6</v>
      </c>
      <c r="T8" s="100">
        <f>IFERROR((VLOOKUP(TableRBRanks31[[#This Row],[Player]],RB!B:O,4,FALSE)),"")</f>
        <v>230.81351999999998</v>
      </c>
      <c r="U8" s="100">
        <f>IFERROR((VLOOKUP(TableRBRanks31[[#This Row],[Player]],RB!B:O,5,FALSE)),"")</f>
        <v>1010.9632175999999</v>
      </c>
      <c r="V8" s="100">
        <f>IFERROR((VLOOKUP(TableRBRanks31[[#This Row],[Player]],RB!B:O,6,FALSE)),"")</f>
        <v>6.6935920800000002</v>
      </c>
      <c r="W8" s="100">
        <f>IFERROR((VLOOKUP(TableRBRanks31[[#This Row],[Player]],RB!B:O,7,FALSE)),"")</f>
        <v>85.416187500000007</v>
      </c>
      <c r="X8" s="100">
        <f>IFERROR((VLOOKUP(TableRBRanks31[[#This Row],[Player]],RB!B:O,8,FALSE)),"")</f>
        <v>71.363433367549675</v>
      </c>
      <c r="Y8" s="100">
        <f>IFERROR((VLOOKUP(TableRBRanks31[[#This Row],[Player]],RB!B:O,9,FALSE)),"")</f>
        <v>490.7282533733445</v>
      </c>
      <c r="Z8" s="100">
        <f>IFERROR((VLOOKUP(TableRBRanks31[[#This Row],[Player]],RB!B:O,10,FALSE)),"")</f>
        <v>3.7786763741721856</v>
      </c>
      <c r="AA8" s="95">
        <f>IFERROR((IFERROR(INDEX(TableRBCalcPts[Custom],MATCH(TableRBRanks31[[#This Row],[RK]],TableRBCalcPts[RK],0)),"")),"")</f>
        <v>248.68447450614235</v>
      </c>
      <c r="AB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21.745267282114074</v>
      </c>
      <c r="AD8" s="145">
        <v>7</v>
      </c>
      <c r="AE8" s="145" t="str">
        <f>IFERROR(INDEX(TableWRCalcPts[PLAYER],MATCH(TableWRRanks32[[#This Row],[RK]],TableWRCalcPts[RK],0)),"")</f>
        <v>Justin Jefferson</v>
      </c>
      <c r="AF8" s="145" t="str">
        <f>IFERROR(INDEX(TableWRCalcPts[TM],MATCH(TableWRRanks32[[#This Row],[Player]],TableWRCalcPts[PLAYER],0)),"")</f>
        <v>MIN</v>
      </c>
      <c r="AG8" s="145">
        <f>IFERROR(INDEX(TableWRCalcPts[BYE],MATCH(TableWRRanks32[[#This Row],[Player]],TableWRCalcPts[PLAYER],0)),"")</f>
        <v>6</v>
      </c>
      <c r="AH8" s="146">
        <f>IFERROR((VLOOKUP(TableWRRanks32[[#This Row],[Player]],WR!B:O,4,FALSE)),"")</f>
        <v>0</v>
      </c>
      <c r="AI8" s="146">
        <f>IFERROR((VLOOKUP(TableWRRanks32[[#This Row],[Player]],WR!B:O,5,FALSE)),"")</f>
        <v>0</v>
      </c>
      <c r="AJ8" s="146">
        <f>IFERROR((VLOOKUP(TableWRRanks32[[#This Row],[Player]],WR!B:O,6,FALSE)),"")</f>
        <v>152.61732863999998</v>
      </c>
      <c r="AK8" s="146">
        <f>IFERROR((VLOOKUP(TableWRRanks32[[#This Row],[Player]],WR!B:O,7,FALSE)),"")</f>
        <v>101.33790621695999</v>
      </c>
      <c r="AL8" s="146">
        <f>IFERROR((VLOOKUP(TableWRRanks32[[#This Row],[Player]],WR!B:O,8,FALSE)),"")</f>
        <v>1263.6836905254911</v>
      </c>
      <c r="AM8" s="146">
        <f>IFERROR((VLOOKUP(TableWRRanks32[[#This Row],[Player]],WR!B:O,9,FALSE)),"")</f>
        <v>7.7016808724889589</v>
      </c>
      <c r="AN8" s="147">
        <f>IFERROR((IFERROR(INDEX(TableWRCalcPts[Custom],MATCH(TableWRRanks32[[#This Row],[RK]],TableWRCalcPts[RK],0)),"")),"")</f>
        <v>223.24740739596288</v>
      </c>
      <c r="AO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24.980889240552571</v>
      </c>
      <c r="AQ8" s="145">
        <v>7</v>
      </c>
      <c r="AR8" s="145" t="str">
        <f>IFERROR(INDEX(TableTECalcPts[PLAYER],MATCH(TableTERanks33[[#This Row],[RK]],TableTECalcPts[RK],0)),"")</f>
        <v>Harold Fannin</v>
      </c>
      <c r="AS8" s="145" t="str">
        <f>IFERROR(INDEX(TableTECalcPts[TM],MATCH(TableTERanks33[[#This Row],[Player]],TableTECalcPts[PLAYER],0)),"")</f>
        <v>CLE</v>
      </c>
      <c r="AT8" s="145">
        <f>IFERROR(INDEX(TableTECalcPts[BYE],MATCH(TableTERanks33[[#This Row],[Player]],TableTECalcPts[PLAYER],0)),"")</f>
        <v>11</v>
      </c>
      <c r="AU8" s="146">
        <f>IFERROR((VLOOKUP(TableTERanks33[[#This Row],[Player]],TE!B:O,4,FALSE)),"")</f>
        <v>119.247282</v>
      </c>
      <c r="AV8" s="146">
        <f>IFERROR((VLOOKUP(TableTERanks33[[#This Row],[Player]],TE!B:O,5,FALSE)),"")</f>
        <v>77.987722427999998</v>
      </c>
      <c r="AW8" s="146">
        <f>IFERROR((VLOOKUP(TableTERanks33[[#This Row],[Player]],TE!B:O,6,FALSE)),"")</f>
        <v>822.62324703441573</v>
      </c>
      <c r="AX8" s="146">
        <f>IFERROR((VLOOKUP(TableTERanks33[[#This Row],[Player]],TE!B:O,7,FALSE)),"")</f>
        <v>5.4591405699600006</v>
      </c>
      <c r="AY8" s="147">
        <f>IFERROR((IFERROR(INDEX(TableTECalcPts[Custom],MATCH(TableTERanks33[[#This Row],[RK]],TableTECalcPts[RK],0)),"")),"")</f>
        <v>154.01102933720159</v>
      </c>
      <c r="AZ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14.302271291854586</v>
      </c>
      <c r="BA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14.302271291854586</v>
      </c>
    </row>
    <row r="9" spans="1:53" x14ac:dyDescent="0.25">
      <c r="A9" s="145">
        <v>8</v>
      </c>
      <c r="B9" s="145" t="str">
        <f>IFERROR(INDEX(TableQBCalcPts[PLAYER],MATCH(TableQBRanks30[[#This Row],[RK]],TableQBCalcPts[RK],0)),"")</f>
        <v>Jared Goff</v>
      </c>
      <c r="C9" s="145" t="str">
        <f>IFERROR(INDEX(TableQBCalcPts[TM],MATCH(TableQBRanks30[[#This Row],[Player]],TableQBCalcPts[PLAYER],0)),"")</f>
        <v>DET</v>
      </c>
      <c r="D9" s="145">
        <f>IFERROR(INDEX(TableQBCalcPts[BYE],MATCH(TableQBRanks30[[#This Row],[Player]],TableQBCalcPts[PLAYER],0)),"")</f>
        <v>6</v>
      </c>
      <c r="E9" s="146">
        <f>IFERROR((VLOOKUP(TableQBRanks30[[#This Row],[Player]],QB!B:O,4,FALSE)),"")</f>
        <v>585.41279999999995</v>
      </c>
      <c r="F9" s="146">
        <f>IFERROR((VLOOKUP(TableQBRanks30[[#This Row],[Player]],QB!B:O,5,FALSE)),"")</f>
        <v>402.75215997183261</v>
      </c>
      <c r="G9" s="146">
        <f>IFERROR((VLOOKUP(TableQBRanks30[[#This Row],[Player]],QB!B:O,6,FALSE)),"")</f>
        <v>4642.5269653189362</v>
      </c>
      <c r="H9" s="146">
        <f>IFERROR((VLOOKUP(TableQBRanks30[[#This Row],[Player]],QB!B:O,7,FALSE)),"")</f>
        <v>32.220172797746606</v>
      </c>
      <c r="I9" s="146">
        <f>IFERROR((VLOOKUP(TableQBRanks30[[#This Row],[Player]],QB!B:O,8,FALSE)),"")</f>
        <v>10.980004422275686</v>
      </c>
      <c r="J9" s="146">
        <f>IFERROR((VLOOKUP(TableQBRanks30[[#This Row],[Player]],QB!B:O,9,FALSE)),"")</f>
        <v>19.431596800000001</v>
      </c>
      <c r="K9" s="146">
        <f>IFERROR((VLOOKUP(TableQBRanks30[[#This Row],[Player]],QB!B:O,10,FALSE)),"")</f>
        <v>38.992333759437948</v>
      </c>
      <c r="L9" s="146">
        <f>IFERROR((VLOOKUP(TableQBRanks30[[#This Row],[Player]],QB!B:O,11,FALSE)),"")</f>
        <v>0.49196251214456382</v>
      </c>
      <c r="M9" s="147">
        <f>IFERROR(INDEX(TableQBCalcPts[Custom],MATCH(TableQBRanks30[[#This Row],[RK]],TableQBCalcPts[RK],0)),"")</f>
        <v>415.16833542295586</v>
      </c>
      <c r="N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23.845131325520654</v>
      </c>
      <c r="P9" s="58">
        <v>8</v>
      </c>
      <c r="Q9" s="58" t="str">
        <f>IFERROR(INDEX(TableRBCalcPts[PLAYER],MATCH(TableRBRanks31[[#This Row],[RK]],TableRBCalcPts[RK],0)),"")</f>
        <v>Derrick Henry</v>
      </c>
      <c r="R9" s="58" t="str">
        <f>IFERROR(INDEX(TableRBCalcPts[TM],MATCH(TableRBRanks31[[#This Row],[Player]],TableRBCalcPts[PLAYER],0)),"")</f>
        <v>BAL</v>
      </c>
      <c r="S9" s="58">
        <f>IFERROR(INDEX(TableRBCalcPts[BYE],MATCH(TableRBRanks31[[#This Row],[Player]],TableRBCalcPts[PLAYER],0)),"")</f>
        <v>13</v>
      </c>
      <c r="T9" s="100">
        <f>IFERROR((VLOOKUP(TableRBRanks31[[#This Row],[Player]],RB!B:O,4,FALSE)),"")</f>
        <v>281.9247546543528</v>
      </c>
      <c r="U9" s="100">
        <f>IFERROR((VLOOKUP(TableRBRanks31[[#This Row],[Player]],RB!B:O,5,FALSE)),"")</f>
        <v>1413.2204856259643</v>
      </c>
      <c r="V9" s="100">
        <f>IFERROR((VLOOKUP(TableRBRanks31[[#This Row],[Player]],RB!B:O,6,FALSE)),"")</f>
        <v>11.113038933805319</v>
      </c>
      <c r="W9" s="100">
        <f>IFERROR((VLOOKUP(TableRBRanks31[[#This Row],[Player]],RB!B:O,7,FALSE)),"")</f>
        <v>25.847852799999995</v>
      </c>
      <c r="X9" s="100">
        <f>IFERROR((VLOOKUP(TableRBRanks31[[#This Row],[Player]],RB!B:O,8,FALSE)),"")</f>
        <v>18.452265156863994</v>
      </c>
      <c r="Y9" s="100">
        <f>IFERROR((VLOOKUP(TableRBRanks31[[#This Row],[Player]],RB!B:O,9,FALSE)),"")</f>
        <v>177.21666981521065</v>
      </c>
      <c r="Z9" s="100">
        <f>IFERROR((VLOOKUP(TableRBRanks31[[#This Row],[Player]],RB!B:O,10,FALSE)),"")</f>
        <v>0.97797005331379172</v>
      </c>
      <c r="AA9" s="95">
        <f>IFERROR((IFERROR(INDEX(TableRBCalcPts[Custom],MATCH(TableRBRanks31[[#This Row],[RK]],TableRBCalcPts[RK],0)),"")),"")</f>
        <v>240.81590204526415</v>
      </c>
      <c r="AB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20.562600772313726</v>
      </c>
      <c r="AD9" s="145">
        <v>8</v>
      </c>
      <c r="AE9" s="145" t="str">
        <f>IFERROR(INDEX(TableWRCalcPts[PLAYER],MATCH(TableWRRanks32[[#This Row],[RK]],TableWRCalcPts[RK],0)),"")</f>
        <v>CeeDee Lamb</v>
      </c>
      <c r="AF9" s="145" t="str">
        <f>IFERROR(INDEX(TableWRCalcPts[TM],MATCH(TableWRRanks32[[#This Row],[Player]],TableWRCalcPts[PLAYER],0)),"")</f>
        <v>DAL</v>
      </c>
      <c r="AG9" s="145">
        <f>IFERROR(INDEX(TableWRCalcPts[BYE],MATCH(TableWRRanks32[[#This Row],[Player]],TableWRCalcPts[PLAYER],0)),"")</f>
        <v>14</v>
      </c>
      <c r="AH9" s="146">
        <f>IFERROR((VLOOKUP(TableWRRanks32[[#This Row],[Player]],WR!B:O,4,FALSE)),"")</f>
        <v>0</v>
      </c>
      <c r="AI9" s="146">
        <f>IFERROR((VLOOKUP(TableWRRanks32[[#This Row],[Player]],WR!B:O,5,FALSE)),"")</f>
        <v>0</v>
      </c>
      <c r="AJ9" s="146">
        <f>IFERROR((VLOOKUP(TableWRRanks32[[#This Row],[Player]],WR!B:O,6,FALSE)),"")</f>
        <v>154.30750719999998</v>
      </c>
      <c r="AK9" s="146">
        <f>IFERROR((VLOOKUP(TableWRRanks32[[#This Row],[Player]],WR!B:O,7,FALSE)),"")</f>
        <v>97.522344550399978</v>
      </c>
      <c r="AL9" s="146">
        <f>IFERROR((VLOOKUP(TableWRRanks32[[#This Row],[Player]],WR!B:O,8,FALSE)),"")</f>
        <v>1311.8247996280857</v>
      </c>
      <c r="AM9" s="146">
        <f>IFERROR((VLOOKUP(TableWRRanks32[[#This Row],[Player]],WR!B:O,9,FALSE)),"")</f>
        <v>7.2166534967295979</v>
      </c>
      <c r="AN9" s="147">
        <f>IFERROR((IFERROR(INDEX(TableWRCalcPts[Custom],MATCH(TableWRRanks32[[#This Row],[RK]],TableWRCalcPts[RK],0)),"")),"")</f>
        <v>223.24357321838613</v>
      </c>
      <c r="AO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24.980168882216418</v>
      </c>
      <c r="AQ9" s="145">
        <v>8</v>
      </c>
      <c r="AR9" s="145" t="str">
        <f>IFERROR(INDEX(TableTECalcPts[PLAYER],MATCH(TableTERanks33[[#This Row],[RK]],TableTECalcPts[RK],0)),"")</f>
        <v>Tucker Kraft</v>
      </c>
      <c r="AS9" s="145" t="str">
        <f>IFERROR(INDEX(TableTECalcPts[TM],MATCH(TableTERanks33[[#This Row],[Player]],TableTECalcPts[PLAYER],0)),"")</f>
        <v>GB</v>
      </c>
      <c r="AT9" s="145">
        <f>IFERROR(INDEX(TableTECalcPts[BYE],MATCH(TableTERanks33[[#This Row],[Player]],TableTECalcPts[PLAYER],0)),"")</f>
        <v>11</v>
      </c>
      <c r="AU9" s="146">
        <f>IFERROR((VLOOKUP(TableTERanks33[[#This Row],[Player]],TE!B:O,4,FALSE)),"")</f>
        <v>92.354636623115567</v>
      </c>
      <c r="AV9" s="146">
        <f>IFERROR((VLOOKUP(TableTERanks33[[#This Row],[Player]],TE!B:O,5,FALSE)),"")</f>
        <v>66.144135726810134</v>
      </c>
      <c r="AW9" s="146">
        <f>IFERROR((VLOOKUP(TableTERanks33[[#This Row],[Player]],TE!B:O,6,FALSE)),"")</f>
        <v>815.55719351156893</v>
      </c>
      <c r="AX9" s="146">
        <f>IFERROR((VLOOKUP(TableTERanks33[[#This Row],[Player]],TE!B:O,7,FALSE)),"")</f>
        <v>6.4159811655005834</v>
      </c>
      <c r="AY9" s="147">
        <f>IFERROR((IFERROR(INDEX(TableTECalcPts[Custom],MATCH(TableTERanks33[[#This Row],[RK]],TableTECalcPts[RK],0)),"")),"")</f>
        <v>153.12367420756547</v>
      </c>
      <c r="AZ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14.135556617855913</v>
      </c>
      <c r="BA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14.135556617855913</v>
      </c>
    </row>
    <row r="10" spans="1:53" x14ac:dyDescent="0.25">
      <c r="A10" s="145">
        <v>9</v>
      </c>
      <c r="B10" s="145" t="str">
        <f>IFERROR(INDEX(TableQBCalcPts[PLAYER],MATCH(TableQBRanks30[[#This Row],[RK]],TableQBCalcPts[RK],0)),"")</f>
        <v>Matthew Stafford</v>
      </c>
      <c r="C10" s="145" t="str">
        <f>IFERROR(INDEX(TableQBCalcPts[TM],MATCH(TableQBRanks30[[#This Row],[Player]],TableQBCalcPts[PLAYER],0)),"")</f>
        <v>LAR</v>
      </c>
      <c r="D10" s="145">
        <f>IFERROR(INDEX(TableQBCalcPts[BYE],MATCH(TableQBRanks30[[#This Row],[Player]],TableQBCalcPts[PLAYER],0)),"")</f>
        <v>11</v>
      </c>
      <c r="E10" s="146">
        <f>IFERROR((VLOOKUP(TableQBRanks30[[#This Row],[Player]],QB!B:O,4,FALSE)),"")</f>
        <v>571.03200000000004</v>
      </c>
      <c r="F10" s="146">
        <f>IFERROR((VLOOKUP(TableQBRanks30[[#This Row],[Player]],QB!B:O,5,FALSE)),"")</f>
        <v>371.74183200000004</v>
      </c>
      <c r="G10" s="146">
        <f>IFERROR((VLOOKUP(TableQBRanks30[[#This Row],[Player]],QB!B:O,6,FALSE)),"")</f>
        <v>4323.3575061600004</v>
      </c>
      <c r="H10" s="146">
        <f>IFERROR((VLOOKUP(TableQBRanks30[[#This Row],[Player]],QB!B:O,7,FALSE)),"")</f>
        <v>34.571990376000002</v>
      </c>
      <c r="I10" s="146">
        <f>IFERROR((VLOOKUP(TableQBRanks30[[#This Row],[Player]],QB!B:O,8,FALSE)),"")</f>
        <v>9.7587304586020061</v>
      </c>
      <c r="J10" s="146">
        <f>IFERROR((VLOOKUP(TableQBRanks30[[#This Row],[Player]],QB!B:O,9,FALSE)),"")</f>
        <v>24.427479999999996</v>
      </c>
      <c r="K10" s="146">
        <f>IFERROR((VLOOKUP(TableQBRanks30[[#This Row],[Player]],QB!B:O,10,FALSE)),"")</f>
        <v>31.922274999999996</v>
      </c>
      <c r="L10" s="146">
        <f>IFERROR((VLOOKUP(TableQBRanks30[[#This Row],[Player]],QB!B:O,11,FALSE)),"")</f>
        <v>0.6014341666666666</v>
      </c>
      <c r="M10" s="147">
        <f>IFERROR(INDEX(TableQBCalcPts[Custom],MATCH(TableQBRanks30[[#This Row],[RK]],TableQBCalcPts[RK],0)),"")</f>
        <v>414.58252774379804</v>
      </c>
      <c r="N1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23.277172890013631</v>
      </c>
      <c r="P10" s="58">
        <v>9</v>
      </c>
      <c r="Q10" s="58" t="str">
        <f>IFERROR(INDEX(TableRBCalcPts[PLAYER],MATCH(TableRBRanks31[[#This Row],[RK]],TableRBCalcPts[RK],0)),"")</f>
        <v>Saquon Barkley</v>
      </c>
      <c r="R10" s="58" t="str">
        <f>IFERROR(INDEX(TableRBCalcPts[TM],MATCH(TableRBRanks31[[#This Row],[Player]],TableRBCalcPts[PLAYER],0)),"")</f>
        <v>PHI</v>
      </c>
      <c r="S10" s="58">
        <f>IFERROR(INDEX(TableRBCalcPts[BYE],MATCH(TableRBRanks31[[#This Row],[Player]],TableRBCalcPts[PLAYER],0)),"")</f>
        <v>10</v>
      </c>
      <c r="T10" s="100">
        <f>IFERROR((VLOOKUP(TableRBRanks31[[#This Row],[Player]],RB!B:O,4,FALSE)),"")</f>
        <v>308.61065928000005</v>
      </c>
      <c r="U10" s="100">
        <f>IFERROR((VLOOKUP(TableRBRanks31[[#This Row],[Player]],RB!B:O,5,FALSE)),"")</f>
        <v>1320.8536217184003</v>
      </c>
      <c r="V10" s="100">
        <f>IFERROR((VLOOKUP(TableRBRanks31[[#This Row],[Player]],RB!B:O,6,FALSE)),"")</f>
        <v>9.2583197784000006</v>
      </c>
      <c r="W10" s="100">
        <f>IFERROR((VLOOKUP(TableRBRanks31[[#This Row],[Player]],RB!B:O,7,FALSE)),"")</f>
        <v>44.188858559999993</v>
      </c>
      <c r="X10" s="100">
        <f>IFERROR((VLOOKUP(TableRBRanks31[[#This Row],[Player]],RB!B:O,8,FALSE)),"")</f>
        <v>29.923019353693945</v>
      </c>
      <c r="Y10" s="100">
        <f>IFERROR((VLOOKUP(TableRBRanks31[[#This Row],[Player]],RB!B:O,9,FALSE)),"")</f>
        <v>221.13111302379824</v>
      </c>
      <c r="Z10" s="100">
        <f>IFERROR((VLOOKUP(TableRBRanks31[[#This Row],[Player]],RB!B:O,10,FALSE)),"")</f>
        <v>1.5559970063920852</v>
      </c>
      <c r="AA10" s="95">
        <f>IFERROR((IFERROR(INDEX(TableRBCalcPts[Custom],MATCH(TableRBRanks31[[#This Row],[RK]],TableRBCalcPts[RK],0)),"")),"")</f>
        <v>234.04588385981933</v>
      </c>
      <c r="AB1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19.545049771992719</v>
      </c>
      <c r="AD10" s="145">
        <v>9</v>
      </c>
      <c r="AE10" s="145" t="str">
        <f>IFERROR(INDEX(TableWRCalcPts[PLAYER],MATCH(TableWRRanks32[[#This Row],[RK]],TableWRCalcPts[RK],0)),"")</f>
        <v>A.J. Brown</v>
      </c>
      <c r="AF10" s="145" t="str">
        <f>IFERROR(INDEX(TableWRCalcPts[TM],MATCH(TableWRRanks32[[#This Row],[Player]],TableWRCalcPts[PLAYER],0)),"")</f>
        <v>NE</v>
      </c>
      <c r="AG10" s="145">
        <f>IFERROR(INDEX(TableWRCalcPts[BYE],MATCH(TableWRRanks32[[#This Row],[Player]],TableWRCalcPts[PLAYER],0)),"")</f>
        <v>11</v>
      </c>
      <c r="AH10" s="146">
        <f>IFERROR((VLOOKUP(TableWRRanks32[[#This Row],[Player]],WR!B:O,4,FALSE)),"")</f>
        <v>0</v>
      </c>
      <c r="AI10" s="146">
        <f>IFERROR((VLOOKUP(TableWRRanks32[[#This Row],[Player]],WR!B:O,5,FALSE)),"")</f>
        <v>0</v>
      </c>
      <c r="AJ10" s="146">
        <f>IFERROR((VLOOKUP(TableWRRanks32[[#This Row],[Player]],WR!B:O,6,FALSE)),"")</f>
        <v>134.16343079999993</v>
      </c>
      <c r="AK10" s="146">
        <f>IFERROR((VLOOKUP(TableWRRanks32[[#This Row],[Player]],WR!B:O,7,FALSE)),"")</f>
        <v>85.462105419599951</v>
      </c>
      <c r="AL10" s="146">
        <f>IFERROR((VLOOKUP(TableWRRanks32[[#This Row],[Player]],WR!B:O,8,FALSE)),"")</f>
        <v>1244.3282549093753</v>
      </c>
      <c r="AM10" s="146">
        <f>IFERROR((VLOOKUP(TableWRRanks32[[#This Row],[Player]],WR!B:O,9,FALSE)),"")</f>
        <v>8.9735210690579947</v>
      </c>
      <c r="AN10" s="147">
        <f>IFERROR((IFERROR(INDEX(TableWRCalcPts[Custom],MATCH(TableWRRanks32[[#This Row],[RK]],TableWRCalcPts[RK],0)),"")),"")</f>
        <v>221.00500461508548</v>
      </c>
      <c r="AO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24.559590668986313</v>
      </c>
      <c r="AQ10" s="145">
        <v>9</v>
      </c>
      <c r="AR10" s="145" t="str">
        <f>IFERROR(INDEX(TableTECalcPts[PLAYER],MATCH(TableTERanks33[[#This Row],[RK]],TableTECalcPts[RK],0)),"")</f>
        <v>Isaiah Likely</v>
      </c>
      <c r="AS10" s="145" t="str">
        <f>IFERROR(INDEX(TableTECalcPts[TM],MATCH(TableTERanks33[[#This Row],[Player]],TableTECalcPts[PLAYER],0)),"")</f>
        <v>NYG</v>
      </c>
      <c r="AT10" s="145">
        <f>IFERROR(INDEX(TableTECalcPts[BYE],MATCH(TableTERanks33[[#This Row],[Player]],TableTECalcPts[PLAYER],0)),"")</f>
        <v>8</v>
      </c>
      <c r="AU10" s="146">
        <f>IFERROR((VLOOKUP(TableTERanks33[[#This Row],[Player]],TE!B:O,4,FALSE)),"")</f>
        <v>99.378182820000006</v>
      </c>
      <c r="AV10" s="146">
        <f>IFERROR((VLOOKUP(TableTERanks33[[#This Row],[Player]],TE!B:O,5,FALSE)),"")</f>
        <v>72.033140364044769</v>
      </c>
      <c r="AW10" s="146">
        <f>IFERROR((VLOOKUP(TableTERanks33[[#This Row],[Player]],TE!B:O,6,FALSE)),"")</f>
        <v>787.32222417900925</v>
      </c>
      <c r="AX10" s="146">
        <f>IFERROR((VLOOKUP(TableTERanks33[[#This Row],[Player]],TE!B:O,7,FALSE)),"")</f>
        <v>5.6906180887595372</v>
      </c>
      <c r="AY10" s="147">
        <f>IFERROR((IFERROR(INDEX(TableTECalcPts[Custom],MATCH(TableTERanks33[[#This Row],[RK]],TableTECalcPts[RK],0)),"")),"")</f>
        <v>148.89250113248056</v>
      </c>
      <c r="AZ1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13.340611486774064</v>
      </c>
      <c r="BA1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13.340611486774064</v>
      </c>
    </row>
    <row r="11" spans="1:53" x14ac:dyDescent="0.25">
      <c r="A11" s="145">
        <v>10</v>
      </c>
      <c r="B11" s="145" t="str">
        <f>IFERROR(INDEX(TableQBCalcPts[PLAYER],MATCH(TableQBRanks30[[#This Row],[RK]],TableQBCalcPts[RK],0)),"")</f>
        <v>Jalen Hurts</v>
      </c>
      <c r="C11" s="145" t="str">
        <f>IFERROR(INDEX(TableQBCalcPts[TM],MATCH(TableQBRanks30[[#This Row],[Player]],TableQBCalcPts[PLAYER],0)),"")</f>
        <v>PHI</v>
      </c>
      <c r="D11" s="145">
        <f>IFERROR(INDEX(TableQBCalcPts[BYE],MATCH(TableQBRanks30[[#This Row],[Player]],TableQBCalcPts[PLAYER],0)),"")</f>
        <v>10</v>
      </c>
      <c r="E11" s="146">
        <f>IFERROR((VLOOKUP(TableQBRanks30[[#This Row],[Player]],QB!B:O,4,FALSE)),"")</f>
        <v>480.31367999999998</v>
      </c>
      <c r="F11" s="146">
        <f>IFERROR((VLOOKUP(TableQBRanks30[[#This Row],[Player]],QB!B:O,5,FALSE)),"")</f>
        <v>315.3586330461053</v>
      </c>
      <c r="G11" s="146">
        <f>IFERROR((VLOOKUP(TableQBRanks30[[#This Row],[Player]],QB!B:O,6,FALSE)),"")</f>
        <v>3538.3238627773017</v>
      </c>
      <c r="H11" s="146">
        <f>IFERROR((VLOOKUP(TableQBRanks30[[#This Row],[Player]],QB!B:O,7,FALSE)),"")</f>
        <v>24.913332010642318</v>
      </c>
      <c r="I11" s="146">
        <f>IFERROR((VLOOKUP(TableQBRanks30[[#This Row],[Player]],QB!B:O,8,FALSE)),"")</f>
        <v>8.0550783346701191</v>
      </c>
      <c r="J11" s="146">
        <f>IFERROR((VLOOKUP(TableQBRanks30[[#This Row],[Player]],QB!B:O,9,FALSE)),"")</f>
        <v>108.73328928000001</v>
      </c>
      <c r="K11" s="146">
        <f>IFERROR((VLOOKUP(TableQBRanks30[[#This Row],[Player]],QB!B:O,10,FALSE)),"")</f>
        <v>444.46017109093691</v>
      </c>
      <c r="L11" s="146">
        <f>IFERROR((VLOOKUP(TableQBRanks30[[#This Row],[Player]],QB!B:O,11,FALSE)),"")</f>
        <v>8.8073964316800009</v>
      </c>
      <c r="M11" s="147">
        <f>IFERROR(INDEX(TableQBCalcPts[Custom],MATCH(TableQBRanks30[[#This Row],[RK]],TableQBCalcPts[RK],0)),"")</f>
        <v>411.78412724406013</v>
      </c>
      <c r="N1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22.694225670429237</v>
      </c>
      <c r="P11" s="58">
        <v>10</v>
      </c>
      <c r="Q11" s="58" t="str">
        <f>IFERROR(INDEX(TableRBCalcPts[PLAYER],MATCH(TableRBRanks31[[#This Row],[RK]],TableRBCalcPts[RK],0)),"")</f>
        <v>Kenneth Walker</v>
      </c>
      <c r="R11" s="58" t="str">
        <f>IFERROR(INDEX(TableRBCalcPts[TM],MATCH(TableRBRanks31[[#This Row],[Player]],TableRBCalcPts[PLAYER],0)),"")</f>
        <v>KC</v>
      </c>
      <c r="S11" s="58">
        <f>IFERROR(INDEX(TableRBCalcPts[BYE],MATCH(TableRBRanks31[[#This Row],[Player]],TableRBCalcPts[PLAYER],0)),"")</f>
        <v>5</v>
      </c>
      <c r="T11" s="100">
        <f>IFERROR((VLOOKUP(TableRBRanks31[[#This Row],[Player]],RB!B:O,4,FALSE)),"")</f>
        <v>263.54079150000001</v>
      </c>
      <c r="U11" s="100">
        <f>IFERROR((VLOOKUP(TableRBRanks31[[#This Row],[Player]],RB!B:O,5,FALSE)),"")</f>
        <v>1131.4315892972611</v>
      </c>
      <c r="V11" s="100">
        <f>IFERROR((VLOOKUP(TableRBRanks31[[#This Row],[Player]],RB!B:O,6,FALSE)),"")</f>
        <v>9.223927702500001</v>
      </c>
      <c r="W11" s="100">
        <f>IFERROR((VLOOKUP(TableRBRanks31[[#This Row],[Player]],RB!B:O,7,FALSE)),"")</f>
        <v>53.278361499999995</v>
      </c>
      <c r="X11" s="100">
        <f>IFERROR((VLOOKUP(TableRBRanks31[[#This Row],[Player]],RB!B:O,8,FALSE)),"")</f>
        <v>40.118606209499994</v>
      </c>
      <c r="Y11" s="100">
        <f>IFERROR((VLOOKUP(TableRBRanks31[[#This Row],[Player]],RB!B:O,9,FALSE)),"")</f>
        <v>323.7802601893066</v>
      </c>
      <c r="Z11" s="100">
        <f>IFERROR((VLOOKUP(TableRBRanks31[[#This Row],[Player]],RB!B:O,10,FALSE)),"")</f>
        <v>2.0460489166844997</v>
      </c>
      <c r="AA11" s="95">
        <f>IFERROR((IFERROR(INDEX(TableRBCalcPts[Custom],MATCH(TableRBRanks31[[#This Row],[RK]],TableRBCalcPts[RK],0)),"")),"")</f>
        <v>233.20034776851375</v>
      </c>
      <c r="AB1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19.417963540915046</v>
      </c>
      <c r="AD11" s="145">
        <v>10</v>
      </c>
      <c r="AE11" s="145" t="str">
        <f>IFERROR(INDEX(TableWRCalcPts[PLAYER],MATCH(TableWRRanks32[[#This Row],[RK]],TableWRCalcPts[RK],0)),"")</f>
        <v>Nico Collins</v>
      </c>
      <c r="AF11" s="145" t="str">
        <f>IFERROR(INDEX(TableWRCalcPts[TM],MATCH(TableWRRanks32[[#This Row],[Player]],TableWRCalcPts[PLAYER],0)),"")</f>
        <v>HOU</v>
      </c>
      <c r="AG11" s="145">
        <f>IFERROR(INDEX(TableWRCalcPts[BYE],MATCH(TableWRRanks32[[#This Row],[Player]],TableWRCalcPts[PLAYER],0)),"")</f>
        <v>8</v>
      </c>
      <c r="AH11" s="146">
        <f>IFERROR((VLOOKUP(TableWRRanks32[[#This Row],[Player]],WR!B:O,4,FALSE)),"")</f>
        <v>0</v>
      </c>
      <c r="AI11" s="146">
        <f>IFERROR((VLOOKUP(TableWRRanks32[[#This Row],[Player]],WR!B:O,5,FALSE)),"")</f>
        <v>0</v>
      </c>
      <c r="AJ11" s="146">
        <f>IFERROR((VLOOKUP(TableWRRanks32[[#This Row],[Player]],WR!B:O,6,FALSE)),"")</f>
        <v>144.36713591999998</v>
      </c>
      <c r="AK11" s="146">
        <f>IFERROR((VLOOKUP(TableWRRanks32[[#This Row],[Player]],WR!B:O,7,FALSE)),"")</f>
        <v>86.447767364422631</v>
      </c>
      <c r="AL11" s="146">
        <f>IFERROR((VLOOKUP(TableWRRanks32[[#This Row],[Player]],WR!B:O,8,FALSE)),"")</f>
        <v>1272.5111356043012</v>
      </c>
      <c r="AM11" s="146">
        <f>IFERROR((VLOOKUP(TableWRRanks32[[#This Row],[Player]],WR!B:O,9,FALSE)),"")</f>
        <v>7.0022691565182331</v>
      </c>
      <c r="AN11" s="147">
        <f>IFERROR((IFERROR(INDEX(TableWRCalcPts[Custom],MATCH(TableWRRanks32[[#This Row],[RK]],TableWRCalcPts[RK],0)),"")),"")</f>
        <v>212.48861218175085</v>
      </c>
      <c r="AO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22.959546289065543</v>
      </c>
      <c r="AQ11" s="145">
        <v>10</v>
      </c>
      <c r="AR11" s="145" t="str">
        <f>IFERROR(INDEX(TableTECalcPts[PLAYER],MATCH(TableTERanks33[[#This Row],[RK]],TableTECalcPts[RK],0)),"")</f>
        <v>Travis Kelce</v>
      </c>
      <c r="AS11" s="145" t="str">
        <f>IFERROR(INDEX(TableTECalcPts[TM],MATCH(TableTERanks33[[#This Row],[Player]],TableTECalcPts[PLAYER],0)),"")</f>
        <v>KC</v>
      </c>
      <c r="AT11" s="145">
        <f>IFERROR(INDEX(TableTECalcPts[BYE],MATCH(TableTERanks33[[#This Row],[Player]],TableTECalcPts[PLAYER],0)),"")</f>
        <v>5</v>
      </c>
      <c r="AU11" s="146">
        <f>IFERROR((VLOOKUP(TableTERanks33[[#This Row],[Player]],TE!B:O,4,FALSE)),"")</f>
        <v>106.55672299999999</v>
      </c>
      <c r="AV11" s="146">
        <f>IFERROR((VLOOKUP(TableTERanks33[[#This Row],[Player]],TE!B:O,5,FALSE)),"")</f>
        <v>73.630695592999984</v>
      </c>
      <c r="AW11" s="146">
        <f>IFERROR((VLOOKUP(TableTERanks33[[#This Row],[Player]],TE!B:O,6,FALSE)),"")</f>
        <v>781.9579871976598</v>
      </c>
      <c r="AX11" s="146">
        <f>IFERROR((VLOOKUP(TableTERanks33[[#This Row],[Player]],TE!B:O,7,FALSE)),"")</f>
        <v>5.4486714738819986</v>
      </c>
      <c r="AY11" s="147">
        <f>IFERROR((IFERROR(INDEX(TableTECalcPts[Custom],MATCH(TableTERanks33[[#This Row],[RK]],TableTECalcPts[RK],0)),"")),"")</f>
        <v>147.70317535955797</v>
      </c>
      <c r="AZ1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13.117163115441251</v>
      </c>
      <c r="BA1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13.117163115441251</v>
      </c>
    </row>
    <row r="12" spans="1:53" x14ac:dyDescent="0.25">
      <c r="A12" s="145">
        <v>11</v>
      </c>
      <c r="B12" s="145" t="str">
        <f>IFERROR(INDEX(TableQBCalcPts[PLAYER],MATCH(TableQBRanks30[[#This Row],[RK]],TableQBCalcPts[RK],0)),"")</f>
        <v>Trevor Lawrence</v>
      </c>
      <c r="C12" s="145" t="str">
        <f>IFERROR(INDEX(TableQBCalcPts[TM],MATCH(TableQBRanks30[[#This Row],[Player]],TableQBCalcPts[PLAYER],0)),"")</f>
        <v>JAX</v>
      </c>
      <c r="D12" s="145">
        <f>IFERROR(INDEX(TableQBCalcPts[BYE],MATCH(TableQBRanks30[[#This Row],[Player]],TableQBCalcPts[PLAYER],0)),"")</f>
        <v>7</v>
      </c>
      <c r="E12" s="146">
        <f>IFERROR((VLOOKUP(TableQBRanks30[[#This Row],[Player]],QB!B:O,4,FALSE)),"")</f>
        <v>565.38405</v>
      </c>
      <c r="F12" s="146">
        <f>IFERROR((VLOOKUP(TableQBRanks30[[#This Row],[Player]],QB!B:O,5,FALSE)),"")</f>
        <v>348.84195884999997</v>
      </c>
      <c r="G12" s="146">
        <f>IFERROR((VLOOKUP(TableQBRanks30[[#This Row],[Player]],QB!B:O,6,FALSE)),"")</f>
        <v>4018.6593659519995</v>
      </c>
      <c r="H12" s="146">
        <f>IFERROR((VLOOKUP(TableQBRanks30[[#This Row],[Player]],QB!B:O,7,FALSE)),"")</f>
        <v>26.17068504618894</v>
      </c>
      <c r="I12" s="146">
        <f>IFERROR((VLOOKUP(TableQBRanks30[[#This Row],[Player]],QB!B:O,8,FALSE)),"")</f>
        <v>13.253447540661002</v>
      </c>
      <c r="J12" s="146">
        <f>IFERROR((VLOOKUP(TableQBRanks30[[#This Row],[Player]],QB!B:O,9,FALSE)),"")</f>
        <v>74.940732299999993</v>
      </c>
      <c r="K12" s="146">
        <f>IFERROR((VLOOKUP(TableQBRanks30[[#This Row],[Player]],QB!B:O,10,FALSE)),"")</f>
        <v>337.36719955313924</v>
      </c>
      <c r="L12" s="146">
        <f>IFERROR((VLOOKUP(TableQBRanks30[[#This Row],[Player]],QB!B:O,11,FALSE)),"")</f>
        <v>6.0402230233800003</v>
      </c>
      <c r="M12" s="147">
        <f>IFERROR(INDEX(TableQBCalcPts[Custom],MATCH(TableQBRanks30[[#This Row],[RK]],TableQBCalcPts[RK],0)),"")</f>
        <v>409.37929135514651</v>
      </c>
      <c r="N1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22.23405575955822</v>
      </c>
      <c r="P12" s="58">
        <v>11</v>
      </c>
      <c r="Q12" s="58" t="str">
        <f>IFERROR(INDEX(TableRBCalcPts[PLAYER],MATCH(TableRBRanks31[[#This Row],[RK]],TableRBCalcPts[RK],0)),"")</f>
        <v>Omarion Hampton</v>
      </c>
      <c r="R12" s="58" t="str">
        <f>IFERROR(INDEX(TableRBCalcPts[TM],MATCH(TableRBRanks31[[#This Row],[Player]],TableRBCalcPts[PLAYER],0)),"")</f>
        <v>LAC</v>
      </c>
      <c r="S12" s="58">
        <f>IFERROR(INDEX(TableRBCalcPts[BYE],MATCH(TableRBRanks31[[#This Row],[Player]],TableRBCalcPts[PLAYER],0)),"")</f>
        <v>7</v>
      </c>
      <c r="T12" s="100">
        <f>IFERROR((VLOOKUP(TableRBRanks31[[#This Row],[Player]],RB!B:O,4,FALSE)),"")</f>
        <v>245.76099547999996</v>
      </c>
      <c r="U12" s="100">
        <f>IFERROR((VLOOKUP(TableRBRanks31[[#This Row],[Player]],RB!B:O,5,FALSE)),"")</f>
        <v>1059.2298905187997</v>
      </c>
      <c r="V12" s="100">
        <f>IFERROR((VLOOKUP(TableRBRanks31[[#This Row],[Player]],RB!B:O,6,FALSE)),"")</f>
        <v>9.3401261782654164</v>
      </c>
      <c r="W12" s="100">
        <f>IFERROR((VLOOKUP(TableRBRanks31[[#This Row],[Player]],RB!B:O,7,FALSE)),"")</f>
        <v>60.081101079999996</v>
      </c>
      <c r="X12" s="100">
        <f>IFERROR((VLOOKUP(TableRBRanks31[[#This Row],[Player]],RB!B:O,8,FALSE)),"")</f>
        <v>50.502220518281199</v>
      </c>
      <c r="Y12" s="100">
        <f>IFERROR((VLOOKUP(TableRBRanks31[[#This Row],[Player]],RB!B:O,9,FALSE)),"")</f>
        <v>354.52558803833398</v>
      </c>
      <c r="Z12" s="100">
        <f>IFERROR((VLOOKUP(TableRBRanks31[[#This Row],[Player]],RB!B:O,10,FALSE)),"")</f>
        <v>1.7349038609381815</v>
      </c>
      <c r="AA12" s="95">
        <f>IFERROR((IFERROR(INDEX(TableRBCalcPts[Custom],MATCH(TableRBRanks31[[#This Row],[RK]],TableRBCalcPts[RK],0)),"")),"")</f>
        <v>233.07683835007555</v>
      </c>
      <c r="AB1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19.399399760310867</v>
      </c>
      <c r="AD12" s="145">
        <v>11</v>
      </c>
      <c r="AE12" s="145" t="str">
        <f>IFERROR(INDEX(TableWRCalcPts[PLAYER],MATCH(TableWRRanks32[[#This Row],[RK]],TableWRCalcPts[RK],0)),"")</f>
        <v>Tee Higgins</v>
      </c>
      <c r="AF12" s="145" t="str">
        <f>IFERROR(INDEX(TableWRCalcPts[TM],MATCH(TableWRRanks32[[#This Row],[Player]],TableWRCalcPts[PLAYER],0)),"")</f>
        <v>CIN</v>
      </c>
      <c r="AG12" s="145">
        <f>IFERROR(INDEX(TableWRCalcPts[BYE],MATCH(TableWRRanks32[[#This Row],[Player]],TableWRCalcPts[PLAYER],0)),"")</f>
        <v>6</v>
      </c>
      <c r="AH12" s="146">
        <f>IFERROR((VLOOKUP(TableWRRanks32[[#This Row],[Player]],WR!B:O,4,FALSE)),"")</f>
        <v>0</v>
      </c>
      <c r="AI12" s="146">
        <f>IFERROR((VLOOKUP(TableWRRanks32[[#This Row],[Player]],WR!B:O,5,FALSE)),"")</f>
        <v>0</v>
      </c>
      <c r="AJ12" s="146">
        <f>IFERROR((VLOOKUP(TableWRRanks32[[#This Row],[Player]],WR!B:O,6,FALSE)),"")</f>
        <v>128.44063750000001</v>
      </c>
      <c r="AK12" s="146">
        <f>IFERROR((VLOOKUP(TableWRRanks32[[#This Row],[Player]],WR!B:O,7,FALSE)),"")</f>
        <v>80.556362332031256</v>
      </c>
      <c r="AL12" s="146">
        <f>IFERROR((VLOOKUP(TableWRRanks32[[#This Row],[Player]],WR!B:O,8,FALSE)),"")</f>
        <v>1081.7836240677084</v>
      </c>
      <c r="AM12" s="146">
        <f>IFERROR((VLOOKUP(TableWRRanks32[[#This Row],[Player]],WR!B:O,9,FALSE)),"")</f>
        <v>10.311214378500001</v>
      </c>
      <c r="AN12" s="147">
        <f>IFERROR((IFERROR(INDEX(TableWRCalcPts[Custom],MATCH(TableWRRanks32[[#This Row],[RK]],TableWRCalcPts[RK],0)),"")),"")</f>
        <v>210.32382984378648</v>
      </c>
      <c r="AO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22.552830905676924</v>
      </c>
      <c r="AQ12" s="145">
        <v>11</v>
      </c>
      <c r="AR12" s="145" t="str">
        <f>IFERROR(INDEX(TableTECalcPts[PLAYER],MATCH(TableTERanks33[[#This Row],[RK]],TableTECalcPts[RK],0)),"")</f>
        <v>Kyle Pitts</v>
      </c>
      <c r="AS12" s="145" t="str">
        <f>IFERROR(INDEX(TableTECalcPts[TM],MATCH(TableTERanks33[[#This Row],[Player]],TableTECalcPts[PLAYER],0)),"")</f>
        <v>ATL</v>
      </c>
      <c r="AT12" s="145">
        <f>IFERROR(INDEX(TableTECalcPts[BYE],MATCH(TableTERanks33[[#This Row],[Player]],TableTECalcPts[PLAYER],0)),"")</f>
        <v>11</v>
      </c>
      <c r="AU12" s="146">
        <f>IFERROR((VLOOKUP(TableTERanks33[[#This Row],[Player]],TE!B:O,4,FALSE)),"")</f>
        <v>108.42251756000002</v>
      </c>
      <c r="AV12" s="146">
        <f>IFERROR((VLOOKUP(TableTERanks33[[#This Row],[Player]],TE!B:O,5,FALSE)),"")</f>
        <v>73.503679893626185</v>
      </c>
      <c r="AW12" s="146">
        <f>IFERROR((VLOOKUP(TableTERanks33[[#This Row],[Player]],TE!B:O,6,FALSE)),"")</f>
        <v>806.69339349943709</v>
      </c>
      <c r="AX12" s="146">
        <f>IFERROR((VLOOKUP(TableTERanks33[[#This Row],[Player]],TE!B:O,7,FALSE)),"")</f>
        <v>3.9691987142558141</v>
      </c>
      <c r="AY12" s="147">
        <f>IFERROR((IFERROR(INDEX(TableTECalcPts[Custom],MATCH(TableTERanks33[[#This Row],[RK]],TableTECalcPts[RK],0)),"")),"")</f>
        <v>141.2363715822917</v>
      </c>
      <c r="AZ1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11.902191738668538</v>
      </c>
      <c r="BA1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11.902191738668538</v>
      </c>
    </row>
    <row r="13" spans="1:53" x14ac:dyDescent="0.25">
      <c r="A13" s="145">
        <v>12</v>
      </c>
      <c r="B13" s="145" t="str">
        <f>IFERROR(INDEX(TableQBCalcPts[PLAYER],MATCH(TableQBRanks30[[#This Row],[RK]],TableQBCalcPts[RK],0)),"")</f>
        <v>Caleb Williams</v>
      </c>
      <c r="C13" s="145" t="str">
        <f>IFERROR(INDEX(TableQBCalcPts[TM],MATCH(TableQBRanks30[[#This Row],[Player]],TableQBCalcPts[PLAYER],0)),"")</f>
        <v>CHI</v>
      </c>
      <c r="D13" s="145">
        <f>IFERROR(INDEX(TableQBCalcPts[BYE],MATCH(TableQBRanks30[[#This Row],[Player]],TableQBCalcPts[PLAYER],0)),"")</f>
        <v>10</v>
      </c>
      <c r="E13" s="146">
        <f>IFERROR((VLOOKUP(TableQBRanks30[[#This Row],[Player]],QB!B:O,4,FALSE)),"")</f>
        <v>563.9351200000001</v>
      </c>
      <c r="F13" s="146">
        <f>IFERROR((VLOOKUP(TableQBRanks30[[#This Row],[Player]],QB!B:O,5,FALSE)),"")</f>
        <v>342.87255296000006</v>
      </c>
      <c r="G13" s="146">
        <f>IFERROR((VLOOKUP(TableQBRanks30[[#This Row],[Player]],QB!B:O,6,FALSE)),"")</f>
        <v>4087.0408312832005</v>
      </c>
      <c r="H13" s="146">
        <f>IFERROR((VLOOKUP(TableQBRanks30[[#This Row],[Player]],QB!B:O,7,FALSE)),"")</f>
        <v>27.587748593545736</v>
      </c>
      <c r="I13" s="146">
        <f>IFERROR((VLOOKUP(TableQBRanks30[[#This Row],[Player]],QB!B:O,8,FALSE)),"")</f>
        <v>8.1560842475057171</v>
      </c>
      <c r="J13" s="146">
        <f>IFERROR((VLOOKUP(TableQBRanks30[[#This Row],[Player]],QB!B:O,9,FALSE)),"")</f>
        <v>67.718607599999984</v>
      </c>
      <c r="K13" s="146">
        <f>IFERROR((VLOOKUP(TableQBRanks30[[#This Row],[Player]],QB!B:O,10,FALSE)),"")</f>
        <v>346.77774832403907</v>
      </c>
      <c r="L13" s="146">
        <f>IFERROR((VLOOKUP(TableQBRanks30[[#This Row],[Player]],QB!B:O,11,FALSE)),"")</f>
        <v>2.7764629115999995</v>
      </c>
      <c r="M13" s="147">
        <f>IFERROR(INDEX(TableQBCalcPts[Custom],MATCH(TableQBRanks30[[#This Row],[RK]],TableQBCalcPts[RK],0)),"")</f>
        <v>406.47584816310064</v>
      </c>
      <c r="N1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21.687693246487889</v>
      </c>
      <c r="P13" s="58">
        <v>12</v>
      </c>
      <c r="Q13" s="58" t="str">
        <f>IFERROR(INDEX(TableRBCalcPts[PLAYER],MATCH(TableRBRanks31[[#This Row],[RK]],TableRBCalcPts[RK],0)),"")</f>
        <v>Ashton Jeanty</v>
      </c>
      <c r="R13" s="58" t="str">
        <f>IFERROR(INDEX(TableRBCalcPts[TM],MATCH(TableRBRanks31[[#This Row],[Player]],TableRBCalcPts[PLAYER],0)),"")</f>
        <v>LV</v>
      </c>
      <c r="S13" s="58">
        <f>IFERROR(INDEX(TableRBCalcPts[BYE],MATCH(TableRBRanks31[[#This Row],[Player]],TableRBCalcPts[PLAYER],0)),"")</f>
        <v>13</v>
      </c>
      <c r="T13" s="100">
        <f>IFERROR((VLOOKUP(TableRBRanks31[[#This Row],[Player]],RB!B:O,4,FALSE)),"")</f>
        <v>275.88197951999996</v>
      </c>
      <c r="U13" s="100">
        <f>IFERROR((VLOOKUP(TableRBRanks31[[#This Row],[Player]],RB!B:O,5,FALSE)),"")</f>
        <v>1144.910215008</v>
      </c>
      <c r="V13" s="100">
        <f>IFERROR((VLOOKUP(TableRBRanks31[[#This Row],[Player]],RB!B:O,6,FALSE)),"")</f>
        <v>7.772515406074942</v>
      </c>
      <c r="W13" s="100">
        <f>IFERROR((VLOOKUP(TableRBRanks31[[#This Row],[Player]],RB!B:O,7,FALSE)),"")</f>
        <v>71.303279039999993</v>
      </c>
      <c r="X13" s="100">
        <f>IFERROR((VLOOKUP(TableRBRanks31[[#This Row],[Player]],RB!B:O,8,FALSE)),"")</f>
        <v>50.482721560319995</v>
      </c>
      <c r="Y13" s="100">
        <f>IFERROR((VLOOKUP(TableRBRanks31[[#This Row],[Player]],RB!B:O,9,FALSE)),"")</f>
        <v>351.86456927543037</v>
      </c>
      <c r="Z13" s="100">
        <f>IFERROR((VLOOKUP(TableRBRanks31[[#This Row],[Player]],RB!B:O,10,FALSE)),"")</f>
        <v>1.9183434192921598</v>
      </c>
      <c r="AA13" s="95">
        <f>IFERROR((IFERROR(INDEX(TableRBCalcPts[Custom],MATCH(TableRBRanks31[[#This Row],[RK]],TableRBCalcPts[RK],0)),"")),"")</f>
        <v>233.06399216070568</v>
      </c>
      <c r="AB1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19.39746894528415</v>
      </c>
      <c r="AD13" s="145">
        <v>12</v>
      </c>
      <c r="AE13" s="145" t="str">
        <f>IFERROR(INDEX(TableWRCalcPts[PLAYER],MATCH(TableWRRanks32[[#This Row],[RK]],TableWRCalcPts[RK],0)),"")</f>
        <v>Tetairoa McMillan</v>
      </c>
      <c r="AF13" s="145" t="str">
        <f>IFERROR(INDEX(TableWRCalcPts[TM],MATCH(TableWRRanks32[[#This Row],[Player]],TableWRCalcPts[PLAYER],0)),"")</f>
        <v>CAR</v>
      </c>
      <c r="AG13" s="145">
        <f>IFERROR(INDEX(TableWRCalcPts[BYE],MATCH(TableWRRanks32[[#This Row],[Player]],TableWRCalcPts[PLAYER],0)),"")</f>
        <v>5</v>
      </c>
      <c r="AH13" s="146">
        <f>IFERROR((VLOOKUP(TableWRRanks32[[#This Row],[Player]],WR!B:O,4,FALSE)),"")</f>
        <v>0</v>
      </c>
      <c r="AI13" s="146">
        <f>IFERROR((VLOOKUP(TableWRRanks32[[#This Row],[Player]],WR!B:O,5,FALSE)),"")</f>
        <v>0</v>
      </c>
      <c r="AJ13" s="146">
        <f>IFERROR((VLOOKUP(TableWRRanks32[[#This Row],[Player]],WR!B:O,6,FALSE)),"")</f>
        <v>148.61523599999998</v>
      </c>
      <c r="AK13" s="146">
        <f>IFERROR((VLOOKUP(TableWRRanks32[[#This Row],[Player]],WR!B:O,7,FALSE)),"")</f>
        <v>84.666360677684196</v>
      </c>
      <c r="AL13" s="146">
        <f>IFERROR((VLOOKUP(TableWRRanks32[[#This Row],[Player]],WR!B:O,8,FALSE)),"")</f>
        <v>1213.2689485112146</v>
      </c>
      <c r="AM13" s="146">
        <f>IFERROR((VLOOKUP(TableWRRanks32[[#This Row],[Player]],WR!B:O,9,FALSE)),"")</f>
        <v>7.3659733789585244</v>
      </c>
      <c r="AN13" s="147">
        <f>IFERROR((IFERROR(INDEX(TableWRCalcPts[Custom],MATCH(TableWRRanks32[[#This Row],[RK]],TableWRCalcPts[RK],0)),"")),"")</f>
        <v>207.85591546371469</v>
      </c>
      <c r="AO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22.08916362344797</v>
      </c>
      <c r="AQ13" s="145">
        <v>12</v>
      </c>
      <c r="AR13" s="145" t="str">
        <f>IFERROR(INDEX(TableTECalcPts[PLAYER],MATCH(TableTERanks33[[#This Row],[RK]],TableTECalcPts[RK],0)),"")</f>
        <v>Dalton Kincaid</v>
      </c>
      <c r="AS13" s="145" t="str">
        <f>IFERROR(INDEX(TableTECalcPts[TM],MATCH(TableTERanks33[[#This Row],[Player]],TableTECalcPts[PLAYER],0)),"")</f>
        <v>BUF</v>
      </c>
      <c r="AT13" s="145">
        <f>IFERROR(INDEX(TableTECalcPts[BYE],MATCH(TableTERanks33[[#This Row],[Player]],TableTECalcPts[PLAYER],0)),"")</f>
        <v>7</v>
      </c>
      <c r="AU13" s="146">
        <f>IFERROR((VLOOKUP(TableTERanks33[[#This Row],[Player]],TE!B:O,4,FALSE)),"")</f>
        <v>88.871613599999961</v>
      </c>
      <c r="AV13" s="146">
        <f>IFERROR((VLOOKUP(TableTERanks33[[#This Row],[Player]],TE!B:O,5,FALSE)),"")</f>
        <v>61.143670156799971</v>
      </c>
      <c r="AW13" s="146">
        <f>IFERROR((VLOOKUP(TableTERanks33[[#This Row],[Player]],TE!B:O,6,FALSE)),"")</f>
        <v>742.28415570355173</v>
      </c>
      <c r="AX13" s="146">
        <f>IFERROR((VLOOKUP(TableTERanks33[[#This Row],[Player]],TE!B:O,7,FALSE)),"")</f>
        <v>5.4417866439551972</v>
      </c>
      <c r="AY13" s="147">
        <f>IFERROR((IFERROR(INDEX(TableTECalcPts[Custom],MATCH(TableTERanks33[[#This Row],[RK]],TableTECalcPts[RK],0)),"")),"")</f>
        <v>137.45097051248635</v>
      </c>
      <c r="AZ1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11.190997444265111</v>
      </c>
      <c r="BA1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11.190997444265111</v>
      </c>
    </row>
    <row r="14" spans="1:53" x14ac:dyDescent="0.25">
      <c r="A14" s="145">
        <v>13</v>
      </c>
      <c r="B14" s="145" t="str">
        <f>IFERROR(INDEX(TableQBCalcPts[PLAYER],MATCH(TableQBRanks30[[#This Row],[RK]],TableQBCalcPts[RK],0)),"")</f>
        <v>Bo Nix</v>
      </c>
      <c r="C14" s="145" t="str">
        <f>IFERROR(INDEX(TableQBCalcPts[TM],MATCH(TableQBRanks30[[#This Row],[Player]],TableQBCalcPts[PLAYER],0)),"")</f>
        <v>DEN</v>
      </c>
      <c r="D14" s="145">
        <f>IFERROR(INDEX(TableQBCalcPts[BYE],MATCH(TableQBRanks30[[#This Row],[Player]],TableQBCalcPts[PLAYER],0)),"")</f>
        <v>10</v>
      </c>
      <c r="E14" s="146">
        <f>IFERROR((VLOOKUP(TableQBRanks30[[#This Row],[Player]],QB!B:O,4,FALSE)),"")</f>
        <v>570.67164000000014</v>
      </c>
      <c r="F14" s="146">
        <f>IFERROR((VLOOKUP(TableQBRanks30[[#This Row],[Player]],QB!B:O,5,FALSE)),"")</f>
        <v>369.92991785531984</v>
      </c>
      <c r="G14" s="146">
        <f>IFERROR((VLOOKUP(TableQBRanks30[[#This Row],[Player]],QB!B:O,6,FALSE)),"")</f>
        <v>3913.8585309092841</v>
      </c>
      <c r="H14" s="146">
        <f>IFERROR((VLOOKUP(TableQBRanks30[[#This Row],[Player]],QB!B:O,7,FALSE)),"")</f>
        <v>26.265024167727706</v>
      </c>
      <c r="I14" s="146">
        <f>IFERROR((VLOOKUP(TableQBRanks30[[#This Row],[Player]],QB!B:O,8,FALSE)),"")</f>
        <v>11.445045289519861</v>
      </c>
      <c r="J14" s="146">
        <f>IFERROR((VLOOKUP(TableQBRanks30[[#This Row],[Player]],QB!B:O,9,FALSE)),"")</f>
        <v>81.722009879999987</v>
      </c>
      <c r="K14" s="146">
        <f>IFERROR((VLOOKUP(TableQBRanks30[[#This Row],[Player]],QB!B:O,10,FALSE)),"")</f>
        <v>353.06822370358316</v>
      </c>
      <c r="L14" s="146">
        <f>IFERROR((VLOOKUP(TableQBRanks30[[#This Row],[Player]],QB!B:O,11,FALSE)),"")</f>
        <v>4.273902009493125</v>
      </c>
      <c r="M14" s="147">
        <f>IFERROR(INDEX(TableQBCalcPts[Custom],MATCH(TableQBRanks30[[#This Row],[RK]],TableQBCalcPts[RK],0)),"")</f>
        <v>400.64266716606681</v>
      </c>
      <c r="N1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20.192760077259251</v>
      </c>
      <c r="P14" s="58">
        <v>13</v>
      </c>
      <c r="Q14" s="58" t="str">
        <f>IFERROR(INDEX(TableRBCalcPts[PLAYER],MATCH(TableRBRanks31[[#This Row],[RK]],TableRBCalcPts[RK],0)),"")</f>
        <v>Javonte Williams</v>
      </c>
      <c r="R14" s="58" t="str">
        <f>IFERROR(INDEX(TableRBCalcPts[TM],MATCH(TableRBRanks31[[#This Row],[Player]],TableRBCalcPts[PLAYER],0)),"")</f>
        <v>DAL</v>
      </c>
      <c r="S14" s="58">
        <f>IFERROR(INDEX(TableRBCalcPts[BYE],MATCH(TableRBRanks31[[#This Row],[Player]],TableRBCalcPts[PLAYER],0)),"")</f>
        <v>14</v>
      </c>
      <c r="T14" s="100">
        <f>IFERROR((VLOOKUP(TableRBRanks31[[#This Row],[Player]],RB!B:O,4,FALSE)),"")</f>
        <v>262.13087039999999</v>
      </c>
      <c r="U14" s="100">
        <f>IFERROR((VLOOKUP(TableRBRanks31[[#This Row],[Player]],RB!B:O,5,FALSE)),"")</f>
        <v>1195.3167690239998</v>
      </c>
      <c r="V14" s="100">
        <f>IFERROR((VLOOKUP(TableRBRanks31[[#This Row],[Player]],RB!B:O,6,FALSE)),"")</f>
        <v>9.6988422048</v>
      </c>
      <c r="W14" s="100">
        <f>IFERROR((VLOOKUP(TableRBRanks31[[#This Row],[Player]],RB!B:O,7,FALSE)),"")</f>
        <v>53.043205599999993</v>
      </c>
      <c r="X14" s="100">
        <f>IFERROR((VLOOKUP(TableRBRanks31[[#This Row],[Player]],RB!B:O,8,FALSE)),"")</f>
        <v>37.638304011733325</v>
      </c>
      <c r="Y14" s="100">
        <f>IFERROR((VLOOKUP(TableRBRanks31[[#This Row],[Player]],RB!B:O,9,FALSE)),"")</f>
        <v>191.03492454933334</v>
      </c>
      <c r="Z14" s="100">
        <f>IFERROR((VLOOKUP(TableRBRanks31[[#This Row],[Player]],RB!B:O,10,FALSE)),"")</f>
        <v>1.9195535045983994</v>
      </c>
      <c r="AA14" s="95">
        <f>IFERROR((IFERROR(INDEX(TableRBCalcPts[Custom],MATCH(TableRBRanks31[[#This Row],[RK]],TableRBCalcPts[RK],0)),"")),"")</f>
        <v>227.16469561959036</v>
      </c>
      <c r="AB1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18.510789628896504</v>
      </c>
      <c r="AD14" s="145">
        <v>13</v>
      </c>
      <c r="AE14" s="145" t="str">
        <f>IFERROR(INDEX(TableWRCalcPts[PLAYER],MATCH(TableWRRanks32[[#This Row],[RK]],TableWRCalcPts[RK],0)),"")</f>
        <v>Zay Flowers</v>
      </c>
      <c r="AF14" s="145" t="str">
        <f>IFERROR(INDEX(TableWRCalcPts[TM],MATCH(TableWRRanks32[[#This Row],[Player]],TableWRCalcPts[PLAYER],0)),"")</f>
        <v>BAL</v>
      </c>
      <c r="AG14" s="145">
        <f>IFERROR(INDEX(TableWRCalcPts[BYE],MATCH(TableWRRanks32[[#This Row],[Player]],TableWRCalcPts[PLAYER],0)),"")</f>
        <v>13</v>
      </c>
      <c r="AH14" s="146">
        <f>IFERROR((VLOOKUP(TableWRRanks32[[#This Row],[Player]],WR!B:O,4,FALSE)),"")</f>
        <v>56.413694630198776</v>
      </c>
      <c r="AI14" s="146">
        <f>IFERROR((VLOOKUP(TableWRRanks32[[#This Row],[Player]],WR!B:O,5,FALSE)),"")</f>
        <v>0.26872532932368426</v>
      </c>
      <c r="AJ14" s="146">
        <f>IFERROR((VLOOKUP(TableWRRanks32[[#This Row],[Player]],WR!B:O,6,FALSE)),"")</f>
        <v>122.65981056</v>
      </c>
      <c r="AK14" s="146">
        <f>IFERROR((VLOOKUP(TableWRRanks32[[#This Row],[Player]],WR!B:O,7,FALSE)),"")</f>
        <v>82.022021242617427</v>
      </c>
      <c r="AL14" s="146">
        <f>IFERROR((VLOOKUP(TableWRRanks32[[#This Row],[Player]],WR!B:O,8,FALSE)),"")</f>
        <v>1157.1558788318523</v>
      </c>
      <c r="AM14" s="146">
        <f>IFERROR((VLOOKUP(TableWRRanks32[[#This Row],[Player]],WR!B:O,9,FALSE)),"")</f>
        <v>6.8078277631372472</v>
      </c>
      <c r="AN14" s="147">
        <f>IFERROR((IFERROR(INDEX(TableWRCalcPts[Custom],MATCH(TableWRRanks32[[#This Row],[RK]],TableWRCalcPts[RK],0)),"")),"")</f>
        <v>204.82728652227939</v>
      </c>
      <c r="AO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21.520150305362591</v>
      </c>
      <c r="AQ14" s="145">
        <v>13</v>
      </c>
      <c r="AR14" s="145" t="str">
        <f>IFERROR(INDEX(TableTECalcPts[PLAYER],MATCH(TableTERanks33[[#This Row],[RK]],TableTECalcPts[RK],0)),"")</f>
        <v>Jake Ferguson</v>
      </c>
      <c r="AS14" s="145" t="str">
        <f>IFERROR(INDEX(TableTECalcPts[TM],MATCH(TableTERanks33[[#This Row],[Player]],TableTECalcPts[PLAYER],0)),"")</f>
        <v>DAL</v>
      </c>
      <c r="AT14" s="145">
        <f>IFERROR(INDEX(TableTECalcPts[BYE],MATCH(TableTERanks33[[#This Row],[Player]],TableTECalcPts[PLAYER],0)),"")</f>
        <v>14</v>
      </c>
      <c r="AU14" s="146">
        <f>IFERROR((VLOOKUP(TableTERanks33[[#This Row],[Player]],TE!B:O,4,FALSE)),"")</f>
        <v>100.0587742</v>
      </c>
      <c r="AV14" s="146">
        <f>IFERROR((VLOOKUP(TableTERanks33[[#This Row],[Player]],TE!B:O,5,FALSE)),"")</f>
        <v>74.564451091063063</v>
      </c>
      <c r="AW14" s="146">
        <f>IFERROR((VLOOKUP(TableTERanks33[[#This Row],[Player]],TE!B:O,6,FALSE)),"")</f>
        <v>606.75060624015089</v>
      </c>
      <c r="AX14" s="146">
        <f>IFERROR((VLOOKUP(TableTERanks33[[#This Row],[Player]],TE!B:O,7,FALSE)),"")</f>
        <v>6.2634138916492974</v>
      </c>
      <c r="AY14" s="147">
        <f>IFERROR((IFERROR(INDEX(TableTECalcPts[Custom],MATCH(TableTERanks33[[#This Row],[RK]],TableTECalcPts[RK],0)),"")),"")</f>
        <v>135.53776951944241</v>
      </c>
      <c r="AZ1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10.83154870813164</v>
      </c>
      <c r="BA1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10.83154870813164</v>
      </c>
    </row>
    <row r="15" spans="1:53" x14ac:dyDescent="0.25">
      <c r="A15" s="145">
        <v>14</v>
      </c>
      <c r="B15" s="145" t="str">
        <f>IFERROR(INDEX(TableQBCalcPts[PLAYER],MATCH(TableQBRanks30[[#This Row],[RK]],TableQBCalcPts[RK],0)),"")</f>
        <v>Jayden Daniels</v>
      </c>
      <c r="C15" s="145" t="str">
        <f>IFERROR(INDEX(TableQBCalcPts[TM],MATCH(TableQBRanks30[[#This Row],[Player]],TableQBCalcPts[PLAYER],0)),"")</f>
        <v>WSH</v>
      </c>
      <c r="D15" s="145">
        <f>IFERROR(INDEX(TableQBCalcPts[BYE],MATCH(TableQBRanks30[[#This Row],[Player]],TableQBCalcPts[PLAYER],0)),"")</f>
        <v>7</v>
      </c>
      <c r="E15" s="146">
        <f>IFERROR((VLOOKUP(TableQBRanks30[[#This Row],[Player]],QB!B:O,4,FALSE)),"")</f>
        <v>482.58289999999994</v>
      </c>
      <c r="F15" s="146">
        <f>IFERROR((VLOOKUP(TableQBRanks30[[#This Row],[Player]],QB!B:O,5,FALSE)),"")</f>
        <v>319.10744445753329</v>
      </c>
      <c r="G15" s="146">
        <f>IFERROR((VLOOKUP(TableQBRanks30[[#This Row],[Player]],QB!B:O,6,FALSE)),"")</f>
        <v>3518.5626973932303</v>
      </c>
      <c r="H15" s="146">
        <f>IFERROR((VLOOKUP(TableQBRanks30[[#This Row],[Player]],QB!B:O,7,FALSE)),"")</f>
        <v>22.337521112027332</v>
      </c>
      <c r="I15" s="146">
        <f>IFERROR((VLOOKUP(TableQBRanks30[[#This Row],[Player]],QB!B:O,8,FALSE)),"")</f>
        <v>9.1155950210989563</v>
      </c>
      <c r="J15" s="146">
        <f>IFERROR((VLOOKUP(TableQBRanks30[[#This Row],[Player]],QB!B:O,9,FALSE)),"")</f>
        <v>129.95258640000006</v>
      </c>
      <c r="K15" s="146">
        <f>IFERROR((VLOOKUP(TableQBRanks30[[#This Row],[Player]],QB!B:O,10,FALSE)),"")</f>
        <v>734.23211316000038</v>
      </c>
      <c r="L15" s="146">
        <f>IFERROR((VLOOKUP(TableQBRanks30[[#This Row],[Player]],QB!B:O,11,FALSE)),"")</f>
        <v>4.808245696800002</v>
      </c>
      <c r="M15" s="147">
        <f>IFERROR(INDEX(TableQBCalcPts[Custom],MATCH(TableQBRanks30[[#This Row],[RK]],TableQBCalcPts[RK],0)),"")</f>
        <v>399.83546948934764</v>
      </c>
      <c r="N1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19.812211630289035</v>
      </c>
      <c r="P15" s="58">
        <v>14</v>
      </c>
      <c r="Q15" s="58" t="str">
        <f>IFERROR(INDEX(TableRBCalcPts[PLAYER],MATCH(TableRBRanks31[[#This Row],[RK]],TableRBCalcPts[RK],0)),"")</f>
        <v>Cam Skattebo</v>
      </c>
      <c r="R15" s="58" t="str">
        <f>IFERROR(INDEX(TableRBCalcPts[TM],MATCH(TableRBRanks31[[#This Row],[Player]],TableRBCalcPts[PLAYER],0)),"")</f>
        <v>NYG</v>
      </c>
      <c r="S15" s="58">
        <f>IFERROR(INDEX(TableRBCalcPts[BYE],MATCH(TableRBRanks31[[#This Row],[Player]],TableRBCalcPts[PLAYER],0)),"")</f>
        <v>8</v>
      </c>
      <c r="T15" s="100">
        <f>IFERROR((VLOOKUP(TableRBRanks31[[#This Row],[Player]],RB!B:O,4,FALSE)),"")</f>
        <v>255.00805596000001</v>
      </c>
      <c r="U15" s="100">
        <f>IFERROR((VLOOKUP(TableRBRanks31[[#This Row],[Player]],RB!B:O,5,FALSE)),"")</f>
        <v>1083.7842378299999</v>
      </c>
      <c r="V15" s="100">
        <f>IFERROR((VLOOKUP(TableRBRanks31[[#This Row],[Player]],RB!B:O,6,FALSE)),"")</f>
        <v>8.4152658466800005</v>
      </c>
      <c r="W15" s="100">
        <f>IFERROR((VLOOKUP(TableRBRanks31[[#This Row],[Player]],RB!B:O,7,FALSE)),"")</f>
        <v>54.880489020000006</v>
      </c>
      <c r="X15" s="100">
        <f>IFERROR((VLOOKUP(TableRBRanks31[[#This Row],[Player]],RB!B:O,8,FALSE)),"")</f>
        <v>40.392039918720002</v>
      </c>
      <c r="Y15" s="100">
        <f>IFERROR((VLOOKUP(TableRBRanks31[[#This Row],[Player]],RB!B:O,9,FALSE)),"")</f>
        <v>308.19126457983361</v>
      </c>
      <c r="Z15" s="100">
        <f>IFERROR((VLOOKUP(TableRBRanks31[[#This Row],[Player]],RB!B:O,10,FALSE)),"")</f>
        <v>2.3158899697985933</v>
      </c>
      <c r="AA15" s="95">
        <f>IFERROR((IFERROR(INDEX(TableRBCalcPts[Custom],MATCH(TableRBRanks31[[#This Row],[RK]],TableRBCalcPts[RK],0)),"")),"")</f>
        <v>223.78050509921496</v>
      </c>
      <c r="AB1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18.002137162247539</v>
      </c>
      <c r="AD15" s="145">
        <v>14</v>
      </c>
      <c r="AE15" s="145" t="str">
        <f>IFERROR(INDEX(TableWRCalcPts[PLAYER],MATCH(TableWRRanks32[[#This Row],[RK]],TableWRCalcPts[RK],0)),"")</f>
        <v>Jaylen Waddle</v>
      </c>
      <c r="AF15" s="145" t="str">
        <f>IFERROR(INDEX(TableWRCalcPts[TM],MATCH(TableWRRanks32[[#This Row],[Player]],TableWRCalcPts[PLAYER],0)),"")</f>
        <v>DEN</v>
      </c>
      <c r="AG15" s="145">
        <f>IFERROR(INDEX(TableWRCalcPts[BYE],MATCH(TableWRRanks32[[#This Row],[Player]],TableWRCalcPts[PLAYER],0)),"")</f>
        <v>10</v>
      </c>
      <c r="AH15" s="146">
        <f>IFERROR((VLOOKUP(TableWRRanks32[[#This Row],[Player]],WR!B:O,4,FALSE)),"")</f>
        <v>12.280629899999997</v>
      </c>
      <c r="AI15" s="146">
        <f>IFERROR((VLOOKUP(TableWRRanks32[[#This Row],[Player]],WR!B:O,5,FALSE)),"")</f>
        <v>3.7214029999999995E-2</v>
      </c>
      <c r="AJ15" s="146">
        <f>IFERROR((VLOOKUP(TableWRRanks32[[#This Row],[Player]],WR!B:O,6,FALSE)),"")</f>
        <v>133.53716376000003</v>
      </c>
      <c r="AK15" s="146">
        <f>IFERROR((VLOOKUP(TableWRRanks32[[#This Row],[Player]],WR!B:O,7,FALSE)),"")</f>
        <v>89.036569720560024</v>
      </c>
      <c r="AL15" s="146">
        <f>IFERROR((VLOOKUP(TableWRRanks32[[#This Row],[Player]],WR!B:O,8,FALSE)),"")</f>
        <v>1131.654801148318</v>
      </c>
      <c r="AM15" s="146">
        <f>IFERROR((VLOOKUP(TableWRRanks32[[#This Row],[Player]],WR!B:O,9,FALSE)),"")</f>
        <v>6.9448524382036823</v>
      </c>
      <c r="AN15" s="147">
        <f>IFERROR((IFERROR(INDEX(TableWRCalcPts[Custom],MATCH(TableWRRanks32[[#This Row],[RK]],TableWRCalcPts[RK],0)),"")),"")</f>
        <v>200.8042267743339</v>
      </c>
      <c r="AO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20.76430512911287</v>
      </c>
      <c r="AQ15" s="145">
        <v>14</v>
      </c>
      <c r="AR15" s="145" t="str">
        <f>IFERROR(INDEX(TableTECalcPts[PLAYER],MATCH(TableTERanks33[[#This Row],[RK]],TableTECalcPts[RK],0)),"")</f>
        <v>Mark Andrews</v>
      </c>
      <c r="AS15" s="145" t="str">
        <f>IFERROR(INDEX(TableTECalcPts[TM],MATCH(TableTERanks33[[#This Row],[Player]],TableTECalcPts[PLAYER],0)),"")</f>
        <v>BAL</v>
      </c>
      <c r="AT15" s="145">
        <f>IFERROR(INDEX(TableTECalcPts[BYE],MATCH(TableTERanks33[[#This Row],[Player]],TableTECalcPts[PLAYER],0)),"")</f>
        <v>13</v>
      </c>
      <c r="AU15" s="146">
        <f>IFERROR((VLOOKUP(TableTERanks33[[#This Row],[Player]],TE!B:O,4,FALSE)),"")</f>
        <v>84.12301183999999</v>
      </c>
      <c r="AV15" s="146">
        <f>IFERROR((VLOOKUP(TableTERanks33[[#This Row],[Player]],TE!B:O,5,FALSE)),"")</f>
        <v>56.303566443035386</v>
      </c>
      <c r="AW15" s="146">
        <f>IFERROR((VLOOKUP(TableTERanks33[[#This Row],[Player]],TE!B:O,6,FALSE)),"")</f>
        <v>600.92286879987364</v>
      </c>
      <c r="AX15" s="146">
        <f>IFERROR((VLOOKUP(TableTERanks33[[#This Row],[Player]],TE!B:O,7,FALSE)),"")</f>
        <v>6.7564279731642465</v>
      </c>
      <c r="AY15" s="147">
        <f>IFERROR((IFERROR(INDEX(TableTECalcPts[Custom],MATCH(TableTERanks33[[#This Row],[RK]],TableTECalcPts[RK],0)),"")),"")</f>
        <v>128.78263794049053</v>
      </c>
      <c r="AZ1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9.5624068263859296</v>
      </c>
      <c r="BA1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9.5624068263859296</v>
      </c>
    </row>
    <row r="16" spans="1:53" x14ac:dyDescent="0.25">
      <c r="A16" s="145">
        <v>15</v>
      </c>
      <c r="B16" s="145" t="str">
        <f>IFERROR(INDEX(TableQBCalcPts[PLAYER],MATCH(TableQBRanks30[[#This Row],[RK]],TableQBCalcPts[RK],0)),"")</f>
        <v>Justin Herbert</v>
      </c>
      <c r="C16" s="145" t="str">
        <f>IFERROR(INDEX(TableQBCalcPts[TM],MATCH(TableQBRanks30[[#This Row],[Player]],TableQBCalcPts[PLAYER],0)),"")</f>
        <v>LAC</v>
      </c>
      <c r="D16" s="145">
        <f>IFERROR(INDEX(TableQBCalcPts[BYE],MATCH(TableQBRanks30[[#This Row],[Player]],TableQBCalcPts[PLAYER],0)),"")</f>
        <v>7</v>
      </c>
      <c r="E16" s="146">
        <f>IFERROR((VLOOKUP(TableQBRanks30[[#This Row],[Player]],QB!B:O,4,FALSE)),"")</f>
        <v>531.69115999999997</v>
      </c>
      <c r="F16" s="146">
        <f>IFERROR((VLOOKUP(TableQBRanks30[[#This Row],[Player]],QB!B:O,5,FALSE)),"")</f>
        <v>352.22829470099089</v>
      </c>
      <c r="G16" s="146">
        <f>IFERROR((VLOOKUP(TableQBRanks30[[#This Row],[Player]],QB!B:O,6,FALSE)),"")</f>
        <v>4029.1470687418719</v>
      </c>
      <c r="H16" s="146">
        <f>IFERROR((VLOOKUP(TableQBRanks30[[#This Row],[Player]],QB!B:O,7,FALSE)),"")</f>
        <v>26.430355388976508</v>
      </c>
      <c r="I16" s="146">
        <f>IFERROR((VLOOKUP(TableQBRanks30[[#This Row],[Player]],QB!B:O,8,FALSE)),"")</f>
        <v>10.075406373377627</v>
      </c>
      <c r="J16" s="146">
        <f>IFERROR((VLOOKUP(TableQBRanks30[[#This Row],[Player]],QB!B:O,9,FALSE)),"")</f>
        <v>71.8862144</v>
      </c>
      <c r="K16" s="146">
        <f>IFERROR((VLOOKUP(TableQBRanks30[[#This Row],[Player]],QB!B:O,10,FALSE)),"")</f>
        <v>384.4700904988764</v>
      </c>
      <c r="L16" s="146">
        <f>IFERROR((VLOOKUP(TableQBRanks30[[#This Row],[Player]],QB!B:O,11,FALSE)),"")</f>
        <v>2.0128140031999999</v>
      </c>
      <c r="M16" s="147">
        <f>IFERROR(INDEX(TableQBCalcPts[Custom],MATCH(TableQBRanks30[[#This Row],[RK]],TableQBCalcPts[RK],0)),"")</f>
        <v>395.41933124934303</v>
      </c>
      <c r="N1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18.880958958839273</v>
      </c>
      <c r="P16" s="58">
        <v>15</v>
      </c>
      <c r="Q16" s="58" t="str">
        <f>IFERROR(INDEX(TableRBCalcPts[PLAYER],MATCH(TableRBRanks31[[#This Row],[RK]],TableRBCalcPts[RK],0)),"")</f>
        <v>Kyren Williams</v>
      </c>
      <c r="R16" s="58" t="str">
        <f>IFERROR(INDEX(TableRBCalcPts[TM],MATCH(TableRBRanks31[[#This Row],[Player]],TableRBCalcPts[PLAYER],0)),"")</f>
        <v>LAR</v>
      </c>
      <c r="S16" s="58">
        <f>IFERROR(INDEX(TableRBCalcPts[BYE],MATCH(TableRBRanks31[[#This Row],[Player]],TableRBCalcPts[PLAYER],0)),"")</f>
        <v>11</v>
      </c>
      <c r="T16" s="100">
        <f>IFERROR((VLOOKUP(TableRBRanks31[[#This Row],[Player]],RB!B:O,4,FALSE)),"")</f>
        <v>243.83066399999998</v>
      </c>
      <c r="U16" s="100">
        <f>IFERROR((VLOOKUP(TableRBRanks31[[#This Row],[Player]],RB!B:O,5,FALSE)),"")</f>
        <v>1119.18274776</v>
      </c>
      <c r="V16" s="100">
        <f>IFERROR((VLOOKUP(TableRBRanks31[[#This Row],[Player]],RB!B:O,6,FALSE)),"")</f>
        <v>10.728549215999999</v>
      </c>
      <c r="W16" s="100">
        <f>IFERROR((VLOOKUP(TableRBRanks31[[#This Row],[Player]],RB!B:O,7,FALSE)),"")</f>
        <v>39.582072996587819</v>
      </c>
      <c r="X16" s="100">
        <f>IFERROR((VLOOKUP(TableRBRanks31[[#This Row],[Player]],RB!B:O,8,FALSE)),"")</f>
        <v>28.30118219256029</v>
      </c>
      <c r="Y16" s="100">
        <f>IFERROR((VLOOKUP(TableRBRanks31[[#This Row],[Player]],RB!B:O,9,FALSE)),"")</f>
        <v>209.71176004687175</v>
      </c>
      <c r="Z16" s="100">
        <f>IFERROR((VLOOKUP(TableRBRanks31[[#This Row],[Player]],RB!B:O,10,FALSE)),"")</f>
        <v>1.8112756603238587</v>
      </c>
      <c r="AA16" s="95">
        <f>IFERROR((IFERROR(INDEX(TableRBCalcPts[Custom],MATCH(TableRBRanks31[[#This Row],[RK]],TableRBCalcPts[RK],0)),"")),"")</f>
        <v>222.27899113491048</v>
      </c>
      <c r="AB1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17.776455783775202</v>
      </c>
      <c r="AD16" s="145">
        <v>15</v>
      </c>
      <c r="AE16" s="145" t="str">
        <f>IFERROR(INDEX(TableWRCalcPts[PLAYER],MATCH(TableWRRanks32[[#This Row],[RK]],TableWRCalcPts[RK],0)),"")</f>
        <v>Terry McLaurin</v>
      </c>
      <c r="AF16" s="145" t="str">
        <f>IFERROR(INDEX(TableWRCalcPts[TM],MATCH(TableWRRanks32[[#This Row],[Player]],TableWRCalcPts[PLAYER],0)),"")</f>
        <v>WSH</v>
      </c>
      <c r="AG16" s="145">
        <f>IFERROR(INDEX(TableWRCalcPts[BYE],MATCH(TableWRRanks32[[#This Row],[Player]],TableWRCalcPts[PLAYER],0)),"")</f>
        <v>7</v>
      </c>
      <c r="AH16" s="146">
        <f>IFERROR((VLOOKUP(TableWRRanks32[[#This Row],[Player]],WR!B:O,4,FALSE)),"")</f>
        <v>0</v>
      </c>
      <c r="AI16" s="146">
        <f>IFERROR((VLOOKUP(TableWRRanks32[[#This Row],[Player]],WR!B:O,5,FALSE)),"")</f>
        <v>0</v>
      </c>
      <c r="AJ16" s="146">
        <f>IFERROR((VLOOKUP(TableWRRanks32[[#This Row],[Player]],WR!B:O,6,FALSE)),"")</f>
        <v>125.45123471999997</v>
      </c>
      <c r="AK16" s="146">
        <f>IFERROR((VLOOKUP(TableWRRanks32[[#This Row],[Player]],WR!B:O,7,FALSE)),"")</f>
        <v>82.67236368047999</v>
      </c>
      <c r="AL16" s="146">
        <f>IFERROR((VLOOKUP(TableWRRanks32[[#This Row],[Player]],WR!B:O,8,FALSE)),"")</f>
        <v>1124.3441460545278</v>
      </c>
      <c r="AM16" s="146">
        <f>IFERROR((VLOOKUP(TableWRRanks32[[#This Row],[Player]],WR!B:O,9,FALSE)),"")</f>
        <v>7.7712021859651195</v>
      </c>
      <c r="AN16" s="147">
        <f>IFERROR((IFERROR(INDEX(TableWRCalcPts[Custom],MATCH(TableWRRanks32[[#This Row],[RK]],TableWRCalcPts[RK],0)),"")),"")</f>
        <v>200.39780956148348</v>
      </c>
      <c r="AO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20.687948199530918</v>
      </c>
      <c r="AQ16" s="145">
        <v>15</v>
      </c>
      <c r="AR16" s="145" t="str">
        <f>IFERROR(INDEX(TableTECalcPts[PLAYER],MATCH(TableTERanks33[[#This Row],[RK]],TableTECalcPts[RK],0)),"")</f>
        <v>T.J. Hockenson</v>
      </c>
      <c r="AS16" s="145" t="str">
        <f>IFERROR(INDEX(TableTECalcPts[TM],MATCH(TableTERanks33[[#This Row],[Player]],TableTECalcPts[PLAYER],0)),"")</f>
        <v>MIN</v>
      </c>
      <c r="AT16" s="145">
        <f>IFERROR(INDEX(TableTECalcPts[BYE],MATCH(TableTERanks33[[#This Row],[Player]],TableTECalcPts[PLAYER],0)),"")</f>
        <v>6</v>
      </c>
      <c r="AU16" s="146">
        <f>IFERROR((VLOOKUP(TableTERanks33[[#This Row],[Player]],TE!B:O,4,FALSE)),"")</f>
        <v>96.445672959999996</v>
      </c>
      <c r="AV16" s="146">
        <f>IFERROR((VLOOKUP(TableTERanks33[[#This Row],[Player]],TE!B:O,5,FALSE)),"")</f>
        <v>70.415039708360226</v>
      </c>
      <c r="AW16" s="146">
        <f>IFERROR((VLOOKUP(TableTERanks33[[#This Row],[Player]],TE!B:O,6,FALSE)),"")</f>
        <v>617.05294996637326</v>
      </c>
      <c r="AX16" s="146">
        <f>IFERROR((VLOOKUP(TableTERanks33[[#This Row],[Player]],TE!B:O,7,FALSE)),"")</f>
        <v>4.2249023825016137</v>
      </c>
      <c r="AY16" s="147">
        <f>IFERROR((IFERROR(INDEX(TableTECalcPts[Custom],MATCH(TableTERanks33[[#This Row],[RK]],TableTECalcPts[RK],0)),"")),"")</f>
        <v>122.26222914582712</v>
      </c>
      <c r="AZ1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8.3373642360690745</v>
      </c>
      <c r="BA1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8.3373642360690745</v>
      </c>
    </row>
    <row r="17" spans="1:53" x14ac:dyDescent="0.25">
      <c r="A17" s="145">
        <v>16</v>
      </c>
      <c r="B17" s="145" t="str">
        <f>IFERROR(INDEX(TableQBCalcPts[PLAYER],MATCH(TableQBRanks30[[#This Row],[RK]],TableQBCalcPts[RK],0)),"")</f>
        <v>Jaxson Dart</v>
      </c>
      <c r="C17" s="145" t="str">
        <f>IFERROR(INDEX(TableQBCalcPts[TM],MATCH(TableQBRanks30[[#This Row],[Player]],TableQBCalcPts[PLAYER],0)),"")</f>
        <v>NYG</v>
      </c>
      <c r="D17" s="145">
        <f>IFERROR(INDEX(TableQBCalcPts[BYE],MATCH(TableQBRanks30[[#This Row],[Player]],TableQBCalcPts[PLAYER],0)),"")</f>
        <v>8</v>
      </c>
      <c r="E17" s="146">
        <f>IFERROR((VLOOKUP(TableQBRanks30[[#This Row],[Player]],QB!B:O,4,FALSE)),"")</f>
        <v>479.28354999999999</v>
      </c>
      <c r="F17" s="146">
        <f>IFERROR((VLOOKUP(TableQBRanks30[[#This Row],[Player]],QB!B:O,5,FALSE)),"")</f>
        <v>308.94051789906553</v>
      </c>
      <c r="G17" s="146">
        <f>IFERROR((VLOOKUP(TableQBRanks30[[#This Row],[Player]],QB!B:O,6,FALSE)),"")</f>
        <v>3355.0940243838513</v>
      </c>
      <c r="H17" s="146">
        <f>IFERROR((VLOOKUP(TableQBRanks30[[#This Row],[Player]],QB!B:O,7,FALSE)),"")</f>
        <v>22.243717288732718</v>
      </c>
      <c r="I17" s="146">
        <f>IFERROR((VLOOKUP(TableQBRanks30[[#This Row],[Player]],QB!B:O,8,FALSE)),"")</f>
        <v>8.4071869948781188</v>
      </c>
      <c r="J17" s="146">
        <f>IFERROR((VLOOKUP(TableQBRanks30[[#This Row],[Player]],QB!B:O,9,FALSE)),"")</f>
        <v>98.681278359999993</v>
      </c>
      <c r="K17" s="146">
        <f>IFERROR((VLOOKUP(TableQBRanks30[[#This Row],[Player]],QB!B:O,10,FALSE)),"")</f>
        <v>556.56240995039991</v>
      </c>
      <c r="L17" s="146">
        <f>IFERROR((VLOOKUP(TableQBRanks30[[#This Row],[Player]],QB!B:O,11,FALSE)),"")</f>
        <v>7.6971397120799994</v>
      </c>
      <c r="M17" s="147">
        <f>IFERROR(INDEX(TableQBCalcPts[Custom],MATCH(TableQBRanks30[[#This Row],[RK]],TableQBCalcPts[RK],0)),"")</f>
        <v>391.99200877029875</v>
      </c>
      <c r="N1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18.062150228510593</v>
      </c>
      <c r="P17" s="58">
        <v>16</v>
      </c>
      <c r="Q17" s="58" t="str">
        <f>IFERROR(INDEX(TableRBCalcPts[PLAYER],MATCH(TableRBRanks31[[#This Row],[RK]],TableRBCalcPts[RK],0)),"")</f>
        <v>Breece Hall</v>
      </c>
      <c r="R17" s="58" t="str">
        <f>IFERROR(INDEX(TableRBCalcPts[TM],MATCH(TableRBRanks31[[#This Row],[Player]],TableRBCalcPts[PLAYER],0)),"")</f>
        <v>NYJ</v>
      </c>
      <c r="S17" s="58">
        <f>IFERROR(INDEX(TableRBCalcPts[BYE],MATCH(TableRBRanks31[[#This Row],[Player]],TableRBCalcPts[PLAYER],0)),"")</f>
        <v>13</v>
      </c>
      <c r="T17" s="100">
        <f>IFERROR((VLOOKUP(TableRBRanks31[[#This Row],[Player]],RB!B:O,4,FALSE)),"")</f>
        <v>227.64955080000004</v>
      </c>
      <c r="U17" s="100">
        <f>IFERROR((VLOOKUP(TableRBRanks31[[#This Row],[Player]],RB!B:O,5,FALSE)),"")</f>
        <v>1013.0405010600002</v>
      </c>
      <c r="V17" s="100">
        <f>IFERROR((VLOOKUP(TableRBRanks31[[#This Row],[Player]],RB!B:O,6,FALSE)),"")</f>
        <v>6.0582160827732814</v>
      </c>
      <c r="W17" s="100">
        <f>IFERROR((VLOOKUP(TableRBRanks31[[#This Row],[Player]],RB!B:O,7,FALSE)),"")</f>
        <v>63.459983635032508</v>
      </c>
      <c r="X17" s="100">
        <f>IFERROR((VLOOKUP(TableRBRanks31[[#This Row],[Player]],RB!B:O,8,FALSE)),"")</f>
        <v>50.28863098644387</v>
      </c>
      <c r="Y17" s="100">
        <f>IFERROR((VLOOKUP(TableRBRanks31[[#This Row],[Player]],RB!B:O,9,FALSE)),"")</f>
        <v>439.2112076408128</v>
      </c>
      <c r="Z17" s="100">
        <f>IFERROR((VLOOKUP(TableRBRanks31[[#This Row],[Player]],RB!B:O,10,FALSE)),"")</f>
        <v>2.1624111324170863</v>
      </c>
      <c r="AA17" s="95">
        <f>IFERROR((IFERROR(INDEX(TableRBCalcPts[Custom],MATCH(TableRBRanks31[[#This Row],[RK]],TableRBCalcPts[RK],0)),"")),"")</f>
        <v>219.69324965444545</v>
      </c>
      <c r="AB1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17.387812244282873</v>
      </c>
      <c r="AD17" s="145">
        <v>16</v>
      </c>
      <c r="AE17" s="145" t="str">
        <f>IFERROR(INDEX(TableWRCalcPts[PLAYER],MATCH(TableWRRanks32[[#This Row],[RK]],TableWRCalcPts[RK],0)),"")</f>
        <v>DeVonta Smith</v>
      </c>
      <c r="AF17" s="145" t="str">
        <f>IFERROR(INDEX(TableWRCalcPts[TM],MATCH(TableWRRanks32[[#This Row],[Player]],TableWRCalcPts[PLAYER],0)),"")</f>
        <v>PHI</v>
      </c>
      <c r="AG17" s="145">
        <f>IFERROR(INDEX(TableWRCalcPts[BYE],MATCH(TableWRRanks32[[#This Row],[Player]],TableWRCalcPts[PLAYER],0)),"")</f>
        <v>10</v>
      </c>
      <c r="AH17" s="146">
        <f>IFERROR((VLOOKUP(TableWRRanks32[[#This Row],[Player]],WR!B:O,4,FALSE)),"")</f>
        <v>0</v>
      </c>
      <c r="AI17" s="146">
        <f>IFERROR((VLOOKUP(TableWRRanks32[[#This Row],[Player]],WR!B:O,5,FALSE)),"")</f>
        <v>0</v>
      </c>
      <c r="AJ17" s="146">
        <f>IFERROR((VLOOKUP(TableWRRanks32[[#This Row],[Player]],WR!B:O,6,FALSE)),"")</f>
        <v>126.32249784000001</v>
      </c>
      <c r="AK17" s="146">
        <f>IFERROR((VLOOKUP(TableWRRanks32[[#This Row],[Player]],WR!B:O,7,FALSE)),"")</f>
        <v>86.025621029040011</v>
      </c>
      <c r="AL17" s="146">
        <f>IFERROR((VLOOKUP(TableWRRanks32[[#This Row],[Player]],WR!B:O,8,FALSE)),"")</f>
        <v>1107.149742643745</v>
      </c>
      <c r="AM17" s="146">
        <f>IFERROR((VLOOKUP(TableWRRanks32[[#This Row],[Player]],WR!B:O,9,FALSE)),"")</f>
        <v>7.39820340849744</v>
      </c>
      <c r="AN17" s="147">
        <f>IFERROR((IFERROR(INDEX(TableWRCalcPts[Custom],MATCH(TableWRRanks32[[#This Row],[RK]],TableWRCalcPts[RK],0)),"")),"")</f>
        <v>198.11700522987917</v>
      </c>
      <c r="AO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20.259434814192065</v>
      </c>
      <c r="AQ17" s="145">
        <v>16</v>
      </c>
      <c r="AR17" s="145" t="str">
        <f>IFERROR(INDEX(TableTECalcPts[PLAYER],MATCH(TableTERanks33[[#This Row],[RK]],TableTECalcPts[RK],0)),"")</f>
        <v>Chig Okonkwo</v>
      </c>
      <c r="AS17" s="145" t="str">
        <f>IFERROR(INDEX(TableTECalcPts[TM],MATCH(TableTERanks33[[#This Row],[Player]],TableTECalcPts[PLAYER],0)),"")</f>
        <v>WSH</v>
      </c>
      <c r="AT17" s="145">
        <f>IFERROR(INDEX(TableTECalcPts[BYE],MATCH(TableTERanks33[[#This Row],[Player]],TableTECalcPts[PLAYER],0)),"")</f>
        <v>7</v>
      </c>
      <c r="AU17" s="146">
        <f>IFERROR((VLOOKUP(TableTERanks33[[#This Row],[Player]],TE!B:O,4,FALSE)),"")</f>
        <v>87.118912999999978</v>
      </c>
      <c r="AV17" s="146">
        <f>IFERROR((VLOOKUP(TableTERanks33[[#This Row],[Player]],TE!B:O,5,FALSE)),"")</f>
        <v>62.290022794999985</v>
      </c>
      <c r="AW17" s="146">
        <f>IFERROR((VLOOKUP(TableTERanks33[[#This Row],[Player]],TE!B:O,6,FALSE)),"")</f>
        <v>650.30783797979984</v>
      </c>
      <c r="AX17" s="146">
        <f>IFERROR((VLOOKUP(TableTERanks33[[#This Row],[Player]],TE!B:O,7,FALSE)),"")</f>
        <v>4.2980115728549997</v>
      </c>
      <c r="AY17" s="147">
        <f>IFERROR((IFERROR(INDEX(TableTECalcPts[Custom],MATCH(TableTERanks33[[#This Row],[RK]],TableTECalcPts[RK],0)),"")),"")</f>
        <v>121.96386463260998</v>
      </c>
      <c r="AZ1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8.2813080519185807</v>
      </c>
      <c r="BA1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8.2813080519185807</v>
      </c>
    </row>
    <row r="18" spans="1:53" x14ac:dyDescent="0.25">
      <c r="A18" s="145">
        <v>17</v>
      </c>
      <c r="B18" s="145" t="str">
        <f>IFERROR(INDEX(TableQBCalcPts[PLAYER],MATCH(TableQBRanks30[[#This Row],[RK]],TableQBCalcPts[RK],0)),"")</f>
        <v>Baker Mayfield</v>
      </c>
      <c r="C18" s="145" t="str">
        <f>IFERROR(INDEX(TableQBCalcPts[TM],MATCH(TableQBRanks30[[#This Row],[Player]],TableQBCalcPts[PLAYER],0)),"")</f>
        <v>TB</v>
      </c>
      <c r="D18" s="145">
        <f>IFERROR(INDEX(TableQBCalcPts[BYE],MATCH(TableQBRanks30[[#This Row],[Player]],TableQBCalcPts[PLAYER],0)),"")</f>
        <v>10</v>
      </c>
      <c r="E18" s="146">
        <f>IFERROR((VLOOKUP(TableQBRanks30[[#This Row],[Player]],QB!B:O,4,FALSE)),"")</f>
        <v>551.82917999999995</v>
      </c>
      <c r="F18" s="146">
        <f>IFERROR((VLOOKUP(TableQBRanks30[[#This Row],[Player]],QB!B:O,5,FALSE)),"")</f>
        <v>360.41861641973418</v>
      </c>
      <c r="G18" s="146">
        <f>IFERROR((VLOOKUP(TableQBRanks30[[#This Row],[Player]],QB!B:O,6,FALSE)),"")</f>
        <v>3995.2922074491207</v>
      </c>
      <c r="H18" s="146">
        <f>IFERROR((VLOOKUP(TableQBRanks30[[#This Row],[Player]],QB!B:O,7,FALSE)),"")</f>
        <v>26.954512554729995</v>
      </c>
      <c r="I18" s="146">
        <f>IFERROR((VLOOKUP(TableQBRanks30[[#This Row],[Player]],QB!B:O,8,FALSE)),"")</f>
        <v>12.917319135767858</v>
      </c>
      <c r="J18" s="146">
        <f>IFERROR((VLOOKUP(TableQBRanks30[[#This Row],[Player]],QB!B:O,9,FALSE)),"")</f>
        <v>53.873975119999997</v>
      </c>
      <c r="K18" s="146">
        <f>IFERROR((VLOOKUP(TableQBRanks30[[#This Row],[Player]],QB!B:O,10,FALSE)),"")</f>
        <v>328.63124823199996</v>
      </c>
      <c r="L18" s="146">
        <f>IFERROR((VLOOKUP(TableQBRanks30[[#This Row],[Player]],QB!B:O,11,FALSE)),"")</f>
        <v>1.1614593432239577</v>
      </c>
      <c r="M18" s="147">
        <f>IFERROR(INDEX(TableQBCalcPts[Custom],MATCH(TableQBRanks30[[#This Row],[RK]],TableQBCalcPts[RK],0)),"")</f>
        <v>384.49518701509407</v>
      </c>
      <c r="N1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16.510453800403699</v>
      </c>
      <c r="P18" s="58">
        <v>17</v>
      </c>
      <c r="Q18" s="58" t="str">
        <f>IFERROR(INDEX(TableRBCalcPts[PLAYER],MATCH(TableRBRanks31[[#This Row],[RK]],TableRBCalcPts[RK],0)),"")</f>
        <v>Josh Jacobs</v>
      </c>
      <c r="R18" s="58" t="str">
        <f>IFERROR(INDEX(TableRBCalcPts[TM],MATCH(TableRBRanks31[[#This Row],[Player]],TableRBCalcPts[PLAYER],0)),"")</f>
        <v>GB</v>
      </c>
      <c r="S18" s="58">
        <f>IFERROR(INDEX(TableRBCalcPts[BYE],MATCH(TableRBRanks31[[#This Row],[Player]],TableRBCalcPts[PLAYER],0)),"")</f>
        <v>11</v>
      </c>
      <c r="T18" s="100">
        <f>IFERROR((VLOOKUP(TableRBRanks31[[#This Row],[Player]],RB!B:O,4,FALSE)),"")</f>
        <v>244.29464303999998</v>
      </c>
      <c r="U18" s="100">
        <f>IFERROR((VLOOKUP(TableRBRanks31[[#This Row],[Player]],RB!B:O,5,FALSE)),"")</f>
        <v>992.89385363042413</v>
      </c>
      <c r="V18" s="100">
        <f>IFERROR((VLOOKUP(TableRBRanks31[[#This Row],[Player]],RB!B:O,6,FALSE)),"")</f>
        <v>11.237553579839998</v>
      </c>
      <c r="W18" s="100">
        <f>IFERROR((VLOOKUP(TableRBRanks31[[#This Row],[Player]],RB!B:O,7,FALSE)),"")</f>
        <v>45.916429507537686</v>
      </c>
      <c r="X18" s="100">
        <f>IFERROR((VLOOKUP(TableRBRanks31[[#This Row],[Player]],RB!B:O,8,FALSE)),"")</f>
        <v>34.693487474221634</v>
      </c>
      <c r="Y18" s="100">
        <f>IFERROR((VLOOKUP(TableRBRanks31[[#This Row],[Player]],RB!B:O,9,FALSE)),"")</f>
        <v>264.40452323508913</v>
      </c>
      <c r="Z18" s="100">
        <f>IFERROR((VLOOKUP(TableRBRanks31[[#This Row],[Player]],RB!B:O,10,FALSE)),"")</f>
        <v>1.1790050215303887</v>
      </c>
      <c r="AA18" s="95">
        <f>IFERROR((IFERROR(INDEX(TableRBCalcPts[Custom],MATCH(TableRBRanks31[[#This Row],[RK]],TableRBCalcPts[RK],0)),"")),"")</f>
        <v>217.57593303188446</v>
      </c>
      <c r="AB1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17.069574155659236</v>
      </c>
      <c r="AD18" s="145">
        <v>17</v>
      </c>
      <c r="AE18" s="145" t="str">
        <f>IFERROR(INDEX(TableWRCalcPts[PLAYER],MATCH(TableWRRanks32[[#This Row],[RK]],TableWRCalcPts[RK],0)),"")</f>
        <v>Rashee Rice</v>
      </c>
      <c r="AF18" s="145" t="str">
        <f>IFERROR(INDEX(TableWRCalcPts[TM],MATCH(TableWRRanks32[[#This Row],[Player]],TableWRCalcPts[PLAYER],0)),"")</f>
        <v>KC</v>
      </c>
      <c r="AG18" s="145">
        <f>IFERROR(INDEX(TableWRCalcPts[BYE],MATCH(TableWRRanks32[[#This Row],[Player]],TableWRCalcPts[PLAYER],0)),"")</f>
        <v>5</v>
      </c>
      <c r="AH18" s="146">
        <f>IFERROR((VLOOKUP(TableWRRanks32[[#This Row],[Player]],WR!B:O,4,FALSE)),"")</f>
        <v>27.306853604231787</v>
      </c>
      <c r="AI18" s="146">
        <f>IFERROR((VLOOKUP(TableWRRanks32[[#This Row],[Player]],WR!B:O,5,FALSE)),"")</f>
        <v>0.41619956720365475</v>
      </c>
      <c r="AJ18" s="146">
        <f>IFERROR((VLOOKUP(TableWRRanks32[[#This Row],[Player]],WR!B:O,6,FALSE)),"")</f>
        <v>128.80482999999998</v>
      </c>
      <c r="AK18" s="146">
        <f>IFERROR((VLOOKUP(TableWRRanks32[[#This Row],[Player]],WR!B:O,7,FALSE)),"")</f>
        <v>87.587284399999987</v>
      </c>
      <c r="AL18" s="146">
        <f>IFERROR((VLOOKUP(TableWRRanks32[[#This Row],[Player]],WR!B:O,8,FALSE)),"")</f>
        <v>975.90036041213159</v>
      </c>
      <c r="AM18" s="146">
        <f>IFERROR((VLOOKUP(TableWRRanks32[[#This Row],[Player]],WR!B:O,9,FALSE)),"")</f>
        <v>8.4083793023999984</v>
      </c>
      <c r="AN18" s="147">
        <f>IFERROR((IFERROR(INDEX(TableWRCalcPts[Custom],MATCH(TableWRRanks32[[#This Row],[RK]],TableWRCalcPts[RK],0)),"")),"")</f>
        <v>197.06183681925825</v>
      </c>
      <c r="AO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20.061191685015022</v>
      </c>
      <c r="AQ18" s="145">
        <v>17</v>
      </c>
      <c r="AR18" s="145" t="str">
        <f>IFERROR(INDEX(TableTECalcPts[PLAYER],MATCH(TableTERanks33[[#This Row],[RK]],TableTECalcPts[RK],0)),"")</f>
        <v>Dalton Schultz</v>
      </c>
      <c r="AS18" s="145" t="str">
        <f>IFERROR(INDEX(TableTECalcPts[TM],MATCH(TableTERanks33[[#This Row],[Player]],TableTECalcPts[PLAYER],0)),"")</f>
        <v>HOU</v>
      </c>
      <c r="AT18" s="145">
        <f>IFERROR(INDEX(TableTECalcPts[BYE],MATCH(TableTERanks33[[#This Row],[Player]],TableTECalcPts[PLAYER],0)),"")</f>
        <v>8</v>
      </c>
      <c r="AU18" s="146">
        <f>IFERROR((VLOOKUP(TableTERanks33[[#This Row],[Player]],TE!B:O,4,FALSE)),"")</f>
        <v>92.234559059999995</v>
      </c>
      <c r="AV18" s="146">
        <f>IFERROR((VLOOKUP(TableTERanks33[[#This Row],[Player]],TE!B:O,5,FALSE)),"")</f>
        <v>67.679544802282692</v>
      </c>
      <c r="AW18" s="146">
        <f>IFERROR((VLOOKUP(TableTERanks33[[#This Row],[Player]],TE!B:O,6,FALSE)),"")</f>
        <v>642.78639146145952</v>
      </c>
      <c r="AX18" s="146">
        <f>IFERROR((VLOOKUP(TableTERanks33[[#This Row],[Player]],TE!B:O,7,FALSE)),"")</f>
        <v>3.7223749641255481</v>
      </c>
      <c r="AY18" s="147">
        <f>IFERROR((IFERROR(INDEX(TableTECalcPts[Custom],MATCH(TableTERanks33[[#This Row],[RK]],TableTECalcPts[RK],0)),"")),"")</f>
        <v>120.45266133204058</v>
      </c>
      <c r="AZ1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7.9973859138863599</v>
      </c>
      <c r="BA1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7.9973859138863599</v>
      </c>
    </row>
    <row r="19" spans="1:53" x14ac:dyDescent="0.25">
      <c r="A19" s="145">
        <v>18</v>
      </c>
      <c r="B19" s="145" t="str">
        <f>IFERROR(INDEX(TableQBCalcPts[PLAYER],MATCH(TableQBRanks30[[#This Row],[RK]],TableQBCalcPts[RK],0)),"")</f>
        <v>Kyler Murray</v>
      </c>
      <c r="C19" s="145" t="str">
        <f>IFERROR(INDEX(TableQBCalcPts[TM],MATCH(TableQBRanks30[[#This Row],[Player]],TableQBCalcPts[PLAYER],0)),"")</f>
        <v>MIN</v>
      </c>
      <c r="D19" s="145">
        <f>IFERROR(INDEX(TableQBCalcPts[BYE],MATCH(TableQBRanks30[[#This Row],[Player]],TableQBCalcPts[PLAYER],0)),"")</f>
        <v>6</v>
      </c>
      <c r="E19" s="146">
        <f>IFERROR((VLOOKUP(TableQBRanks30[[#This Row],[Player]],QB!B:O,4,FALSE)),"")</f>
        <v>513.69920000000002</v>
      </c>
      <c r="F19" s="146">
        <f>IFERROR((VLOOKUP(TableQBRanks30[[#This Row],[Player]],QB!B:O,5,FALSE)),"")</f>
        <v>349.842312690303</v>
      </c>
      <c r="G19" s="146">
        <f>IFERROR((VLOOKUP(TableQBRanks30[[#This Row],[Player]],QB!B:O,6,FALSE)),"")</f>
        <v>3673.3442832481815</v>
      </c>
      <c r="H19" s="146">
        <f>IFERROR((VLOOKUP(TableQBRanks30[[#This Row],[Player]],QB!B:O,7,FALSE)),"")</f>
        <v>22.739750324869696</v>
      </c>
      <c r="I19" s="146">
        <f>IFERROR((VLOOKUP(TableQBRanks30[[#This Row],[Player]],QB!B:O,8,FALSE)),"")</f>
        <v>10.218902894788569</v>
      </c>
      <c r="J19" s="146">
        <f>IFERROR((VLOOKUP(TableQBRanks30[[#This Row],[Player]],QB!B:O,9,FALSE)),"")</f>
        <v>77.734775999999982</v>
      </c>
      <c r="K19" s="146">
        <f>IFERROR((VLOOKUP(TableQBRanks30[[#This Row],[Player]],QB!B:O,10,FALSE)),"")</f>
        <v>466.85013550489185</v>
      </c>
      <c r="L19" s="146">
        <f>IFERROR((VLOOKUP(TableQBRanks30[[#This Row],[Player]],QB!B:O,11,FALSE)),"")</f>
        <v>3.7312692479999994</v>
      </c>
      <c r="M19" s="147">
        <f>IFERROR(INDEX(TableQBCalcPts[Custom],MATCH(TableQBRanks30[[#This Row],[RK]],TableQBCalcPts[RK],0)),"")</f>
        <v>377.21023069187635</v>
      </c>
      <c r="N1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14.948735695278563</v>
      </c>
      <c r="P19" s="58">
        <v>18</v>
      </c>
      <c r="Q19" s="58" t="str">
        <f>IFERROR(INDEX(TableRBCalcPts[PLAYER],MATCH(TableRBRanks31[[#This Row],[RK]],TableRBCalcPts[RK],0)),"")</f>
        <v>Jeremiyah Love</v>
      </c>
      <c r="R19" s="58" t="str">
        <f>IFERROR(INDEX(TableRBCalcPts[TM],MATCH(TableRBRanks31[[#This Row],[Player]],TableRBCalcPts[PLAYER],0)),"")</f>
        <v>ARI</v>
      </c>
      <c r="S19" s="58">
        <f>IFERROR(INDEX(TableRBCalcPts[BYE],MATCH(TableRBRanks31[[#This Row],[Player]],TableRBCalcPts[PLAYER],0)),"")</f>
        <v>14</v>
      </c>
      <c r="T19" s="100">
        <f>IFERROR((VLOOKUP(TableRBRanks31[[#This Row],[Player]],RB!B:O,4,FALSE)),"")</f>
        <v>225.39168960000001</v>
      </c>
      <c r="U19" s="100">
        <f>IFERROR((VLOOKUP(TableRBRanks31[[#This Row],[Player]],RB!B:O,5,FALSE)),"")</f>
        <v>1007.3544595648907</v>
      </c>
      <c r="V19" s="100">
        <f>IFERROR((VLOOKUP(TableRBRanks31[[#This Row],[Player]],RB!B:O,6,FALSE)),"")</f>
        <v>6.0855756192000001</v>
      </c>
      <c r="W19" s="100">
        <f>IFERROR((VLOOKUP(TableRBRanks31[[#This Row],[Player]],RB!B:O,7,FALSE)),"")</f>
        <v>67.823996800000003</v>
      </c>
      <c r="X19" s="100">
        <f>IFERROR((VLOOKUP(TableRBRanks31[[#This Row],[Player]],RB!B:O,8,FALSE)),"")</f>
        <v>52.631135339598316</v>
      </c>
      <c r="Y19" s="100">
        <f>IFERROR((VLOOKUP(TableRBRanks31[[#This Row],[Player]],RB!B:O,9,FALSE)),"")</f>
        <v>394.73351504698735</v>
      </c>
      <c r="Z19" s="100">
        <f>IFERROR((VLOOKUP(TableRBRanks31[[#This Row],[Player]],RB!B:O,10,FALSE)),"")</f>
        <v>1.9473520075651376</v>
      </c>
      <c r="AA19" s="95">
        <f>IFERROR((IFERROR(INDEX(TableRBCalcPts[Custom],MATCH(TableRBRanks31[[#This Row],[RK]],TableRBCalcPts[RK],0)),"")),"")</f>
        <v>214.72193089157778</v>
      </c>
      <c r="AB1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16.640610354789246</v>
      </c>
      <c r="AD19" s="145">
        <v>18</v>
      </c>
      <c r="AE19" s="145" t="str">
        <f>IFERROR(INDEX(TableWRCalcPts[PLAYER],MATCH(TableWRRanks32[[#This Row],[RK]],TableWRCalcPts[RK],0)),"")</f>
        <v>Ladd McConkey</v>
      </c>
      <c r="AF19" s="145" t="str">
        <f>IFERROR(INDEX(TableWRCalcPts[TM],MATCH(TableWRRanks32[[#This Row],[Player]],TableWRCalcPts[PLAYER],0)),"")</f>
        <v>LAC</v>
      </c>
      <c r="AG19" s="145">
        <f>IFERROR(INDEX(TableWRCalcPts[BYE],MATCH(TableWRRanks32[[#This Row],[Player]],TableWRCalcPts[PLAYER],0)),"")</f>
        <v>7</v>
      </c>
      <c r="AH19" s="146">
        <f>IFERROR((VLOOKUP(TableWRRanks32[[#This Row],[Player]],WR!B:O,4,FALSE)),"")</f>
        <v>0</v>
      </c>
      <c r="AI19" s="146">
        <f>IFERROR((VLOOKUP(TableWRRanks32[[#This Row],[Player]],WR!B:O,5,FALSE)),"")</f>
        <v>0</v>
      </c>
      <c r="AJ19" s="146">
        <f>IFERROR((VLOOKUP(TableWRRanks32[[#This Row],[Player]],WR!B:O,6,FALSE)),"")</f>
        <v>128.13756955999997</v>
      </c>
      <c r="AK19" s="146">
        <f>IFERROR((VLOOKUP(TableWRRanks32[[#This Row],[Player]],WR!B:O,7,FALSE)),"")</f>
        <v>85.17099006658664</v>
      </c>
      <c r="AL19" s="146">
        <f>IFERROR((VLOOKUP(TableWRRanks32[[#This Row],[Player]],WR!B:O,8,FALSE)),"")</f>
        <v>1129.3673282829388</v>
      </c>
      <c r="AM19" s="146">
        <f>IFERROR((VLOOKUP(TableWRRanks32[[#This Row],[Player]],WR!B:O,9,FALSE)),"")</f>
        <v>6.8136792053269311</v>
      </c>
      <c r="AN19" s="147">
        <f>IFERROR((IFERROR(INDEX(TableWRCalcPts[Custom],MATCH(TableWRRanks32[[#This Row],[RK]],TableWRCalcPts[RK],0)),"")),"")</f>
        <v>196.40430309354878</v>
      </c>
      <c r="AO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19.937655439983413</v>
      </c>
      <c r="AQ19" s="145">
        <v>18</v>
      </c>
      <c r="AR19" s="145" t="str">
        <f>IFERROR(INDEX(TableTECalcPts[PLAYER],MATCH(TableTERanks33[[#This Row],[RK]],TableTECalcPts[RK],0)),"")</f>
        <v>Hunter Henry</v>
      </c>
      <c r="AS19" s="145" t="str">
        <f>IFERROR(INDEX(TableTECalcPts[TM],MATCH(TableTERanks33[[#This Row],[Player]],TableTECalcPts[PLAYER],0)),"")</f>
        <v>NE</v>
      </c>
      <c r="AT19" s="145">
        <f>IFERROR(INDEX(TableTECalcPts[BYE],MATCH(TableTERanks33[[#This Row],[Player]],TableTECalcPts[PLAYER],0)),"")</f>
        <v>11</v>
      </c>
      <c r="AU19" s="146">
        <f>IFERROR((VLOOKUP(TableTERanks33[[#This Row],[Player]],TE!B:O,4,FALSE)),"")</f>
        <v>78.534691199999969</v>
      </c>
      <c r="AV19" s="146">
        <f>IFERROR((VLOOKUP(TableTERanks33[[#This Row],[Player]],TE!B:O,5,FALSE)),"")</f>
        <v>54.324388158843846</v>
      </c>
      <c r="AW19" s="146">
        <f>IFERROR((VLOOKUP(TableTERanks33[[#This Row],[Player]],TE!B:O,6,FALSE)),"")</f>
        <v>630.16290264258862</v>
      </c>
      <c r="AX19" s="146">
        <f>IFERROR((VLOOKUP(TableTERanks33[[#This Row],[Player]],TE!B:O,7,FALSE)),"")</f>
        <v>4.9435193224547902</v>
      </c>
      <c r="AY19" s="147">
        <f>IFERROR((IFERROR(INDEX(TableTECalcPts[Custom],MATCH(TableTERanks33[[#This Row],[RK]],TableTECalcPts[RK],0)),"")),"")</f>
        <v>119.83960027840953</v>
      </c>
      <c r="AZ1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7.8822051139068829</v>
      </c>
      <c r="BA1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7.8822051139068829</v>
      </c>
    </row>
    <row r="20" spans="1:53" x14ac:dyDescent="0.25">
      <c r="A20" s="145">
        <v>19</v>
      </c>
      <c r="B20" s="145" t="str">
        <f>IFERROR(INDEX(TableQBCalcPts[PLAYER],MATCH(TableQBRanks30[[#This Row],[RK]],TableQBCalcPts[RK],0)),"")</f>
        <v>Jordan Love</v>
      </c>
      <c r="C20" s="145" t="str">
        <f>IFERROR(INDEX(TableQBCalcPts[TM],MATCH(TableQBRanks30[[#This Row],[Player]],TableQBCalcPts[PLAYER],0)),"")</f>
        <v>GB</v>
      </c>
      <c r="D20" s="145">
        <f>IFERROR(INDEX(TableQBCalcPts[BYE],MATCH(TableQBRanks30[[#This Row],[Player]],TableQBCalcPts[PLAYER],0)),"")</f>
        <v>11</v>
      </c>
      <c r="E20" s="146">
        <f>IFERROR((VLOOKUP(TableQBRanks30[[#This Row],[Player]],QB!B:O,4,FALSE)),"")</f>
        <v>524.46636000000001</v>
      </c>
      <c r="F20" s="146">
        <f>IFERROR((VLOOKUP(TableQBRanks30[[#This Row],[Player]],QB!B:O,5,FALSE)),"")</f>
        <v>340.93206060728272</v>
      </c>
      <c r="G20" s="146">
        <f>IFERROR((VLOOKUP(TableQBRanks30[[#This Row],[Player]],QB!B:O,6,FALSE)),"")</f>
        <v>4036.6355975902275</v>
      </c>
      <c r="H20" s="146">
        <f>IFERROR((VLOOKUP(TableQBRanks30[[#This Row],[Player]],QB!B:O,7,FALSE)),"")</f>
        <v>27.274564848582617</v>
      </c>
      <c r="I20" s="146">
        <f>IFERROR((VLOOKUP(TableQBRanks30[[#This Row],[Player]],QB!B:O,8,FALSE)),"")</f>
        <v>10.353645370885355</v>
      </c>
      <c r="J20" s="146">
        <f>IFERROR((VLOOKUP(TableQBRanks30[[#This Row],[Player]],QB!B:O,9,FALSE)),"")</f>
        <v>44.803071600000003</v>
      </c>
      <c r="K20" s="146">
        <f>IFERROR((VLOOKUP(TableQBRanks30[[#This Row],[Player]],QB!B:O,10,FALSE)),"")</f>
        <v>192.6377548323905</v>
      </c>
      <c r="L20" s="146">
        <f>IFERROR((VLOOKUP(TableQBRanks30[[#This Row],[Player]],QB!B:O,11,FALSE)),"")</f>
        <v>1.1200767900000002</v>
      </c>
      <c r="M20" s="147">
        <f>IFERROR(INDEX(TableQBCalcPts[Custom],MATCH(TableQBRanks30[[#This Row],[RK]],TableQBCalcPts[RK],0)),"")</f>
        <v>374.83660990818674</v>
      </c>
      <c r="N2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13.960710789882222</v>
      </c>
      <c r="P20" s="58">
        <v>19</v>
      </c>
      <c r="Q20" s="58" t="str">
        <f>IFERROR(INDEX(TableRBCalcPts[PLAYER],MATCH(TableRBRanks31[[#This Row],[RK]],TableRBCalcPts[RK],0)),"")</f>
        <v>Travis Etienne</v>
      </c>
      <c r="R20" s="58" t="str">
        <f>IFERROR(INDEX(TableRBCalcPts[TM],MATCH(TableRBRanks31[[#This Row],[Player]],TableRBCalcPts[PLAYER],0)),"")</f>
        <v>NO</v>
      </c>
      <c r="S20" s="58">
        <f>IFERROR(INDEX(TableRBCalcPts[BYE],MATCH(TableRBRanks31[[#This Row],[Player]],TableRBCalcPts[PLAYER],0)),"")</f>
        <v>8</v>
      </c>
      <c r="T20" s="100">
        <f>IFERROR((VLOOKUP(TableRBRanks31[[#This Row],[Player]],RB!B:O,4,FALSE)),"")</f>
        <v>258.77569535999999</v>
      </c>
      <c r="U20" s="100">
        <f>IFERROR((VLOOKUP(TableRBRanks31[[#This Row],[Player]],RB!B:O,5,FALSE)),"")</f>
        <v>1099.79670528</v>
      </c>
      <c r="V20" s="100">
        <f>IFERROR((VLOOKUP(TableRBRanks31[[#This Row],[Player]],RB!B:O,6,FALSE)),"")</f>
        <v>7.1454475502010162</v>
      </c>
      <c r="W20" s="100">
        <f>IFERROR((VLOOKUP(TableRBRanks31[[#This Row],[Player]],RB!B:O,7,FALSE)),"")</f>
        <v>44.176957439999995</v>
      </c>
      <c r="X20" s="100">
        <f>IFERROR((VLOOKUP(TableRBRanks31[[#This Row],[Player]],RB!B:O,8,FALSE)),"")</f>
        <v>34.237142016</v>
      </c>
      <c r="Y20" s="100">
        <f>IFERROR((VLOOKUP(TableRBRanks31[[#This Row],[Player]],RB!B:O,9,FALSE)),"")</f>
        <v>272.87002186751999</v>
      </c>
      <c r="Z20" s="100">
        <f>IFERROR((VLOOKUP(TableRBRanks31[[#This Row],[Player]],RB!B:O,10,FALSE)),"")</f>
        <v>1.574908532736</v>
      </c>
      <c r="AA20" s="95">
        <f>IFERROR((IFERROR(INDEX(TableRBCalcPts[Custom],MATCH(TableRBRanks31[[#This Row],[RK]],TableRBCalcPts[RK],0)),"")),"")</f>
        <v>206.70738022037409</v>
      </c>
      <c r="AB2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15.43600294765702</v>
      </c>
      <c r="AD20" s="145">
        <v>19</v>
      </c>
      <c r="AE20" s="145" t="str">
        <f>IFERROR(INDEX(TableWRCalcPts[PLAYER],MATCH(TableWRRanks32[[#This Row],[RK]],TableWRCalcPts[RK],0)),"")</f>
        <v>Chris Olave</v>
      </c>
      <c r="AF20" s="145" t="str">
        <f>IFERROR(INDEX(TableWRCalcPts[TM],MATCH(TableWRRanks32[[#This Row],[Player]],TableWRCalcPts[PLAYER],0)),"")</f>
        <v>NO</v>
      </c>
      <c r="AG20" s="145">
        <f>IFERROR(INDEX(TableWRCalcPts[BYE],MATCH(TableWRRanks32[[#This Row],[Player]],TableWRCalcPts[PLAYER],0)),"")</f>
        <v>8</v>
      </c>
      <c r="AH20" s="146">
        <f>IFERROR((VLOOKUP(TableWRRanks32[[#This Row],[Player]],WR!B:O,4,FALSE)),"")</f>
        <v>0</v>
      </c>
      <c r="AI20" s="146">
        <f>IFERROR((VLOOKUP(TableWRRanks32[[#This Row],[Player]],WR!B:O,5,FALSE)),"")</f>
        <v>0</v>
      </c>
      <c r="AJ20" s="146">
        <f>IFERROR((VLOOKUP(TableWRRanks32[[#This Row],[Player]],WR!B:O,6,FALSE)),"")</f>
        <v>137.60868352000003</v>
      </c>
      <c r="AK20" s="146">
        <f>IFERROR((VLOOKUP(TableWRRanks32[[#This Row],[Player]],WR!B:O,7,FALSE)),"")</f>
        <v>86.005427200000014</v>
      </c>
      <c r="AL20" s="146">
        <f>IFERROR((VLOOKUP(TableWRRanks32[[#This Row],[Player]],WR!B:O,8,FALSE)),"")</f>
        <v>1075.9278942720002</v>
      </c>
      <c r="AM20" s="146">
        <f>IFERROR((VLOOKUP(TableWRRanks32[[#This Row],[Player]],WR!B:O,9,FALSE)),"")</f>
        <v>7.1384504576000012</v>
      </c>
      <c r="AN20" s="147">
        <f>IFERROR((IFERROR(INDEX(TableWRCalcPts[Custom],MATCH(TableWRRanks32[[#This Row],[RK]],TableWRCalcPts[RK],0)),"")),"")</f>
        <v>193.42620577280005</v>
      </c>
      <c r="AO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19.37813591123674</v>
      </c>
      <c r="AQ20" s="145">
        <v>19</v>
      </c>
      <c r="AR20" s="145" t="str">
        <f>IFERROR(INDEX(TableTECalcPts[PLAYER],MATCH(TableTERanks33[[#This Row],[RK]],TableTECalcPts[RK],0)),"")</f>
        <v>Dallas Goedert</v>
      </c>
      <c r="AS20" s="145" t="str">
        <f>IFERROR(INDEX(TableTECalcPts[TM],MATCH(TableTERanks33[[#This Row],[Player]],TableTECalcPts[PLAYER],0)),"")</f>
        <v>PHI</v>
      </c>
      <c r="AT20" s="145">
        <f>IFERROR(INDEX(TableTECalcPts[BYE],MATCH(TableTERanks33[[#This Row],[Player]],TableTECalcPts[PLAYER],0)),"")</f>
        <v>10</v>
      </c>
      <c r="AU20" s="146">
        <f>IFERROR((VLOOKUP(TableTERanks33[[#This Row],[Player]],TE!B:O,4,FALSE)),"")</f>
        <v>78.771443520000005</v>
      </c>
      <c r="AV20" s="146">
        <f>IFERROR((VLOOKUP(TableTERanks33[[#This Row],[Player]],TE!B:O,5,FALSE)),"")</f>
        <v>55.376324794559999</v>
      </c>
      <c r="AW20" s="146">
        <f>IFERROR((VLOOKUP(TableTERanks33[[#This Row],[Player]],TE!B:O,6,FALSE)),"")</f>
        <v>558.71150776058289</v>
      </c>
      <c r="AX20" s="146">
        <f>IFERROR((VLOOKUP(TableTERanks33[[#This Row],[Player]],TE!B:O,7,FALSE)),"")</f>
        <v>5.0946218810995196</v>
      </c>
      <c r="AY20" s="147">
        <f>IFERROR((IFERROR(INDEX(TableTECalcPts[Custom],MATCH(TableTERanks33[[#This Row],[RK]],TableTECalcPts[RK],0)),"")),"")</f>
        <v>114.12704445993541</v>
      </c>
      <c r="AZ2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6.8089404770453488</v>
      </c>
      <c r="BA2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6.8089404770453488</v>
      </c>
    </row>
    <row r="21" spans="1:53" x14ac:dyDescent="0.25">
      <c r="A21" s="145">
        <v>20</v>
      </c>
      <c r="B21" s="145" t="str">
        <f>IFERROR(INDEX(TableQBCalcPts[PLAYER],MATCH(TableQBRanks30[[#This Row],[RK]],TableQBCalcPts[RK],0)),"")</f>
        <v>C.J. Stroud</v>
      </c>
      <c r="C21" s="145" t="str">
        <f>IFERROR(INDEX(TableQBCalcPts[TM],MATCH(TableQBRanks30[[#This Row],[Player]],TableQBCalcPts[PLAYER],0)),"")</f>
        <v>HOU</v>
      </c>
      <c r="D21" s="145">
        <f>IFERROR(INDEX(TableQBCalcPts[BYE],MATCH(TableQBRanks30[[#This Row],[Player]],TableQBCalcPts[PLAYER],0)),"")</f>
        <v>8</v>
      </c>
      <c r="E21" s="146">
        <f>IFERROR((VLOOKUP(TableQBRanks30[[#This Row],[Player]],QB!B:O,4,FALSE)),"")</f>
        <v>578.73122999999998</v>
      </c>
      <c r="F21" s="146">
        <f>IFERROR((VLOOKUP(TableQBRanks30[[#This Row],[Player]],QB!B:O,5,FALSE)),"")</f>
        <v>370.89967563996294</v>
      </c>
      <c r="G21" s="146">
        <f>IFERROR((VLOOKUP(TableQBRanks30[[#This Row],[Player]],QB!B:O,6,FALSE)),"")</f>
        <v>4147.9956605545549</v>
      </c>
      <c r="H21" s="146">
        <f>IFERROR((VLOOKUP(TableQBRanks30[[#This Row],[Player]],QB!B:O,7,FALSE)),"")</f>
        <v>24.479378592237556</v>
      </c>
      <c r="I21" s="146">
        <f>IFERROR((VLOOKUP(TableQBRanks30[[#This Row],[Player]],QB!B:O,8,FALSE)),"")</f>
        <v>12.140101997351696</v>
      </c>
      <c r="J21" s="146">
        <f>IFERROR((VLOOKUP(TableQBRanks30[[#This Row],[Player]],QB!B:O,9,FALSE)),"")</f>
        <v>53.374333880000009</v>
      </c>
      <c r="K21" s="146">
        <f>IFERROR((VLOOKUP(TableQBRanks30[[#This Row],[Player]],QB!B:O,10,FALSE)),"")</f>
        <v>225.1106944470877</v>
      </c>
      <c r="L21" s="146">
        <f>IFERROR((VLOOKUP(TableQBRanks30[[#This Row],[Player]],QB!B:O,11,FALSE)),"")</f>
        <v>1.0674866776000003</v>
      </c>
      <c r="M21" s="147">
        <f>IFERROR(INDEX(TableQBCalcPts[Custom],MATCH(TableQBRanks30[[#This Row],[RK]],TableQBCalcPts[RK],0)),"")</f>
        <v>366.66195305256093</v>
      </c>
      <c r="N2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11.912355839758938</v>
      </c>
      <c r="P21" s="58">
        <v>20</v>
      </c>
      <c r="Q21" s="58" t="str">
        <f>IFERROR(INDEX(TableRBCalcPts[PLAYER],MATCH(TableRBRanks31[[#This Row],[RK]],TableRBCalcPts[RK],0)),"")</f>
        <v>Bhayshul Tuten</v>
      </c>
      <c r="R21" s="58" t="str">
        <f>IFERROR(INDEX(TableRBCalcPts[TM],MATCH(TableRBRanks31[[#This Row],[Player]],TableRBCalcPts[PLAYER],0)),"")</f>
        <v>JAX</v>
      </c>
      <c r="S21" s="58">
        <f>IFERROR(INDEX(TableRBCalcPts[BYE],MATCH(TableRBRanks31[[#This Row],[Player]],TableRBCalcPts[PLAYER],0)),"")</f>
        <v>7</v>
      </c>
      <c r="T21" s="100">
        <f>IFERROR((VLOOKUP(TableRBRanks31[[#This Row],[Player]],RB!B:O,4,FALSE)),"")</f>
        <v>213.60352439999997</v>
      </c>
      <c r="U21" s="100">
        <f>IFERROR((VLOOKUP(TableRBRanks31[[#This Row],[Player]],RB!B:O,5,FALSE)),"")</f>
        <v>918.49515491999978</v>
      </c>
      <c r="V21" s="100">
        <f>IFERROR((VLOOKUP(TableRBRanks31[[#This Row],[Player]],RB!B:O,6,FALSE)),"")</f>
        <v>7.6897268783999984</v>
      </c>
      <c r="W21" s="100">
        <f>IFERROR((VLOOKUP(TableRBRanks31[[#This Row],[Player]],RB!B:O,7,FALSE)),"")</f>
        <v>52.609271399999997</v>
      </c>
      <c r="X21" s="100">
        <f>IFERROR((VLOOKUP(TableRBRanks31[[#This Row],[Player]],RB!B:O,8,FALSE)),"")</f>
        <v>37.510410508199996</v>
      </c>
      <c r="Y21" s="100">
        <f>IFERROR((VLOOKUP(TableRBRanks31[[#This Row],[Player]],RB!B:O,9,FALSE)),"")</f>
        <v>293.33141017412396</v>
      </c>
      <c r="Z21" s="100">
        <f>IFERROR((VLOOKUP(TableRBRanks31[[#This Row],[Player]],RB!B:O,10,FALSE)),"")</f>
        <v>2.1756038094756001</v>
      </c>
      <c r="AA21" s="95">
        <f>IFERROR((IFERROR(INDEX(TableRBCalcPts[Custom],MATCH(TableRBRanks31[[#This Row],[RK]],TableRBCalcPts[RK],0)),"")),"")</f>
        <v>199.12984589076595</v>
      </c>
      <c r="AB2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14.297080211284355</v>
      </c>
      <c r="AD21" s="145">
        <v>20</v>
      </c>
      <c r="AE21" s="145" t="str">
        <f>IFERROR(INDEX(TableWRCalcPts[PLAYER],MATCH(TableWRRanks32[[#This Row],[RK]],TableWRCalcPts[RK],0)),"")</f>
        <v>Mike Evans</v>
      </c>
      <c r="AF21" s="145" t="str">
        <f>IFERROR(INDEX(TableWRCalcPts[TM],MATCH(TableWRRanks32[[#This Row],[Player]],TableWRCalcPts[PLAYER],0)),"")</f>
        <v>SF</v>
      </c>
      <c r="AG21" s="145">
        <f>IFERROR(INDEX(TableWRCalcPts[BYE],MATCH(TableWRRanks32[[#This Row],[Player]],TableWRCalcPts[PLAYER],0)),"")</f>
        <v>8</v>
      </c>
      <c r="AH21" s="146">
        <f>IFERROR((VLOOKUP(TableWRRanks32[[#This Row],[Player]],WR!B:O,4,FALSE)),"")</f>
        <v>0</v>
      </c>
      <c r="AI21" s="146">
        <f>IFERROR((VLOOKUP(TableWRRanks32[[#This Row],[Player]],WR!B:O,5,FALSE)),"")</f>
        <v>0</v>
      </c>
      <c r="AJ21" s="146">
        <f>IFERROR((VLOOKUP(TableWRRanks32[[#This Row],[Player]],WR!B:O,6,FALSE)),"")</f>
        <v>124.54598912000002</v>
      </c>
      <c r="AK21" s="146">
        <f>IFERROR((VLOOKUP(TableWRRanks32[[#This Row],[Player]],WR!B:O,7,FALSE)),"")</f>
        <v>73.606679569920004</v>
      </c>
      <c r="AL21" s="146">
        <f>IFERROR((VLOOKUP(TableWRRanks32[[#This Row],[Player]],WR!B:O,8,FALSE)),"")</f>
        <v>1052.5755178498562</v>
      </c>
      <c r="AM21" s="146">
        <f>IFERROR((VLOOKUP(TableWRRanks32[[#This Row],[Player]],WR!B:O,9,FALSE)),"")</f>
        <v>8.3911614709708804</v>
      </c>
      <c r="AN21" s="147">
        <f>IFERROR((IFERROR(INDEX(TableWRCalcPts[Custom],MATCH(TableWRRanks32[[#This Row],[RK]],TableWRCalcPts[RK],0)),"")),"")</f>
        <v>192.40786039577091</v>
      </c>
      <c r="AO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19.186811026892986</v>
      </c>
      <c r="AQ21" s="145">
        <v>20</v>
      </c>
      <c r="AR21" s="145" t="str">
        <f>IFERROR(INDEX(TableTECalcPts[PLAYER],MATCH(TableTERanks33[[#This Row],[RK]],TableTECalcPts[RK],0)),"")</f>
        <v>Greg Dulcich</v>
      </c>
      <c r="AS21" s="145" t="str">
        <f>IFERROR(INDEX(TableTECalcPts[TM],MATCH(TableTERanks33[[#This Row],[Player]],TableTECalcPts[PLAYER],0)),"")</f>
        <v>MIA</v>
      </c>
      <c r="AT21" s="145">
        <f>IFERROR(INDEX(TableTECalcPts[BYE],MATCH(TableTERanks33[[#This Row],[Player]],TableTECalcPts[PLAYER],0)),"")</f>
        <v>6</v>
      </c>
      <c r="AU21" s="146">
        <f>IFERROR((VLOOKUP(TableTERanks33[[#This Row],[Player]],TE!B:O,4,FALSE)),"")</f>
        <v>79.776423719999997</v>
      </c>
      <c r="AV21" s="146">
        <f>IFERROR((VLOOKUP(TableTERanks33[[#This Row],[Player]],TE!B:O,5,FALSE)),"")</f>
        <v>54.487297400759999</v>
      </c>
      <c r="AW21" s="146">
        <f>IFERROR((VLOOKUP(TableTERanks33[[#This Row],[Player]],TE!B:O,6,FALSE)),"")</f>
        <v>624.96930118671719</v>
      </c>
      <c r="AX21" s="146">
        <f>IFERROR((VLOOKUP(TableTERanks33[[#This Row],[Player]],TE!B:O,7,FALSE)),"")</f>
        <v>3.4871870336486399</v>
      </c>
      <c r="AY21" s="147">
        <f>IFERROR((IFERROR(INDEX(TableTECalcPts[Custom],MATCH(TableTERanks33[[#This Row],[RK]],TableTECalcPts[RK],0)),"")),"")</f>
        <v>110.66370102094356</v>
      </c>
      <c r="AZ2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6.1582537867979674</v>
      </c>
      <c r="BA2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6.1582537867979674</v>
      </c>
    </row>
    <row r="22" spans="1:53" x14ac:dyDescent="0.25">
      <c r="A22" s="145">
        <v>21</v>
      </c>
      <c r="B22" s="145" t="str">
        <f>IFERROR(INDEX(TableQBCalcPts[PLAYER],MATCH(TableQBRanks30[[#This Row],[RK]],TableQBCalcPts[RK],0)),"")</f>
        <v>Sam Darnold</v>
      </c>
      <c r="C22" s="145" t="str">
        <f>IFERROR(INDEX(TableQBCalcPts[TM],MATCH(TableQBRanks30[[#This Row],[Player]],TableQBCalcPts[PLAYER],0)),"")</f>
        <v>SEA</v>
      </c>
      <c r="D22" s="145">
        <f>IFERROR(INDEX(TableQBCalcPts[BYE],MATCH(TableQBRanks30[[#This Row],[Player]],TableQBCalcPts[PLAYER],0)),"")</f>
        <v>11</v>
      </c>
      <c r="E22" s="146">
        <f>IFERROR((VLOOKUP(TableQBRanks30[[#This Row],[Player]],QB!B:O,4,FALSE)),"")</f>
        <v>504.72744</v>
      </c>
      <c r="F22" s="146">
        <f>IFERROR((VLOOKUP(TableQBRanks30[[#This Row],[Player]],QB!B:O,5,FALSE)),"")</f>
        <v>335.64374760000004</v>
      </c>
      <c r="G22" s="146">
        <f>IFERROR((VLOOKUP(TableQBRanks30[[#This Row],[Player]],QB!B:O,6,FALSE)),"")</f>
        <v>4135.1309704320001</v>
      </c>
      <c r="H22" s="146">
        <f>IFERROR((VLOOKUP(TableQBRanks30[[#This Row],[Player]],QB!B:O,7,FALSE)),"")</f>
        <v>26.515856060400004</v>
      </c>
      <c r="I22" s="146">
        <f>IFERROR((VLOOKUP(TableQBRanks30[[#This Row],[Player]],QB!B:O,8,FALSE)),"")</f>
        <v>13.01233198593386</v>
      </c>
      <c r="J22" s="146">
        <f>IFERROR((VLOOKUP(TableQBRanks30[[#This Row],[Player]],QB!B:O,9,FALSE)),"")</f>
        <v>34.843159255474909</v>
      </c>
      <c r="K22" s="146">
        <f>IFERROR((VLOOKUP(TableQBRanks30[[#This Row],[Player]],QB!B:O,10,FALSE)),"")</f>
        <v>110.34912719016842</v>
      </c>
      <c r="L22" s="146">
        <f>IFERROR((VLOOKUP(TableQBRanks30[[#This Row],[Player]],QB!B:O,11,FALSE)),"")</f>
        <v>0.86122797089993575</v>
      </c>
      <c r="M22" s="147">
        <f>IFERROR(INDEX(TableQBCalcPts[Custom],MATCH(TableQBRanks30[[#This Row],[RK]],TableQBCalcPts[RK],0)),"")</f>
        <v>361.25469849816261</v>
      </c>
      <c r="N2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10.641242386869596</v>
      </c>
      <c r="P22" s="58">
        <v>21</v>
      </c>
      <c r="Q22" s="58" t="str">
        <f>IFERROR(INDEX(TableRBCalcPts[PLAYER],MATCH(TableRBRanks31[[#This Row],[RK]],TableRBCalcPts[RK],0)),"")</f>
        <v>David Montgomery</v>
      </c>
      <c r="R22" s="58" t="str">
        <f>IFERROR(INDEX(TableRBCalcPts[TM],MATCH(TableRBRanks31[[#This Row],[Player]],TableRBCalcPts[PLAYER],0)),"")</f>
        <v>HOU</v>
      </c>
      <c r="S22" s="58">
        <f>IFERROR(INDEX(TableRBCalcPts[BYE],MATCH(TableRBRanks31[[#This Row],[Player]],TableRBCalcPts[PLAYER],0)),"")</f>
        <v>8</v>
      </c>
      <c r="T22" s="100">
        <f>IFERROR((VLOOKUP(TableRBRanks31[[#This Row],[Player]],RB!B:O,4,FALSE)),"")</f>
        <v>247.18441510000002</v>
      </c>
      <c r="U22" s="100">
        <f>IFERROR((VLOOKUP(TableRBRanks31[[#This Row],[Player]],RB!B:O,5,FALSE)),"")</f>
        <v>1060.4211407790001</v>
      </c>
      <c r="V22" s="100">
        <f>IFERROR((VLOOKUP(TableRBRanks31[[#This Row],[Player]],RB!B:O,6,FALSE)),"")</f>
        <v>8.6514545285000022</v>
      </c>
      <c r="W22" s="100">
        <f>IFERROR((VLOOKUP(TableRBRanks31[[#This Row],[Player]],RB!B:O,7,FALSE)),"")</f>
        <v>34.946013059999999</v>
      </c>
      <c r="X22" s="100">
        <f>IFERROR((VLOOKUP(TableRBRanks31[[#This Row],[Player]],RB!B:O,8,FALSE)),"")</f>
        <v>27.397674239040001</v>
      </c>
      <c r="Y22" s="100">
        <f>IFERROR((VLOOKUP(TableRBRanks31[[#This Row],[Player]],RB!B:O,9,FALSE)),"")</f>
        <v>192.6056499004512</v>
      </c>
      <c r="Z22" s="100">
        <f>IFERROR((VLOOKUP(TableRBRanks31[[#This Row],[Player]],RB!B:O,10,FALSE)),"")</f>
        <v>0.74105833665154963</v>
      </c>
      <c r="AA22" s="95">
        <f>IFERROR((IFERROR(INDEX(TableRBCalcPts[Custom],MATCH(TableRBRanks31[[#This Row],[RK]],TableRBCalcPts[RK],0)),"")),"")</f>
        <v>195.35659337837441</v>
      </c>
      <c r="AB2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13.729950734926014</v>
      </c>
      <c r="AD22" s="145">
        <v>21</v>
      </c>
      <c r="AE22" s="145" t="str">
        <f>IFERROR(INDEX(TableWRCalcPts[PLAYER],MATCH(TableWRRanks32[[#This Row],[RK]],TableWRCalcPts[RK],0)),"")</f>
        <v>Luther Burden</v>
      </c>
      <c r="AF22" s="145" t="str">
        <f>IFERROR(INDEX(TableWRCalcPts[TM],MATCH(TableWRRanks32[[#This Row],[Player]],TableWRCalcPts[PLAYER],0)),"")</f>
        <v>CHI</v>
      </c>
      <c r="AG22" s="145">
        <f>IFERROR(INDEX(TableWRCalcPts[BYE],MATCH(TableWRRanks32[[#This Row],[Player]],TableWRCalcPts[PLAYER],0)),"")</f>
        <v>10</v>
      </c>
      <c r="AH22" s="146">
        <f>IFERROR((VLOOKUP(TableWRRanks32[[#This Row],[Player]],WR!B:O,4,FALSE)),"")</f>
        <v>49.025872562294488</v>
      </c>
      <c r="AI22" s="146">
        <f>IFERROR((VLOOKUP(TableWRRanks32[[#This Row],[Player]],WR!B:O,5,FALSE)),"")</f>
        <v>0.28516944981580605</v>
      </c>
      <c r="AJ22" s="146">
        <f>IFERROR((VLOOKUP(TableWRRanks32[[#This Row],[Player]],WR!B:O,6,FALSE)),"")</f>
        <v>130.26901272000001</v>
      </c>
      <c r="AK22" s="146">
        <f>IFERROR((VLOOKUP(TableWRRanks32[[#This Row],[Player]],WR!B:O,7,FALSE)),"")</f>
        <v>81.027325911840009</v>
      </c>
      <c r="AL22" s="146">
        <f>IFERROR((VLOOKUP(TableWRRanks32[[#This Row],[Player]],WR!B:O,8,FALSE)),"")</f>
        <v>1060.6476961859858</v>
      </c>
      <c r="AM22" s="146">
        <f>IFERROR((VLOOKUP(TableWRRanks32[[#This Row],[Player]],WR!B:O,9,FALSE)),"")</f>
        <v>6.4821860729472007</v>
      </c>
      <c r="AN22" s="147">
        <f>IFERROR((IFERROR(INDEX(TableWRCalcPts[Custom],MATCH(TableWRRanks32[[#This Row],[RK]],TableWRCalcPts[RK],0)),"")),"")</f>
        <v>192.08515296732605</v>
      </c>
      <c r="AO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19.126181339935304</v>
      </c>
      <c r="AQ22" s="145">
        <v>21</v>
      </c>
      <c r="AR22" s="145" t="str">
        <f>IFERROR(INDEX(TableTECalcPts[PLAYER],MATCH(TableTERanks33[[#This Row],[RK]],TableTECalcPts[RK],0)),"")</f>
        <v>Pat Freiermuth</v>
      </c>
      <c r="AS22" s="145" t="str">
        <f>IFERROR(INDEX(TableTECalcPts[TM],MATCH(TableTERanks33[[#This Row],[Player]],TableTECalcPts[PLAYER],0)),"")</f>
        <v>PIT</v>
      </c>
      <c r="AT22" s="145">
        <f>IFERROR(INDEX(TableTECalcPts[BYE],MATCH(TableTERanks33[[#This Row],[Player]],TableTECalcPts[PLAYER],0)),"")</f>
        <v>9</v>
      </c>
      <c r="AU22" s="146">
        <f>IFERROR((VLOOKUP(TableTERanks33[[#This Row],[Player]],TE!B:O,4,FALSE)),"")</f>
        <v>80.089128000000002</v>
      </c>
      <c r="AV22" s="146">
        <f>IFERROR((VLOOKUP(TableTERanks33[[#This Row],[Player]],TE!B:O,5,FALSE)),"")</f>
        <v>55.00196004206623</v>
      </c>
      <c r="AW22" s="146">
        <f>IFERROR((VLOOKUP(TableTERanks33[[#This Row],[Player]],TE!B:O,6,FALSE)),"")</f>
        <v>563.08809526283449</v>
      </c>
      <c r="AX22" s="146">
        <f>IFERROR((VLOOKUP(TableTERanks33[[#This Row],[Player]],TE!B:O,7,FALSE)),"")</f>
        <v>4.2098947371655635</v>
      </c>
      <c r="AY22" s="147">
        <f>IFERROR((IFERROR(INDEX(TableTECalcPts[Custom],MATCH(TableTERanks33[[#This Row],[RK]],TableTECalcPts[RK],0)),"")),"")</f>
        <v>109.06915797030996</v>
      </c>
      <c r="AZ2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5.8586739275230908</v>
      </c>
      <c r="BA2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5.8586739275230908</v>
      </c>
    </row>
    <row r="23" spans="1:53" x14ac:dyDescent="0.25">
      <c r="A23" s="145">
        <v>22</v>
      </c>
      <c r="B23" s="145" t="str">
        <f>IFERROR(INDEX(TableQBCalcPts[PLAYER],MATCH(TableQBRanks30[[#This Row],[RK]],TableQBCalcPts[RK],0)),"")</f>
        <v>Malik Willis</v>
      </c>
      <c r="C23" s="145" t="str">
        <f>IFERROR(INDEX(TableQBCalcPts[TM],MATCH(TableQBRanks30[[#This Row],[Player]],TableQBCalcPts[PLAYER],0)),"")</f>
        <v>MIA</v>
      </c>
      <c r="D23" s="145">
        <f>IFERROR(INDEX(TableQBCalcPts[BYE],MATCH(TableQBRanks30[[#This Row],[Player]],TableQBCalcPts[PLAYER],0)),"")</f>
        <v>6</v>
      </c>
      <c r="E23" s="146">
        <f>IFERROR((VLOOKUP(TableQBRanks30[[#This Row],[Player]],QB!B:O,4,FALSE)),"")</f>
        <v>487.42209000000003</v>
      </c>
      <c r="F23" s="146">
        <f>IFERROR((VLOOKUP(TableQBRanks30[[#This Row],[Player]],QB!B:O,5,FALSE)),"")</f>
        <v>321.86930607687435</v>
      </c>
      <c r="G23" s="146">
        <f>IFERROR((VLOOKUP(TableQBRanks30[[#This Row],[Player]],QB!B:O,6,FALSE)),"")</f>
        <v>3469.7511195087054</v>
      </c>
      <c r="H23" s="146">
        <f>IFERROR((VLOOKUP(TableQBRanks30[[#This Row],[Player]],QB!B:O,7,FALSE)),"")</f>
        <v>18.024681140304963</v>
      </c>
      <c r="I23" s="146">
        <f>IFERROR((VLOOKUP(TableQBRanks30[[#This Row],[Player]],QB!B:O,8,FALSE)),"")</f>
        <v>10.257034655343029</v>
      </c>
      <c r="J23" s="146">
        <f>IFERROR((VLOOKUP(TableQBRanks30[[#This Row],[Player]],QB!B:O,9,FALSE)),"")</f>
        <v>109.2995619288657</v>
      </c>
      <c r="K23" s="146">
        <f>IFERROR((VLOOKUP(TableQBRanks30[[#This Row],[Player]],QB!B:O,10,FALSE)),"")</f>
        <v>598.9615993701841</v>
      </c>
      <c r="L23" s="146">
        <f>IFERROR((VLOOKUP(TableQBRanks30[[#This Row],[Player]],QB!B:O,11,FALSE)),"")</f>
        <v>4.6998811629412245</v>
      </c>
      <c r="M23" s="147">
        <f>IFERROR(INDEX(TableQBCalcPts[Custom],MATCH(TableQBRanks30[[#This Row],[RK]],TableQBCalcPts[RK],0)),"")</f>
        <v>356.96347448918812</v>
      </c>
      <c r="N2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9.5179705225548545</v>
      </c>
      <c r="P23" s="58">
        <v>22</v>
      </c>
      <c r="Q23" s="58" t="str">
        <f>IFERROR(INDEX(TableRBCalcPts[PLAYER],MATCH(TableRBRanks31[[#This Row],[RK]],TableRBCalcPts[RK],0)),"")</f>
        <v>TreVeyon Henderson</v>
      </c>
      <c r="R23" s="58" t="str">
        <f>IFERROR(INDEX(TableRBCalcPts[TM],MATCH(TableRBRanks31[[#This Row],[Player]],TableRBCalcPts[PLAYER],0)),"")</f>
        <v>NE</v>
      </c>
      <c r="S23" s="58">
        <f>IFERROR(INDEX(TableRBCalcPts[BYE],MATCH(TableRBRanks31[[#This Row],[Player]],TableRBCalcPts[PLAYER],0)),"")</f>
        <v>11</v>
      </c>
      <c r="T23" s="100">
        <f>IFERROR((VLOOKUP(TableRBRanks31[[#This Row],[Player]],RB!B:O,4,FALSE)),"")</f>
        <v>175.99039919999998</v>
      </c>
      <c r="U23" s="100">
        <f>IFERROR((VLOOKUP(TableRBRanks31[[#This Row],[Player]],RB!B:O,5,FALSE)),"")</f>
        <v>824.46444890520854</v>
      </c>
      <c r="V23" s="100">
        <f>IFERROR((VLOOKUP(TableRBRanks31[[#This Row],[Player]],RB!B:O,6,FALSE)),"")</f>
        <v>7.0396159679999997</v>
      </c>
      <c r="W23" s="100">
        <f>IFERROR((VLOOKUP(TableRBRanks31[[#This Row],[Player]],RB!B:O,7,FALSE)),"")</f>
        <v>56.719499199999973</v>
      </c>
      <c r="X23" s="100">
        <f>IFERROR((VLOOKUP(TableRBRanks31[[#This Row],[Player]],RB!B:O,8,FALSE)),"")</f>
        <v>45.205440862399982</v>
      </c>
      <c r="Y23" s="100">
        <f>IFERROR((VLOOKUP(TableRBRanks31[[#This Row],[Player]],RB!B:O,9,FALSE)),"")</f>
        <v>337.68464324212783</v>
      </c>
      <c r="Z23" s="100">
        <f>IFERROR((VLOOKUP(TableRBRanks31[[#This Row],[Player]],RB!B:O,10,FALSE)),"")</f>
        <v>1.6022945799520392</v>
      </c>
      <c r="AA23" s="95">
        <f>IFERROR((IFERROR(INDEX(TableRBCalcPts[Custom],MATCH(TableRBRanks31[[#This Row],[RK]],TableRBCalcPts[RK],0)),"")),"")</f>
        <v>190.66909293364586</v>
      </c>
      <c r="AB2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13.025407462532232</v>
      </c>
      <c r="AD23" s="145">
        <v>22</v>
      </c>
      <c r="AE23" s="145" t="str">
        <f>IFERROR(INDEX(TableWRCalcPts[PLAYER],MATCH(TableWRRanks32[[#This Row],[RK]],TableWRCalcPts[RK],0)),"")</f>
        <v>Davante Adams</v>
      </c>
      <c r="AF23" s="145" t="str">
        <f>IFERROR(INDEX(TableWRCalcPts[TM],MATCH(TableWRRanks32[[#This Row],[Player]],TableWRCalcPts[PLAYER],0)),"")</f>
        <v>LAR</v>
      </c>
      <c r="AG23" s="145">
        <f>IFERROR(INDEX(TableWRCalcPts[BYE],MATCH(TableWRRanks32[[#This Row],[Player]],TableWRCalcPts[PLAYER],0)),"")</f>
        <v>11</v>
      </c>
      <c r="AH23" s="146">
        <f>IFERROR((VLOOKUP(TableWRRanks32[[#This Row],[Player]],WR!B:O,4,FALSE)),"")</f>
        <v>0</v>
      </c>
      <c r="AI23" s="146">
        <f>IFERROR((VLOOKUP(TableWRRanks32[[#This Row],[Player]],WR!B:O,5,FALSE)),"")</f>
        <v>0</v>
      </c>
      <c r="AJ23" s="146">
        <f>IFERROR((VLOOKUP(TableWRRanks32[[#This Row],[Player]],WR!B:O,6,FALSE)),"")</f>
        <v>126.66263358908101</v>
      </c>
      <c r="AK23" s="146">
        <f>IFERROR((VLOOKUP(TableWRRanks32[[#This Row],[Player]],WR!B:O,7,FALSE)),"")</f>
        <v>68.651147405281918</v>
      </c>
      <c r="AL23" s="146">
        <f>IFERROR((VLOOKUP(TableWRRanks32[[#This Row],[Player]],WR!B:O,8,FALSE)),"")</f>
        <v>908.2137547965624</v>
      </c>
      <c r="AM23" s="146">
        <f>IFERROR((VLOOKUP(TableWRRanks32[[#This Row],[Player]],WR!B:O,9,FALSE)),"")</f>
        <v>10.778230142629262</v>
      </c>
      <c r="AN23" s="147">
        <f>IFERROR((IFERROR(INDEX(TableWRCalcPts[Custom],MATCH(TableWRRanks32[[#This Row],[RK]],TableWRCalcPts[RK],0)),"")),"")</f>
        <v>189.81633003807275</v>
      </c>
      <c r="AO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18.699918998761611</v>
      </c>
      <c r="AQ23" s="145">
        <v>22</v>
      </c>
      <c r="AR23" s="145" t="str">
        <f>IFERROR(INDEX(TableTECalcPts[PLAYER],MATCH(TableTERanks33[[#This Row],[RK]],TableTECalcPts[RK],0)),"")</f>
        <v>Juwan Johnson</v>
      </c>
      <c r="AS23" s="145" t="str">
        <f>IFERROR(INDEX(TableTECalcPts[TM],MATCH(TableTERanks33[[#This Row],[Player]],TableTECalcPts[PLAYER],0)),"")</f>
        <v>NO</v>
      </c>
      <c r="AT23" s="145">
        <f>IFERROR(INDEX(TableTECalcPts[BYE],MATCH(TableTERanks33[[#This Row],[Player]],TableTECalcPts[PLAYER],0)),"")</f>
        <v>8</v>
      </c>
      <c r="AU23" s="146">
        <f>IFERROR((VLOOKUP(TableTERanks33[[#This Row],[Player]],TE!B:O,4,FALSE)),"")</f>
        <v>75.659386879999985</v>
      </c>
      <c r="AV23" s="146">
        <f>IFERROR((VLOOKUP(TableTERanks33[[#This Row],[Player]],TE!B:O,5,FALSE)),"")</f>
        <v>52.280636334079986</v>
      </c>
      <c r="AW23" s="146">
        <f>IFERROR((VLOOKUP(TableTERanks33[[#This Row],[Player]],TE!B:O,6,FALSE)),"")</f>
        <v>568.08452249082939</v>
      </c>
      <c r="AX23" s="146">
        <f>IFERROR((VLOOKUP(TableTERanks33[[#This Row],[Player]],TE!B:O,7,FALSE)),"")</f>
        <v>2.9799962710425594</v>
      </c>
      <c r="AY23" s="147">
        <f>IFERROR((IFERROR(INDEX(TableTECalcPts[Custom],MATCH(TableTERanks33[[#This Row],[RK]],TableTECalcPts[RK],0)),"")),"")</f>
        <v>100.82874804237828</v>
      </c>
      <c r="AZ2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4.3104806406776035</v>
      </c>
      <c r="BA2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4.3104806406776035</v>
      </c>
    </row>
    <row r="24" spans="1:53" x14ac:dyDescent="0.25">
      <c r="A24" s="145">
        <v>23</v>
      </c>
      <c r="B24" s="145" t="str">
        <f>IFERROR(INDEX(TableQBCalcPts[PLAYER],MATCH(TableQBRanks30[[#This Row],[RK]],TableQBCalcPts[RK],0)),"")</f>
        <v>Tyler Shough</v>
      </c>
      <c r="C24" s="145" t="str">
        <f>IFERROR(INDEX(TableQBCalcPts[TM],MATCH(TableQBRanks30[[#This Row],[Player]],TableQBCalcPts[PLAYER],0)),"")</f>
        <v>NO</v>
      </c>
      <c r="D24" s="145">
        <f>IFERROR(INDEX(TableQBCalcPts[BYE],MATCH(TableQBRanks30[[#This Row],[Player]],TableQBCalcPts[PLAYER],0)),"")</f>
        <v>8</v>
      </c>
      <c r="E24" s="146">
        <f>IFERROR((VLOOKUP(TableQBRanks30[[#This Row],[Player]],QB!B:O,4,FALSE)),"")</f>
        <v>502.59967999999998</v>
      </c>
      <c r="F24" s="146">
        <f>IFERROR((VLOOKUP(TableQBRanks30[[#This Row],[Player]],QB!B:O,5,FALSE)),"")</f>
        <v>333.12133515137799</v>
      </c>
      <c r="G24" s="146">
        <f>IFERROR((VLOOKUP(TableQBRanks30[[#This Row],[Player]],QB!B:O,6,FALSE)),"")</f>
        <v>3631.02255315002</v>
      </c>
      <c r="H24" s="146">
        <f>IFERROR((VLOOKUP(TableQBRanks30[[#This Row],[Player]],QB!B:O,7,FALSE)),"")</f>
        <v>21.986008119990949</v>
      </c>
      <c r="I24" s="146">
        <f>IFERROR((VLOOKUP(TableQBRanks30[[#This Row],[Player]],QB!B:O,8,FALSE)),"")</f>
        <v>9.9773578308792974</v>
      </c>
      <c r="J24" s="146">
        <f>IFERROR((VLOOKUP(TableQBRanks30[[#This Row],[Player]],QB!B:O,9,FALSE)),"")</f>
        <v>75.848048639999988</v>
      </c>
      <c r="K24" s="146">
        <f>IFERROR((VLOOKUP(TableQBRanks30[[#This Row],[Player]],QB!B:O,10,FALSE)),"")</f>
        <v>312.49396039679993</v>
      </c>
      <c r="L24" s="146">
        <f>IFERROR((VLOOKUP(TableQBRanks30[[#This Row],[Player]],QB!B:O,11,FALSE)),"")</f>
        <v>4.019946577919999</v>
      </c>
      <c r="M24" s="147">
        <f>IFERROR(INDEX(TableQBCalcPts[Custom],MATCH(TableQBRanks30[[#This Row],[RK]],TableQBCalcPts[RK],0)),"")</f>
        <v>355.86080203740499</v>
      </c>
      <c r="N2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9.2015544088506829</v>
      </c>
      <c r="P24" s="58">
        <v>23</v>
      </c>
      <c r="Q24" s="58" t="str">
        <f>IFERROR(INDEX(TableRBCalcPts[PLAYER],MATCH(TableRBRanks31[[#This Row],[RK]],TableRBCalcPts[RK],0)),"")</f>
        <v>Rhamondre Stevenson</v>
      </c>
      <c r="R24" s="58" t="str">
        <f>IFERROR(INDEX(TableRBCalcPts[TM],MATCH(TableRBRanks31[[#This Row],[Player]],TableRBCalcPts[PLAYER],0)),"")</f>
        <v>NE</v>
      </c>
      <c r="S24" s="58">
        <f>IFERROR(INDEX(TableRBCalcPts[BYE],MATCH(TableRBRanks31[[#This Row],[Player]],TableRBCalcPts[PLAYER],0)),"")</f>
        <v>11</v>
      </c>
      <c r="T24" s="100">
        <f>IFERROR((VLOOKUP(TableRBRanks31[[#This Row],[Player]],RB!B:O,4,FALSE)),"")</f>
        <v>160.43569219999998</v>
      </c>
      <c r="U24" s="100">
        <f>IFERROR((VLOOKUP(TableRBRanks31[[#This Row],[Player]],RB!B:O,5,FALSE)),"")</f>
        <v>717.14754413399987</v>
      </c>
      <c r="V24" s="100">
        <f>IFERROR((VLOOKUP(TableRBRanks31[[#This Row],[Player]],RB!B:O,6,FALSE)),"")</f>
        <v>7.2196061489999988</v>
      </c>
      <c r="W24" s="100">
        <f>IFERROR((VLOOKUP(TableRBRanks31[[#This Row],[Player]],RB!B:O,7,FALSE)),"")</f>
        <v>53.447220399999971</v>
      </c>
      <c r="X24" s="100">
        <f>IFERROR((VLOOKUP(TableRBRanks31[[#This Row],[Player]],RB!B:O,8,FALSE)),"")</f>
        <v>44.361192931999973</v>
      </c>
      <c r="Y24" s="100">
        <f>IFERROR((VLOOKUP(TableRBRanks31[[#This Row],[Player]],RB!B:O,9,FALSE)),"")</f>
        <v>388.60405008431974</v>
      </c>
      <c r="Z24" s="100">
        <f>IFERROR((VLOOKUP(TableRBRanks31[[#This Row],[Player]],RB!B:O,10,FALSE)),"")</f>
        <v>2.1634115036045016</v>
      </c>
      <c r="AA24" s="95">
        <f>IFERROR((IFERROR(INDEX(TableRBCalcPts[Custom],MATCH(TableRBRanks31[[#This Row],[RK]],TableRBCalcPts[RK],0)),"")),"")</f>
        <v>189.05386180345894</v>
      </c>
      <c r="AB2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12.782634103990164</v>
      </c>
      <c r="AD24" s="145">
        <v>23</v>
      </c>
      <c r="AE24" s="145" t="str">
        <f>IFERROR(INDEX(TableWRCalcPts[PLAYER],MATCH(TableWRRanks32[[#This Row],[RK]],TableWRCalcPts[RK],0)),"")</f>
        <v>Garrett Wilson</v>
      </c>
      <c r="AF24" s="145" t="str">
        <f>IFERROR(INDEX(TableWRCalcPts[TM],MATCH(TableWRRanks32[[#This Row],[Player]],TableWRCalcPts[PLAYER],0)),"")</f>
        <v>NYJ</v>
      </c>
      <c r="AG24" s="145">
        <f>IFERROR(INDEX(TableWRCalcPts[BYE],MATCH(TableWRRanks32[[#This Row],[Player]],TableWRCalcPts[PLAYER],0)),"")</f>
        <v>13</v>
      </c>
      <c r="AH24" s="146">
        <f>IFERROR((VLOOKUP(TableWRRanks32[[#This Row],[Player]],WR!B:O,4,FALSE)),"")</f>
        <v>0</v>
      </c>
      <c r="AI24" s="146">
        <f>IFERROR((VLOOKUP(TableWRRanks32[[#This Row],[Player]],WR!B:O,5,FALSE)),"")</f>
        <v>0</v>
      </c>
      <c r="AJ24" s="146">
        <f>IFERROR((VLOOKUP(TableWRRanks32[[#This Row],[Player]],WR!B:O,6,FALSE)),"")</f>
        <v>146.68129861471982</v>
      </c>
      <c r="AK24" s="146">
        <f>IFERROR((VLOOKUP(TableWRRanks32[[#This Row],[Player]],WR!B:O,7,FALSE)),"")</f>
        <v>95.30946951512766</v>
      </c>
      <c r="AL24" s="146">
        <f>IFERROR((VLOOKUP(TableWRRanks32[[#This Row],[Player]],WR!B:O,8,FALSE)),"")</f>
        <v>1088.9716395451674</v>
      </c>
      <c r="AM24" s="146">
        <f>IFERROR((VLOOKUP(TableWRRanks32[[#This Row],[Player]],WR!B:O,9,FALSE)),"")</f>
        <v>5.4326397623622764</v>
      </c>
      <c r="AN24" s="147">
        <f>IFERROR((IFERROR(INDEX(TableWRCalcPts[Custom],MATCH(TableWRRanks32[[#This Row],[RK]],TableWRCalcPts[RK],0)),"")),"")</f>
        <v>189.14773728625423</v>
      </c>
      <c r="AO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18.574305003941962</v>
      </c>
      <c r="AQ24" s="145">
        <v>23</v>
      </c>
      <c r="AR24" s="145" t="str">
        <f>IFERROR(INDEX(TableTECalcPts[PLAYER],MATCH(TableTERanks33[[#This Row],[RK]],TableTECalcPts[RK],0)),"")</f>
        <v>Terrance Ferguson</v>
      </c>
      <c r="AS24" s="145" t="str">
        <f>IFERROR(INDEX(TableTECalcPts[TM],MATCH(TableTERanks33[[#This Row],[Player]],TableTECalcPts[PLAYER],0)),"")</f>
        <v>LAR</v>
      </c>
      <c r="AT24" s="145">
        <f>IFERROR(INDEX(TableTECalcPts[BYE],MATCH(TableTERanks33[[#This Row],[Player]],TableTECalcPts[PLAYER],0)),"")</f>
        <v>11</v>
      </c>
      <c r="AU24" s="146">
        <f>IFERROR((VLOOKUP(TableTERanks33[[#This Row],[Player]],TE!B:O,4,FALSE)),"")</f>
        <v>62.200400423209423</v>
      </c>
      <c r="AV24" s="146">
        <f>IFERROR((VLOOKUP(TableTERanks33[[#This Row],[Player]],TE!B:O,5,FALSE)),"")</f>
        <v>41.736468683973527</v>
      </c>
      <c r="AW24" s="146">
        <f>IFERROR((VLOOKUP(TableTERanks33[[#This Row],[Player]],TE!B:O,6,FALSE)),"")</f>
        <v>505.84600044975912</v>
      </c>
      <c r="AX24" s="146">
        <f>IFERROR((VLOOKUP(TableTERanks33[[#This Row],[Player]],TE!B:O,7,FALSE)),"")</f>
        <v>4.6744844926050355</v>
      </c>
      <c r="AY24" s="147">
        <f>IFERROR((IFERROR(INDEX(TableTECalcPts[Custom],MATCH(TableTERanks33[[#This Row],[RK]],TableTECalcPts[RK],0)),"")),"")</f>
        <v>99.499741342592898</v>
      </c>
      <c r="AZ2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4.0607892698871648</v>
      </c>
      <c r="BA2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4.0607892698871648</v>
      </c>
    </row>
    <row r="25" spans="1:53" x14ac:dyDescent="0.25">
      <c r="A25" s="145">
        <v>24</v>
      </c>
      <c r="B25" s="145" t="str">
        <f>IFERROR(INDEX(TableQBCalcPts[PLAYER],MATCH(TableQBRanks30[[#This Row],[RK]],TableQBCalcPts[RK],0)),"")</f>
        <v>Cam Ward</v>
      </c>
      <c r="C25" s="145" t="str">
        <f>IFERROR(INDEX(TableQBCalcPts[TM],MATCH(TableQBRanks30[[#This Row],[Player]],TableQBCalcPts[PLAYER],0)),"")</f>
        <v>TEN</v>
      </c>
      <c r="D25" s="145">
        <f>IFERROR(INDEX(TableQBCalcPts[BYE],MATCH(TableQBRanks30[[#This Row],[Player]],TableQBCalcPts[PLAYER],0)),"")</f>
        <v>9</v>
      </c>
      <c r="E25" s="146">
        <f>IFERROR((VLOOKUP(TableQBRanks30[[#This Row],[Player]],QB!B:O,4,FALSE)),"")</f>
        <v>549.23904000000005</v>
      </c>
      <c r="F25" s="146">
        <f>IFERROR((VLOOKUP(TableQBRanks30[[#This Row],[Player]],QB!B:O,5,FALSE)),"")</f>
        <v>348.21755136000002</v>
      </c>
      <c r="G25" s="146">
        <f>IFERROR((VLOOKUP(TableQBRanks30[[#This Row],[Player]],QB!B:O,6,FALSE)),"")</f>
        <v>3774.6782567424002</v>
      </c>
      <c r="H25" s="146">
        <f>IFERROR((VLOOKUP(TableQBRanks30[[#This Row],[Player]],QB!B:O,7,FALSE)),"")</f>
        <v>22.982358389760002</v>
      </c>
      <c r="I25" s="146">
        <f>IFERROR((VLOOKUP(TableQBRanks30[[#This Row],[Player]],QB!B:O,8,FALSE)),"")</f>
        <v>9.1409335663914177</v>
      </c>
      <c r="J25" s="146">
        <f>IFERROR((VLOOKUP(TableQBRanks30[[#This Row],[Player]],QB!B:O,9,FALSE)),"")</f>
        <v>50.439110399999997</v>
      </c>
      <c r="K25" s="146">
        <f>IFERROR((VLOOKUP(TableQBRanks30[[#This Row],[Player]],QB!B:O,10,FALSE)),"")</f>
        <v>212.48358773351441</v>
      </c>
      <c r="L25" s="146">
        <f>IFERROR((VLOOKUP(TableQBRanks30[[#This Row],[Player]],QB!B:O,11,FALSE)),"")</f>
        <v>2.6228337407999995</v>
      </c>
      <c r="M25" s="147">
        <f>IFERROR(INDEX(TableQBCalcPts[Custom],MATCH(TableQBRanks30[[#This Row],[RK]],TableQBCalcPts[RK],0)),"")</f>
        <v>351.54746339601598</v>
      </c>
      <c r="N2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8.3871371267846175</v>
      </c>
      <c r="P25" s="58">
        <v>24</v>
      </c>
      <c r="Q25" s="58" t="str">
        <f>IFERROR(INDEX(TableRBCalcPts[PLAYER],MATCH(TableRBRanks31[[#This Row],[RK]],TableRBCalcPts[RK],0)),"")</f>
        <v>Quinshon Judkins</v>
      </c>
      <c r="R25" s="58" t="str">
        <f>IFERROR(INDEX(TableRBCalcPts[TM],MATCH(TableRBRanks31[[#This Row],[Player]],TableRBCalcPts[PLAYER],0)),"")</f>
        <v>CLE</v>
      </c>
      <c r="S25" s="58">
        <f>IFERROR(INDEX(TableRBCalcPts[BYE],MATCH(TableRBRanks31[[#This Row],[Player]],TableRBCalcPts[PLAYER],0)),"")</f>
        <v>11</v>
      </c>
      <c r="T25" s="100">
        <f>IFERROR((VLOOKUP(TableRBRanks31[[#This Row],[Player]],RB!B:O,4,FALSE)),"")</f>
        <v>277.13410200000004</v>
      </c>
      <c r="U25" s="100">
        <f>IFERROR((VLOOKUP(TableRBRanks31[[#This Row],[Player]],RB!B:O,5,FALSE)),"")</f>
        <v>1136.2498182000002</v>
      </c>
      <c r="V25" s="100">
        <f>IFERROR((VLOOKUP(TableRBRanks31[[#This Row],[Player]],RB!B:O,6,FALSE)),"")</f>
        <v>7.8968420827102275</v>
      </c>
      <c r="W25" s="100">
        <f>IFERROR((VLOOKUP(TableRBRanks31[[#This Row],[Player]],RB!B:O,7,FALSE)),"")</f>
        <v>29.193317999999998</v>
      </c>
      <c r="X25" s="100">
        <f>IFERROR((VLOOKUP(TableRBRanks31[[#This Row],[Player]],RB!B:O,8,FALSE)),"")</f>
        <v>20.075148499443038</v>
      </c>
      <c r="Y25" s="100">
        <f>IFERROR((VLOOKUP(TableRBRanks31[[#This Row],[Player]],RB!B:O,9,FALSE)),"")</f>
        <v>139.75715894354431</v>
      </c>
      <c r="Z25" s="100">
        <f>IFERROR((VLOOKUP(TableRBRanks31[[#This Row],[Player]],RB!B:O,10,FALSE)),"")</f>
        <v>0.66247990048162031</v>
      </c>
      <c r="AA25" s="95">
        <f>IFERROR((IFERROR(INDEX(TableRBCalcPts[Custom],MATCH(TableRBRanks31[[#This Row],[RK]],TableRBCalcPts[RK],0)),"")),"")</f>
        <v>188.99420386322706</v>
      </c>
      <c r="AB2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12.773667363414702</v>
      </c>
      <c r="AD25" s="145">
        <v>24</v>
      </c>
      <c r="AE25" s="145" t="str">
        <f>IFERROR(INDEX(TableWRCalcPts[PLAYER],MATCH(TableWRRanks32[[#This Row],[RK]],TableWRCalcPts[RK],0)),"")</f>
        <v>Parker Washington</v>
      </c>
      <c r="AF25" s="145" t="str">
        <f>IFERROR(INDEX(TableWRCalcPts[TM],MATCH(TableWRRanks32[[#This Row],[Player]],TableWRCalcPts[PLAYER],0)),"")</f>
        <v>JAX</v>
      </c>
      <c r="AG25" s="145">
        <f>IFERROR(INDEX(TableWRCalcPts[BYE],MATCH(TableWRRanks32[[#This Row],[Player]],TableWRCalcPts[PLAYER],0)),"")</f>
        <v>7</v>
      </c>
      <c r="AH25" s="146">
        <f>IFERROR((VLOOKUP(TableWRRanks32[[#This Row],[Player]],WR!B:O,4,FALSE)),"")</f>
        <v>22.757878499999997</v>
      </c>
      <c r="AI25" s="146">
        <f>IFERROR((VLOOKUP(TableWRRanks32[[#This Row],[Player]],WR!B:O,5,FALSE)),"")</f>
        <v>0.17949876000000001</v>
      </c>
      <c r="AJ25" s="146">
        <f>IFERROR((VLOOKUP(TableWRRanks32[[#This Row],[Player]],WR!B:O,6,FALSE)),"")</f>
        <v>125.92644750000001</v>
      </c>
      <c r="AK25" s="146">
        <f>IFERROR((VLOOKUP(TableWRRanks32[[#This Row],[Player]],WR!B:O,7,FALSE)),"")</f>
        <v>78.578103240000004</v>
      </c>
      <c r="AL25" s="146">
        <f>IFERROR((VLOOKUP(TableWRRanks32[[#This Row],[Player]],WR!B:O,8,FALSE)),"")</f>
        <v>1057.6612696104</v>
      </c>
      <c r="AM25" s="146">
        <f>IFERROR((VLOOKUP(TableWRRanks32[[#This Row],[Player]],WR!B:O,9,FALSE)),"")</f>
        <v>6.6005606721600012</v>
      </c>
      <c r="AN25" s="147">
        <f>IFERROR((IFERROR(INDEX(TableWRCalcPts[Custom],MATCH(TableWRRanks32[[#This Row],[RK]],TableWRCalcPts[RK],0)),"")),"")</f>
        <v>188.01132302400001</v>
      </c>
      <c r="AO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18.360797551365625</v>
      </c>
      <c r="AQ25" s="145">
        <v>24</v>
      </c>
      <c r="AR25" s="145" t="str">
        <f>IFERROR(INDEX(TableTECalcPts[PLAYER],MATCH(TableTERanks33[[#This Row],[RK]],TableTECalcPts[RK],0)),"")</f>
        <v>Brenton Strange</v>
      </c>
      <c r="AS25" s="145" t="str">
        <f>IFERROR(INDEX(TableTECalcPts[TM],MATCH(TableTERanks33[[#This Row],[Player]],TableTECalcPts[PLAYER],0)),"")</f>
        <v>JAX</v>
      </c>
      <c r="AT25" s="145">
        <f>IFERROR(INDEX(TableTECalcPts[BYE],MATCH(TableTERanks33[[#This Row],[Player]],TableTECalcPts[PLAYER],0)),"")</f>
        <v>7</v>
      </c>
      <c r="AU25" s="146">
        <f>IFERROR((VLOOKUP(TableTERanks33[[#This Row],[Player]],TE!B:O,4,FALSE)),"")</f>
        <v>74.996195400000005</v>
      </c>
      <c r="AV25" s="146">
        <f>IFERROR((VLOOKUP(TableTERanks33[[#This Row],[Player]],TE!B:O,5,FALSE)),"")</f>
        <v>49.572485159400003</v>
      </c>
      <c r="AW25" s="146">
        <f>IFERROR((VLOOKUP(TableTERanks33[[#This Row],[Player]],TE!B:O,6,FALSE)),"")</f>
        <v>532.90421546355003</v>
      </c>
      <c r="AX25" s="146">
        <f>IFERROR((VLOOKUP(TableTERanks33[[#This Row],[Player]],TE!B:O,7,FALSE)),"")</f>
        <v>3.5196464463173998</v>
      </c>
      <c r="AY25" s="147">
        <f>IFERROR((IFERROR(INDEX(TableTECalcPts[Custom],MATCH(TableTERanks33[[#This Row],[RK]],TableTECalcPts[RK],0)),"")),"")</f>
        <v>99.194542803959408</v>
      </c>
      <c r="AZ2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4.0034491214236985</v>
      </c>
      <c r="BA2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4.0034491214236985</v>
      </c>
    </row>
    <row r="26" spans="1:53" x14ac:dyDescent="0.25">
      <c r="A26" s="145">
        <v>25</v>
      </c>
      <c r="B26" s="145" t="str">
        <f>IFERROR(INDEX(TableQBCalcPts[PLAYER],MATCH(TableQBRanks30[[#This Row],[RK]],TableQBCalcPts[RK],0)),"")</f>
        <v>Daniel Jones</v>
      </c>
      <c r="C26" s="145" t="str">
        <f>IFERROR(INDEX(TableQBCalcPts[TM],MATCH(TableQBRanks30[[#This Row],[Player]],TableQBCalcPts[PLAYER],0)),"")</f>
        <v>IND</v>
      </c>
      <c r="D26" s="145">
        <f>IFERROR(INDEX(TableQBCalcPts[BYE],MATCH(TableQBRanks30[[#This Row],[Player]],TableQBCalcPts[PLAYER],0)),"")</f>
        <v>13</v>
      </c>
      <c r="E26" s="146">
        <f>IFERROR((VLOOKUP(TableQBRanks30[[#This Row],[Player]],QB!B:O,4,FALSE)),"")</f>
        <v>479.952</v>
      </c>
      <c r="F26" s="146">
        <f>IFERROR((VLOOKUP(TableQBRanks30[[#This Row],[Player]],QB!B:O,5,FALSE)),"")</f>
        <v>318.89592338176658</v>
      </c>
      <c r="G26" s="146">
        <f>IFERROR((VLOOKUP(TableQBRanks30[[#This Row],[Player]],QB!B:O,6,FALSE)),"")</f>
        <v>3479.1545240950736</v>
      </c>
      <c r="H26" s="146">
        <f>IFERROR((VLOOKUP(TableQBRanks30[[#This Row],[Player]],QB!B:O,7,FALSE)),"")</f>
        <v>21.366026866578363</v>
      </c>
      <c r="I26" s="146">
        <f>IFERROR((VLOOKUP(TableQBRanks30[[#This Row],[Player]],QB!B:O,8,FALSE)),"")</f>
        <v>10.651129947513136</v>
      </c>
      <c r="J26" s="146">
        <f>IFERROR((VLOOKUP(TableQBRanks30[[#This Row],[Player]],QB!B:O,9,FALSE)),"")</f>
        <v>72.413768000000005</v>
      </c>
      <c r="K26" s="146">
        <f>IFERROR((VLOOKUP(TableQBRanks30[[#This Row],[Player]],QB!B:O,10,FALSE)),"")</f>
        <v>284.72435575494887</v>
      </c>
      <c r="L26" s="146">
        <f>IFERROR((VLOOKUP(TableQBRanks30[[#This Row],[Player]],QB!B:O,11,FALSE)),"")</f>
        <v>5.0689637600000008</v>
      </c>
      <c r="M26" s="147">
        <f>IFERROR(INDEX(TableQBCalcPts[Custom],MATCH(TableQBRanks30[[#This Row],[RK]],TableQBCalcPts[RK],0)),"")</f>
        <v>347.48702268943157</v>
      </c>
      <c r="N2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7.173195690276577</v>
      </c>
      <c r="P26" s="58">
        <v>25</v>
      </c>
      <c r="Q26" s="58" t="str">
        <f>IFERROR(INDEX(TableRBCalcPts[PLAYER],MATCH(TableRBRanks31[[#This Row],[RK]],TableRBCalcPts[RK],0)),"")</f>
        <v>Jadarian Price</v>
      </c>
      <c r="R26" s="58" t="str">
        <f>IFERROR(INDEX(TableRBCalcPts[TM],MATCH(TableRBRanks31[[#This Row],[Player]],TableRBCalcPts[PLAYER],0)),"")</f>
        <v>SEA</v>
      </c>
      <c r="S26" s="58">
        <f>IFERROR(INDEX(TableRBCalcPts[BYE],MATCH(TableRBRanks31[[#This Row],[Player]],TableRBCalcPts[PLAYER],0)),"")</f>
        <v>11</v>
      </c>
      <c r="T26" s="100">
        <f>IFERROR((VLOOKUP(TableRBRanks31[[#This Row],[Player]],RB!B:O,4,FALSE)),"")</f>
        <v>235.31065086231681</v>
      </c>
      <c r="U26" s="100">
        <f>IFERROR((VLOOKUP(TableRBRanks31[[#This Row],[Player]],RB!B:O,5,FALSE)),"")</f>
        <v>990.65784013035375</v>
      </c>
      <c r="V26" s="100">
        <f>IFERROR((VLOOKUP(TableRBRanks31[[#This Row],[Player]],RB!B:O,6,FALSE)),"")</f>
        <v>8.2358727801810883</v>
      </c>
      <c r="W26" s="100">
        <f>IFERROR((VLOOKUP(TableRBRanks31[[#This Row],[Player]],RB!B:O,7,FALSE)),"")</f>
        <v>29.778918959999999</v>
      </c>
      <c r="X26" s="100">
        <f>IFERROR((VLOOKUP(TableRBRanks31[[#This Row],[Player]],RB!B:O,8,FALSE)),"")</f>
        <v>21.708831921839998</v>
      </c>
      <c r="Y26" s="100">
        <f>IFERROR((VLOOKUP(TableRBRanks31[[#This Row],[Player]],RB!B:O,9,FALSE)),"")</f>
        <v>173.88774369393838</v>
      </c>
      <c r="Z26" s="100">
        <f>IFERROR((VLOOKUP(TableRBRanks31[[#This Row],[Player]],RB!B:O,10,FALSE)),"")</f>
        <v>0.93347977263911985</v>
      </c>
      <c r="AA26" s="95">
        <f>IFERROR((IFERROR(INDEX(TableRBCalcPts[Custom],MATCH(TableRBRanks31[[#This Row],[RK]],TableRBCalcPts[RK],0)),"")),"")</f>
        <v>182.32508966027049</v>
      </c>
      <c r="AB2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11.771282489019036</v>
      </c>
      <c r="AD26" s="145">
        <v>25</v>
      </c>
      <c r="AE26" s="145" t="str">
        <f>IFERROR(INDEX(TableWRCalcPts[PLAYER],MATCH(TableWRRanks32[[#This Row],[RK]],TableWRCalcPts[RK],0)),"")</f>
        <v>Emeka Egbuka</v>
      </c>
      <c r="AF26" s="145" t="str">
        <f>IFERROR(INDEX(TableWRCalcPts[TM],MATCH(TableWRRanks32[[#This Row],[Player]],TableWRCalcPts[PLAYER],0)),"")</f>
        <v>TB</v>
      </c>
      <c r="AG26" s="145">
        <f>IFERROR(INDEX(TableWRCalcPts[BYE],MATCH(TableWRRanks32[[#This Row],[Player]],TableWRCalcPts[PLAYER],0)),"")</f>
        <v>10</v>
      </c>
      <c r="AH26" s="146">
        <f>IFERROR((VLOOKUP(TableWRRanks32[[#This Row],[Player]],WR!B:O,4,FALSE)),"")</f>
        <v>0</v>
      </c>
      <c r="AI26" s="146">
        <f>IFERROR((VLOOKUP(TableWRRanks32[[#This Row],[Player]],WR!B:O,5,FALSE)),"")</f>
        <v>0</v>
      </c>
      <c r="AJ26" s="146">
        <f>IFERROR((VLOOKUP(TableWRRanks32[[#This Row],[Player]],WR!B:O,6,FALSE)),"")</f>
        <v>129.12802811999995</v>
      </c>
      <c r="AK26" s="146">
        <f>IFERROR((VLOOKUP(TableWRRanks32[[#This Row],[Player]],WR!B:O,7,FALSE)),"")</f>
        <v>72.440823775319984</v>
      </c>
      <c r="AL26" s="146">
        <f>IFERROR((VLOOKUP(TableWRRanks32[[#This Row],[Player]],WR!B:O,8,FALSE)),"")</f>
        <v>1062.7068847839441</v>
      </c>
      <c r="AM26" s="146">
        <f>IFERROR((VLOOKUP(TableWRRanks32[[#This Row],[Player]],WR!B:O,9,FALSE)),"")</f>
        <v>7.5338456726332783</v>
      </c>
      <c r="AN26" s="147">
        <f>IFERROR((IFERROR(INDEX(TableWRCalcPts[Custom],MATCH(TableWRRanks32[[#This Row],[RK]],TableWRCalcPts[RK],0)),"")),"")</f>
        <v>187.69417440185407</v>
      </c>
      <c r="AO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18.301212242863642</v>
      </c>
      <c r="AQ26" s="145">
        <v>25</v>
      </c>
      <c r="AR26" s="145" t="str">
        <f>IFERROR(INDEX(TableTECalcPts[PLAYER],MATCH(TableTERanks33[[#This Row],[RK]],TableTECalcPts[RK],0)),"")</f>
        <v>Oronde Gadsden</v>
      </c>
      <c r="AS26" s="145" t="str">
        <f>IFERROR(INDEX(TableTECalcPts[TM],MATCH(TableTERanks33[[#This Row],[Player]],TableTECalcPts[PLAYER],0)),"")</f>
        <v>LAC</v>
      </c>
      <c r="AT26" s="145">
        <f>IFERROR(INDEX(TableTECalcPts[BYE],MATCH(TableTERanks33[[#This Row],[Player]],TableTECalcPts[PLAYER],0)),"")</f>
        <v>7</v>
      </c>
      <c r="AU26" s="146">
        <f>IFERROR((VLOOKUP(TableTERanks33[[#This Row],[Player]],TE!B:O,4,FALSE)),"")</f>
        <v>64.866321519999985</v>
      </c>
      <c r="AV26" s="146">
        <f>IFERROR((VLOOKUP(TableTERanks33[[#This Row],[Player]],TE!B:O,5,FALSE)),"")</f>
        <v>46.119954600719986</v>
      </c>
      <c r="AW26" s="146">
        <f>IFERROR((VLOOKUP(TableTERanks33[[#This Row],[Player]],TE!B:O,6,FALSE)),"")</f>
        <v>531.30187700029421</v>
      </c>
      <c r="AX26" s="146">
        <f>IFERROR((VLOOKUP(TableTERanks33[[#This Row],[Player]],TE!B:O,7,FALSE)),"")</f>
        <v>3.5973564588561588</v>
      </c>
      <c r="AY26" s="147">
        <f>IFERROR((IFERROR(INDEX(TableTECalcPts[Custom],MATCH(TableTERanks33[[#This Row],[RK]],TableTECalcPts[RK],0)),"")),"")</f>
        <v>97.774303753526368</v>
      </c>
      <c r="AZ2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3.7366171818932177</v>
      </c>
      <c r="BA2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3.7366171818932177</v>
      </c>
    </row>
    <row r="27" spans="1:53" x14ac:dyDescent="0.25">
      <c r="A27" s="145">
        <v>26</v>
      </c>
      <c r="B27" s="145" t="str">
        <f>IFERROR(INDEX(TableQBCalcPts[PLAYER],MATCH(TableQBRanks30[[#This Row],[RK]],TableQBCalcPts[RK],0)),"")</f>
        <v>Bryce Young</v>
      </c>
      <c r="C27" s="145" t="str">
        <f>IFERROR(INDEX(TableQBCalcPts[TM],MATCH(TableQBRanks30[[#This Row],[Player]],TableQBCalcPts[PLAYER],0)),"")</f>
        <v>CAR</v>
      </c>
      <c r="D27" s="145">
        <f>IFERROR(INDEX(TableQBCalcPts[BYE],MATCH(TableQBRanks30[[#This Row],[Player]],TableQBCalcPts[PLAYER],0)),"")</f>
        <v>5</v>
      </c>
      <c r="E27" s="146">
        <f>IFERROR((VLOOKUP(TableQBRanks30[[#This Row],[Player]],QB!B:O,4,FALSE)),"")</f>
        <v>521.97749999999996</v>
      </c>
      <c r="F27" s="146">
        <f>IFERROR((VLOOKUP(TableQBRanks30[[#This Row],[Player]],QB!B:O,5,FALSE)),"")</f>
        <v>333.02164499999998</v>
      </c>
      <c r="G27" s="146">
        <f>IFERROR((VLOOKUP(TableQBRanks30[[#This Row],[Player]],QB!B:O,6,FALSE)),"")</f>
        <v>3466.0202038358811</v>
      </c>
      <c r="H27" s="146">
        <f>IFERROR((VLOOKUP(TableQBRanks30[[#This Row],[Player]],QB!B:O,7,FALSE)),"")</f>
        <v>23.311515150000002</v>
      </c>
      <c r="I27" s="146">
        <f>IFERROR((VLOOKUP(TableQBRanks30[[#This Row],[Player]],QB!B:O,8,FALSE)),"")</f>
        <v>12.028447647849639</v>
      </c>
      <c r="J27" s="146">
        <f>IFERROR((VLOOKUP(TableQBRanks30[[#This Row],[Player]],QB!B:O,9,FALSE)),"")</f>
        <v>52.240418999999989</v>
      </c>
      <c r="K27" s="146">
        <f>IFERROR((VLOOKUP(TableQBRanks30[[#This Row],[Player]],QB!B:O,10,FALSE)),"")</f>
        <v>245.52996929999995</v>
      </c>
      <c r="L27" s="146">
        <f>IFERROR((VLOOKUP(TableQBRanks30[[#This Row],[Player]],QB!B:O,11,FALSE)),"")</f>
        <v>2.1940975979999995</v>
      </c>
      <c r="M27" s="147">
        <f>IFERROR(INDEX(TableQBCalcPts[Custom],MATCH(TableQBRanks30[[#This Row],[RK]],TableQBCalcPts[RK],0)),"")</f>
        <v>337.50119842358561</v>
      </c>
      <c r="N2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5.263446569531574</v>
      </c>
      <c r="P27" s="58">
        <v>26</v>
      </c>
      <c r="Q27" s="58" t="str">
        <f>IFERROR(INDEX(TableRBCalcPts[PLAYER],MATCH(TableRBRanks31[[#This Row],[RK]],TableRBCalcPts[RK],0)),"")</f>
        <v>Kenneth Gainwell</v>
      </c>
      <c r="R27" s="58" t="str">
        <f>IFERROR(INDEX(TableRBCalcPts[TM],MATCH(TableRBRanks31[[#This Row],[Player]],TableRBCalcPts[PLAYER],0)),"")</f>
        <v>TB</v>
      </c>
      <c r="S27" s="58">
        <f>IFERROR(INDEX(TableRBCalcPts[BYE],MATCH(TableRBRanks31[[#This Row],[Player]],TableRBCalcPts[PLAYER],0)),"")</f>
        <v>10</v>
      </c>
      <c r="T27" s="100">
        <f>IFERROR((VLOOKUP(TableRBRanks31[[#This Row],[Player]],RB!B:O,4,FALSE)),"")</f>
        <v>175.09041913999999</v>
      </c>
      <c r="U27" s="100">
        <f>IFERROR((VLOOKUP(TableRBRanks31[[#This Row],[Player]],RB!B:O,5,FALSE)),"")</f>
        <v>754.6397064933999</v>
      </c>
      <c r="V27" s="100">
        <f>IFERROR((VLOOKUP(TableRBRanks31[[#This Row],[Player]],RB!B:O,6,FALSE)),"")</f>
        <v>5.7779838316200003</v>
      </c>
      <c r="W27" s="100">
        <f>IFERROR((VLOOKUP(TableRBRanks31[[#This Row],[Player]],RB!B:O,7,FALSE)),"")</f>
        <v>57.390234719999974</v>
      </c>
      <c r="X27" s="100">
        <f>IFERROR((VLOOKUP(TableRBRanks31[[#This Row],[Player]],RB!B:O,8,FALSE)),"")</f>
        <v>48.93924133279998</v>
      </c>
      <c r="Y27" s="100">
        <f>IFERROR((VLOOKUP(TableRBRanks31[[#This Row],[Player]],RB!B:O,9,FALSE)),"")</f>
        <v>354.80949966279985</v>
      </c>
      <c r="Z27" s="100">
        <f>IFERROR((VLOOKUP(TableRBRanks31[[#This Row],[Player]],RB!B:O,10,FALSE)),"")</f>
        <v>1.9575696533119993</v>
      </c>
      <c r="AA27" s="95">
        <f>IFERROR((IFERROR(INDEX(TableRBCalcPts[Custom],MATCH(TableRBRanks31[[#This Row],[RK]],TableRBCalcPts[RK],0)),"")),"")</f>
        <v>181.82786219161196</v>
      </c>
      <c r="AB2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11.696547932292388</v>
      </c>
      <c r="AD27" s="145">
        <v>26</v>
      </c>
      <c r="AE27" s="145" t="str">
        <f>IFERROR(INDEX(TableWRCalcPts[PLAYER],MATCH(TableWRRanks32[[#This Row],[RK]],TableWRCalcPts[RK],0)),"")</f>
        <v>Carnell Tate</v>
      </c>
      <c r="AF27" s="145" t="str">
        <f>IFERROR(INDEX(TableWRCalcPts[TM],MATCH(TableWRRanks32[[#This Row],[Player]],TableWRCalcPts[PLAYER],0)),"")</f>
        <v>TEN</v>
      </c>
      <c r="AG27" s="145">
        <f>IFERROR(INDEX(TableWRCalcPts[BYE],MATCH(TableWRRanks32[[#This Row],[Player]],TableWRCalcPts[PLAYER],0)),"")</f>
        <v>9</v>
      </c>
      <c r="AH27" s="146">
        <f>IFERROR((VLOOKUP(TableWRRanks32[[#This Row],[Player]],WR!B:O,4,FALSE)),"")</f>
        <v>0</v>
      </c>
      <c r="AI27" s="146">
        <f>IFERROR((VLOOKUP(TableWRRanks32[[#This Row],[Player]],WR!B:O,5,FALSE)),"")</f>
        <v>0</v>
      </c>
      <c r="AJ27" s="146">
        <f>IFERROR((VLOOKUP(TableWRRanks32[[#This Row],[Player]],WR!B:O,6,FALSE)),"")</f>
        <v>130.71889152</v>
      </c>
      <c r="AK27" s="146">
        <f>IFERROR((VLOOKUP(TableWRRanks32[[#This Row],[Player]],WR!B:O,7,FALSE)),"")</f>
        <v>80.784274959360005</v>
      </c>
      <c r="AL27" s="146">
        <f>IFERROR((VLOOKUP(TableWRRanks32[[#This Row],[Player]],WR!B:O,8,FALSE)),"")</f>
        <v>1075.2386997090816</v>
      </c>
      <c r="AM27" s="146">
        <f>IFERROR((VLOOKUP(TableWRRanks32[[#This Row],[Player]],WR!B:O,9,FALSE)),"")</f>
        <v>6.4627419967488002</v>
      </c>
      <c r="AN27" s="147">
        <f>IFERROR((IFERROR(INDEX(TableWRCalcPts[Custom],MATCH(TableWRRanks32[[#This Row],[RK]],TableWRCalcPts[RK],0)),"")),"")</f>
        <v>186.69245943108095</v>
      </c>
      <c r="AO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18.113011849115409</v>
      </c>
      <c r="AQ27" s="145">
        <v>26</v>
      </c>
      <c r="AR27" s="145" t="str">
        <f>IFERROR(INDEX(TableTECalcPts[PLAYER],MATCH(TableTERanks33[[#This Row],[RK]],TableTECalcPts[RK],0)),"")</f>
        <v>Cade Otton</v>
      </c>
      <c r="AS27" s="145" t="str">
        <f>IFERROR(INDEX(TableTECalcPts[TM],MATCH(TableTERanks33[[#This Row],[Player]],TableTECalcPts[PLAYER],0)),"")</f>
        <v>TB</v>
      </c>
      <c r="AT27" s="145">
        <f>IFERROR(INDEX(TableTECalcPts[BYE],MATCH(TableTERanks33[[#This Row],[Player]],TableTECalcPts[PLAYER],0)),"")</f>
        <v>10</v>
      </c>
      <c r="AU27" s="146">
        <f>IFERROR((VLOOKUP(TableTERanks33[[#This Row],[Player]],TE!B:O,4,FALSE)),"")</f>
        <v>73.393280939999983</v>
      </c>
      <c r="AV27" s="146">
        <f>IFERROR((VLOOKUP(TableTERanks33[[#This Row],[Player]],TE!B:O,5,FALSE)),"")</f>
        <v>48.586351982279993</v>
      </c>
      <c r="AW27" s="146">
        <f>IFERROR((VLOOKUP(TableTERanks33[[#This Row],[Player]],TE!B:O,6,FALSE)),"")</f>
        <v>469.83002366864753</v>
      </c>
      <c r="AX27" s="146">
        <f>IFERROR((VLOOKUP(TableTERanks33[[#This Row],[Player]],TE!B:O,7,FALSE)),"")</f>
        <v>2.7694220629899595</v>
      </c>
      <c r="AY27" s="147">
        <f>IFERROR((IFERROR(INDEX(TableTECalcPts[Custom],MATCH(TableTERanks33[[#This Row],[RK]],TableTECalcPts[RK],0)),"")),"")</f>
        <v>87.892710735944519</v>
      </c>
      <c r="AZ2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1.8800813897473332</v>
      </c>
      <c r="BA2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1.8800813897473332</v>
      </c>
    </row>
    <row r="28" spans="1:53" x14ac:dyDescent="0.25">
      <c r="A28" s="145">
        <v>27</v>
      </c>
      <c r="B28" s="145" t="str">
        <f>IFERROR(INDEX(TableQBCalcPts[PLAYER],MATCH(TableQBRanks30[[#This Row],[RK]],TableQBCalcPts[RK],0)),"")</f>
        <v>Aaron Rodgers</v>
      </c>
      <c r="C28" s="145" t="str">
        <f>IFERROR(INDEX(TableQBCalcPts[TM],MATCH(TableQBRanks30[[#This Row],[Player]],TableQBCalcPts[PLAYER],0)),"")</f>
        <v>PIT</v>
      </c>
      <c r="D28" s="145">
        <f>IFERROR(INDEX(TableQBCalcPts[BYE],MATCH(TableQBRanks30[[#This Row],[Player]],TableQBCalcPts[PLAYER],0)),"")</f>
        <v>9</v>
      </c>
      <c r="E28" s="146">
        <f>IFERROR((VLOOKUP(TableQBRanks30[[#This Row],[Player]],QB!B:O,4,FALSE)),"")</f>
        <v>550.62</v>
      </c>
      <c r="F28" s="146">
        <f>IFERROR((VLOOKUP(TableQBRanks30[[#This Row],[Player]],QB!B:O,5,FALSE)),"")</f>
        <v>353.45392324136321</v>
      </c>
      <c r="G28" s="146">
        <f>IFERROR((VLOOKUP(TableQBRanks30[[#This Row],[Player]],QB!B:O,6,FALSE)),"")</f>
        <v>3666.8336314867825</v>
      </c>
      <c r="H28" s="146">
        <f>IFERROR((VLOOKUP(TableQBRanks30[[#This Row],[Player]],QB!B:O,7,FALSE)),"")</f>
        <v>23.103741815921587</v>
      </c>
      <c r="I28" s="146">
        <f>IFERROR((VLOOKUP(TableQBRanks30[[#This Row],[Player]],QB!B:O,8,FALSE)),"")</f>
        <v>9.89020019921462</v>
      </c>
      <c r="J28" s="146">
        <f>IFERROR((VLOOKUP(TableQBRanks30[[#This Row],[Player]],QB!B:O,9,FALSE)),"")</f>
        <v>20.083139999999997</v>
      </c>
      <c r="K28" s="146">
        <f>IFERROR((VLOOKUP(TableQBRanks30[[#This Row],[Player]],QB!B:O,10,FALSE)),"")</f>
        <v>65.069373599999992</v>
      </c>
      <c r="L28" s="146">
        <f>IFERROR((VLOOKUP(TableQBRanks30[[#This Row],[Player]],QB!B:O,11,FALSE)),"")</f>
        <v>0.67320386565188584</v>
      </c>
      <c r="M28" s="147">
        <f>IFERROR(INDEX(TableQBCalcPts[Custom],MATCH(TableQBRanks30[[#This Row],[RK]],TableQBCalcPts[RK],0)),"")</f>
        <v>321.29714883383383</v>
      </c>
      <c r="N2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2.1718542546556341</v>
      </c>
      <c r="P28" s="58">
        <v>27</v>
      </c>
      <c r="Q28" s="58" t="str">
        <f>IFERROR(INDEX(TableRBCalcPts[PLAYER],MATCH(TableRBRanks31[[#This Row],[RK]],TableRBCalcPts[RK],0)),"")</f>
        <v>Tony Pollard</v>
      </c>
      <c r="R28" s="58" t="str">
        <f>IFERROR(INDEX(TableRBCalcPts[TM],MATCH(TableRBRanks31[[#This Row],[Player]],TableRBCalcPts[PLAYER],0)),"")</f>
        <v>TEN</v>
      </c>
      <c r="S28" s="58">
        <f>IFERROR(INDEX(TableRBCalcPts[BYE],MATCH(TableRBRanks31[[#This Row],[Player]],TableRBCalcPts[PLAYER],0)),"")</f>
        <v>9</v>
      </c>
      <c r="T28" s="100">
        <f>IFERROR((VLOOKUP(TableRBRanks31[[#This Row],[Player]],RB!B:O,4,FALSE)),"")</f>
        <v>231.14270592</v>
      </c>
      <c r="U28" s="100">
        <f>IFERROR((VLOOKUP(TableRBRanks31[[#This Row],[Player]],RB!B:O,5,FALSE)),"")</f>
        <v>1007.7821978112</v>
      </c>
      <c r="V28" s="100">
        <f>IFERROR((VLOOKUP(TableRBRanks31[[#This Row],[Player]],RB!B:O,6,FALSE)),"")</f>
        <v>6.0097103539200001</v>
      </c>
      <c r="W28" s="100">
        <f>IFERROR((VLOOKUP(TableRBRanks31[[#This Row],[Player]],RB!B:O,7,FALSE)),"")</f>
        <v>42.840645120000005</v>
      </c>
      <c r="X28" s="100">
        <f>IFERROR((VLOOKUP(TableRBRanks31[[#This Row],[Player]],RB!B:O,8,FALSE)),"")</f>
        <v>32.473209000960004</v>
      </c>
      <c r="Y28" s="100">
        <f>IFERROR((VLOOKUP(TableRBRanks31[[#This Row],[Player]],RB!B:O,9,FALSE)),"")</f>
        <v>218.21996448645123</v>
      </c>
      <c r="Z28" s="100">
        <f>IFERROR((VLOOKUP(TableRBRanks31[[#This Row],[Player]],RB!B:O,10,FALSE)),"")</f>
        <v>1.0391426880307202</v>
      </c>
      <c r="AA28" s="95">
        <f>IFERROR((IFERROR(INDEX(TableRBCalcPts[Custom],MATCH(TableRBRanks31[[#This Row],[RK]],TableRBCalcPts[RK],0)),"")),"")</f>
        <v>181.12993898194946</v>
      </c>
      <c r="AB2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11.591648293814879</v>
      </c>
      <c r="AD28" s="145">
        <v>27</v>
      </c>
      <c r="AE28" s="145" t="str">
        <f>IFERROR(INDEX(TableWRCalcPts[PLAYER],MATCH(TableWRRanks32[[#This Row],[RK]],TableWRCalcPts[RK],0)),"")</f>
        <v>DJ Moore</v>
      </c>
      <c r="AF28" s="145" t="str">
        <f>IFERROR(INDEX(TableWRCalcPts[TM],MATCH(TableWRRanks32[[#This Row],[Player]],TableWRCalcPts[PLAYER],0)),"")</f>
        <v>BUF</v>
      </c>
      <c r="AG28" s="145">
        <f>IFERROR(INDEX(TableWRCalcPts[BYE],MATCH(TableWRRanks32[[#This Row],[Player]],TableWRCalcPts[PLAYER],0)),"")</f>
        <v>7</v>
      </c>
      <c r="AH28" s="146">
        <f>IFERROR((VLOOKUP(TableWRRanks32[[#This Row],[Player]],WR!B:O,4,FALSE)),"")</f>
        <v>25.86713675</v>
      </c>
      <c r="AI28" s="146">
        <f>IFERROR((VLOOKUP(TableWRRanks32[[#This Row],[Player]],WR!B:O,5,FALSE)),"")</f>
        <v>0.15582612499999998</v>
      </c>
      <c r="AJ28" s="146">
        <f>IFERROR((VLOOKUP(TableWRRanks32[[#This Row],[Player]],WR!B:O,6,FALSE)),"")</f>
        <v>117.98472839999995</v>
      </c>
      <c r="AK28" s="146">
        <f>IFERROR((VLOOKUP(TableWRRanks32[[#This Row],[Player]],WR!B:O,7,FALSE)),"")</f>
        <v>77.113608382461507</v>
      </c>
      <c r="AL28" s="146">
        <f>IFERROR((VLOOKUP(TableWRRanks32[[#This Row],[Player]],WR!B:O,8,FALSE)),"")</f>
        <v>993.99441204992888</v>
      </c>
      <c r="AM28" s="146">
        <f>IFERROR((VLOOKUP(TableWRRanks32[[#This Row],[Player]],WR!B:O,9,FALSE)),"")</f>
        <v>7.4029064047163047</v>
      </c>
      <c r="AN28" s="147">
        <f>IFERROR((IFERROR(INDEX(TableWRCalcPts[Custom],MATCH(TableWRRanks32[[#This Row],[RK]],TableWRCalcPts[RK],0)),"")),"")</f>
        <v>185.89535424952149</v>
      </c>
      <c r="AO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17.963253171841711</v>
      </c>
      <c r="AQ28" s="145">
        <v>27</v>
      </c>
      <c r="AR28" s="145" t="str">
        <f>IFERROR(INDEX(TableTECalcPts[PLAYER],MATCH(TableTERanks33[[#This Row],[RK]],TableTECalcPts[RK],0)),"")</f>
        <v>Mike Gesicki</v>
      </c>
      <c r="AS28" s="145" t="str">
        <f>IFERROR(INDEX(TableTECalcPts[TM],MATCH(TableTERanks33[[#This Row],[Player]],TableTECalcPts[PLAYER],0)),"")</f>
        <v>CIN</v>
      </c>
      <c r="AT28" s="145">
        <f>IFERROR(INDEX(TableTECalcPts[BYE],MATCH(TableTERanks33[[#This Row],[Player]],TableTECalcPts[PLAYER],0)),"")</f>
        <v>6</v>
      </c>
      <c r="AU28" s="146">
        <f>IFERROR((VLOOKUP(TableTERanks33[[#This Row],[Player]],TE!B:O,4,FALSE)),"")</f>
        <v>61.373112500000005</v>
      </c>
      <c r="AV28" s="146">
        <f>IFERROR((VLOOKUP(TableTERanks33[[#This Row],[Player]],TE!B:O,5,FALSE)),"")</f>
        <v>42.427763056172843</v>
      </c>
      <c r="AW28" s="146">
        <f>IFERROR((VLOOKUP(TableTERanks33[[#This Row],[Player]],TE!B:O,6,FALSE)),"")</f>
        <v>435.01981948109574</v>
      </c>
      <c r="AX28" s="146">
        <f>IFERROR((VLOOKUP(TableTERanks33[[#This Row],[Player]],TE!B:O,7,FALSE)),"")</f>
        <v>3.8184986750555558</v>
      </c>
      <c r="AY28" s="147">
        <f>IFERROR((IFERROR(INDEX(TableTECalcPts[Custom],MATCH(TableTERanks33[[#This Row],[RK]],TableTECalcPts[RK],0)),"")),"")</f>
        <v>87.626855526529326</v>
      </c>
      <c r="AZ2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1.8301329946930582</v>
      </c>
      <c r="BA2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1.8301329946930582</v>
      </c>
    </row>
    <row r="29" spans="1:53" x14ac:dyDescent="0.25">
      <c r="A29" s="145">
        <v>28</v>
      </c>
      <c r="B29" s="145" t="str">
        <f>IFERROR(INDEX(TableQBCalcPts[PLAYER],MATCH(TableQBRanks30[[#This Row],[RK]],TableQBCalcPts[RK],0)),"")</f>
        <v>Jacoby Brissett</v>
      </c>
      <c r="C29" s="145" t="str">
        <f>IFERROR(INDEX(TableQBCalcPts[TM],MATCH(TableQBRanks30[[#This Row],[Player]],TableQBCalcPts[PLAYER],0)),"")</f>
        <v>ARI</v>
      </c>
      <c r="D29" s="145">
        <f>IFERROR(INDEX(TableQBCalcPts[BYE],MATCH(TableQBRanks30[[#This Row],[Player]],TableQBCalcPts[PLAYER],0)),"")</f>
        <v>14</v>
      </c>
      <c r="E29" s="146">
        <f>IFERROR((VLOOKUP(TableQBRanks30[[#This Row],[Player]],QB!B:O,4,FALSE)),"")</f>
        <v>482.18800000000005</v>
      </c>
      <c r="F29" s="146">
        <f>IFERROR((VLOOKUP(TableQBRanks30[[#This Row],[Player]],QB!B:O,5,FALSE)),"")</f>
        <v>309.56469600000003</v>
      </c>
      <c r="G29" s="146">
        <f>IFERROR((VLOOKUP(TableQBRanks30[[#This Row],[Player]],QB!B:O,6,FALSE)),"")</f>
        <v>3231.8554262400003</v>
      </c>
      <c r="H29" s="146">
        <f>IFERROR((VLOOKUP(TableQBRanks30[[#This Row],[Player]],QB!B:O,7,FALSE)),"")</f>
        <v>21.979093416000001</v>
      </c>
      <c r="I29" s="146">
        <f>IFERROR((VLOOKUP(TableQBRanks30[[#This Row],[Player]],QB!B:O,8,FALSE)),"")</f>
        <v>7.9524469492371814</v>
      </c>
      <c r="J29" s="146">
        <f>IFERROR((VLOOKUP(TableQBRanks30[[#This Row],[Player]],QB!B:O,9,FALSE)),"")</f>
        <v>44.117365599999999</v>
      </c>
      <c r="K29" s="146">
        <f>IFERROR((VLOOKUP(TableQBRanks30[[#This Row],[Player]],QB!B:O,10,FALSE)),"")</f>
        <v>208.64678278208768</v>
      </c>
      <c r="L29" s="146">
        <f>IFERROR((VLOOKUP(TableQBRanks30[[#This Row],[Player]],QB!B:O,11,FALSE)),"")</f>
        <v>1.1095870803243719</v>
      </c>
      <c r="M29" s="147">
        <f>IFERROR(INDEX(TableQBCalcPts[Custom],MATCH(TableQBRanks30[[#This Row],[RK]],TableQBCalcPts[RK],0)),"")</f>
        <v>311.67500095651786</v>
      </c>
      <c r="N2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0.28800227899591035</v>
      </c>
      <c r="P29" s="58">
        <v>28</v>
      </c>
      <c r="Q29" s="58" t="str">
        <f>IFERROR(INDEX(TableRBCalcPts[PLAYER],MATCH(TableRBRanks31[[#This Row],[RK]],TableRBCalcPts[RK],0)),"")</f>
        <v>D'Andre Swift</v>
      </c>
      <c r="R29" s="58" t="str">
        <f>IFERROR(INDEX(TableRBCalcPts[TM],MATCH(TableRBRanks31[[#This Row],[Player]],TableRBCalcPts[PLAYER],0)),"")</f>
        <v>CHI</v>
      </c>
      <c r="S29" s="58">
        <f>IFERROR(INDEX(TableRBCalcPts[BYE],MATCH(TableRBRanks31[[#This Row],[Player]],TableRBCalcPts[PLAYER],0)),"")</f>
        <v>10</v>
      </c>
      <c r="T29" s="100">
        <f>IFERROR((VLOOKUP(TableRBRanks31[[#This Row],[Player]],RB!B:O,4,FALSE)),"")</f>
        <v>191.94722567999997</v>
      </c>
      <c r="U29" s="100">
        <f>IFERROR((VLOOKUP(TableRBRanks31[[#This Row],[Player]],RB!B:O,5,FALSE)),"")</f>
        <v>859.84295708886395</v>
      </c>
      <c r="V29" s="100">
        <f>IFERROR((VLOOKUP(TableRBRanks31[[#This Row],[Player]],RB!B:O,6,FALSE)),"")</f>
        <v>7.1020473501599986</v>
      </c>
      <c r="W29" s="100">
        <f>IFERROR((VLOOKUP(TableRBRanks31[[#This Row],[Player]],RB!B:O,7,FALSE)),"")</f>
        <v>46.242679840000008</v>
      </c>
      <c r="X29" s="100">
        <f>IFERROR((VLOOKUP(TableRBRanks31[[#This Row],[Player]],RB!B:O,8,FALSE)),"")</f>
        <v>33.895884322720008</v>
      </c>
      <c r="Y29" s="100">
        <f>IFERROR((VLOOKUP(TableRBRanks31[[#This Row],[Player]],RB!B:O,9,FALSE)),"")</f>
        <v>281.56231987692786</v>
      </c>
      <c r="Z29" s="100">
        <f>IFERROR((VLOOKUP(TableRBRanks31[[#This Row],[Player]],RB!B:O,10,FALSE)),"")</f>
        <v>1.0507724140043202</v>
      </c>
      <c r="AA29" s="95">
        <f>IFERROR((IFERROR(INDEX(TableRBCalcPts[Custom],MATCH(TableRBRanks31[[#This Row],[RK]],TableRBCalcPts[RK],0)),"")),"")</f>
        <v>180.0053884429251</v>
      </c>
      <c r="AB2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11.422625479613888</v>
      </c>
      <c r="AD29" s="145">
        <v>28</v>
      </c>
      <c r="AE29" s="145" t="str">
        <f>IFERROR(INDEX(TableWRCalcPts[PLAYER],MATCH(TableWRRanks32[[#This Row],[RK]],TableWRCalcPts[RK],0)),"")</f>
        <v>Jameson Williams</v>
      </c>
      <c r="AF29" s="145" t="str">
        <f>IFERROR(INDEX(TableWRCalcPts[TM],MATCH(TableWRRanks32[[#This Row],[Player]],TableWRCalcPts[PLAYER],0)),"")</f>
        <v>DET</v>
      </c>
      <c r="AG29" s="145">
        <f>IFERROR(INDEX(TableWRCalcPts[BYE],MATCH(TableWRRanks32[[#This Row],[Player]],TableWRCalcPts[PLAYER],0)),"")</f>
        <v>6</v>
      </c>
      <c r="AH29" s="146">
        <f>IFERROR((VLOOKUP(TableWRRanks32[[#This Row],[Player]],WR!B:O,4,FALSE)),"")</f>
        <v>37.578100758581314</v>
      </c>
      <c r="AI29" s="146">
        <f>IFERROR((VLOOKUP(TableWRRanks32[[#This Row],[Player]],WR!B:O,5,FALSE)),"")</f>
        <v>0.46233416661379362</v>
      </c>
      <c r="AJ29" s="146">
        <f>IFERROR((VLOOKUP(TableWRRanks32[[#This Row],[Player]],WR!B:O,6,FALSE)),"")</f>
        <v>104.78889119999998</v>
      </c>
      <c r="AK29" s="146">
        <f>IFERROR((VLOOKUP(TableWRRanks32[[#This Row],[Player]],WR!B:O,7,FALSE)),"")</f>
        <v>65.691819008519786</v>
      </c>
      <c r="AL29" s="146">
        <f>IFERROR((VLOOKUP(TableWRRanks32[[#This Row],[Player]],WR!B:O,8,FALSE)),"")</f>
        <v>1079.9735045000655</v>
      </c>
      <c r="AM29" s="146">
        <f>IFERROR((VLOOKUP(TableWRRanks32[[#This Row],[Player]],WR!B:O,9,FALSE)),"")</f>
        <v>6.1093391677923403</v>
      </c>
      <c r="AN29" s="147">
        <f>IFERROR((IFERROR(INDEX(TableWRCalcPts[Custom],MATCH(TableWRRanks32[[#This Row],[RK]],TableWRCalcPts[RK],0)),"")),"")</f>
        <v>184.03111003656136</v>
      </c>
      <c r="AO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17.613002346847882</v>
      </c>
      <c r="AQ29" s="145">
        <v>28</v>
      </c>
      <c r="AR29" s="145" t="str">
        <f>IFERROR(INDEX(TableTECalcPts[PLAYER],MATCH(TableTERanks33[[#This Row],[RK]],TableTECalcPts[RK],0)),"")</f>
        <v>Kenyon Sadiq</v>
      </c>
      <c r="AS29" s="145" t="str">
        <f>IFERROR(INDEX(TableTECalcPts[TM],MATCH(TableTERanks33[[#This Row],[Player]],TableTECalcPts[PLAYER],0)),"")</f>
        <v>NYJ</v>
      </c>
      <c r="AT29" s="145">
        <f>IFERROR(INDEX(TableTECalcPts[BYE],MATCH(TableTERanks33[[#This Row],[Player]],TableTECalcPts[PLAYER],0)),"")</f>
        <v>13</v>
      </c>
      <c r="AU29" s="146">
        <f>IFERROR((VLOOKUP(TableTERanks33[[#This Row],[Player]],TE!B:O,4,FALSE)),"")</f>
        <v>65.191688273208825</v>
      </c>
      <c r="AV29" s="146">
        <f>IFERROR((VLOOKUP(TableTERanks33[[#This Row],[Player]],TE!B:O,5,FALSE)),"")</f>
        <v>46.840733386225139</v>
      </c>
      <c r="AW29" s="146">
        <f>IFERROR((VLOOKUP(TableTERanks33[[#This Row],[Player]],TE!B:O,6,FALSE)),"")</f>
        <v>453.82461016603662</v>
      </c>
      <c r="AX29" s="146">
        <f>IFERROR((VLOOKUP(TableTERanks33[[#This Row],[Player]],TE!B:O,7,FALSE)),"")</f>
        <v>2.9978069367184088</v>
      </c>
      <c r="AY29" s="147">
        <f>IFERROR((IFERROR(INDEX(TableTECalcPts[Custom],MATCH(TableTERanks33[[#This Row],[RK]],TableTECalcPts[RK],0)),"")),"")</f>
        <v>86.789669330026697</v>
      </c>
      <c r="AZ2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1.6728439689527574</v>
      </c>
      <c r="BA2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1.6728439689527574</v>
      </c>
    </row>
    <row r="30" spans="1:53" x14ac:dyDescent="0.25">
      <c r="A30" s="145">
        <v>29</v>
      </c>
      <c r="B30" s="145" t="str">
        <f>IFERROR(INDEX(TableQBCalcPts[PLAYER],MATCH(TableQBRanks30[[#This Row],[RK]],TableQBCalcPts[RK],0)),"")</f>
        <v>Geno Smith</v>
      </c>
      <c r="C30" s="145" t="str">
        <f>IFERROR(INDEX(TableQBCalcPts[TM],MATCH(TableQBRanks30[[#This Row],[Player]],TableQBCalcPts[PLAYER],0)),"")</f>
        <v>NYJ</v>
      </c>
      <c r="D30" s="145">
        <f>IFERROR(INDEX(TableQBCalcPts[BYE],MATCH(TableQBRanks30[[#This Row],[Player]],TableQBCalcPts[PLAYER],0)),"")</f>
        <v>13</v>
      </c>
      <c r="E30" s="146">
        <f>IFERROR((VLOOKUP(TableQBRanks30[[#This Row],[Player]],QB!B:O,4,FALSE)),"")</f>
        <v>516.07799999999997</v>
      </c>
      <c r="F30" s="146">
        <f>IFERROR((VLOOKUP(TableQBRanks30[[#This Row],[Player]],QB!B:O,5,FALSE)),"")</f>
        <v>353.25066783130609</v>
      </c>
      <c r="G30" s="146">
        <f>IFERROR((VLOOKUP(TableQBRanks30[[#This Row],[Player]],QB!B:O,6,FALSE)),"")</f>
        <v>3634.3919552186435</v>
      </c>
      <c r="H30" s="146">
        <f>IFERROR((VLOOKUP(TableQBRanks30[[#This Row],[Player]],QB!B:O,7,FALSE)),"")</f>
        <v>20.135288066384447</v>
      </c>
      <c r="I30" s="146">
        <f>IFERROR((VLOOKUP(TableQBRanks30[[#This Row],[Player]],QB!B:O,8,FALSE)),"")</f>
        <v>15.203887356812446</v>
      </c>
      <c r="J30" s="146">
        <f>IFERROR((VLOOKUP(TableQBRanks30[[#This Row],[Player]],QB!B:O,9,FALSE)),"")</f>
        <v>41.544983200000004</v>
      </c>
      <c r="K30" s="146">
        <f>IFERROR((VLOOKUP(TableQBRanks30[[#This Row],[Player]],QB!B:O,10,FALSE)),"")</f>
        <v>140.9459324385553</v>
      </c>
      <c r="L30" s="146">
        <f>IFERROR((VLOOKUP(TableQBRanks30[[#This Row],[Player]],QB!B:O,11,FALSE)),"")</f>
        <v>0.74780969760000005</v>
      </c>
      <c r="M30" s="147">
        <f>IFERROR(INDEX(TableQBCalcPts[Custom],MATCH(TableQBRanks30[[#This Row],[RK]],TableQBCalcPts[RK],0)),"")</f>
        <v>304.89003746282606</v>
      </c>
      <c r="N3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0" s="58">
        <v>29</v>
      </c>
      <c r="Q30" s="58" t="str">
        <f>IFERROR(INDEX(TableRBCalcPts[PLAYER],MATCH(TableRBRanks31[[#This Row],[RK]],TableRBCalcPts[RK],0)),"")</f>
        <v>Bucky Irving</v>
      </c>
      <c r="R30" s="58" t="str">
        <f>IFERROR(INDEX(TableRBCalcPts[TM],MATCH(TableRBRanks31[[#This Row],[Player]],TableRBCalcPts[PLAYER],0)),"")</f>
        <v>TB</v>
      </c>
      <c r="S30" s="58">
        <f>IFERROR(INDEX(TableRBCalcPts[BYE],MATCH(TableRBRanks31[[#This Row],[Player]],TableRBCalcPts[PLAYER],0)),"")</f>
        <v>10</v>
      </c>
      <c r="T30" s="100">
        <f>IFERROR((VLOOKUP(TableRBRanks31[[#This Row],[Player]],RB!B:O,4,FALSE)),"")</f>
        <v>168.58838765999997</v>
      </c>
      <c r="U30" s="100">
        <f>IFERROR((VLOOKUP(TableRBRanks31[[#This Row],[Player]],RB!B:O,5,FALSE)),"")</f>
        <v>676.03943451659984</v>
      </c>
      <c r="V30" s="100">
        <f>IFERROR((VLOOKUP(TableRBRanks31[[#This Row],[Player]],RB!B:O,6,FALSE)),"")</f>
        <v>3.877532916179999</v>
      </c>
      <c r="W30" s="100">
        <f>IFERROR((VLOOKUP(TableRBRanks31[[#This Row],[Player]],RB!B:O,7,FALSE)),"")</f>
        <v>53.527430459999977</v>
      </c>
      <c r="X30" s="100">
        <f>IFERROR((VLOOKUP(TableRBRanks31[[#This Row],[Player]],RB!B:O,8,FALSE)),"")</f>
        <v>46.732387859187668</v>
      </c>
      <c r="Y30" s="100">
        <f>IFERROR((VLOOKUP(TableRBRanks31[[#This Row],[Player]],RB!B:O,9,FALSE)),"")</f>
        <v>393.01938189576828</v>
      </c>
      <c r="Z30" s="100">
        <f>IFERROR((VLOOKUP(TableRBRanks31[[#This Row],[Player]],RB!B:O,10,FALSE)),"")</f>
        <v>2.9441404351288232</v>
      </c>
      <c r="AA30" s="95">
        <f>IFERROR((IFERROR(INDEX(TableRBCalcPts[Custom],MATCH(TableRBRanks31[[#This Row],[RK]],TableRBCalcPts[RK],0)),"")),"")</f>
        <v>171.20211567868358</v>
      </c>
      <c r="AB3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10.099471130248716</v>
      </c>
      <c r="AD30" s="145">
        <v>29</v>
      </c>
      <c r="AE30" s="145" t="str">
        <f>IFERROR(INDEX(TableWRCalcPts[PLAYER],MATCH(TableWRRanks32[[#This Row],[RK]],TableWRCalcPts[RK],0)),"")</f>
        <v>Christian Watson</v>
      </c>
      <c r="AF30" s="145" t="str">
        <f>IFERROR(INDEX(TableWRCalcPts[TM],MATCH(TableWRRanks32[[#This Row],[Player]],TableWRCalcPts[PLAYER],0)),"")</f>
        <v>GB</v>
      </c>
      <c r="AG30" s="145">
        <f>IFERROR(INDEX(TableWRCalcPts[BYE],MATCH(TableWRRanks32[[#This Row],[Player]],TableWRCalcPts[PLAYER],0)),"")</f>
        <v>11</v>
      </c>
      <c r="AH30" s="146">
        <f>IFERROR((VLOOKUP(TableWRRanks32[[#This Row],[Player]],WR!B:O,4,FALSE)),"")</f>
        <v>11.407058163795424</v>
      </c>
      <c r="AI30" s="146">
        <f>IFERROR((VLOOKUP(TableWRRanks32[[#This Row],[Player]],WR!B:O,5,FALSE)),"")</f>
        <v>2.3580563999999998E-2</v>
      </c>
      <c r="AJ30" s="146">
        <f>IFERROR((VLOOKUP(TableWRRanks32[[#This Row],[Player]],WR!B:O,6,FALSE)),"")</f>
        <v>109.051520080402</v>
      </c>
      <c r="AK30" s="146">
        <f>IFERROR((VLOOKUP(TableWRRanks32[[#This Row],[Player]],WR!B:O,7,FALSE)),"")</f>
        <v>63.540685700180887</v>
      </c>
      <c r="AL30" s="146">
        <f>IFERROR((VLOOKUP(TableWRRanks32[[#This Row],[Player]],WR!B:O,8,FALSE)),"")</f>
        <v>1032.5361426279394</v>
      </c>
      <c r="AM30" s="146">
        <f>IFERROR((VLOOKUP(TableWRRanks32[[#This Row],[Player]],WR!B:O,9,FALSE)),"")</f>
        <v>7.3707195412209829</v>
      </c>
      <c r="AN30" s="147">
        <f>IFERROR((IFERROR(INDEX(TableWRCalcPts[Custom],MATCH(TableWRRanks32[[#This Row],[RK]],TableWRCalcPts[RK],0)),"")),"")</f>
        <v>180.53046356058982</v>
      </c>
      <c r="AO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16.955307229600386</v>
      </c>
      <c r="AQ30" s="145">
        <v>29</v>
      </c>
      <c r="AR30" s="145" t="str">
        <f>IFERROR(INDEX(TableTECalcPts[PLAYER],MATCH(TableTERanks33[[#This Row],[RK]],TableTECalcPts[RK],0)),"")</f>
        <v>AJ Barner</v>
      </c>
      <c r="AS30" s="145" t="str">
        <f>IFERROR(INDEX(TableTECalcPts[TM],MATCH(TableTERanks33[[#This Row],[Player]],TableTECalcPts[PLAYER],0)),"")</f>
        <v>SEA</v>
      </c>
      <c r="AT30" s="145">
        <f>IFERROR(INDEX(TableTECalcPts[BYE],MATCH(TableTERanks33[[#This Row],[Player]],TableTECalcPts[PLAYER],0)),"")</f>
        <v>11</v>
      </c>
      <c r="AU30" s="146">
        <f>IFERROR((VLOOKUP(TableTERanks33[[#This Row],[Player]],TE!B:O,4,FALSE)),"")</f>
        <v>59.557837919999997</v>
      </c>
      <c r="AV30" s="146">
        <f>IFERROR((VLOOKUP(TableTERanks33[[#This Row],[Player]],TE!B:O,5,FALSE)),"")</f>
        <v>40.742325764313591</v>
      </c>
      <c r="AW30" s="146">
        <f>IFERROR((VLOOKUP(TableTERanks33[[#This Row],[Player]],TE!B:O,6,FALSE)),"")</f>
        <v>415.97914605364178</v>
      </c>
      <c r="AX30" s="146">
        <f>IFERROR((VLOOKUP(TableTERanks33[[#This Row],[Player]],TE!B:O,7,FALSE)),"")</f>
        <v>3.7482939703168503</v>
      </c>
      <c r="AY30" s="147">
        <f>IFERROR((IFERROR(INDEX(TableTECalcPts[Custom],MATCH(TableTERanks33[[#This Row],[RK]],TableTECalcPts[RK],0)),"")),"")</f>
        <v>84.45884130942207</v>
      </c>
      <c r="AZ3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1.2349322235601128</v>
      </c>
      <c r="BA3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1.2349322235601128</v>
      </c>
    </row>
    <row r="31" spans="1:53" x14ac:dyDescent="0.25">
      <c r="A31" s="145">
        <v>30</v>
      </c>
      <c r="B31" s="145" t="str">
        <f>IFERROR(INDEX(TableQBCalcPts[PLAYER],MATCH(TableQBRanks30[[#This Row],[RK]],TableQBCalcPts[RK],0)),"")</f>
        <v>Tua Tagovailoa</v>
      </c>
      <c r="C31" s="145" t="str">
        <f>IFERROR(INDEX(TableQBCalcPts[TM],MATCH(TableQBRanks30[[#This Row],[Player]],TableQBCalcPts[PLAYER],0)),"")</f>
        <v>ATL</v>
      </c>
      <c r="D31" s="145">
        <f>IFERROR(INDEX(TableQBCalcPts[BYE],MATCH(TableQBRanks30[[#This Row],[Player]],TableQBCalcPts[PLAYER],0)),"")</f>
        <v>11</v>
      </c>
      <c r="E31" s="146">
        <f>IFERROR((VLOOKUP(TableQBRanks30[[#This Row],[Player]],QB!B:O,4,FALSE)),"")</f>
        <v>521.31780000000003</v>
      </c>
      <c r="F31" s="146">
        <f>IFERROR((VLOOKUP(TableQBRanks30[[#This Row],[Player]],QB!B:O,5,FALSE)),"")</f>
        <v>348.04812762756814</v>
      </c>
      <c r="G31" s="146">
        <f>IFERROR((VLOOKUP(TableQBRanks30[[#This Row],[Player]],QB!B:O,6,FALSE)),"")</f>
        <v>3842.4513290083519</v>
      </c>
      <c r="H31" s="146">
        <f>IFERROR((VLOOKUP(TableQBRanks30[[#This Row],[Player]],QB!B:O,7,FALSE)),"")</f>
        <v>20.698284366937415</v>
      </c>
      <c r="I31" s="146">
        <f>IFERROR((VLOOKUP(TableQBRanks30[[#This Row],[Player]],QB!B:O,8,FALSE)),"")</f>
        <v>12.815002775919732</v>
      </c>
      <c r="J31" s="146">
        <f>IFERROR((VLOOKUP(TableQBRanks30[[#This Row],[Player]],QB!B:O,9,FALSE)),"")</f>
        <v>12.039519520000001</v>
      </c>
      <c r="K31" s="146">
        <f>IFERROR((VLOOKUP(TableQBRanks30[[#This Row],[Player]],QB!B:O,10,FALSE)),"")</f>
        <v>32.117807809089577</v>
      </c>
      <c r="L31" s="146">
        <f>IFERROR((VLOOKUP(TableQBRanks30[[#This Row],[Player]],QB!B:O,11,FALSE)),"")</f>
        <v>0.18059279280000001</v>
      </c>
      <c r="M31" s="147">
        <f>IFERROR(INDEX(TableQBCalcPts[Custom],MATCH(TableQBRanks30[[#This Row],[RK]],TableQBCalcPts[RK],0)),"")</f>
        <v>304.17290688650468</v>
      </c>
      <c r="N3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1" s="58">
        <v>30</v>
      </c>
      <c r="Q31" s="58" t="str">
        <f>IFERROR(INDEX(TableRBCalcPts[PLAYER],MATCH(TableRBRanks31[[#This Row],[RK]],TableRBCalcPts[RK],0)),"")</f>
        <v>Chuba Hubbard</v>
      </c>
      <c r="R31" s="58" t="str">
        <f>IFERROR(INDEX(TableRBCalcPts[TM],MATCH(TableRBRanks31[[#This Row],[Player]],TableRBCalcPts[PLAYER],0)),"")</f>
        <v>CAR</v>
      </c>
      <c r="S31" s="58">
        <f>IFERROR(INDEX(TableRBCalcPts[BYE],MATCH(TableRBRanks31[[#This Row],[Player]],TableRBCalcPts[PLAYER],0)),"")</f>
        <v>5</v>
      </c>
      <c r="T31" s="100">
        <f>IFERROR((VLOOKUP(TableRBRanks31[[#This Row],[Player]],RB!B:O,4,FALSE)),"")</f>
        <v>191.69211599999997</v>
      </c>
      <c r="U31" s="100">
        <f>IFERROR((VLOOKUP(TableRBRanks31[[#This Row],[Player]],RB!B:O,5,FALSE)),"")</f>
        <v>805.10688719999996</v>
      </c>
      <c r="V31" s="100">
        <f>IFERROR((VLOOKUP(TableRBRanks31[[#This Row],[Player]],RB!B:O,6,FALSE)),"")</f>
        <v>4.7923028999999993</v>
      </c>
      <c r="W31" s="100">
        <f>IFERROR((VLOOKUP(TableRBRanks31[[#This Row],[Player]],RB!B:O,7,FALSE)),"")</f>
        <v>55.999943999999992</v>
      </c>
      <c r="X31" s="100">
        <f>IFERROR((VLOOKUP(TableRBRanks31[[#This Row],[Player]],RB!B:O,8,FALSE)),"")</f>
        <v>42.223957775999992</v>
      </c>
      <c r="Y31" s="100">
        <f>IFERROR((VLOOKUP(TableRBRanks31[[#This Row],[Player]],RB!B:O,9,FALSE)),"")</f>
        <v>268.52151761299984</v>
      </c>
      <c r="Z31" s="100">
        <f>IFERROR((VLOOKUP(TableRBRanks31[[#This Row],[Player]],RB!B:O,10,FALSE)),"")</f>
        <v>2.0689739310239998</v>
      </c>
      <c r="AA31" s="95">
        <f>IFERROR((IFERROR(INDEX(TableRBCalcPts[Custom],MATCH(TableRBRanks31[[#This Row],[RK]],TableRBCalcPts[RK],0)),"")),"")</f>
        <v>169.64248035544395</v>
      </c>
      <c r="AB3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9.8650539632888918</v>
      </c>
      <c r="AD31" s="145">
        <v>30</v>
      </c>
      <c r="AE31" s="145" t="str">
        <f>IFERROR(INDEX(TableWRCalcPts[PLAYER],MATCH(TableWRRanks32[[#This Row],[RK]],TableWRCalcPts[RK],0)),"")</f>
        <v>Rome Odunze</v>
      </c>
      <c r="AF31" s="145" t="str">
        <f>IFERROR(INDEX(TableWRCalcPts[TM],MATCH(TableWRRanks32[[#This Row],[Player]],TableWRCalcPts[PLAYER],0)),"")</f>
        <v>CHI</v>
      </c>
      <c r="AG31" s="145">
        <f>IFERROR(INDEX(TableWRCalcPts[BYE],MATCH(TableWRRanks32[[#This Row],[Player]],TableWRCalcPts[PLAYER],0)),"")</f>
        <v>10</v>
      </c>
      <c r="AH31" s="146">
        <f>IFERROR((VLOOKUP(TableWRRanks32[[#This Row],[Player]],WR!B:O,4,FALSE)),"")</f>
        <v>0</v>
      </c>
      <c r="AI31" s="146">
        <f>IFERROR((VLOOKUP(TableWRRanks32[[#This Row],[Player]],WR!B:O,5,FALSE)),"")</f>
        <v>0</v>
      </c>
      <c r="AJ31" s="146">
        <f>IFERROR((VLOOKUP(TableWRRanks32[[#This Row],[Player]],WR!B:O,6,FALSE)),"")</f>
        <v>128.57720736000002</v>
      </c>
      <c r="AK31" s="146">
        <f>IFERROR((VLOOKUP(TableWRRanks32[[#This Row],[Player]],WR!B:O,7,FALSE)),"")</f>
        <v>66.021181549176006</v>
      </c>
      <c r="AL31" s="146">
        <f>IFERROR((VLOOKUP(TableWRRanks32[[#This Row],[Player]],WR!B:O,8,FALSE)),"")</f>
        <v>982.39518145173906</v>
      </c>
      <c r="AM31" s="146">
        <f>IFERROR((VLOOKUP(TableWRRanks32[[#This Row],[Player]],WR!B:O,9,FALSE)),"")</f>
        <v>7.1302876073110086</v>
      </c>
      <c r="AN31" s="147">
        <f>IFERROR((IFERROR(INDEX(TableWRCalcPts[Custom],MATCH(TableWRRanks32[[#This Row],[RK]],TableWRCalcPts[RK],0)),"")),"")</f>
        <v>174.03183456362797</v>
      </c>
      <c r="AO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15.734356588213899</v>
      </c>
      <c r="AQ31" s="145">
        <v>30</v>
      </c>
      <c r="AR31" s="145" t="str">
        <f>IFERROR(INDEX(TableTECalcPts[PLAYER],MATCH(TableTERanks33[[#This Row],[RK]],TableTECalcPts[RK],0)),"")</f>
        <v>Gunnar Helm</v>
      </c>
      <c r="AS31" s="145" t="str">
        <f>IFERROR(INDEX(TableTECalcPts[TM],MATCH(TableTERanks33[[#This Row],[Player]],TableTECalcPts[PLAYER],0)),"")</f>
        <v>TEN</v>
      </c>
      <c r="AT31" s="145">
        <f>IFERROR(INDEX(TableTECalcPts[BYE],MATCH(TableTERanks33[[#This Row],[Player]],TableTECalcPts[PLAYER],0)),"")</f>
        <v>9</v>
      </c>
      <c r="AU31" s="146">
        <f>IFERROR((VLOOKUP(TableTERanks33[[#This Row],[Player]],TE!B:O,4,FALSE)),"")</f>
        <v>62.064011520000015</v>
      </c>
      <c r="AV31" s="146">
        <f>IFERROR((VLOOKUP(TableTERanks33[[#This Row],[Player]],TE!B:O,5,FALSE)),"")</f>
        <v>43.568936087040008</v>
      </c>
      <c r="AW31" s="146">
        <f>IFERROR((VLOOKUP(TableTERanks33[[#This Row],[Player]],TE!B:O,6,FALSE)),"")</f>
        <v>378.02372776164873</v>
      </c>
      <c r="AX31" s="146">
        <f>IFERROR((VLOOKUP(TableTERanks33[[#This Row],[Player]],TE!B:O,7,FALSE)),"")</f>
        <v>3.0498255260928007</v>
      </c>
      <c r="AY31" s="147">
        <f>IFERROR((IFERROR(INDEX(TableTECalcPts[Custom],MATCH(TableTERanks33[[#This Row],[RK]],TableTECalcPts[RK],0)),"")),"")</f>
        <v>77.885793976241686</v>
      </c>
      <c r="AZ3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2" spans="1:53" x14ac:dyDescent="0.25">
      <c r="A32" s="145">
        <v>31</v>
      </c>
      <c r="B32" s="145" t="str">
        <f>IFERROR(INDEX(TableQBCalcPts[PLAYER],MATCH(TableQBRanks30[[#This Row],[RK]],TableQBCalcPts[RK],0)),"")</f>
        <v>Kirk Cousins</v>
      </c>
      <c r="C32" s="145" t="str">
        <f>IFERROR(INDEX(TableQBCalcPts[TM],MATCH(TableQBRanks30[[#This Row],[Player]],TableQBCalcPts[PLAYER],0)),"")</f>
        <v>LV</v>
      </c>
      <c r="D32" s="145">
        <f>IFERROR(INDEX(TableQBCalcPts[BYE],MATCH(TableQBRanks30[[#This Row],[Player]],TableQBCalcPts[PLAYER],0)),"")</f>
        <v>13</v>
      </c>
      <c r="E32" s="146">
        <f>IFERROR((VLOOKUP(TableQBRanks30[[#This Row],[Player]],QB!B:O,4,FALSE)),"")</f>
        <v>361.01520000000005</v>
      </c>
      <c r="F32" s="146">
        <f>IFERROR((VLOOKUP(TableQBRanks30[[#This Row],[Player]],QB!B:O,5,FALSE)),"")</f>
        <v>231.41074320000004</v>
      </c>
      <c r="G32" s="146">
        <f>IFERROR((VLOOKUP(TableQBRanks30[[#This Row],[Player]],QB!B:O,6,FALSE)),"")</f>
        <v>2420.5563738720007</v>
      </c>
      <c r="H32" s="146">
        <f>IFERROR((VLOOKUP(TableQBRanks30[[#This Row],[Player]],QB!B:O,7,FALSE)),"")</f>
        <v>13.421823105600003</v>
      </c>
      <c r="I32" s="146">
        <f>IFERROR((VLOOKUP(TableQBRanks30[[#This Row],[Player]],QB!B:O,8,FALSE)),"")</f>
        <v>9.2329876300190143</v>
      </c>
      <c r="J32" s="146">
        <f>IFERROR((VLOOKUP(TableQBRanks30[[#This Row],[Player]],QB!B:O,9,FALSE)),"")</f>
        <v>2.2177007999999994</v>
      </c>
      <c r="K32" s="146">
        <f>IFERROR((VLOOKUP(TableQBRanks30[[#This Row],[Player]],QB!B:O,10,FALSE)),"")</f>
        <v>3.4338593032258053</v>
      </c>
      <c r="L32" s="146">
        <f>IFERROR((VLOOKUP(TableQBRanks30[[#This Row],[Player]],QB!B:O,11,FALSE)),"")</f>
        <v>2.3846245161290313E-2</v>
      </c>
      <c r="M32" s="147">
        <f>IFERROR(INDEX(TableQBCalcPts[Custom],MATCH(TableQBRanks30[[#This Row],[RK]],TableQBCalcPts[RK],0)),"")</f>
        <v>191.74774367975132</v>
      </c>
      <c r="N3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2" s="58">
        <v>31</v>
      </c>
      <c r="Q32" s="58" t="str">
        <f>IFERROR(INDEX(TableRBCalcPts[PLAYER],MATCH(TableRBRanks31[[#This Row],[RK]],TableRBCalcPts[RK],0)),"")</f>
        <v>Rico Dowdle</v>
      </c>
      <c r="R32" s="58" t="str">
        <f>IFERROR(INDEX(TableRBCalcPts[TM],MATCH(TableRBRanks31[[#This Row],[Player]],TableRBCalcPts[PLAYER],0)),"")</f>
        <v>PIT</v>
      </c>
      <c r="S32" s="58">
        <f>IFERROR(INDEX(TableRBCalcPts[BYE],MATCH(TableRBRanks31[[#This Row],[Player]],TableRBCalcPts[PLAYER],0)),"")</f>
        <v>9</v>
      </c>
      <c r="T32" s="100">
        <f>IFERROR((VLOOKUP(TableRBRanks31[[#This Row],[Player]],RB!B:O,4,FALSE)),"")</f>
        <v>212.88128399999997</v>
      </c>
      <c r="U32" s="100">
        <f>IFERROR((VLOOKUP(TableRBRanks31[[#This Row],[Player]],RB!B:O,5,FALSE)),"")</f>
        <v>926.03358539999977</v>
      </c>
      <c r="V32" s="100">
        <f>IFERROR((VLOOKUP(TableRBRanks31[[#This Row],[Player]],RB!B:O,6,FALSE)),"")</f>
        <v>6.3864385199999987</v>
      </c>
      <c r="W32" s="100">
        <f>IFERROR((VLOOKUP(TableRBRanks31[[#This Row],[Player]],RB!B:O,7,FALSE)),"")</f>
        <v>32.944464000000004</v>
      </c>
      <c r="X32" s="100">
        <f>IFERROR((VLOOKUP(TableRBRanks31[[#This Row],[Player]],RB!B:O,8,FALSE)),"")</f>
        <v>26.388515664000003</v>
      </c>
      <c r="Y32" s="100">
        <f>IFERROR((VLOOKUP(TableRBRanks31[[#This Row],[Player]],RB!B:O,9,FALSE)),"")</f>
        <v>196.51585093837056</v>
      </c>
      <c r="Z32" s="100">
        <f>IFERROR((VLOOKUP(TableRBRanks31[[#This Row],[Player]],RB!B:O,10,FALSE)),"")</f>
        <v>0.79952816634499868</v>
      </c>
      <c r="AA32" s="95">
        <f>IFERROR((IFERROR(INDEX(TableRBCalcPts[Custom],MATCH(TableRBRanks31[[#This Row],[RK]],TableRBCalcPts[RK],0)),"")),"")</f>
        <v>168.56500158390702</v>
      </c>
      <c r="AB3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9.703106155798622</v>
      </c>
      <c r="AD32" s="145">
        <v>31</v>
      </c>
      <c r="AE32" s="145" t="str">
        <f>IFERROR(INDEX(TableWRCalcPts[PLAYER],MATCH(TableWRRanks32[[#This Row],[RK]],TableWRCalcPts[RK],0)),"")</f>
        <v>Alec Pierce</v>
      </c>
      <c r="AF32" s="145" t="str">
        <f>IFERROR(INDEX(TableWRCalcPts[TM],MATCH(TableWRRanks32[[#This Row],[Player]],TableWRCalcPts[PLAYER],0)),"")</f>
        <v>IND</v>
      </c>
      <c r="AG32" s="145">
        <f>IFERROR(INDEX(TableWRCalcPts[BYE],MATCH(TableWRRanks32[[#This Row],[Player]],TableWRCalcPts[PLAYER],0)),"")</f>
        <v>13</v>
      </c>
      <c r="AH32" s="146">
        <f>IFERROR((VLOOKUP(TableWRRanks32[[#This Row],[Player]],WR!B:O,4,FALSE)),"")</f>
        <v>0</v>
      </c>
      <c r="AI32" s="146">
        <f>IFERROR((VLOOKUP(TableWRRanks32[[#This Row],[Player]],WR!B:O,5,FALSE)),"")</f>
        <v>0</v>
      </c>
      <c r="AJ32" s="146">
        <f>IFERROR((VLOOKUP(TableWRRanks32[[#This Row],[Player]],WR!B:O,6,FALSE)),"")</f>
        <v>117.06562559999999</v>
      </c>
      <c r="AK32" s="146">
        <f>IFERROR((VLOOKUP(TableWRRanks32[[#This Row],[Player]],WR!B:O,7,FALSE)),"")</f>
        <v>62.957348956398128</v>
      </c>
      <c r="AL32" s="146">
        <f>IFERROR((VLOOKUP(TableWRRanks32[[#This Row],[Player]],WR!B:O,8,FALSE)),"")</f>
        <v>1044.6940058485879</v>
      </c>
      <c r="AM32" s="146">
        <f>IFERROR((VLOOKUP(TableWRRanks32[[#This Row],[Player]],WR!B:O,9,FALSE)),"")</f>
        <v>6.1068628487706187</v>
      </c>
      <c r="AN32" s="147">
        <f>IFERROR((IFERROR(INDEX(TableWRCalcPts[Custom],MATCH(TableWRRanks32[[#This Row],[RK]],TableWRCalcPts[RK],0)),"")),"")</f>
        <v>172.58925215568158</v>
      </c>
      <c r="AO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15.463326819156697</v>
      </c>
      <c r="AQ32" s="145">
        <v>31</v>
      </c>
      <c r="AR32" s="145" t="str">
        <f>IFERROR(INDEX(TableTECalcPts[PLAYER],MATCH(TableTERanks33[[#This Row],[RK]],TableTECalcPts[RK],0)),"")</f>
        <v>David Njoku</v>
      </c>
      <c r="AS32" s="145" t="str">
        <f>IFERROR(INDEX(TableTECalcPts[TM],MATCH(TableTERanks33[[#This Row],[Player]],TableTECalcPts[PLAYER],0)),"")</f>
        <v>LAC</v>
      </c>
      <c r="AT32" s="145">
        <f>IFERROR(INDEX(TableTECalcPts[BYE],MATCH(TableTERanks33[[#This Row],[Player]],TableTECalcPts[PLAYER],0)),"")</f>
        <v>7</v>
      </c>
      <c r="AU32" s="146">
        <f>IFERROR((VLOOKUP(TableTERanks33[[#This Row],[Player]],TE!B:O,4,FALSE)),"")</f>
        <v>49.978969039999988</v>
      </c>
      <c r="AV32" s="146">
        <f>IFERROR((VLOOKUP(TableTERanks33[[#This Row],[Player]],TE!B:O,5,FALSE)),"")</f>
        <v>36.084815646879989</v>
      </c>
      <c r="AW32" s="146">
        <f>IFERROR((VLOOKUP(TableTERanks33[[#This Row],[Player]],TE!B:O,6,FALSE)),"")</f>
        <v>378.89931732718867</v>
      </c>
      <c r="AX32" s="146">
        <f>IFERROR((VLOOKUP(TableTERanks33[[#This Row],[Player]],TE!B:O,7,FALSE)),"")</f>
        <v>2.6516547050858308</v>
      </c>
      <c r="AY32" s="147">
        <f>IFERROR((IFERROR(INDEX(TableTECalcPts[Custom],MATCH(TableTERanks33[[#This Row],[RK]],TableTECalcPts[RK],0)),"")),"")</f>
        <v>71.842267786673858</v>
      </c>
      <c r="AZ3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3" spans="1:53" x14ac:dyDescent="0.25">
      <c r="A33" s="145">
        <v>32</v>
      </c>
      <c r="B33" s="145" t="str">
        <f>IFERROR(INDEX(TableQBCalcPts[PLAYER],MATCH(TableQBRanks30[[#This Row],[RK]],TableQBCalcPts[RK],0)),"")</f>
        <v>Shedeur Sanders</v>
      </c>
      <c r="C33" s="145" t="str">
        <f>IFERROR(INDEX(TableQBCalcPts[TM],MATCH(TableQBRanks30[[#This Row],[Player]],TableQBCalcPts[PLAYER],0)),"")</f>
        <v>CLE</v>
      </c>
      <c r="D33" s="145">
        <f>IFERROR(INDEX(TableQBCalcPts[BYE],MATCH(TableQBRanks30[[#This Row],[Player]],TableQBCalcPts[PLAYER],0)),"")</f>
        <v>11</v>
      </c>
      <c r="E33" s="146">
        <f>IFERROR((VLOOKUP(TableQBRanks30[[#This Row],[Player]],QB!B:O,4,FALSE)),"")</f>
        <v>252.45</v>
      </c>
      <c r="F33" s="146">
        <f>IFERROR((VLOOKUP(TableQBRanks30[[#This Row],[Player]],QB!B:O,5,FALSE)),"")</f>
        <v>149.45039999999997</v>
      </c>
      <c r="G33" s="146">
        <f>IFERROR((VLOOKUP(TableQBRanks30[[#This Row],[Player]],QB!B:O,6,FALSE)),"")</f>
        <v>1652.9214239999999</v>
      </c>
      <c r="H33" s="146">
        <f>IFERROR((VLOOKUP(TableQBRanks30[[#This Row],[Player]],QB!B:O,7,FALSE)),"")</f>
        <v>8.9670239999999986</v>
      </c>
      <c r="I33" s="146">
        <f>IFERROR((VLOOKUP(TableQBRanks30[[#This Row],[Player]],QB!B:O,8,FALSE)),"")</f>
        <v>8.9204641658318629</v>
      </c>
      <c r="J33" s="146">
        <f>IFERROR((VLOOKUP(TableQBRanks30[[#This Row],[Player]],QB!B:O,9,FALSE)),"")</f>
        <v>31.297476000000003</v>
      </c>
      <c r="K33" s="146">
        <f>IFERROR((VLOOKUP(TableQBRanks30[[#This Row],[Player]],QB!B:O,10,FALSE)),"")</f>
        <v>216.26555916000004</v>
      </c>
      <c r="L33" s="146">
        <f>IFERROR((VLOOKUP(TableQBRanks30[[#This Row],[Player]],QB!B:O,11,FALSE)),"")</f>
        <v>1.4664492175644104</v>
      </c>
      <c r="M33" s="147">
        <f>IFERROR(INDEX(TableQBCalcPts[Custom],MATCH(TableQBRanks30[[#This Row],[RK]],TableQBCalcPts[RK],0)),"")</f>
        <v>156.36882801555461</v>
      </c>
      <c r="N3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3" s="58">
        <v>32</v>
      </c>
      <c r="Q33" s="58" t="str">
        <f>IFERROR(INDEX(TableRBCalcPts[PLAYER],MATCH(TableRBRanks31[[#This Row],[RK]],TableRBCalcPts[RK],0)),"")</f>
        <v>RJ Harvey</v>
      </c>
      <c r="R33" s="58" t="str">
        <f>IFERROR(INDEX(TableRBCalcPts[TM],MATCH(TableRBRanks31[[#This Row],[Player]],TableRBCalcPts[PLAYER],0)),"")</f>
        <v>DEN</v>
      </c>
      <c r="S33" s="58">
        <f>IFERROR(INDEX(TableRBCalcPts[BYE],MATCH(TableRBRanks31[[#This Row],[Player]],TableRBCalcPts[PLAYER],0)),"")</f>
        <v>10</v>
      </c>
      <c r="T33" s="100">
        <f>IFERROR((VLOOKUP(TableRBRanks31[[#This Row],[Player]],RB!B:O,4,FALSE)),"")</f>
        <v>142.00873847999998</v>
      </c>
      <c r="U33" s="100">
        <f>IFERROR((VLOOKUP(TableRBRanks31[[#This Row],[Player]],RB!B:O,5,FALSE)),"")</f>
        <v>576.55547822879987</v>
      </c>
      <c r="V33" s="100">
        <f>IFERROR((VLOOKUP(TableRBRanks31[[#This Row],[Player]],RB!B:O,6,FALSE)),"")</f>
        <v>5.1123145852799992</v>
      </c>
      <c r="W33" s="100">
        <f>IFERROR((VLOOKUP(TableRBRanks31[[#This Row],[Player]],RB!B:O,7,FALSE)),"")</f>
        <v>60.491193840000008</v>
      </c>
      <c r="X33" s="100">
        <f>IFERROR((VLOOKUP(TableRBRanks31[[#This Row],[Player]],RB!B:O,8,FALSE)),"")</f>
        <v>47.630766029615998</v>
      </c>
      <c r="Y33" s="100">
        <f>IFERROR((VLOOKUP(TableRBRanks31[[#This Row],[Player]],RB!B:O,9,FALSE)),"")</f>
        <v>339.28814059593606</v>
      </c>
      <c r="Z33" s="100">
        <f>IFERROR((VLOOKUP(TableRBRanks31[[#This Row],[Player]],RB!B:O,10,FALSE)),"")</f>
        <v>3.3341536220731203</v>
      </c>
      <c r="AA33" s="95">
        <f>IFERROR((IFERROR(INDEX(TableRBCalcPts[Custom],MATCH(TableRBRanks31[[#This Row],[RK]],TableRBCalcPts[RK],0)),"")),"")</f>
        <v>166.0785541414003</v>
      </c>
      <c r="AB3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9.3293867634625922</v>
      </c>
      <c r="AD33" s="145">
        <v>32</v>
      </c>
      <c r="AE33" s="145" t="str">
        <f>IFERROR(INDEX(TableWRCalcPts[PLAYER],MATCH(TableWRRanks32[[#This Row],[RK]],TableWRCalcPts[RK],0)),"")</f>
        <v>Courtland Sutton</v>
      </c>
      <c r="AF33" s="145" t="str">
        <f>IFERROR(INDEX(TableWRCalcPts[TM],MATCH(TableWRRanks32[[#This Row],[Player]],TableWRCalcPts[PLAYER],0)),"")</f>
        <v>DEN</v>
      </c>
      <c r="AG33" s="145">
        <f>IFERROR(INDEX(TableWRCalcPts[BYE],MATCH(TableWRRanks32[[#This Row],[Player]],TableWRCalcPts[PLAYER],0)),"")</f>
        <v>10</v>
      </c>
      <c r="AH33" s="146">
        <f>IFERROR((VLOOKUP(TableWRRanks32[[#This Row],[Player]],WR!B:O,4,FALSE)),"")</f>
        <v>0</v>
      </c>
      <c r="AI33" s="146">
        <f>IFERROR((VLOOKUP(TableWRRanks32[[#This Row],[Player]],WR!B:O,5,FALSE)),"")</f>
        <v>0</v>
      </c>
      <c r="AJ33" s="146">
        <f>IFERROR((VLOOKUP(TableWRRanks32[[#This Row],[Player]],WR!B:O,6,FALSE)),"")</f>
        <v>123.26507424000002</v>
      </c>
      <c r="AK33" s="146">
        <f>IFERROR((VLOOKUP(TableWRRanks32[[#This Row],[Player]],WR!B:O,7,FALSE)),"")</f>
        <v>69.962432445293402</v>
      </c>
      <c r="AL33" s="146">
        <f>IFERROR((VLOOKUP(TableWRRanks32[[#This Row],[Player]],WR!B:O,8,FALSE)),"")</f>
        <v>930.5003515224023</v>
      </c>
      <c r="AM33" s="146">
        <f>IFERROR((VLOOKUP(TableWRRanks32[[#This Row],[Player]],WR!B:O,9,FALSE)),"")</f>
        <v>7.0662056769746338</v>
      </c>
      <c r="AN33" s="147">
        <f>IFERROR((IFERROR(INDEX(TableWRCalcPts[Custom],MATCH(TableWRRanks32[[#This Row],[RK]],TableWRCalcPts[RK],0)),"")),"")</f>
        <v>170.42848543673475</v>
      </c>
      <c r="AO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15.057365882993382</v>
      </c>
      <c r="AQ33" s="145">
        <v>32</v>
      </c>
      <c r="AR33" s="145" t="str">
        <f>IFERROR(INDEX(TableTECalcPts[PLAYER],MATCH(TableTERanks33[[#This Row],[RK]],TableTECalcPts[RK],0)),"")</f>
        <v>Evan Engram</v>
      </c>
      <c r="AS33" s="145" t="str">
        <f>IFERROR(INDEX(TableTECalcPts[TM],MATCH(TableTERanks33[[#This Row],[Player]],TableTECalcPts[PLAYER],0)),"")</f>
        <v>DEN</v>
      </c>
      <c r="AT33" s="145">
        <f>IFERROR(INDEX(TableTECalcPts[BYE],MATCH(TableTERanks33[[#This Row],[Player]],TableTECalcPts[PLAYER],0)),"")</f>
        <v>10</v>
      </c>
      <c r="AU33" s="146">
        <f>IFERROR((VLOOKUP(TableTERanks33[[#This Row],[Player]],TE!B:O,4,FALSE)),"")</f>
        <v>61.632537120000009</v>
      </c>
      <c r="AV33" s="146">
        <f>IFERROR((VLOOKUP(TableTERanks33[[#This Row],[Player]],TE!B:O,5,FALSE)),"")</f>
        <v>42.013152766337917</v>
      </c>
      <c r="AW33" s="146">
        <f>IFERROR((VLOOKUP(TableTERanks33[[#This Row],[Player]],TE!B:O,6,FALSE)),"")</f>
        <v>375.23544398160726</v>
      </c>
      <c r="AX33" s="146">
        <f>IFERROR((VLOOKUP(TableTERanks33[[#This Row],[Player]],TE!B:O,7,FALSE)),"")</f>
        <v>2.1006576383168958</v>
      </c>
      <c r="AY33" s="147">
        <f>IFERROR((IFERROR(INDEX(TableTECalcPts[Custom],MATCH(TableTERanks33[[#This Row],[RK]],TableTECalcPts[RK],0)),"")),"")</f>
        <v>71.134066611231063</v>
      </c>
      <c r="AZ3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4" spans="1:53" x14ac:dyDescent="0.25">
      <c r="A34" s="145">
        <v>33</v>
      </c>
      <c r="B34" s="145" t="str">
        <f>IFERROR(INDEX(TableQBCalcPts[PLAYER],MATCH(TableQBRanks30[[#This Row],[RK]],TableQBCalcPts[RK],0)),"")</f>
        <v>Deshaun Watson</v>
      </c>
      <c r="C34" s="145" t="str">
        <f>IFERROR(INDEX(TableQBCalcPts[TM],MATCH(TableQBRanks30[[#This Row],[Player]],TableQBCalcPts[PLAYER],0)),"")</f>
        <v>CLE</v>
      </c>
      <c r="D34" s="145">
        <f>IFERROR(INDEX(TableQBCalcPts[BYE],MATCH(TableQBRanks30[[#This Row],[Player]],TableQBCalcPts[PLAYER],0)),"")</f>
        <v>11</v>
      </c>
      <c r="E34" s="146">
        <f>IFERROR((VLOOKUP(TableQBRanks30[[#This Row],[Player]],QB!B:O,4,FALSE)),"")</f>
        <v>242.35199999999998</v>
      </c>
      <c r="F34" s="146">
        <f>IFERROR((VLOOKUP(TableQBRanks30[[#This Row],[Player]],QB!B:O,5,FALSE)),"")</f>
        <v>147.35001599999998</v>
      </c>
      <c r="G34" s="146">
        <f>IFERROR((VLOOKUP(TableQBRanks30[[#This Row],[Player]],QB!B:O,6,FALSE)),"")</f>
        <v>1611.9485293795922</v>
      </c>
      <c r="H34" s="146">
        <f>IFERROR((VLOOKUP(TableQBRanks30[[#This Row],[Player]],QB!B:O,7,FALSE)),"")</f>
        <v>9.1357009919999985</v>
      </c>
      <c r="I34" s="146">
        <f>IFERROR((VLOOKUP(TableQBRanks30[[#This Row],[Player]],QB!B:O,8,FALSE)),"")</f>
        <v>6.0999914062062128</v>
      </c>
      <c r="J34" s="146">
        <f>IFERROR((VLOOKUP(TableQBRanks30[[#This Row],[Player]],QB!B:O,9,FALSE)),"")</f>
        <v>32.811870000000006</v>
      </c>
      <c r="K34" s="146">
        <f>IFERROR((VLOOKUP(TableQBRanks30[[#This Row],[Player]],QB!B:O,10,FALSE)),"")</f>
        <v>145.09293616257241</v>
      </c>
      <c r="L34" s="146">
        <f>IFERROR((VLOOKUP(TableQBRanks30[[#This Row],[Player]],QB!B:O,11,FALSE)),"")</f>
        <v>0.95389752307357867</v>
      </c>
      <c r="M34" s="147">
        <f>IFERROR(INDEX(TableQBCalcPts[Custom],MATCH(TableQBRanks30[[#This Row],[RK]],TableQBCalcPts[RK],0)),"")</f>
        <v>148.1598360756762</v>
      </c>
      <c r="N3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4" s="58">
        <v>33</v>
      </c>
      <c r="Q34" s="58" t="str">
        <f>IFERROR(INDEX(TableRBCalcPts[PLAYER],MATCH(TableRBRanks31[[#This Row],[RK]],TableRBCalcPts[RK],0)),"")</f>
        <v>Jaylen Warren</v>
      </c>
      <c r="R34" s="58" t="str">
        <f>IFERROR(INDEX(TableRBCalcPts[TM],MATCH(TableRBRanks31[[#This Row],[Player]],TableRBCalcPts[PLAYER],0)),"")</f>
        <v>PIT</v>
      </c>
      <c r="S34" s="58">
        <f>IFERROR(INDEX(TableRBCalcPts[BYE],MATCH(TableRBRanks31[[#This Row],[Player]],TableRBCalcPts[PLAYER],0)),"")</f>
        <v>9</v>
      </c>
      <c r="T34" s="100">
        <f>IFERROR((VLOOKUP(TableRBRanks31[[#This Row],[Player]],RB!B:O,4,FALSE)),"")</f>
        <v>182.08713599999996</v>
      </c>
      <c r="U34" s="100">
        <f>IFERROR((VLOOKUP(TableRBRanks31[[#This Row],[Player]],RB!B:O,5,FALSE)),"")</f>
        <v>803.00426975999983</v>
      </c>
      <c r="V34" s="100">
        <f>IFERROR((VLOOKUP(TableRBRanks31[[#This Row],[Player]],RB!B:O,6,FALSE)),"")</f>
        <v>4.7342655359999988</v>
      </c>
      <c r="W34" s="100">
        <f>IFERROR((VLOOKUP(TableRBRanks31[[#This Row],[Player]],RB!B:O,7,FALSE)),"")</f>
        <v>49.984704000000001</v>
      </c>
      <c r="X34" s="100">
        <f>IFERROR((VLOOKUP(TableRBRanks31[[#This Row],[Player]],RB!B:O,8,FALSE)),"")</f>
        <v>39.822704675887856</v>
      </c>
      <c r="Y34" s="100">
        <f>IFERROR((VLOOKUP(TableRBRanks31[[#This Row],[Player]],RB!B:O,9,FALSE)),"")</f>
        <v>294.97266269786917</v>
      </c>
      <c r="Z34" s="100">
        <f>IFERROR((VLOOKUP(TableRBRanks31[[#This Row],[Player]],RB!B:O,10,FALSE)),"")</f>
        <v>1.225793114915888</v>
      </c>
      <c r="AA34" s="95">
        <f>IFERROR((IFERROR(INDEX(TableRBCalcPts[Custom],MATCH(TableRBRanks31[[#This Row],[RK]],TableRBCalcPts[RK],0)),"")),"")</f>
        <v>165.46939748922614</v>
      </c>
      <c r="AB3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9.237828964976222</v>
      </c>
      <c r="AD34" s="145">
        <v>33</v>
      </c>
      <c r="AE34" s="145" t="str">
        <f>IFERROR(INDEX(TableWRCalcPts[PLAYER],MATCH(TableWRRanks32[[#This Row],[RK]],TableWRCalcPts[RK],0)),"")</f>
        <v>Makai Lemon</v>
      </c>
      <c r="AF34" s="145" t="str">
        <f>IFERROR(INDEX(TableWRCalcPts[TM],MATCH(TableWRRanks32[[#This Row],[Player]],TableWRCalcPts[PLAYER],0)),"")</f>
        <v>PHI</v>
      </c>
      <c r="AG34" s="145">
        <f>IFERROR(INDEX(TableWRCalcPts[BYE],MATCH(TableWRRanks32[[#This Row],[Player]],TableWRCalcPts[PLAYER],0)),"")</f>
        <v>10</v>
      </c>
      <c r="AH34" s="146">
        <f>IFERROR((VLOOKUP(TableWRRanks32[[#This Row],[Player]],WR!B:O,4,FALSE)),"")</f>
        <v>26.058086755555557</v>
      </c>
      <c r="AI34" s="146">
        <f>IFERROR((VLOOKUP(TableWRRanks32[[#This Row],[Player]],WR!B:O,5,FALSE)),"")</f>
        <v>0.2368916977777778</v>
      </c>
      <c r="AJ34" s="146">
        <f>IFERROR((VLOOKUP(TableWRRanks32[[#This Row],[Player]],WR!B:O,6,FALSE)),"")</f>
        <v>109.03120535999999</v>
      </c>
      <c r="AK34" s="146">
        <f>IFERROR((VLOOKUP(TableWRRanks32[[#This Row],[Player]],WR!B:O,7,FALSE)),"")</f>
        <v>73.923157234079994</v>
      </c>
      <c r="AL34" s="146">
        <f>IFERROR((VLOOKUP(TableWRRanks32[[#This Row],[Player]],WR!B:O,8,FALSE)),"")</f>
        <v>918.12561284727349</v>
      </c>
      <c r="AM34" s="146">
        <f>IFERROR((VLOOKUP(TableWRRanks32[[#This Row],[Player]],WR!B:O,9,FALSE)),"")</f>
        <v>6.1010253945364816</v>
      </c>
      <c r="AN34" s="147">
        <f>IFERROR((IFERROR(INDEX(TableWRCalcPts[Custom],MATCH(TableWRRanks32[[#This Row],[RK]],TableWRCalcPts[RK],0)),"")),"")</f>
        <v>169.40745113120846</v>
      </c>
      <c r="AO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14.865535807635528</v>
      </c>
      <c r="AQ34" s="145">
        <v>33</v>
      </c>
      <c r="AR34" s="145" t="str">
        <f>IFERROR(INDEX(TableTECalcPts[PLAYER],MATCH(TableTERanks33[[#This Row],[RK]],TableTECalcPts[RK],0)),"")</f>
        <v>Mason Taylor</v>
      </c>
      <c r="AS34" s="145" t="str">
        <f>IFERROR(INDEX(TableTECalcPts[TM],MATCH(TableTERanks33[[#This Row],[Player]],TableTECalcPts[PLAYER],0)),"")</f>
        <v>NYJ</v>
      </c>
      <c r="AT34" s="145">
        <f>IFERROR(INDEX(TableTECalcPts[BYE],MATCH(TableTERanks33[[#This Row],[Player]],TableTECalcPts[PLAYER],0)),"")</f>
        <v>13</v>
      </c>
      <c r="AU34" s="146">
        <f>IFERROR((VLOOKUP(TableTERanks33[[#This Row],[Player]],TE!B:O,4,FALSE)),"")</f>
        <v>51.141755455706921</v>
      </c>
      <c r="AV34" s="146">
        <f>IFERROR((VLOOKUP(TableTERanks33[[#This Row],[Player]],TE!B:O,5,FALSE)),"")</f>
        <v>38.867734146337263</v>
      </c>
      <c r="AW34" s="146">
        <f>IFERROR((VLOOKUP(TableTERanks33[[#This Row],[Player]],TE!B:O,6,FALSE)),"")</f>
        <v>325.93094124496713</v>
      </c>
      <c r="AX34" s="146">
        <f>IFERROR((VLOOKUP(TableTERanks33[[#This Row],[Player]],TE!B:O,7,FALSE)),"")</f>
        <v>2.0988576439022122</v>
      </c>
      <c r="AY34" s="147">
        <f>IFERROR((IFERROR(INDEX(TableTECalcPts[Custom],MATCH(TableTERanks33[[#This Row],[RK]],TableTECalcPts[RK],0)),"")),"")</f>
        <v>64.620107061078613</v>
      </c>
      <c r="AZ3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5" spans="1:53" x14ac:dyDescent="0.25">
      <c r="A35" s="145">
        <v>34</v>
      </c>
      <c r="B35" s="145" t="str">
        <f>IFERROR(INDEX(TableQBCalcPts[PLAYER],MATCH(TableQBRanks30[[#This Row],[RK]],TableQBCalcPts[RK],0)),"")</f>
        <v>Fernando Mendoza</v>
      </c>
      <c r="C35" s="145" t="str">
        <f>IFERROR(INDEX(TableQBCalcPts[TM],MATCH(TableQBRanks30[[#This Row],[Player]],TableQBCalcPts[PLAYER],0)),"")</f>
        <v>LV</v>
      </c>
      <c r="D35" s="145">
        <f>IFERROR(INDEX(TableQBCalcPts[BYE],MATCH(TableQBRanks30[[#This Row],[Player]],TableQBCalcPts[PLAYER],0)),"")</f>
        <v>13</v>
      </c>
      <c r="E35" s="146">
        <f>IFERROR((VLOOKUP(TableQBRanks30[[#This Row],[Player]],QB!B:O,4,FALSE)),"")</f>
        <v>194.39279999999999</v>
      </c>
      <c r="F35" s="146">
        <f>IFERROR((VLOOKUP(TableQBRanks30[[#This Row],[Player]],QB!B:O,5,FALSE)),"")</f>
        <v>121.4572833129313</v>
      </c>
      <c r="G35" s="146">
        <f>IFERROR((VLOOKUP(TableQBRanks30[[#This Row],[Player]],QB!B:O,6,FALSE)),"")</f>
        <v>1332.3863979428563</v>
      </c>
      <c r="H35" s="146">
        <f>IFERROR((VLOOKUP(TableQBRanks30[[#This Row],[Player]],QB!B:O,7,FALSE)),"")</f>
        <v>7.6518088487146718</v>
      </c>
      <c r="I35" s="146">
        <f>IFERROR((VLOOKUP(TableQBRanks30[[#This Row],[Player]],QB!B:O,8,FALSE)),"")</f>
        <v>4.7474164219327459</v>
      </c>
      <c r="J35" s="146">
        <f>IFERROR((VLOOKUP(TableQBRanks30[[#This Row],[Player]],QB!B:O,9,FALSE)),"")</f>
        <v>38.587993919999988</v>
      </c>
      <c r="K35" s="146">
        <f>IFERROR((VLOOKUP(TableQBRanks30[[#This Row],[Player]],QB!B:O,10,FALSE)),"")</f>
        <v>176.02969565291352</v>
      </c>
      <c r="L35" s="146">
        <f>IFERROR((VLOOKUP(TableQBRanks30[[#This Row],[Player]],QB!B:O,11,FALSE)),"")</f>
        <v>1.6783488461494951</v>
      </c>
      <c r="M35" s="147">
        <f>IFERROR(INDEX(TableQBCalcPts[Custom],MATCH(TableQBRanks30[[#This Row],[RK]],TableQBCalcPts[RK],0)),"")</f>
        <v>134.27768356155099</v>
      </c>
      <c r="N3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5" s="58">
        <v>34</v>
      </c>
      <c r="Q35" s="58" t="str">
        <f>IFERROR(INDEX(TableRBCalcPts[PLAYER],MATCH(TableRBRanks31[[#This Row],[RK]],TableRBCalcPts[RK],0)),"")</f>
        <v>Kyle Monangai</v>
      </c>
      <c r="R35" s="58" t="str">
        <f>IFERROR(INDEX(TableRBCalcPts[TM],MATCH(TableRBRanks31[[#This Row],[Player]],TableRBCalcPts[PLAYER],0)),"")</f>
        <v>CHI</v>
      </c>
      <c r="S35" s="58">
        <f>IFERROR(INDEX(TableRBCalcPts[BYE],MATCH(TableRBRanks31[[#This Row],[Player]],TableRBCalcPts[PLAYER],0)),"")</f>
        <v>10</v>
      </c>
      <c r="T35" s="100">
        <f>IFERROR((VLOOKUP(TableRBRanks31[[#This Row],[Player]],RB!B:O,4,FALSE)),"")</f>
        <v>175.60135487999997</v>
      </c>
      <c r="U35" s="100">
        <f>IFERROR((VLOOKUP(TableRBRanks31[[#This Row],[Player]],RB!B:O,5,FALSE)),"")</f>
        <v>758.92623990733705</v>
      </c>
      <c r="V35" s="100">
        <f>IFERROR((VLOOKUP(TableRBRanks31[[#This Row],[Player]],RB!B:O,6,FALSE)),"")</f>
        <v>6.672851485439999</v>
      </c>
      <c r="W35" s="100">
        <f>IFERROR((VLOOKUP(TableRBRanks31[[#This Row],[Player]],RB!B:O,7,FALSE)),"")</f>
        <v>31.016431600000001</v>
      </c>
      <c r="X35" s="100">
        <f>IFERROR((VLOOKUP(TableRBRanks31[[#This Row],[Player]],RB!B:O,8,FALSE)),"")</f>
        <v>21.773534983199998</v>
      </c>
      <c r="Y35" s="100">
        <f>IFERROR((VLOOKUP(TableRBRanks31[[#This Row],[Player]],RB!B:O,9,FALSE)),"")</f>
        <v>166.47993232787942</v>
      </c>
      <c r="Z35" s="100">
        <f>IFERROR((VLOOKUP(TableRBRanks31[[#This Row],[Player]],RB!B:O,10,FALSE)),"")</f>
        <v>0.6961283018646286</v>
      </c>
      <c r="AA35" s="95">
        <f>IFERROR((IFERROR(INDEX(TableRBCalcPts[Custom],MATCH(TableRBRanks31[[#This Row],[RK]],TableRBCalcPts[RK],0)),"")),"")</f>
        <v>147.64126343894941</v>
      </c>
      <c r="AB3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6.558214946254922</v>
      </c>
      <c r="AD35" s="145">
        <v>34</v>
      </c>
      <c r="AE35" s="145" t="str">
        <f>IFERROR(INDEX(TableWRCalcPts[PLAYER],MATCH(TableWRRanks32[[#This Row],[RK]],TableWRCalcPts[RK],0)),"")</f>
        <v>Jordan Addison</v>
      </c>
      <c r="AF35" s="145" t="str">
        <f>IFERROR(INDEX(TableWRCalcPts[TM],MATCH(TableWRRanks32[[#This Row],[Player]],TableWRCalcPts[PLAYER],0)),"")</f>
        <v>MIN</v>
      </c>
      <c r="AG35" s="145">
        <f>IFERROR(INDEX(TableWRCalcPts[BYE],MATCH(TableWRRanks32[[#This Row],[Player]],TableWRCalcPts[PLAYER],0)),"")</f>
        <v>6</v>
      </c>
      <c r="AH35" s="146">
        <f>IFERROR((VLOOKUP(TableWRRanks32[[#This Row],[Player]],WR!B:O,4,FALSE)),"")</f>
        <v>35.867021374824645</v>
      </c>
      <c r="AI35" s="146">
        <f>IFERROR((VLOOKUP(TableWRRanks32[[#This Row],[Player]],WR!B:O,5,FALSE)),"")</f>
        <v>0.133259616</v>
      </c>
      <c r="AJ35" s="146">
        <f>IFERROR((VLOOKUP(TableWRRanks32[[#This Row],[Player]],WR!B:O,6,FALSE)),"")</f>
        <v>113.40315391999999</v>
      </c>
      <c r="AK35" s="146">
        <f>IFERROR((VLOOKUP(TableWRRanks32[[#This Row],[Player]],WR!B:O,7,FALSE)),"")</f>
        <v>71.557390123519994</v>
      </c>
      <c r="AL35" s="146">
        <f>IFERROR((VLOOKUP(TableWRRanks32[[#This Row],[Player]],WR!B:O,8,FALSE)),"")</f>
        <v>935.9706628156415</v>
      </c>
      <c r="AM35" s="146">
        <f>IFERROR((VLOOKUP(TableWRRanks32[[#This Row],[Player]],WR!B:O,9,FALSE)),"")</f>
        <v>5.7961486000051199</v>
      </c>
      <c r="AN35" s="147">
        <f>IFERROR((IFERROR(INDEX(TableWRCalcPts[Custom],MATCH(TableWRRanks32[[#This Row],[RK]],TableWRCalcPts[RK],0)),"")),"")</f>
        <v>168.53891277683735</v>
      </c>
      <c r="AO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14.702356395280407</v>
      </c>
      <c r="AQ35" s="145">
        <v>34</v>
      </c>
      <c r="AR35" s="145" t="str">
        <f>IFERROR(INDEX(TableTECalcPts[PLAYER],MATCH(TableTERanks33[[#This Row],[RK]],TableTECalcPts[RK],0)),"")</f>
        <v>Darnell Washington</v>
      </c>
      <c r="AS35" s="145" t="str">
        <f>IFERROR(INDEX(TableTECalcPts[TM],MATCH(TableTERanks33[[#This Row],[Player]],TableTECalcPts[PLAYER],0)),"")</f>
        <v>PIT</v>
      </c>
      <c r="AT35" s="145">
        <f>IFERROR(INDEX(TableTECalcPts[BYE],MATCH(TableTERanks33[[#This Row],[Player]],TableTECalcPts[PLAYER],0)),"")</f>
        <v>9</v>
      </c>
      <c r="AU35" s="146">
        <f>IFERROR((VLOOKUP(TableTERanks33[[#This Row],[Player]],TE!B:O,4,FALSE)),"")</f>
        <v>43.736615999999998</v>
      </c>
      <c r="AV35" s="146">
        <f>IFERROR((VLOOKUP(TableTERanks33[[#This Row],[Player]],TE!B:O,5,FALSE)),"")</f>
        <v>31.315417055999998</v>
      </c>
      <c r="AW35" s="146">
        <f>IFERROR((VLOOKUP(TableTERanks33[[#This Row],[Player]],TE!B:O,6,FALSE)),"")</f>
        <v>340.2005542619471</v>
      </c>
      <c r="AX35" s="146">
        <f>IFERROR((VLOOKUP(TableTERanks33[[#This Row],[Player]],TE!B:O,7,FALSE)),"")</f>
        <v>2.2730634797775009</v>
      </c>
      <c r="AY35" s="147">
        <f>IFERROR((IFERROR(INDEX(TableTECalcPts[Custom],MATCH(TableTERanks33[[#This Row],[RK]],TableTECalcPts[RK],0)),"")),"")</f>
        <v>63.316144832859713</v>
      </c>
      <c r="AZ3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6" spans="1:53" x14ac:dyDescent="0.25">
      <c r="A36" s="145">
        <v>35</v>
      </c>
      <c r="B36" s="145" t="str">
        <f>IFERROR(INDEX(TableQBCalcPts[PLAYER],MATCH(TableQBRanks30[[#This Row],[RK]],TableQBCalcPts[RK],0)),"")</f>
        <v>Michael Penix</v>
      </c>
      <c r="C36" s="145" t="str">
        <f>IFERROR(INDEX(TableQBCalcPts[TM],MATCH(TableQBRanks30[[#This Row],[Player]],TableQBCalcPts[PLAYER],0)),"")</f>
        <v>ATL</v>
      </c>
      <c r="D36" s="145">
        <f>IFERROR(INDEX(TableQBCalcPts[BYE],MATCH(TableQBRanks30[[#This Row],[Player]],TableQBCalcPts[PLAYER],0)),"")</f>
        <v>11</v>
      </c>
      <c r="E36" s="146">
        <f>IFERROR((VLOOKUP(TableQBRanks30[[#This Row],[Player]],QB!B:O,4,FALSE)),"")</f>
        <v>57.924199999999999</v>
      </c>
      <c r="F36" s="146">
        <f>IFERROR((VLOOKUP(TableQBRanks30[[#This Row],[Player]],QB!B:O,5,FALSE)),"")</f>
        <v>34.758412400683376</v>
      </c>
      <c r="G36" s="146">
        <f>IFERROR((VLOOKUP(TableQBRanks30[[#This Row],[Player]],QB!B:O,6,FALSE)),"")</f>
        <v>410.14926632806385</v>
      </c>
      <c r="H36" s="146">
        <f>IFERROR((VLOOKUP(TableQBRanks30[[#This Row],[Player]],QB!B:O,7,FALSE)),"")</f>
        <v>1.9369641366742598</v>
      </c>
      <c r="I36" s="146">
        <f>IFERROR((VLOOKUP(TableQBRanks30[[#This Row],[Player]],QB!B:O,8,FALSE)),"")</f>
        <v>1.0238992984054669</v>
      </c>
      <c r="J36" s="146">
        <f>IFERROR((VLOOKUP(TableQBRanks30[[#This Row],[Player]],QB!B:O,9,FALSE)),"")</f>
        <v>17.1993136</v>
      </c>
      <c r="K36" s="146">
        <f>IFERROR((VLOOKUP(TableQBRanks30[[#This Row],[Player]],QB!B:O,10,FALSE)),"")</f>
        <v>60.240657920054332</v>
      </c>
      <c r="L36" s="146">
        <f>IFERROR((VLOOKUP(TableQBRanks30[[#This Row],[Player]],QB!B:O,11,FALSE)),"")</f>
        <v>0.90791590080624651</v>
      </c>
      <c r="M36" s="147">
        <f>IFERROR(INDEX(TableQBCalcPts[Custom],MATCH(TableQBRanks30[[#This Row],[RK]],TableQBCalcPts[RK],0)),"")</f>
        <v>41.951258611673893</v>
      </c>
      <c r="N3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6" s="58">
        <v>35</v>
      </c>
      <c r="Q36" s="58" t="str">
        <f>IFERROR(INDEX(TableRBCalcPts[PLAYER],MATCH(TableRBRanks31[[#This Row],[RK]],TableRBCalcPts[RK],0)),"")</f>
        <v>Jordan Mason</v>
      </c>
      <c r="R36" s="58" t="str">
        <f>IFERROR(INDEX(TableRBCalcPts[TM],MATCH(TableRBRanks31[[#This Row],[Player]],TableRBCalcPts[PLAYER],0)),"")</f>
        <v>MIN</v>
      </c>
      <c r="S36" s="58">
        <f>IFERROR(INDEX(TableRBCalcPts[BYE],MATCH(TableRBRanks31[[#This Row],[Player]],TableRBCalcPts[PLAYER],0)),"")</f>
        <v>6</v>
      </c>
      <c r="T36" s="100">
        <f>IFERROR((VLOOKUP(TableRBRanks31[[#This Row],[Player]],RB!B:O,4,FALSE)),"")</f>
        <v>175.01429568</v>
      </c>
      <c r="U36" s="100">
        <f>IFERROR((VLOOKUP(TableRBRanks31[[#This Row],[Player]],RB!B:O,5,FALSE)),"")</f>
        <v>796.2577264688789</v>
      </c>
      <c r="V36" s="100">
        <f>IFERROR((VLOOKUP(TableRBRanks31[[#This Row],[Player]],RB!B:O,6,FALSE)),"")</f>
        <v>6.6505432358399998</v>
      </c>
      <c r="W36" s="100">
        <f>IFERROR((VLOOKUP(TableRBRanks31[[#This Row],[Player]],RB!B:O,7,FALSE)),"")</f>
        <v>13.248032</v>
      </c>
      <c r="X36" s="100">
        <f>IFERROR((VLOOKUP(TableRBRanks31[[#This Row],[Player]],RB!B:O,8,FALSE)),"")</f>
        <v>9.9360239999999997</v>
      </c>
      <c r="Y36" s="100">
        <f>IFERROR((VLOOKUP(TableRBRanks31[[#This Row],[Player]],RB!B:O,9,FALSE)),"")</f>
        <v>61.404628319999993</v>
      </c>
      <c r="Z36" s="100">
        <f>IFERROR((VLOOKUP(TableRBRanks31[[#This Row],[Player]],RB!B:O,10,FALSE)),"")</f>
        <v>0.27820867199999999</v>
      </c>
      <c r="AA36" s="95">
        <f>IFERROR((IFERROR(INDEX(TableRBCalcPts[Custom],MATCH(TableRBRanks31[[#This Row],[RK]],TableRBCalcPts[RK],0)),"")),"")</f>
        <v>132.30675892592791</v>
      </c>
      <c r="AB3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4.2533998070284129</v>
      </c>
      <c r="AD36" s="145">
        <v>35</v>
      </c>
      <c r="AE36" s="145" t="str">
        <f>IFERROR(INDEX(TableWRCalcPts[PLAYER],MATCH(TableWRRanks32[[#This Row],[RK]],TableWRCalcPts[RK],0)),"")</f>
        <v>Quentin Johnston</v>
      </c>
      <c r="AF36" s="145" t="str">
        <f>IFERROR(INDEX(TableWRCalcPts[TM],MATCH(TableWRRanks32[[#This Row],[Player]],TableWRCalcPts[PLAYER],0)),"")</f>
        <v>LAC</v>
      </c>
      <c r="AG36" s="145">
        <f>IFERROR(INDEX(TableWRCalcPts[BYE],MATCH(TableWRRanks32[[#This Row],[Player]],TableWRCalcPts[PLAYER],0)),"")</f>
        <v>7</v>
      </c>
      <c r="AH36" s="146">
        <f>IFERROR((VLOOKUP(TableWRRanks32[[#This Row],[Player]],WR!B:O,4,FALSE)),"")</f>
        <v>0</v>
      </c>
      <c r="AI36" s="146">
        <f>IFERROR((VLOOKUP(TableWRRanks32[[#This Row],[Player]],WR!B:O,5,FALSE)),"")</f>
        <v>0</v>
      </c>
      <c r="AJ36" s="146">
        <f>IFERROR((VLOOKUP(TableWRRanks32[[#This Row],[Player]],WR!B:O,6,FALSE)),"")</f>
        <v>108.46499663999998</v>
      </c>
      <c r="AK36" s="146">
        <f>IFERROR((VLOOKUP(TableWRRanks32[[#This Row],[Player]],WR!B:O,7,FALSE)),"")</f>
        <v>61.233610819884383</v>
      </c>
      <c r="AL36" s="146">
        <f>IFERROR((VLOOKUP(TableWRRanks32[[#This Row],[Player]],WR!B:O,8,FALSE)),"")</f>
        <v>879.68748673771267</v>
      </c>
      <c r="AM36" s="146">
        <f>IFERROR((VLOOKUP(TableWRRanks32[[#This Row],[Player]],WR!B:O,9,FALSE)),"")</f>
        <v>7.6542013524855479</v>
      </c>
      <c r="AN36" s="147">
        <f>IFERROR((IFERROR(INDEX(TableWRCalcPts[Custom],MATCH(TableWRRanks32[[#This Row],[RK]],TableWRCalcPts[RK],0)),"")),"")</f>
        <v>164.51076219862676</v>
      </c>
      <c r="AO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13.945554763064314</v>
      </c>
      <c r="AQ36" s="145">
        <v>35</v>
      </c>
      <c r="AR36" s="145" t="str">
        <f>IFERROR(INDEX(TableTECalcPts[PLAYER],MATCH(TableTERanks33[[#This Row],[RK]],TableTECalcPts[RK],0)),"")</f>
        <v>Dawson Knox</v>
      </c>
      <c r="AS36" s="145" t="str">
        <f>IFERROR(INDEX(TableTECalcPts[TM],MATCH(TableTERanks33[[#This Row],[Player]],TableTECalcPts[PLAYER],0)),"")</f>
        <v>BUF</v>
      </c>
      <c r="AT36" s="145">
        <f>IFERROR(INDEX(TableTECalcPts[BYE],MATCH(TableTERanks33[[#This Row],[Player]],TableTECalcPts[PLAYER],0)),"")</f>
        <v>7</v>
      </c>
      <c r="AU36" s="146">
        <f>IFERROR((VLOOKUP(TableTERanks33[[#This Row],[Player]],TE!B:O,4,FALSE)),"")</f>
        <v>39.838999199999989</v>
      </c>
      <c r="AV36" s="146">
        <f>IFERROR((VLOOKUP(TableTERanks33[[#This Row],[Player]],TE!B:O,5,FALSE)),"")</f>
        <v>28.006816437599991</v>
      </c>
      <c r="AW36" s="146">
        <f>IFERROR((VLOOKUP(TableTERanks33[[#This Row],[Player]],TE!B:O,6,FALSE)),"")</f>
        <v>313.38478405489178</v>
      </c>
      <c r="AX36" s="146">
        <f>IFERROR((VLOOKUP(TableTERanks33[[#This Row],[Player]],TE!B:O,7,FALSE)),"")</f>
        <v>2.6886543780095993</v>
      </c>
      <c r="AY36" s="147">
        <f>IFERROR((IFERROR(INDEX(TableTECalcPts[Custom],MATCH(TableTERanks33[[#This Row],[RK]],TableTECalcPts[RK],0)),"")),"")</f>
        <v>61.473812892346771</v>
      </c>
      <c r="AZ3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7" spans="1:53" x14ac:dyDescent="0.25">
      <c r="A37" s="145">
        <v>36</v>
      </c>
      <c r="B37" s="145" t="str">
        <f>IFERROR(INDEX(TableQBCalcPts[PLAYER],MATCH(TableQBRanks30[[#This Row],[RK]],TableQBCalcPts[RK],0)),"")</f>
        <v>Anthony Richardson</v>
      </c>
      <c r="C37" s="145" t="str">
        <f>IFERROR(INDEX(TableQBCalcPts[TM],MATCH(TableQBRanks30[[#This Row],[Player]],TableQBCalcPts[PLAYER],0)),"")</f>
        <v>IND</v>
      </c>
      <c r="D37" s="145">
        <f>IFERROR(INDEX(TableQBCalcPts[BYE],MATCH(TableQBRanks30[[#This Row],[Player]],TableQBCalcPts[PLAYER],0)),"")</f>
        <v>13</v>
      </c>
      <c r="E37" s="146">
        <f>IFERROR((VLOOKUP(TableQBRanks30[[#This Row],[Player]],QB!B:O,4,FALSE)),"")</f>
        <v>26.664000000000001</v>
      </c>
      <c r="F37" s="146">
        <f>IFERROR((VLOOKUP(TableQBRanks30[[#This Row],[Player]],QB!B:O,5,FALSE)),"")</f>
        <v>14.66897010976982</v>
      </c>
      <c r="G37" s="146">
        <f>IFERROR((VLOOKUP(TableQBRanks30[[#This Row],[Player]],QB!B:O,6,FALSE)),"")</f>
        <v>196.27082006872021</v>
      </c>
      <c r="H37" s="146">
        <f>IFERROR((VLOOKUP(TableQBRanks30[[#This Row],[Player]],QB!B:O,7,FALSE)),"")</f>
        <v>0.79212438592757028</v>
      </c>
      <c r="I37" s="146">
        <f>IFERROR((VLOOKUP(TableQBRanks30[[#This Row],[Player]],QB!B:O,8,FALSE)),"")</f>
        <v>0.38917262140055342</v>
      </c>
      <c r="J37" s="146">
        <f>IFERROR((VLOOKUP(TableQBRanks30[[#This Row],[Player]],QB!B:O,9,FALSE)),"")</f>
        <v>23.359279999999998</v>
      </c>
      <c r="K37" s="146">
        <f>IFERROR((VLOOKUP(TableQBRanks30[[#This Row],[Player]],QB!B:O,10,FALSE)),"")</f>
        <v>119.13232799999999</v>
      </c>
      <c r="L37" s="146">
        <f>IFERROR((VLOOKUP(TableQBRanks30[[#This Row],[Player]],QB!B:O,11,FALSE)),"")</f>
        <v>1.4249160799999998</v>
      </c>
      <c r="M37" s="147">
        <f>IFERROR(INDEX(TableQBCalcPts[Custom],MATCH(TableQBRanks30[[#This Row],[RK]],TableQBCalcPts[RK],0)),"")</f>
        <v>34.144032787890652</v>
      </c>
      <c r="N3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7" s="58">
        <v>36</v>
      </c>
      <c r="Q37" s="58" t="str">
        <f>IFERROR(INDEX(TableRBCalcPts[PLAYER],MATCH(TableRBRanks31[[#This Row],[RK]],TableRBCalcPts[RK],0)),"")</f>
        <v>Blake Corum</v>
      </c>
      <c r="R37" s="58" t="str">
        <f>IFERROR(INDEX(TableRBCalcPts[TM],MATCH(TableRBRanks31[[#This Row],[Player]],TableRBCalcPts[PLAYER],0)),"")</f>
        <v>LAR</v>
      </c>
      <c r="S37" s="58">
        <f>IFERROR(INDEX(TableRBCalcPts[BYE],MATCH(TableRBRanks31[[#This Row],[Player]],TableRBCalcPts[PLAYER],0)),"")</f>
        <v>11</v>
      </c>
      <c r="T37" s="100">
        <f>IFERROR((VLOOKUP(TableRBRanks31[[#This Row],[Player]],RB!B:O,4,FALSE)),"")</f>
        <v>155.89173599999995</v>
      </c>
      <c r="U37" s="100">
        <f>IFERROR((VLOOKUP(TableRBRanks31[[#This Row],[Player]],RB!B:O,5,FALSE)),"")</f>
        <v>743.60358071999974</v>
      </c>
      <c r="V37" s="100">
        <f>IFERROR((VLOOKUP(TableRBRanks31[[#This Row],[Player]],RB!B:O,6,FALSE)),"")</f>
        <v>6.5258998274671915</v>
      </c>
      <c r="W37" s="100">
        <f>IFERROR((VLOOKUP(TableRBRanks31[[#This Row],[Player]],RB!B:O,7,FALSE)),"")</f>
        <v>20.921952869624988</v>
      </c>
      <c r="X37" s="100">
        <f>IFERROR((VLOOKUP(TableRBRanks31[[#This Row],[Player]],RB!B:O,8,FALSE)),"")</f>
        <v>12.636859533253492</v>
      </c>
      <c r="Y37" s="100">
        <f>IFERROR((VLOOKUP(TableRBRanks31[[#This Row],[Player]],RB!B:O,9,FALSE)),"")</f>
        <v>81.245423197401081</v>
      </c>
      <c r="Z37" s="100">
        <f>IFERROR((VLOOKUP(TableRBRanks31[[#This Row],[Player]],RB!B:O,10,FALSE)),"")</f>
        <v>0.70766413386219562</v>
      </c>
      <c r="AA37" s="95">
        <f>IFERROR((IFERROR(INDEX(TableRBCalcPts[Custom],MATCH(TableRBRanks31[[#This Row],[RK]],TableRBCalcPts[RK],0)),"")),"")</f>
        <v>132.20471392634317</v>
      </c>
      <c r="AB3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4.2380621833232883</v>
      </c>
      <c r="AD37" s="145">
        <v>36</v>
      </c>
      <c r="AE37" s="145" t="str">
        <f>IFERROR(INDEX(TableWRCalcPts[PLAYER],MATCH(TableWRRanks32[[#This Row],[RK]],TableWRCalcPts[RK],0)),"")</f>
        <v>Jordyn Tyson</v>
      </c>
      <c r="AF37" s="145" t="str">
        <f>IFERROR(INDEX(TableWRCalcPts[TM],MATCH(TableWRRanks32[[#This Row],[Player]],TableWRCalcPts[PLAYER],0)),"")</f>
        <v>NO</v>
      </c>
      <c r="AG37" s="145">
        <f>IFERROR(INDEX(TableWRCalcPts[BYE],MATCH(TableWRRanks32[[#This Row],[Player]],TableWRCalcPts[PLAYER],0)),"")</f>
        <v>8</v>
      </c>
      <c r="AH37" s="146">
        <f>IFERROR((VLOOKUP(TableWRRanks32[[#This Row],[Player]],WR!B:O,4,FALSE)),"")</f>
        <v>0</v>
      </c>
      <c r="AI37" s="146">
        <f>IFERROR((VLOOKUP(TableWRRanks32[[#This Row],[Player]],WR!B:O,5,FALSE)),"")</f>
        <v>0</v>
      </c>
      <c r="AJ37" s="146">
        <f>IFERROR((VLOOKUP(TableWRRanks32[[#This Row],[Player]],WR!B:O,6,FALSE)),"")</f>
        <v>114.75853312000001</v>
      </c>
      <c r="AK37" s="146">
        <f>IFERROR((VLOOKUP(TableWRRanks32[[#This Row],[Player]],WR!B:O,7,FALSE)),"")</f>
        <v>70.920773468160007</v>
      </c>
      <c r="AL37" s="146">
        <f>IFERROR((VLOOKUP(TableWRRanks32[[#This Row],[Player]],WR!B:O,8,FALSE)),"")</f>
        <v>919.13322414735376</v>
      </c>
      <c r="AM37" s="146">
        <f>IFERROR((VLOOKUP(TableWRRanks32[[#This Row],[Player]],WR!B:O,9,FALSE)),"")</f>
        <v>6.0991865182617602</v>
      </c>
      <c r="AN37" s="147">
        <f>IFERROR((IFERROR(INDEX(TableWRCalcPts[Custom],MATCH(TableWRRanks32[[#This Row],[RK]],TableWRCalcPts[RK],0)),"")),"")</f>
        <v>163.96882825838594</v>
      </c>
      <c r="AO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13.843737196276692</v>
      </c>
      <c r="AQ37" s="145">
        <v>36</v>
      </c>
      <c r="AR37" s="145" t="str">
        <f>IFERROR(INDEX(TableTECalcPts[PLAYER],MATCH(TableTERanks33[[#This Row],[RK]],TableTECalcPts[RK],0)),"")</f>
        <v>Colby Parkinson</v>
      </c>
      <c r="AS37" s="145" t="str">
        <f>IFERROR(INDEX(TableTECalcPts[TM],MATCH(TableTERanks33[[#This Row],[Player]],TableTECalcPts[PLAYER],0)),"")</f>
        <v>LAR</v>
      </c>
      <c r="AT37" s="145">
        <f>IFERROR(INDEX(TableTECalcPts[BYE],MATCH(TableTERanks33[[#This Row],[Player]],TableTECalcPts[PLAYER],0)),"")</f>
        <v>11</v>
      </c>
      <c r="AU37" s="146">
        <f>IFERROR((VLOOKUP(TableTERanks33[[#This Row],[Player]],TE!B:O,4,FALSE)),"")</f>
        <v>40.147531182253346</v>
      </c>
      <c r="AV37" s="146">
        <f>IFERROR((VLOOKUP(TableTERanks33[[#This Row],[Player]],TE!B:O,5,FALSE)),"")</f>
        <v>29.267550231862689</v>
      </c>
      <c r="AW37" s="146">
        <f>IFERROR((VLOOKUP(TableTERanks33[[#This Row],[Player]],TE!B:O,6,FALSE)),"")</f>
        <v>277.20682944280912</v>
      </c>
      <c r="AX37" s="146">
        <f>IFERROR((VLOOKUP(TableTERanks33[[#This Row],[Player]],TE!B:O,7,FALSE)),"")</f>
        <v>3.1236112677785943</v>
      </c>
      <c r="AY37" s="147">
        <f>IFERROR((IFERROR(INDEX(TableTECalcPts[Custom],MATCH(TableTERanks33[[#This Row],[RK]],TableTECalcPts[RK],0)),"")),"")</f>
        <v>61.096125666883822</v>
      </c>
      <c r="AZ3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8" spans="1:53" x14ac:dyDescent="0.25">
      <c r="A38" s="145">
        <v>37</v>
      </c>
      <c r="B38" s="145" t="str">
        <f>IFERROR(INDEX(TableQBCalcPts[PLAYER],MATCH(TableQBRanks30[[#This Row],[RK]],TableQBCalcPts[RK],0)),"")</f>
        <v>Carson Beck</v>
      </c>
      <c r="C38" s="145" t="str">
        <f>IFERROR(INDEX(TableQBCalcPts[TM],MATCH(TableQBRanks30[[#This Row],[Player]],TableQBCalcPts[PLAYER],0)),"")</f>
        <v>ARI</v>
      </c>
      <c r="D38" s="145">
        <f>IFERROR(INDEX(TableQBCalcPts[BYE],MATCH(TableQBRanks30[[#This Row],[Player]],TableQBCalcPts[PLAYER],0)),"")</f>
        <v>14</v>
      </c>
      <c r="E38" s="146">
        <f>IFERROR((VLOOKUP(TableQBRanks30[[#This Row],[Player]],QB!B:O,4,FALSE)),"")</f>
        <v>73.746400000000008</v>
      </c>
      <c r="F38" s="146">
        <f>IFERROR((VLOOKUP(TableQBRanks30[[#This Row],[Player]],QB!B:O,5,FALSE)),"")</f>
        <v>45.870260800000004</v>
      </c>
      <c r="G38" s="146">
        <f>IFERROR((VLOOKUP(TableQBRanks30[[#This Row],[Player]],QB!B:O,6,FALSE)),"")</f>
        <v>469.25276798400006</v>
      </c>
      <c r="H38" s="146">
        <f>IFERROR((VLOOKUP(TableQBRanks30[[#This Row],[Player]],QB!B:O,7,FALSE)),"")</f>
        <v>0</v>
      </c>
      <c r="I38" s="146">
        <f>IFERROR((VLOOKUP(TableQBRanks30[[#This Row],[Player]],QB!B:O,8,FALSE)),"")</f>
        <v>1.9951710568781751</v>
      </c>
      <c r="J38" s="146">
        <f>IFERROR((VLOOKUP(TableQBRanks30[[#This Row],[Player]],QB!B:O,9,FALSE)),"")</f>
        <v>1.7472223999999998</v>
      </c>
      <c r="K38" s="146">
        <f>IFERROR((VLOOKUP(TableQBRanks30[[#This Row],[Player]],QB!B:O,10,FALSE)),"")</f>
        <v>5.5127879172413792</v>
      </c>
      <c r="L38" s="146">
        <f>IFERROR((VLOOKUP(TableQBRanks30[[#This Row],[Player]],QB!B:O,11,FALSE)),"")</f>
        <v>4.0166032183908039E-2</v>
      </c>
      <c r="M38" s="147">
        <f>IFERROR(INDEX(TableQBCalcPts[Custom],MATCH(TableQBRanks30[[#This Row],[RK]],TableQBCalcPts[RK],0)),"")</f>
        <v>22.154240727309414</v>
      </c>
      <c r="N3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8" s="58">
        <v>37</v>
      </c>
      <c r="Q38" s="58" t="str">
        <f>IFERROR(INDEX(TableRBCalcPts[PLAYER],MATCH(TableRBRanks31[[#This Row],[RK]],TableRBCalcPts[RK],0)),"")</f>
        <v>Aaron Jones</v>
      </c>
      <c r="R38" s="58" t="str">
        <f>IFERROR(INDEX(TableRBCalcPts[TM],MATCH(TableRBRanks31[[#This Row],[Player]],TableRBCalcPts[PLAYER],0)),"")</f>
        <v>MIN</v>
      </c>
      <c r="S38" s="58">
        <f>IFERROR(INDEX(TableRBCalcPts[BYE],MATCH(TableRBRanks31[[#This Row],[Player]],TableRBCalcPts[PLAYER],0)),"")</f>
        <v>6</v>
      </c>
      <c r="T38" s="100">
        <f>IFERROR((VLOOKUP(TableRBRanks31[[#This Row],[Player]],RB!B:O,4,FALSE)),"")</f>
        <v>154.58115455999996</v>
      </c>
      <c r="U38" s="100">
        <f>IFERROR((VLOOKUP(TableRBRanks31[[#This Row],[Player]],RB!B:O,5,FALSE)),"")</f>
        <v>643.0218554919503</v>
      </c>
      <c r="V38" s="100">
        <f>IFERROR((VLOOKUP(TableRBRanks31[[#This Row],[Player]],RB!B:O,6,FALSE)),"")</f>
        <v>3.8645288639999991</v>
      </c>
      <c r="W38" s="100">
        <f>IFERROR((VLOOKUP(TableRBRanks31[[#This Row],[Player]],RB!B:O,7,FALSE)),"")</f>
        <v>39.744095999999999</v>
      </c>
      <c r="X38" s="100">
        <f>IFERROR((VLOOKUP(TableRBRanks31[[#This Row],[Player]],RB!B:O,8,FALSE)),"")</f>
        <v>30.129396994327276</v>
      </c>
      <c r="Y38" s="100">
        <f>IFERROR((VLOOKUP(TableRBRanks31[[#This Row],[Player]],RB!B:O,9,FALSE)),"")</f>
        <v>215.69120899199999</v>
      </c>
      <c r="Z38" s="100">
        <f>IFERROR((VLOOKUP(TableRBRanks31[[#This Row],[Player]],RB!B:O,10,FALSE)),"")</f>
        <v>1.1330680459636364</v>
      </c>
      <c r="AA38" s="95">
        <f>IFERROR((IFERROR(INDEX(TableRBCalcPts[Custom],MATCH(TableRBRanks31[[#This Row],[RK]],TableRBCalcPts[RK],0)),"")),"")</f>
        <v>130.92158640534046</v>
      </c>
      <c r="AB3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4.0452048442776132</v>
      </c>
      <c r="AD38" s="145">
        <v>37</v>
      </c>
      <c r="AE38" s="145" t="str">
        <f>IFERROR(INDEX(TableWRCalcPts[PLAYER],MATCH(TableWRRanks32[[#This Row],[RK]],TableWRCalcPts[RK],0)),"")</f>
        <v>DK Metcalf</v>
      </c>
      <c r="AF38" s="145" t="str">
        <f>IFERROR(INDEX(TableWRCalcPts[TM],MATCH(TableWRRanks32[[#This Row],[Player]],TableWRCalcPts[PLAYER],0)),"")</f>
        <v>PIT</v>
      </c>
      <c r="AG38" s="145">
        <f>IFERROR(INDEX(TableWRCalcPts[BYE],MATCH(TableWRRanks32[[#This Row],[Player]],TableWRCalcPts[PLAYER],0)),"")</f>
        <v>9</v>
      </c>
      <c r="AH38" s="146">
        <f>IFERROR((VLOOKUP(TableWRRanks32[[#This Row],[Player]],WR!B:O,4,FALSE)),"")</f>
        <v>0</v>
      </c>
      <c r="AI38" s="146">
        <f>IFERROR((VLOOKUP(TableWRRanks32[[#This Row],[Player]],WR!B:O,5,FALSE)),"")</f>
        <v>0</v>
      </c>
      <c r="AJ38" s="146">
        <f>IFERROR((VLOOKUP(TableWRRanks32[[#This Row],[Player]],WR!B:O,6,FALSE)),"")</f>
        <v>120.985704</v>
      </c>
      <c r="AK38" s="146">
        <f>IFERROR((VLOOKUP(TableWRRanks32[[#This Row],[Player]],WR!B:O,7,FALSE)),"")</f>
        <v>66.387960727646018</v>
      </c>
      <c r="AL38" s="146">
        <f>IFERROR((VLOOKUP(TableWRRanks32[[#This Row],[Player]],WR!B:O,8,FALSE)),"")</f>
        <v>934.74248704525598</v>
      </c>
      <c r="AM38" s="146">
        <f>IFERROR((VLOOKUP(TableWRRanks32[[#This Row],[Player]],WR!B:O,9,FALSE)),"")</f>
        <v>6.0413044262157873</v>
      </c>
      <c r="AN38" s="147">
        <f>IFERROR((IFERROR(INDEX(TableWRCalcPts[Custom],MATCH(TableWRRanks32[[#This Row],[RK]],TableWRCalcPts[RK],0)),"")),"")</f>
        <v>162.91605562564334</v>
      </c>
      <c r="AO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13.645944181506632</v>
      </c>
      <c r="AQ38" s="145">
        <v>37</v>
      </c>
      <c r="AR38" s="145" t="str">
        <f>IFERROR(INDEX(TableTECalcPts[PLAYER],MATCH(TableTERanks33[[#This Row],[RK]],TableTECalcPts[RK],0)),"")</f>
        <v>Ja'Tavion Sanders</v>
      </c>
      <c r="AS38" s="145" t="str">
        <f>IFERROR(INDEX(TableTECalcPts[TM],MATCH(TableTERanks33[[#This Row],[Player]],TableTECalcPts[PLAYER],0)),"")</f>
        <v>CAR</v>
      </c>
      <c r="AT38" s="145">
        <f>IFERROR(INDEX(TableTECalcPts[BYE],MATCH(TableTERanks33[[#This Row],[Player]],TableTECalcPts[PLAYER],0)),"")</f>
        <v>5</v>
      </c>
      <c r="AU38" s="146">
        <f>IFERROR((VLOOKUP(TableTERanks33[[#This Row],[Player]],TE!B:O,4,FALSE)),"")</f>
        <v>43.076879999999996</v>
      </c>
      <c r="AV38" s="146">
        <f>IFERROR((VLOOKUP(TableTERanks33[[#This Row],[Player]],TE!B:O,5,FALSE)),"")</f>
        <v>31.532276159999995</v>
      </c>
      <c r="AW38" s="146">
        <f>IFERROR((VLOOKUP(TableTERanks33[[#This Row],[Player]],TE!B:O,6,FALSE)),"")</f>
        <v>250.18732053957442</v>
      </c>
      <c r="AX38" s="146">
        <f>IFERROR((VLOOKUP(TableTERanks33[[#This Row],[Player]],TE!B:O,7,FALSE)),"")</f>
        <v>1.8919365695999997</v>
      </c>
      <c r="AY38" s="147">
        <f>IFERROR((IFERROR(INDEX(TableTECalcPts[Custom],MATCH(TableTERanks33[[#This Row],[RK]],TableTECalcPts[RK],0)),"")),"")</f>
        <v>52.136489551557439</v>
      </c>
      <c r="AZ3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9" spans="1:53" x14ac:dyDescent="0.25">
      <c r="A39" s="145">
        <v>38</v>
      </c>
      <c r="B39" s="145" t="str">
        <f>IFERROR(INDEX(TableQBCalcPts[PLAYER],MATCH(TableQBRanks30[[#This Row],[RK]],TableQBCalcPts[RK],0)),"")</f>
        <v>Justin Fields</v>
      </c>
      <c r="C39" s="145" t="str">
        <f>IFERROR(INDEX(TableQBCalcPts[TM],MATCH(TableQBRanks30[[#This Row],[Player]],TableQBCalcPts[PLAYER],0)),"")</f>
        <v>KC</v>
      </c>
      <c r="D39" s="145">
        <f>IFERROR(INDEX(TableQBCalcPts[BYE],MATCH(TableQBRanks30[[#This Row],[Player]],TableQBCalcPts[PLAYER],0)),"")</f>
        <v>5</v>
      </c>
      <c r="E39" s="146">
        <f>IFERROR((VLOOKUP(TableQBRanks30[[#This Row],[Player]],QB!B:O,4,FALSE)),"")</f>
        <v>29.87125</v>
      </c>
      <c r="F39" s="146">
        <f>IFERROR((VLOOKUP(TableQBRanks30[[#This Row],[Player]],QB!B:O,5,FALSE)),"")</f>
        <v>18.916116027884559</v>
      </c>
      <c r="G39" s="146">
        <f>IFERROR((VLOOKUP(TableQBRanks30[[#This Row],[Player]],QB!B:O,6,FALSE)),"")</f>
        <v>187.64787099661481</v>
      </c>
      <c r="H39" s="146">
        <f>IFERROR((VLOOKUP(TableQBRanks30[[#This Row],[Player]],QB!B:O,7,FALSE)),"")</f>
        <v>1.1605429784513495</v>
      </c>
      <c r="I39" s="146">
        <f>IFERROR((VLOOKUP(TableQBRanks30[[#This Row],[Player]],QB!B:O,8,FALSE)),"")</f>
        <v>0.46715527487029007</v>
      </c>
      <c r="J39" s="146">
        <f>IFERROR((VLOOKUP(TableQBRanks30[[#This Row],[Player]],QB!B:O,9,FALSE)),"")</f>
        <v>6.4911525000000001</v>
      </c>
      <c r="K39" s="146">
        <f>IFERROR((VLOOKUP(TableQBRanks30[[#This Row],[Player]],QB!B:O,10,FALSE)),"")</f>
        <v>32.823096448834477</v>
      </c>
      <c r="L39" s="146">
        <f>IFERROR((VLOOKUP(TableQBRanks30[[#This Row],[Player]],QB!B:O,11,FALSE)),"")</f>
        <v>0.25551597218149824</v>
      </c>
      <c r="M39" s="147">
        <f>IFERROR(INDEX(TableQBCalcPts[Custom],MATCH(TableQBRanks30[[#This Row],[RK]],TableQBCalcPts[RK],0)),"")</f>
        <v>20.709034516463291</v>
      </c>
      <c r="N3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9" s="58">
        <v>38</v>
      </c>
      <c r="Q39" s="58" t="str">
        <f>IFERROR(INDEX(TableRBCalcPts[PLAYER],MATCH(TableRBRanks31[[#This Row],[RK]],TableRBCalcPts[RK],0)),"")</f>
        <v>Jonathon Brooks</v>
      </c>
      <c r="R39" s="58" t="str">
        <f>IFERROR(INDEX(TableRBCalcPts[TM],MATCH(TableRBRanks31[[#This Row],[Player]],TableRBCalcPts[PLAYER],0)),"")</f>
        <v>CAR</v>
      </c>
      <c r="S39" s="58">
        <f>IFERROR(INDEX(TableRBCalcPts[BYE],MATCH(TableRBRanks31[[#This Row],[Player]],TableRBCalcPts[PLAYER],0)),"")</f>
        <v>5</v>
      </c>
      <c r="T39" s="100">
        <f>IFERROR((VLOOKUP(TableRBRanks31[[#This Row],[Player]],RB!B:O,4,FALSE)),"")</f>
        <v>147.22299899999999</v>
      </c>
      <c r="U39" s="100">
        <f>IFERROR((VLOOKUP(TableRBRanks31[[#This Row],[Player]],RB!B:O,5,FALSE)),"")</f>
        <v>634.53112568999984</v>
      </c>
      <c r="V39" s="100">
        <f>IFERROR((VLOOKUP(TableRBRanks31[[#This Row],[Player]],RB!B:O,6,FALSE)),"")</f>
        <v>3.6805749749999999</v>
      </c>
      <c r="W39" s="100">
        <f>IFERROR((VLOOKUP(TableRBRanks31[[#This Row],[Player]],RB!B:O,7,FALSE)),"")</f>
        <v>40.384574999999991</v>
      </c>
      <c r="X39" s="100">
        <f>IFERROR((VLOOKUP(TableRBRanks31[[#This Row],[Player]],RB!B:O,8,FALSE)),"")</f>
        <v>28.551894524999991</v>
      </c>
      <c r="Y39" s="100">
        <f>IFERROR((VLOOKUP(TableRBRanks31[[#This Row],[Player]],RB!B:O,9,FALSE)),"")</f>
        <v>210.26686729007403</v>
      </c>
      <c r="Z39" s="100">
        <f>IFERROR((VLOOKUP(TableRBRanks31[[#This Row],[Player]],RB!B:O,10,FALSE)),"")</f>
        <v>0.91366062479999977</v>
      </c>
      <c r="AA39" s="95">
        <f>IFERROR((IFERROR(INDEX(TableRBCalcPts[Custom],MATCH(TableRBRanks31[[#This Row],[RK]],TableRBCalcPts[RK],0)),"")),"")</f>
        <v>126.32116015930738</v>
      </c>
      <c r="AB3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3.3537490460320143</v>
      </c>
      <c r="AD39" s="145">
        <v>38</v>
      </c>
      <c r="AE39" s="145" t="str">
        <f>IFERROR(INDEX(TableWRCalcPts[PLAYER],MATCH(TableWRRanks32[[#This Row],[RK]],TableWRCalcPts[RK],0)),"")</f>
        <v>Michael Pittman</v>
      </c>
      <c r="AF39" s="145" t="str">
        <f>IFERROR(INDEX(TableWRCalcPts[TM],MATCH(TableWRRanks32[[#This Row],[Player]],TableWRCalcPts[PLAYER],0)),"")</f>
        <v>PIT</v>
      </c>
      <c r="AG39" s="145">
        <f>IFERROR(INDEX(TableWRCalcPts[BYE],MATCH(TableWRRanks32[[#This Row],[Player]],TableWRCalcPts[PLAYER],0)),"")</f>
        <v>9</v>
      </c>
      <c r="AH39" s="146">
        <f>IFERROR((VLOOKUP(TableWRRanks32[[#This Row],[Player]],WR!B:O,4,FALSE)),"")</f>
        <v>0</v>
      </c>
      <c r="AI39" s="146">
        <f>IFERROR((VLOOKUP(TableWRRanks32[[#This Row],[Player]],WR!B:O,5,FALSE)),"")</f>
        <v>0</v>
      </c>
      <c r="AJ39" s="146">
        <f>IFERROR((VLOOKUP(TableWRRanks32[[#This Row],[Player]],WR!B:O,6,FALSE)),"")</f>
        <v>133.48187999999999</v>
      </c>
      <c r="AK39" s="146">
        <f>IFERROR((VLOOKUP(TableWRRanks32[[#This Row],[Player]],WR!B:O,7,FALSE)),"")</f>
        <v>85.14690356462151</v>
      </c>
      <c r="AL39" s="146">
        <f>IFERROR((VLOOKUP(TableWRRanks32[[#This Row],[Player]],WR!B:O,8,FALSE)),"")</f>
        <v>860.83519503832338</v>
      </c>
      <c r="AM39" s="146">
        <f>IFERROR((VLOOKUP(TableWRRanks32[[#This Row],[Player]],WR!B:O,9,FALSE)),"")</f>
        <v>5.4494018281357768</v>
      </c>
      <c r="AN39" s="147">
        <f>IFERROR((IFERROR(INDEX(TableWRCalcPts[Custom],MATCH(TableWRRanks32[[#This Row],[RK]],TableWRCalcPts[RK],0)),"")),"")</f>
        <v>161.35338225495778</v>
      </c>
      <c r="AO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13.352351939957208</v>
      </c>
      <c r="AQ39" s="145">
        <v>38</v>
      </c>
      <c r="AR39" s="145" t="str">
        <f>IFERROR(INDEX(TableTECalcPts[PLAYER],MATCH(TableTERanks33[[#This Row],[RK]],TableTECalcPts[RK],0)),"")</f>
        <v>Eli Raridon</v>
      </c>
      <c r="AS39" s="145" t="str">
        <f>IFERROR(INDEX(TableTECalcPts[TM],MATCH(TableTERanks33[[#This Row],[Player]],TableTECalcPts[PLAYER],0)),"")</f>
        <v>NE</v>
      </c>
      <c r="AT39" s="145">
        <f>IFERROR(INDEX(TableTECalcPts[BYE],MATCH(TableTERanks33[[#This Row],[Player]],TableTECalcPts[PLAYER],0)),"")</f>
        <v>11</v>
      </c>
      <c r="AU39" s="146">
        <f>IFERROR((VLOOKUP(TableTERanks33[[#This Row],[Player]],TE!B:O,4,FALSE)),"")</f>
        <v>37.085826399999988</v>
      </c>
      <c r="AV39" s="146">
        <f>IFERROR((VLOOKUP(TableTERanks33[[#This Row],[Player]],TE!B:O,5,FALSE)),"")</f>
        <v>26.850138313599992</v>
      </c>
      <c r="AW39" s="146">
        <f>IFERROR((VLOOKUP(TableTERanks33[[#This Row],[Player]],TE!B:O,6,FALSE)),"")</f>
        <v>268.12218195686313</v>
      </c>
      <c r="AX39" s="146">
        <f>IFERROR((VLOOKUP(TableTERanks33[[#This Row],[Player]],TE!B:O,7,FALSE)),"")</f>
        <v>1.6915587137567996</v>
      </c>
      <c r="AY39" s="147">
        <f>IFERROR((IFERROR(INDEX(TableTECalcPts[Custom],MATCH(TableTERanks33[[#This Row],[RK]],TableTECalcPts[RK],0)),"")),"")</f>
        <v>50.386639635027102</v>
      </c>
      <c r="AZ3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0" spans="1:53" x14ac:dyDescent="0.25">
      <c r="A40" s="145">
        <v>39</v>
      </c>
      <c r="B40" s="145" t="str">
        <f>IFERROR(INDEX(TableQBCalcPts[PLAYER],MATCH(TableQBRanks30[[#This Row],[RK]],TableQBCalcPts[RK],0)),"")</f>
        <v>Marcus Mariota</v>
      </c>
      <c r="C40" s="145" t="str">
        <f>IFERROR(INDEX(TableQBCalcPts[TM],MATCH(TableQBRanks30[[#This Row],[Player]],TableQBCalcPts[PLAYER],0)),"")</f>
        <v>WSH</v>
      </c>
      <c r="D40" s="145">
        <f>IFERROR(INDEX(TableQBCalcPts[BYE],MATCH(TableQBRanks30[[#This Row],[Player]],TableQBCalcPts[PLAYER],0)),"")</f>
        <v>7</v>
      </c>
      <c r="E40" s="146">
        <f>IFERROR((VLOOKUP(TableQBRanks30[[#This Row],[Player]],QB!B:O,4,FALSE)),"")</f>
        <v>25.399100000000001</v>
      </c>
      <c r="F40" s="146">
        <f>IFERROR((VLOOKUP(TableQBRanks30[[#This Row],[Player]],QB!B:O,5,FALSE)),"")</f>
        <v>16.507009111068687</v>
      </c>
      <c r="G40" s="146">
        <f>IFERROR((VLOOKUP(TableQBRanks30[[#This Row],[Player]],QB!B:O,6,FALSE)),"")</f>
        <v>191.81144587061812</v>
      </c>
      <c r="H40" s="146">
        <f>IFERROR((VLOOKUP(TableQBRanks30[[#This Row],[Player]],QB!B:O,7,FALSE)),"")</f>
        <v>1.2503162322118277</v>
      </c>
      <c r="I40" s="146">
        <f>IFERROR((VLOOKUP(TableQBRanks30[[#This Row],[Player]],QB!B:O,8,FALSE)),"")</f>
        <v>0.62814216439281578</v>
      </c>
      <c r="J40" s="146">
        <f>IFERROR((VLOOKUP(TableQBRanks30[[#This Row],[Player]],QB!B:O,9,FALSE)),"")</f>
        <v>4.9981764000000011</v>
      </c>
      <c r="K40" s="146">
        <f>IFERROR((VLOOKUP(TableQBRanks30[[#This Row],[Player]],QB!B:O,10,FALSE)),"")</f>
        <v>31.521258817216651</v>
      </c>
      <c r="L40" s="146">
        <f>IFERROR((VLOOKUP(TableQBRanks30[[#This Row],[Player]],QB!B:O,11,FALSE)),"")</f>
        <v>0.12310190559540891</v>
      </c>
      <c r="M40" s="147">
        <f>IFERROR(INDEX(TableQBCalcPts[Custom],MATCH(TableQBRanks30[[#This Row],[RK]],TableQBCalcPts[RK],0)),"")</f>
        <v>20.087651290103864</v>
      </c>
      <c r="N4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0" s="58">
        <v>39</v>
      </c>
      <c r="Q40" s="58" t="str">
        <f>IFERROR(INDEX(TableRBCalcPts[PLAYER],MATCH(TableRBRanks31[[#This Row],[RK]],TableRBCalcPts[RK],0)),"")</f>
        <v>Rachaad White</v>
      </c>
      <c r="R40" s="58" t="str">
        <f>IFERROR(INDEX(TableRBCalcPts[TM],MATCH(TableRBRanks31[[#This Row],[Player]],TableRBCalcPts[PLAYER],0)),"")</f>
        <v>WSH</v>
      </c>
      <c r="S40" s="58">
        <f>IFERROR(INDEX(TableRBCalcPts[BYE],MATCH(TableRBRanks31[[#This Row],[Player]],TableRBCalcPts[PLAYER],0)),"")</f>
        <v>7</v>
      </c>
      <c r="T40" s="100">
        <f>IFERROR((VLOOKUP(TableRBRanks31[[#This Row],[Player]],RB!B:O,4,FALSE)),"")</f>
        <v>107.96061024000002</v>
      </c>
      <c r="U40" s="100">
        <f>IFERROR((VLOOKUP(TableRBRanks31[[#This Row],[Player]],RB!B:O,5,FALSE)),"")</f>
        <v>457.75298741760014</v>
      </c>
      <c r="V40" s="100">
        <f>IFERROR((VLOOKUP(TableRBRanks31[[#This Row],[Player]],RB!B:O,6,FALSE)),"")</f>
        <v>3.1308576969600006</v>
      </c>
      <c r="W40" s="100">
        <f>IFERROR((VLOOKUP(TableRBRanks31[[#This Row],[Player]],RB!B:O,7,FALSE)),"")</f>
        <v>51.275703079999985</v>
      </c>
      <c r="X40" s="100">
        <f>IFERROR((VLOOKUP(TableRBRanks31[[#This Row],[Player]],RB!B:O,8,FALSE)),"")</f>
        <v>41.430768088639994</v>
      </c>
      <c r="Y40" s="100">
        <f>IFERROR((VLOOKUP(TableRBRanks31[[#This Row],[Player]],RB!B:O,9,FALSE)),"")</f>
        <v>283.38645372629753</v>
      </c>
      <c r="Z40" s="100">
        <f>IFERROR((VLOOKUP(TableRBRanks31[[#This Row],[Player]],RB!B:O,10,FALSE)),"")</f>
        <v>1.7369826536675053</v>
      </c>
      <c r="AA40" s="95">
        <f>IFERROR((IFERROR(INDEX(TableRBCalcPts[Custom],MATCH(TableRBRanks31[[#This Row],[RK]],TableRBCalcPts[RK],0)),"")),"")</f>
        <v>124.03637026247482</v>
      </c>
      <c r="AB4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3.0103392971418717</v>
      </c>
      <c r="AD40" s="145">
        <v>39</v>
      </c>
      <c r="AE40" s="145" t="str">
        <f>IFERROR(INDEX(TableWRCalcPts[PLAYER],MATCH(TableWRRanks32[[#This Row],[RK]],TableWRCalcPts[RK],0)),"")</f>
        <v>Marvin Harrison</v>
      </c>
      <c r="AF40" s="145" t="str">
        <f>IFERROR(INDEX(TableWRCalcPts[TM],MATCH(TableWRRanks32[[#This Row],[Player]],TableWRCalcPts[PLAYER],0)),"")</f>
        <v>ARI</v>
      </c>
      <c r="AG40" s="145">
        <f>IFERROR(INDEX(TableWRCalcPts[BYE],MATCH(TableWRRanks32[[#This Row],[Player]],TableWRCalcPts[PLAYER],0)),"")</f>
        <v>14</v>
      </c>
      <c r="AH40" s="146">
        <f>IFERROR((VLOOKUP(TableWRRanks32[[#This Row],[Player]],WR!B:O,4,FALSE)),"")</f>
        <v>0</v>
      </c>
      <c r="AI40" s="146">
        <f>IFERROR((VLOOKUP(TableWRRanks32[[#This Row],[Player]],WR!B:O,5,FALSE)),"")</f>
        <v>0</v>
      </c>
      <c r="AJ40" s="146">
        <f>IFERROR((VLOOKUP(TableWRRanks32[[#This Row],[Player]],WR!B:O,6,FALSE)),"")</f>
        <v>122.86150240000002</v>
      </c>
      <c r="AK40" s="146">
        <f>IFERROR((VLOOKUP(TableWRRanks32[[#This Row],[Player]],WR!B:O,7,FALSE)),"")</f>
        <v>67.205241812800011</v>
      </c>
      <c r="AL40" s="146">
        <f>IFERROR((VLOOKUP(TableWRRanks32[[#This Row],[Player]],WR!B:O,8,FALSE)),"")</f>
        <v>923.40002250787222</v>
      </c>
      <c r="AM40" s="146">
        <f>IFERROR((VLOOKUP(TableWRRanks32[[#This Row],[Player]],WR!B:O,9,FALSE)),"")</f>
        <v>5.5108298286496016</v>
      </c>
      <c r="AN40" s="147">
        <f>IFERROR((IFERROR(INDEX(TableWRCalcPts[Custom],MATCH(TableWRRanks32[[#This Row],[RK]],TableWRCalcPts[RK],0)),"")),"")</f>
        <v>159.00760212908483</v>
      </c>
      <c r="AO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12.911631020117774</v>
      </c>
      <c r="AQ40" s="145">
        <v>39</v>
      </c>
      <c r="AR40" s="145" t="str">
        <f>IFERROR(INDEX(TableTECalcPts[PLAYER],MATCH(TableTERanks33[[#This Row],[RK]],TableTECalcPts[RK],0)),"")</f>
        <v>Noah Gray</v>
      </c>
      <c r="AS40" s="145" t="str">
        <f>IFERROR(INDEX(TableTECalcPts[TM],MATCH(TableTERanks33[[#This Row],[Player]],TableTECalcPts[PLAYER],0)),"")</f>
        <v>KC</v>
      </c>
      <c r="AT40" s="145">
        <f>IFERROR(INDEX(TableTECalcPts[BYE],MATCH(TableTERanks33[[#This Row],[Player]],TableTECalcPts[PLAYER],0)),"")</f>
        <v>5</v>
      </c>
      <c r="AU40" s="146">
        <f>IFERROR((VLOOKUP(TableTERanks33[[#This Row],[Player]],TE!B:O,4,FALSE)),"")</f>
        <v>36.885019499999999</v>
      </c>
      <c r="AV40" s="146">
        <f>IFERROR((VLOOKUP(TableTERanks33[[#This Row],[Player]],TE!B:O,5,FALSE)),"")</f>
        <v>25.967053727999996</v>
      </c>
      <c r="AW40" s="146">
        <f>IFERROR((VLOOKUP(TableTERanks33[[#This Row],[Player]],TE!B:O,6,FALSE)),"")</f>
        <v>251.90379618495987</v>
      </c>
      <c r="AX40" s="146">
        <f>IFERROR((VLOOKUP(TableTERanks33[[#This Row],[Player]],TE!B:O,7,FALSE)),"")</f>
        <v>1.8696278684159995</v>
      </c>
      <c r="AY40" s="147">
        <f>IFERROR((IFERROR(INDEX(TableTECalcPts[Custom],MATCH(TableTERanks33[[#This Row],[RK]],TableTECalcPts[RK],0)),"")),"")</f>
        <v>49.391673692991986</v>
      </c>
      <c r="AZ4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1" spans="1:53" x14ac:dyDescent="0.25">
      <c r="A41" s="145">
        <v>40</v>
      </c>
      <c r="B41" s="145" t="str">
        <f>IFERROR(INDEX(TableQBCalcPts[PLAYER],MATCH(TableQBRanks30[[#This Row],[RK]],TableQBCalcPts[RK],0)),"")</f>
        <v>Joe Flacco</v>
      </c>
      <c r="C41" s="145" t="str">
        <f>IFERROR(INDEX(TableQBCalcPts[TM],MATCH(TableQBRanks30[[#This Row],[Player]],TableQBCalcPts[PLAYER],0)),"")</f>
        <v>CIN</v>
      </c>
      <c r="D41" s="145">
        <f>IFERROR(INDEX(TableQBCalcPts[BYE],MATCH(TableQBRanks30[[#This Row],[Player]],TableQBCalcPts[PLAYER],0)),"")</f>
        <v>6</v>
      </c>
      <c r="E41" s="146">
        <f>IFERROR((VLOOKUP(TableQBRanks30[[#This Row],[Player]],QB!B:O,4,FALSE)),"")</f>
        <v>32.281250000000028</v>
      </c>
      <c r="F41" s="146">
        <f>IFERROR((VLOOKUP(TableQBRanks30[[#This Row],[Player]],QB!B:O,5,FALSE)),"")</f>
        <v>20.024899480003217</v>
      </c>
      <c r="G41" s="146">
        <f>IFERROR((VLOOKUP(TableQBRanks30[[#This Row],[Player]],QB!B:O,6,FALSE)),"")</f>
        <v>205.50888872940564</v>
      </c>
      <c r="H41" s="146">
        <f>IFERROR((VLOOKUP(TableQBRanks30[[#This Row],[Player]],QB!B:O,7,FALSE)),"")</f>
        <v>1.481842561520238</v>
      </c>
      <c r="I41" s="146">
        <f>IFERROR((VLOOKUP(TableQBRanks30[[#This Row],[Player]],QB!B:O,8,FALSE)),"")</f>
        <v>0.71555202875062751</v>
      </c>
      <c r="J41" s="146">
        <f>IFERROR((VLOOKUP(TableQBRanks30[[#This Row],[Player]],QB!B:O,9,FALSE)),"")</f>
        <v>0</v>
      </c>
      <c r="K41" s="146">
        <f>IFERROR((VLOOKUP(TableQBRanks30[[#This Row],[Player]],QB!B:O,10,FALSE)),"")</f>
        <v>0</v>
      </c>
      <c r="L41" s="146">
        <f>IFERROR((VLOOKUP(TableQBRanks30[[#This Row],[Player]],QB!B:O,11,FALSE)),"")</f>
        <v>0</v>
      </c>
      <c r="M41" s="147">
        <f>IFERROR(INDEX(TableQBCalcPts[Custom],MATCH(TableQBRanks30[[#This Row],[RK]],TableQBCalcPts[RK],0)),"")</f>
        <v>18.398348837547346</v>
      </c>
      <c r="N4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1" s="58">
        <v>40</v>
      </c>
      <c r="Q41" s="58" t="str">
        <f>IFERROR(INDEX(TableRBCalcPts[PLAYER],MATCH(TableRBRanks31[[#This Row],[RK]],TableRBCalcPts[RK],0)),"")</f>
        <v>Jacory Croskey-Merritt</v>
      </c>
      <c r="R41" s="58" t="str">
        <f>IFERROR(INDEX(TableRBCalcPts[TM],MATCH(TableRBRanks31[[#This Row],[Player]],TableRBCalcPts[PLAYER],0)),"")</f>
        <v>WSH</v>
      </c>
      <c r="S41" s="58">
        <f>IFERROR(INDEX(TableRBCalcPts[BYE],MATCH(TableRBRanks31[[#This Row],[Player]],TableRBCalcPts[PLAYER],0)),"")</f>
        <v>7</v>
      </c>
      <c r="T41" s="100">
        <f>IFERROR((VLOOKUP(TableRBRanks31[[#This Row],[Player]],RB!B:O,4,FALSE)),"")</f>
        <v>151.44474492000003</v>
      </c>
      <c r="U41" s="100">
        <f>IFERROR((VLOOKUP(TableRBRanks31[[#This Row],[Player]],RB!B:O,5,FALSE)),"")</f>
        <v>682.10886620784333</v>
      </c>
      <c r="V41" s="100">
        <f>IFERROR((VLOOKUP(TableRBRanks31[[#This Row],[Player]],RB!B:O,6,FALSE)),"")</f>
        <v>5.720327142783229</v>
      </c>
      <c r="W41" s="100">
        <f>IFERROR((VLOOKUP(TableRBRanks31[[#This Row],[Player]],RB!B:O,7,FALSE)),"")</f>
        <v>20.410716759999996</v>
      </c>
      <c r="X41" s="100">
        <f>IFERROR((VLOOKUP(TableRBRanks31[[#This Row],[Player]],RB!B:O,8,FALSE)),"")</f>
        <v>15.165162552679996</v>
      </c>
      <c r="Y41" s="100">
        <f>IFERROR((VLOOKUP(TableRBRanks31[[#This Row],[Player]],RB!B:O,9,FALSE)),"")</f>
        <v>108.88586712824237</v>
      </c>
      <c r="Z41" s="100">
        <f>IFERROR((VLOOKUP(TableRBRanks31[[#This Row],[Player]],RB!B:O,10,FALSE)),"")</f>
        <v>0.45306709700952691</v>
      </c>
      <c r="AA41" s="95">
        <f>IFERROR((IFERROR(INDEX(TableRBCalcPts[Custom],MATCH(TableRBRanks31[[#This Row],[RK]],TableRBCalcPts[RK],0)),"")),"")</f>
        <v>123.7224200487051</v>
      </c>
      <c r="AB4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2.9631517792768252</v>
      </c>
      <c r="AD41" s="145">
        <v>40</v>
      </c>
      <c r="AE41" s="145" t="str">
        <f>IFERROR(INDEX(TableWRCalcPts[PLAYER],MATCH(TableWRRanks32[[#This Row],[RK]],TableWRCalcPts[RK],0)),"")</f>
        <v>Jayden Higgins</v>
      </c>
      <c r="AF41" s="145" t="str">
        <f>IFERROR(INDEX(TableWRCalcPts[TM],MATCH(TableWRRanks32[[#This Row],[Player]],TableWRCalcPts[PLAYER],0)),"")</f>
        <v>HOU</v>
      </c>
      <c r="AG41" s="145">
        <f>IFERROR(INDEX(TableWRCalcPts[BYE],MATCH(TableWRRanks32[[#This Row],[Player]],TableWRCalcPts[PLAYER],0)),"")</f>
        <v>8</v>
      </c>
      <c r="AH41" s="146">
        <f>IFERROR((VLOOKUP(TableWRRanks32[[#This Row],[Player]],WR!B:O,4,FALSE)),"")</f>
        <v>0</v>
      </c>
      <c r="AI41" s="146">
        <f>IFERROR((VLOOKUP(TableWRRanks32[[#This Row],[Player]],WR!B:O,5,FALSE)),"")</f>
        <v>0</v>
      </c>
      <c r="AJ41" s="146">
        <f>IFERROR((VLOOKUP(TableWRRanks32[[#This Row],[Player]],WR!B:O,6,FALSE)),"")</f>
        <v>111.71266469999999</v>
      </c>
      <c r="AK41" s="146">
        <f>IFERROR((VLOOKUP(TableWRRanks32[[#This Row],[Player]],WR!B:O,7,FALSE)),"")</f>
        <v>67.474449478799997</v>
      </c>
      <c r="AL41" s="146">
        <f>IFERROR((VLOOKUP(TableWRRanks32[[#This Row],[Player]],WR!B:O,8,FALSE)),"")</f>
        <v>843.43061848499997</v>
      </c>
      <c r="AM41" s="146">
        <f>IFERROR((VLOOKUP(TableWRRanks32[[#This Row],[Player]],WR!B:O,9,FALSE)),"")</f>
        <v>5.7353282056979999</v>
      </c>
      <c r="AN41" s="147">
        <f>IFERROR((IFERROR(INDEX(TableWRCalcPts[Custom],MATCH(TableWRRanks32[[#This Row],[RK]],TableWRCalcPts[RK],0)),"")),"")</f>
        <v>152.492255822088</v>
      </c>
      <c r="AO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11.687539560811228</v>
      </c>
      <c r="AQ41" s="145">
        <v>40</v>
      </c>
      <c r="AR41" s="145" t="str">
        <f>IFERROR(INDEX(TableTECalcPts[PLAYER],MATCH(TableTERanks33[[#This Row],[RK]],TableTECalcPts[RK],0)),"")</f>
        <v>Cole Kmet</v>
      </c>
      <c r="AS41" s="145" t="str">
        <f>IFERROR(INDEX(TableTECalcPts[TM],MATCH(TableTERanks33[[#This Row],[Player]],TableTECalcPts[PLAYER],0)),"")</f>
        <v>CHI</v>
      </c>
      <c r="AT41" s="145">
        <f>IFERROR(INDEX(TableTECalcPts[BYE],MATCH(TableTERanks33[[#This Row],[Player]],TableTECalcPts[PLAYER],0)),"")</f>
        <v>10</v>
      </c>
      <c r="AU41" s="146">
        <f>IFERROR((VLOOKUP(TableTERanks33[[#This Row],[Player]],TE!B:O,4,FALSE)),"")</f>
        <v>34.963977440000008</v>
      </c>
      <c r="AV41" s="146">
        <f>IFERROR((VLOOKUP(TableTERanks33[[#This Row],[Player]],TE!B:O,5,FALSE)),"")</f>
        <v>23.425864884800006</v>
      </c>
      <c r="AW41" s="146">
        <f>IFERROR((VLOOKUP(TableTERanks33[[#This Row],[Player]],TE!B:O,6,FALSE)),"")</f>
        <v>251.82804751160006</v>
      </c>
      <c r="AX41" s="146">
        <f>IFERROR((VLOOKUP(TableTERanks33[[#This Row],[Player]],TE!B:O,7,FALSE)),"")</f>
        <v>1.7803657312448005</v>
      </c>
      <c r="AY41" s="147">
        <f>IFERROR((IFERROR(INDEX(TableTECalcPts[Custom],MATCH(TableTERanks33[[#This Row],[RK]],TableTECalcPts[RK],0)),"")),"")</f>
        <v>47.577931581028814</v>
      </c>
      <c r="AZ4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2" spans="1:53" x14ac:dyDescent="0.25">
      <c r="A42" s="145">
        <v>41</v>
      </c>
      <c r="B42" s="145" t="str">
        <f>IFERROR(INDEX(TableQBCalcPts[PLAYER],MATCH(TableQBRanks30[[#This Row],[RK]],TableQBCalcPts[RK],0)),"")</f>
        <v>Tyler Huntley</v>
      </c>
      <c r="C42" s="145" t="str">
        <f>IFERROR(INDEX(TableQBCalcPts[TM],MATCH(TableQBRanks30[[#This Row],[Player]],TableQBCalcPts[PLAYER],0)),"")</f>
        <v>BAL</v>
      </c>
      <c r="D42" s="145">
        <f>IFERROR(INDEX(TableQBCalcPts[BYE],MATCH(TableQBRanks30[[#This Row],[Player]],TableQBCalcPts[PLAYER],0)),"")</f>
        <v>13</v>
      </c>
      <c r="E42" s="146">
        <f>IFERROR((VLOOKUP(TableQBRanks30[[#This Row],[Player]],QB!B:O,4,FALSE)),"")</f>
        <v>23.977599999999999</v>
      </c>
      <c r="F42" s="146">
        <f>IFERROR((VLOOKUP(TableQBRanks30[[#This Row],[Player]],QB!B:O,5,FALSE)),"")</f>
        <v>17.184053790823391</v>
      </c>
      <c r="G42" s="146">
        <f>IFERROR((VLOOKUP(TableQBRanks30[[#This Row],[Player]],QB!B:O,6,FALSE)),"")</f>
        <v>177.33943512129741</v>
      </c>
      <c r="H42" s="146">
        <f>IFERROR((VLOOKUP(TableQBRanks30[[#This Row],[Player]],QB!B:O,7,FALSE)),"")</f>
        <v>1.0091095563597374</v>
      </c>
      <c r="I42" s="146">
        <f>IFERROR((VLOOKUP(TableQBRanks30[[#This Row],[Player]],QB!B:O,8,FALSE)),"")</f>
        <v>0.34172605995621669</v>
      </c>
      <c r="J42" s="146">
        <f>IFERROR((VLOOKUP(TableQBRanks30[[#This Row],[Player]],QB!B:O,9,FALSE)),"")</f>
        <v>4.5397286451340211</v>
      </c>
      <c r="K42" s="146">
        <f>IFERROR((VLOOKUP(TableQBRanks30[[#This Row],[Player]],QB!B:O,10,FALSE)),"")</f>
        <v>24.394805576599303</v>
      </c>
      <c r="L42" s="146">
        <f>IFERROR((VLOOKUP(TableQBRanks30[[#This Row],[Player]],QB!B:O,11,FALSE)),"")</f>
        <v>0.14966138390551717</v>
      </c>
      <c r="M42" s="147">
        <f>IFERROR(INDEX(TableQBCalcPts[Custom],MATCH(TableQBRanks30[[#This Row],[RK]],TableQBCalcPts[RK],0)),"")</f>
        <v>17.862362923229476</v>
      </c>
      <c r="N4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2" s="58">
        <v>41</v>
      </c>
      <c r="Q42" s="58" t="str">
        <f>IFERROR(INDEX(TableRBCalcPts[PLAYER],MATCH(TableRBRanks31[[#This Row],[RK]],TableRBCalcPts[RK],0)),"")</f>
        <v>J.K. Dobbins</v>
      </c>
      <c r="R42" s="58" t="str">
        <f>IFERROR(INDEX(TableRBCalcPts[TM],MATCH(TableRBRanks31[[#This Row],[Player]],TableRBCalcPts[PLAYER],0)),"")</f>
        <v>DEN</v>
      </c>
      <c r="S42" s="58">
        <f>IFERROR(INDEX(TableRBCalcPts[BYE],MATCH(TableRBRanks31[[#This Row],[Player]],TableRBCalcPts[PLAYER],0)),"")</f>
        <v>10</v>
      </c>
      <c r="T42" s="100">
        <f>IFERROR((VLOOKUP(TableRBRanks31[[#This Row],[Player]],RB!B:O,4,FALSE)),"")</f>
        <v>154.06608419999998</v>
      </c>
      <c r="U42" s="100">
        <f>IFERROR((VLOOKUP(TableRBRanks31[[#This Row],[Player]],RB!B:O,5,FALSE)),"")</f>
        <v>735.81051523953079</v>
      </c>
      <c r="V42" s="100">
        <f>IFERROR((VLOOKUP(TableRBRanks31[[#This Row],[Player]],RB!B:O,6,FALSE)),"")</f>
        <v>4.7760486101999993</v>
      </c>
      <c r="W42" s="100">
        <f>IFERROR((VLOOKUP(TableRBRanks31[[#This Row],[Player]],RB!B:O,7,FALSE)),"")</f>
        <v>21.68552232</v>
      </c>
      <c r="X42" s="100">
        <f>IFERROR((VLOOKUP(TableRBRanks31[[#This Row],[Player]],RB!B:O,8,FALSE)),"")</f>
        <v>15.256422089159999</v>
      </c>
      <c r="Y42" s="100">
        <f>IFERROR((VLOOKUP(TableRBRanks31[[#This Row],[Player]],RB!B:O,9,FALSE)),"")</f>
        <v>74.466112235760008</v>
      </c>
      <c r="Z42" s="100">
        <f>IFERROR((VLOOKUP(TableRBRanks31[[#This Row],[Player]],RB!B:O,10,FALSE)),"")</f>
        <v>0.50303840412000012</v>
      </c>
      <c r="AA42" s="95">
        <f>IFERROR((IFERROR(INDEX(TableRBCalcPts[Custom],MATCH(TableRBRanks31[[#This Row],[RK]],TableRBCalcPts[RK],0)),"")),"")</f>
        <v>120.33039587802907</v>
      </c>
      <c r="AB4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2.4533218950078144</v>
      </c>
      <c r="AD42" s="145">
        <v>41</v>
      </c>
      <c r="AE42" s="145" t="str">
        <f>IFERROR(INDEX(TableWRCalcPts[PLAYER],MATCH(TableWRRanks32[[#This Row],[RK]],TableWRCalcPts[RK],0)),"")</f>
        <v>Wan'Dale Robinson</v>
      </c>
      <c r="AF42" s="145" t="str">
        <f>IFERROR(INDEX(TableWRCalcPts[TM],MATCH(TableWRRanks32[[#This Row],[Player]],TableWRCalcPts[PLAYER],0)),"")</f>
        <v>TEN</v>
      </c>
      <c r="AG42" s="145">
        <f>IFERROR(INDEX(TableWRCalcPts[BYE],MATCH(TableWRRanks32[[#This Row],[Player]],TableWRCalcPts[PLAYER],0)),"")</f>
        <v>9</v>
      </c>
      <c r="AH42" s="146">
        <f>IFERROR((VLOOKUP(TableWRRanks32[[#This Row],[Player]],WR!B:O,4,FALSE)),"")</f>
        <v>23.809766399999994</v>
      </c>
      <c r="AI42" s="146">
        <f>IFERROR((VLOOKUP(TableWRRanks32[[#This Row],[Player]],WR!B:O,5,FALSE)),"")</f>
        <v>0.12531455999999999</v>
      </c>
      <c r="AJ42" s="146">
        <f>IFERROR((VLOOKUP(TableWRRanks32[[#This Row],[Player]],WR!B:O,6,FALSE)),"")</f>
        <v>115.34019840000001</v>
      </c>
      <c r="AK42" s="146">
        <f>IFERROR((VLOOKUP(TableWRRanks32[[#This Row],[Player]],WR!B:O,7,FALSE)),"")</f>
        <v>76.470551539200002</v>
      </c>
      <c r="AL42" s="146">
        <f>IFERROR((VLOOKUP(TableWRRanks32[[#This Row],[Player]],WR!B:O,8,FALSE)),"")</f>
        <v>827.4113676541441</v>
      </c>
      <c r="AM42" s="146">
        <f>IFERROR((VLOOKUP(TableWRRanks32[[#This Row],[Player]],WR!B:O,9,FALSE)),"")</f>
        <v>4.6647036438912002</v>
      </c>
      <c r="AN42" s="147">
        <f>IFERROR((IFERROR(INDEX(TableWRCalcPts[Custom],MATCH(TableWRRanks32[[#This Row],[RK]],TableWRCalcPts[RK],0)),"")),"")</f>
        <v>152.09749839836161</v>
      </c>
      <c r="AO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11.613373251284074</v>
      </c>
      <c r="AQ42" s="145">
        <v>41</v>
      </c>
      <c r="AR42" s="145" t="str">
        <f>IFERROR(INDEX(TableTECalcPts[PLAYER],MATCH(TableTERanks33[[#This Row],[RK]],TableTECalcPts[RK],0)),"")</f>
        <v>Michael Mayer</v>
      </c>
      <c r="AS42" s="145" t="str">
        <f>IFERROR(INDEX(TableTECalcPts[TM],MATCH(TableTERanks33[[#This Row],[Player]],TableTECalcPts[PLAYER],0)),"")</f>
        <v>LV</v>
      </c>
      <c r="AT42" s="145">
        <f>IFERROR(INDEX(TableTECalcPts[BYE],MATCH(TableTERanks33[[#This Row],[Player]],TableTECalcPts[PLAYER],0)),"")</f>
        <v>13</v>
      </c>
      <c r="AU42" s="146">
        <f>IFERROR((VLOOKUP(TableTERanks33[[#This Row],[Player]],TE!B:O,4,FALSE)),"")</f>
        <v>37.012389120000002</v>
      </c>
      <c r="AV42" s="146">
        <f>IFERROR((VLOOKUP(TableTERanks33[[#This Row],[Player]],TE!B:O,5,FALSE)),"")</f>
        <v>25.463831894202613</v>
      </c>
      <c r="AW42" s="146">
        <f>IFERROR((VLOOKUP(TableTERanks33[[#This Row],[Player]],TE!B:O,6,FALSE)),"")</f>
        <v>245.35985491558876</v>
      </c>
      <c r="AX42" s="146">
        <f>IFERROR((VLOOKUP(TableTERanks33[[#This Row],[Player]],TE!B:O,7,FALSE)),"")</f>
        <v>1.5023660817579541</v>
      </c>
      <c r="AY42" s="147">
        <f>IFERROR((IFERROR(INDEX(TableTECalcPts[Custom],MATCH(TableTERanks33[[#This Row],[RK]],TableTECalcPts[RK],0)),"")),"")</f>
        <v>46.282097929207907</v>
      </c>
      <c r="AZ4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3" spans="1:53" x14ac:dyDescent="0.25">
      <c r="A43" s="145">
        <v>42</v>
      </c>
      <c r="B43" s="145" t="str">
        <f>IFERROR(INDEX(TableQBCalcPts[PLAYER],MATCH(TableQBRanks30[[#This Row],[RK]],TableQBCalcPts[RK],0)),"")</f>
        <v>J.J. McCarthy</v>
      </c>
      <c r="C43" s="145" t="str">
        <f>IFERROR(INDEX(TableQBCalcPts[TM],MATCH(TableQBRanks30[[#This Row],[Player]],TableQBCalcPts[PLAYER],0)),"")</f>
        <v>MIN</v>
      </c>
      <c r="D43" s="145">
        <f>IFERROR(INDEX(TableQBCalcPts[BYE],MATCH(TableQBRanks30[[#This Row],[Player]],TableQBCalcPts[PLAYER],0)),"")</f>
        <v>6</v>
      </c>
      <c r="E43" s="146">
        <f>IFERROR((VLOOKUP(TableQBRanks30[[#This Row],[Player]],QB!B:O,4,FALSE)),"")</f>
        <v>27.036799999999999</v>
      </c>
      <c r="F43" s="146">
        <f>IFERROR((VLOOKUP(TableQBRanks30[[#This Row],[Player]],QB!B:O,5,FALSE)),"")</f>
        <v>16.463851816721146</v>
      </c>
      <c r="G43" s="146">
        <f>IFERROR((VLOOKUP(TableQBRanks30[[#This Row],[Player]],QB!B:O,6,FALSE)),"")</f>
        <v>195.28242185162608</v>
      </c>
      <c r="H43" s="146">
        <f>IFERROR((VLOOKUP(TableQBRanks30[[#This Row],[Player]],QB!B:O,7,FALSE)),"")</f>
        <v>1.1923814504958721</v>
      </c>
      <c r="I43" s="146">
        <f>IFERROR((VLOOKUP(TableQBRanks30[[#This Row],[Player]],QB!B:O,8,FALSE)),"")</f>
        <v>0.71153415701700917</v>
      </c>
      <c r="J43" s="146">
        <f>IFERROR((VLOOKUP(TableQBRanks30[[#This Row],[Player]],QB!B:O,9,FALSE)),"")</f>
        <v>2.2209935999999999</v>
      </c>
      <c r="K43" s="146">
        <f>IFERROR((VLOOKUP(TableQBRanks30[[#This Row],[Player]],QB!B:O,10,FALSE)),"")</f>
        <v>10.391375895047979</v>
      </c>
      <c r="L43" s="146">
        <f>IFERROR((VLOOKUP(TableQBRanks30[[#This Row],[Player]],QB!B:O,11,FALSE)),"")</f>
        <v>0.11993365439999999</v>
      </c>
      <c r="M43" s="147">
        <f>IFERROR(INDEX(TableQBCalcPts[Custom],MATCH(TableQBRanks30[[#This Row],[RK]],TableQBCalcPts[RK],0)),"")</f>
        <v>17.659176117600179</v>
      </c>
      <c r="N4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3" s="58">
        <v>42</v>
      </c>
      <c r="Q43" s="58" t="str">
        <f>IFERROR(INDEX(TableRBCalcPts[PLAYER],MATCH(TableRBRanks31[[#This Row],[RK]],TableRBCalcPts[RK],0)),"")</f>
        <v>Emanuel Wilson</v>
      </c>
      <c r="R43" s="58" t="str">
        <f>IFERROR(INDEX(TableRBCalcPts[TM],MATCH(TableRBRanks31[[#This Row],[Player]],TableRBCalcPts[PLAYER],0)),"")</f>
        <v>SEA</v>
      </c>
      <c r="S43" s="58">
        <f>IFERROR(INDEX(TableRBCalcPts[BYE],MATCH(TableRBRanks31[[#This Row],[Player]],TableRBCalcPts[PLAYER],0)),"")</f>
        <v>11</v>
      </c>
      <c r="T43" s="100">
        <f>IFERROR((VLOOKUP(TableRBRanks31[[#This Row],[Player]],RB!B:O,4,FALSE)),"")</f>
        <v>130.78117309589214</v>
      </c>
      <c r="U43" s="100">
        <f>IFERROR((VLOOKUP(TableRBRanks31[[#This Row],[Player]],RB!B:O,5,FALSE)),"")</f>
        <v>564.97466777425404</v>
      </c>
      <c r="V43" s="100">
        <f>IFERROR((VLOOKUP(TableRBRanks31[[#This Row],[Player]],RB!B:O,6,FALSE)),"")</f>
        <v>4.7081222314521165</v>
      </c>
      <c r="W43" s="100">
        <f>IFERROR((VLOOKUP(TableRBRanks31[[#This Row],[Player]],RB!B:O,7,FALSE)),"")</f>
        <v>23.72218968</v>
      </c>
      <c r="X43" s="100">
        <f>IFERROR((VLOOKUP(TableRBRanks31[[#This Row],[Player]],RB!B:O,8,FALSE)),"")</f>
        <v>18.266086053599999</v>
      </c>
      <c r="Y43" s="100">
        <f>IFERROR((VLOOKUP(TableRBRanks31[[#This Row],[Player]],RB!B:O,9,FALSE)),"")</f>
        <v>148.68594047630401</v>
      </c>
      <c r="Z43" s="100">
        <f>IFERROR((VLOOKUP(TableRBRanks31[[#This Row],[Player]],RB!B:O,10,FALSE)),"")</f>
        <v>0.8037077863583999</v>
      </c>
      <c r="AA43" s="95">
        <f>IFERROR((IFERROR(INDEX(TableRBCalcPts[Custom],MATCH(TableRBRanks31[[#This Row],[RK]],TableRBCalcPts[RK],0)),"")),"")</f>
        <v>113.57008395871891</v>
      </c>
      <c r="AB4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1.4372297712428488</v>
      </c>
      <c r="AD43" s="145">
        <v>42</v>
      </c>
      <c r="AE43" s="145" t="str">
        <f>IFERROR(INDEX(TableWRCalcPts[PLAYER],MATCH(TableWRRanks32[[#This Row],[RK]],TableWRCalcPts[RK],0)),"")</f>
        <v>Deebo Samuel</v>
      </c>
      <c r="AF43" s="145" t="str">
        <f>IFERROR(INDEX(TableWRCalcPts[TM],MATCH(TableWRRanks32[[#This Row],[Player]],TableWRCalcPts[PLAYER],0)),"")</f>
        <v>SF</v>
      </c>
      <c r="AG43" s="145">
        <f>IFERROR(INDEX(TableWRCalcPts[BYE],MATCH(TableWRRanks32[[#This Row],[Player]],TableWRCalcPts[PLAYER],0)),"")</f>
        <v>8</v>
      </c>
      <c r="AH43" s="146">
        <f>IFERROR((VLOOKUP(TableWRRanks32[[#This Row],[Player]],WR!B:O,4,FALSE)),"")</f>
        <v>14.2321676</v>
      </c>
      <c r="AI43" s="146">
        <f>IFERROR((VLOOKUP(TableWRRanks32[[#This Row],[Player]],WR!B:O,5,FALSE)),"")</f>
        <v>2.904524E-2</v>
      </c>
      <c r="AJ43" s="146">
        <f>IFERROR((VLOOKUP(TableWRRanks32[[#This Row],[Player]],WR!B:O,6,FALSE)),"")</f>
        <v>99.851525760000001</v>
      </c>
      <c r="AK43" s="146">
        <f>IFERROR((VLOOKUP(TableWRRanks32[[#This Row],[Player]],WR!B:O,7,FALSE)),"")</f>
        <v>65.003343269760009</v>
      </c>
      <c r="AL43" s="146">
        <f>IFERROR((VLOOKUP(TableWRRanks32[[#This Row],[Player]],WR!B:O,8,FALSE)),"")</f>
        <v>900.94633771887368</v>
      </c>
      <c r="AM43" s="146">
        <f>IFERROR((VLOOKUP(TableWRRanks32[[#This Row],[Player]],WR!B:O,9,FALSE)),"")</f>
        <v>4.4202273423436811</v>
      </c>
      <c r="AN43" s="147">
        <f>IFERROR((IFERROR(INDEX(TableWRCalcPts[Custom],MATCH(TableWRRanks32[[#This Row],[RK]],TableWRCalcPts[RK],0)),"")),"")</f>
        <v>150.71515766082945</v>
      </c>
      <c r="AO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11.353661578115226</v>
      </c>
      <c r="AQ43" s="145">
        <v>42</v>
      </c>
      <c r="AR43" s="145" t="str">
        <f>IFERROR(INDEX(TableTECalcPts[PLAYER],MATCH(TableTERanks33[[#This Row],[RK]],TableTECalcPts[RK],0)),"")</f>
        <v>Elijah Arroyo</v>
      </c>
      <c r="AS43" s="145" t="str">
        <f>IFERROR(INDEX(TableTECalcPts[TM],MATCH(TableTERanks33[[#This Row],[Player]],TableTECalcPts[PLAYER],0)),"")</f>
        <v>SEA</v>
      </c>
      <c r="AT43" s="145">
        <f>IFERROR(INDEX(TableTECalcPts[BYE],MATCH(TableTERanks33[[#This Row],[Player]],TableTECalcPts[PLAYER],0)),"")</f>
        <v>11</v>
      </c>
      <c r="AU43" s="146">
        <f>IFERROR((VLOOKUP(TableTERanks33[[#This Row],[Player]],TE!B:O,4,FALSE)),"")</f>
        <v>32.302556160000002</v>
      </c>
      <c r="AV43" s="146">
        <f>IFERROR((VLOOKUP(TableTERanks33[[#This Row],[Player]],TE!B:O,5,FALSE)),"")</f>
        <v>19.575349032960002</v>
      </c>
      <c r="AW43" s="146">
        <f>IFERROR((VLOOKUP(TableTERanks33[[#This Row],[Player]],TE!B:O,6,FALSE)),"")</f>
        <v>216.89486728519682</v>
      </c>
      <c r="AX43" s="146">
        <f>IFERROR((VLOOKUP(TableTERanks33[[#This Row],[Player]],TE!B:O,7,FALSE)),"")</f>
        <v>1.6802121398522076</v>
      </c>
      <c r="AY43" s="147">
        <f>IFERROR((IFERROR(INDEX(TableTECalcPts[Custom],MATCH(TableTERanks33[[#This Row],[RK]],TableTECalcPts[RK],0)),"")),"")</f>
        <v>41.558434084112932</v>
      </c>
      <c r="AZ4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4" spans="1:53" x14ac:dyDescent="0.25">
      <c r="A44" s="145">
        <v>43</v>
      </c>
      <c r="B44" s="145" t="str">
        <f>IFERROR(INDEX(TableQBCalcPts[PLAYER],MATCH(TableQBRanks30[[#This Row],[RK]],TableQBCalcPts[RK],0)),"")</f>
        <v>Brady Cook</v>
      </c>
      <c r="C44" s="145" t="str">
        <f>IFERROR(INDEX(TableQBCalcPts[TM],MATCH(TableQBRanks30[[#This Row],[Player]],TableQBCalcPts[PLAYER],0)),"")</f>
        <v>NYJ</v>
      </c>
      <c r="D44" s="145">
        <f>IFERROR(INDEX(TableQBCalcPts[BYE],MATCH(TableQBRanks30[[#This Row],[Player]],TableQBCalcPts[PLAYER],0)),"")</f>
        <v>13</v>
      </c>
      <c r="E44" s="146">
        <f>IFERROR((VLOOKUP(TableQBRanks30[[#This Row],[Player]],QB!B:O,4,FALSE)),"")</f>
        <v>34.405199999999994</v>
      </c>
      <c r="F44" s="146">
        <f>IFERROR((VLOOKUP(TableQBRanks30[[#This Row],[Player]],QB!B:O,5,FALSE)),"")</f>
        <v>20.023826399999994</v>
      </c>
      <c r="G44" s="146">
        <f>IFERROR((VLOOKUP(TableQBRanks30[[#This Row],[Player]],QB!B:O,6,FALSE)),"")</f>
        <v>202.64112316799992</v>
      </c>
      <c r="H44" s="146">
        <f>IFERROR((VLOOKUP(TableQBRanks30[[#This Row],[Player]],QB!B:O,7,FALSE)),"")</f>
        <v>1.0612627991999997</v>
      </c>
      <c r="I44" s="146">
        <f>IFERROR((VLOOKUP(TableQBRanks30[[#This Row],[Player]],QB!B:O,8,FALSE)),"")</f>
        <v>1.0321559999999999</v>
      </c>
      <c r="J44" s="146">
        <f>IFERROR((VLOOKUP(TableQBRanks30[[#This Row],[Player]],QB!B:O,9,FALSE)),"")</f>
        <v>2.1196420000000002</v>
      </c>
      <c r="K44" s="146">
        <f>IFERROR((VLOOKUP(TableQBRanks30[[#This Row],[Player]],QB!B:O,10,FALSE)),"")</f>
        <v>6.1893546400000004</v>
      </c>
      <c r="L44" s="146">
        <f>IFERROR((VLOOKUP(TableQBRanks30[[#This Row],[Player]],QB!B:O,11,FALSE)),"")</f>
        <v>5.5110692000000003E-2</v>
      </c>
      <c r="M44" s="147">
        <f>IFERROR(INDEX(TableQBCalcPts[Custom],MATCH(TableQBRanks30[[#This Row],[RK]],TableQBCalcPts[RK],0)),"")</f>
        <v>16.393047977919995</v>
      </c>
      <c r="N4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4" s="58">
        <v>43</v>
      </c>
      <c r="Q44" s="58" t="str">
        <f>IFERROR(INDEX(TableRBCalcPts[PLAYER],MATCH(TableRBRanks31[[#This Row],[RK]],TableRBCalcPts[RK],0)),"")</f>
        <v>Isiah Pacheco</v>
      </c>
      <c r="R44" s="58" t="str">
        <f>IFERROR(INDEX(TableRBCalcPts[TM],MATCH(TableRBRanks31[[#This Row],[Player]],TableRBCalcPts[PLAYER],0)),"")</f>
        <v>DET</v>
      </c>
      <c r="S44" s="58">
        <f>IFERROR(INDEX(TableRBCalcPts[BYE],MATCH(TableRBRanks31[[#This Row],[Player]],TableRBCalcPts[PLAYER],0)),"")</f>
        <v>6</v>
      </c>
      <c r="T44" s="100">
        <f>IFERROR((VLOOKUP(TableRBRanks31[[#This Row],[Player]],RB!B:O,4,FALSE)),"")</f>
        <v>127.1886336</v>
      </c>
      <c r="U44" s="100">
        <f>IFERROR((VLOOKUP(TableRBRanks31[[#This Row],[Player]],RB!B:O,5,FALSE)),"")</f>
        <v>530.376602112</v>
      </c>
      <c r="V44" s="100">
        <f>IFERROR((VLOOKUP(TableRBRanks31[[#This Row],[Player]],RB!B:O,6,FALSE)),"")</f>
        <v>5.3419226112000002</v>
      </c>
      <c r="W44" s="100">
        <f>IFERROR((VLOOKUP(TableRBRanks31[[#This Row],[Player]],RB!B:O,7,FALSE)),"")</f>
        <v>21.660273599999996</v>
      </c>
      <c r="X44" s="100">
        <f>IFERROR((VLOOKUP(TableRBRanks31[[#This Row],[Player]],RB!B:O,8,FALSE)),"")</f>
        <v>14.241722457271793</v>
      </c>
      <c r="Y44" s="100">
        <f>IFERROR((VLOOKUP(TableRBRanks31[[#This Row],[Player]],RB!B:O,9,FALSE)),"")</f>
        <v>95.731004090256391</v>
      </c>
      <c r="Z44" s="100">
        <f>IFERROR((VLOOKUP(TableRBRanks31[[#This Row],[Player]],RB!B:O,10,FALSE)),"")</f>
        <v>0.77458619437948706</v>
      </c>
      <c r="AA44" s="95">
        <f>IFERROR((IFERROR(INDEX(TableRBCalcPts[Custom],MATCH(TableRBRanks31[[#This Row],[RK]],TableRBCalcPts[RK],0)),"")),"")</f>
        <v>106.43067468233848</v>
      </c>
      <c r="AB4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0.36415834781584444</v>
      </c>
      <c r="AD44" s="145">
        <v>43</v>
      </c>
      <c r="AE44" s="145" t="str">
        <f>IFERROR(INDEX(TableWRCalcPts[PLAYER],MATCH(TableWRRanks32[[#This Row],[RK]],TableWRCalcPts[RK],0)),"")</f>
        <v>Jayden Reed</v>
      </c>
      <c r="AF44" s="145" t="str">
        <f>IFERROR(INDEX(TableWRCalcPts[TM],MATCH(TableWRRanks32[[#This Row],[Player]],TableWRCalcPts[PLAYER],0)),"")</f>
        <v>GB</v>
      </c>
      <c r="AG44" s="145">
        <f>IFERROR(INDEX(TableWRCalcPts[BYE],MATCH(TableWRRanks32[[#This Row],[Player]],TableWRCalcPts[PLAYER],0)),"")</f>
        <v>11</v>
      </c>
      <c r="AH44" s="146">
        <f>IFERROR((VLOOKUP(TableWRRanks32[[#This Row],[Player]],WR!B:O,4,FALSE)),"")</f>
        <v>103.7772294035012</v>
      </c>
      <c r="AI44" s="146">
        <f>IFERROR((VLOOKUP(TableWRRanks32[[#This Row],[Player]],WR!B:O,5,FALSE)),"")</f>
        <v>0.56593353600000007</v>
      </c>
      <c r="AJ44" s="146">
        <f>IFERROR((VLOOKUP(TableWRRanks32[[#This Row],[Player]],WR!B:O,6,FALSE)),"")</f>
        <v>89.223970974874362</v>
      </c>
      <c r="AK44" s="146">
        <f>IFERROR((VLOOKUP(TableWRRanks32[[#This Row],[Player]],WR!B:O,7,FALSE)),"")</f>
        <v>61.022436755073535</v>
      </c>
      <c r="AL44" s="146">
        <f>IFERROR((VLOOKUP(TableWRRanks32[[#This Row],[Player]],WR!B:O,8,FALSE)),"")</f>
        <v>746.91462588210004</v>
      </c>
      <c r="AM44" s="146">
        <f>IFERROR((VLOOKUP(TableWRRanks32[[#This Row],[Player]],WR!B:O,9,FALSE)),"")</f>
        <v>5.0038398139160298</v>
      </c>
      <c r="AN44" s="147">
        <f>IFERROR((IFERROR(INDEX(TableWRCalcPts[Custom],MATCH(TableWRRanks32[[#This Row],[RK]],TableWRCalcPts[RK],0)),"")),"")</f>
        <v>148.99904400559308</v>
      </c>
      <c r="AO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11.031241253915688</v>
      </c>
      <c r="AQ44" s="145">
        <v>43</v>
      </c>
      <c r="AR44" s="145" t="str">
        <f>IFERROR(INDEX(TableTECalcPts[PLAYER],MATCH(TableTERanks33[[#This Row],[RK]],TableTECalcPts[RK],0)),"")</f>
        <v>Tommy Tremble</v>
      </c>
      <c r="AS44" s="145" t="str">
        <f>IFERROR(INDEX(TableTECalcPts[TM],MATCH(TableTERanks33[[#This Row],[Player]],TableTECalcPts[PLAYER],0)),"")</f>
        <v>CAR</v>
      </c>
      <c r="AT44" s="145">
        <f>IFERROR(INDEX(TableTECalcPts[BYE],MATCH(TableTERanks33[[#This Row],[Player]],TableTECalcPts[PLAYER],0)),"")</f>
        <v>5</v>
      </c>
      <c r="AU44" s="146">
        <f>IFERROR((VLOOKUP(TableTERanks33[[#This Row],[Player]],TE!B:O,4,FALSE)),"")</f>
        <v>32.846120999999997</v>
      </c>
      <c r="AV44" s="146">
        <f>IFERROR((VLOOKUP(TableTERanks33[[#This Row],[Player]],TE!B:O,5,FALSE)),"")</f>
        <v>23.583514877999995</v>
      </c>
      <c r="AW44" s="146">
        <f>IFERROR((VLOOKUP(TableTERanks33[[#This Row],[Player]],TE!B:O,6,FALSE)),"")</f>
        <v>189.37562447033994</v>
      </c>
      <c r="AX44" s="146">
        <f>IFERROR((VLOOKUP(TableTERanks33[[#This Row],[Player]],TE!B:O,7,FALSE)),"")</f>
        <v>1.7215965860939995</v>
      </c>
      <c r="AY44" s="147">
        <f>IFERROR((IFERROR(INDEX(TableTECalcPts[Custom],MATCH(TableTERanks33[[#This Row],[RK]],TableTECalcPts[RK],0)),"")),"")</f>
        <v>41.058899402597987</v>
      </c>
      <c r="AZ4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5" spans="1:53" x14ac:dyDescent="0.25">
      <c r="A45" s="145">
        <v>44</v>
      </c>
      <c r="B45" s="145" t="str">
        <f>IFERROR(INDEX(TableQBCalcPts[PLAYER],MATCH(TableQBRanks30[[#This Row],[RK]],TableQBCalcPts[RK],0)),"")</f>
        <v>Jameis Winston</v>
      </c>
      <c r="C45" s="145" t="str">
        <f>IFERROR(INDEX(TableQBCalcPts[TM],MATCH(TableQBRanks30[[#This Row],[Player]],TableQBCalcPts[PLAYER],0)),"")</f>
        <v>NYG</v>
      </c>
      <c r="D45" s="145">
        <f>IFERROR(INDEX(TableQBCalcPts[BYE],MATCH(TableQBRanks30[[#This Row],[Player]],TableQBCalcPts[PLAYER],0)),"")</f>
        <v>8</v>
      </c>
      <c r="E45" s="146">
        <f>IFERROR((VLOOKUP(TableQBRanks30[[#This Row],[Player]],QB!B:O,4,FALSE)),"")</f>
        <v>25.225450000000002</v>
      </c>
      <c r="F45" s="146">
        <f>IFERROR((VLOOKUP(TableQBRanks30[[#This Row],[Player]],QB!B:O,5,FALSE)),"")</f>
        <v>15.102118201712543</v>
      </c>
      <c r="G45" s="146">
        <f>IFERROR((VLOOKUP(TableQBRanks30[[#This Row],[Player]],QB!B:O,6,FALSE)),"")</f>
        <v>195.20212031197826</v>
      </c>
      <c r="H45" s="146">
        <f>IFERROR((VLOOKUP(TableQBRanks30[[#This Row],[Player]],QB!B:O,7,FALSE)),"")</f>
        <v>1.1852820803320134</v>
      </c>
      <c r="I45" s="146">
        <f>IFERROR((VLOOKUP(TableQBRanks30[[#This Row],[Player]],QB!B:O,8,FALSE)),"")</f>
        <v>0.81946913371177799</v>
      </c>
      <c r="J45" s="146">
        <f>IFERROR((VLOOKUP(TableQBRanks30[[#This Row],[Player]],QB!B:O,9,FALSE)),"")</f>
        <v>0.48852117999999994</v>
      </c>
      <c r="K45" s="146">
        <f>IFERROR((VLOOKUP(TableQBRanks30[[#This Row],[Player]],QB!B:O,10,FALSE)),"")</f>
        <v>1.3471341630303031</v>
      </c>
      <c r="L45" s="146">
        <f>IFERROR((VLOOKUP(TableQBRanks30[[#This Row],[Player]],QB!B:O,11,FALSE)),"")</f>
        <v>1.4803672121212122E-2</v>
      </c>
      <c r="M45" s="147">
        <f>IFERROR(INDEX(TableQBCalcPts[Custom],MATCH(TableQBRanks30[[#This Row],[RK]],TableQBCalcPts[RK],0)),"")</f>
        <v>15.834055429960992</v>
      </c>
      <c r="N4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5" s="58">
        <v>44</v>
      </c>
      <c r="Q45" s="58" t="str">
        <f>IFERROR(INDEX(TableRBCalcPts[PLAYER],MATCH(TableRBRanks31[[#This Row],[RK]],TableRBCalcPts[RK],0)),"")</f>
        <v>Alvin Kamara</v>
      </c>
      <c r="R45" s="58" t="str">
        <f>IFERROR(INDEX(TableRBCalcPts[TM],MATCH(TableRBRanks31[[#This Row],[Player]],TableRBCalcPts[PLAYER],0)),"")</f>
        <v>NO</v>
      </c>
      <c r="S45" s="58">
        <f>IFERROR(INDEX(TableRBCalcPts[BYE],MATCH(TableRBRanks31[[#This Row],[Player]],TableRBCalcPts[PLAYER],0)),"")</f>
        <v>8</v>
      </c>
      <c r="T45" s="100">
        <f>IFERROR((VLOOKUP(TableRBRanks31[[#This Row],[Player]],RB!B:O,4,FALSE)),"")</f>
        <v>121.95176447999999</v>
      </c>
      <c r="U45" s="100">
        <f>IFERROR((VLOOKUP(TableRBRanks31[[#This Row],[Player]],RB!B:O,5,FALSE)),"")</f>
        <v>476.83139911680001</v>
      </c>
      <c r="V45" s="100">
        <f>IFERROR((VLOOKUP(TableRBRanks31[[#This Row],[Player]],RB!B:O,6,FALSE)),"")</f>
        <v>2.4500325132714935</v>
      </c>
      <c r="W45" s="100">
        <f>IFERROR((VLOOKUP(TableRBRanks31[[#This Row],[Player]],RB!B:O,7,FALSE)),"")</f>
        <v>39.60692736</v>
      </c>
      <c r="X45" s="100">
        <f>IFERROR((VLOOKUP(TableRBRanks31[[#This Row],[Player]],RB!B:O,8,FALSE)),"")</f>
        <v>29.625981665280001</v>
      </c>
      <c r="Y45" s="100">
        <f>IFERROR((VLOOKUP(TableRBRanks31[[#This Row],[Player]],RB!B:O,9,FALSE)),"")</f>
        <v>209.45569037352962</v>
      </c>
      <c r="Z45" s="100">
        <f>IFERROR((VLOOKUP(TableRBRanks31[[#This Row],[Player]],RB!B:O,10,FALSE)),"")</f>
        <v>0.97765739495424009</v>
      </c>
      <c r="AA45" s="95">
        <f>IFERROR((IFERROR(INDEX(TableRBCalcPts[Custom],MATCH(TableRBRanks31[[#This Row],[RK]],TableRBCalcPts[RK],0)),"")),"")</f>
        <v>104.00783923102738</v>
      </c>
      <c r="AB4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5" s="145">
        <v>44</v>
      </c>
      <c r="AE45" s="145" t="str">
        <f>IFERROR(INDEX(TableWRCalcPts[PLAYER],MATCH(TableWRRanks32[[#This Row],[RK]],TableWRCalcPts[RK],0)),"")</f>
        <v>Josh Downs</v>
      </c>
      <c r="AF45" s="145" t="str">
        <f>IFERROR(INDEX(TableWRCalcPts[TM],MATCH(TableWRRanks32[[#This Row],[Player]],TableWRCalcPts[PLAYER],0)),"")</f>
        <v>IND</v>
      </c>
      <c r="AG45" s="145">
        <f>IFERROR(INDEX(TableWRCalcPts[BYE],MATCH(TableWRRanks32[[#This Row],[Player]],TableWRCalcPts[PLAYER],0)),"")</f>
        <v>13</v>
      </c>
      <c r="AH45" s="146">
        <f>IFERROR((VLOOKUP(TableWRRanks32[[#This Row],[Player]],WR!B:O,4,FALSE)),"")</f>
        <v>9.8198247133757945</v>
      </c>
      <c r="AI45" s="146">
        <f>IFERROR((VLOOKUP(TableWRRanks32[[#This Row],[Player]],WR!B:O,5,FALSE)),"")</f>
        <v>3.5425053078556257E-2</v>
      </c>
      <c r="AJ45" s="146">
        <f>IFERROR((VLOOKUP(TableWRRanks32[[#This Row],[Player]],WR!B:O,6,FALSE)),"")</f>
        <v>111.31686719999999</v>
      </c>
      <c r="AK45" s="146">
        <f>IFERROR((VLOOKUP(TableWRRanks32[[#This Row],[Player]],WR!B:O,7,FALSE)),"")</f>
        <v>79.066049385931024</v>
      </c>
      <c r="AL45" s="146">
        <f>IFERROR((VLOOKUP(TableWRRanks32[[#This Row],[Player]],WR!B:O,8,FALSE)),"")</f>
        <v>781.39030299409649</v>
      </c>
      <c r="AM45" s="146">
        <f>IFERROR((VLOOKUP(TableWRRanks32[[#This Row],[Player]],WR!B:O,9,FALSE)),"")</f>
        <v>4.9811611113136545</v>
      </c>
      <c r="AN45" s="147">
        <f>IFERROR((IFERROR(INDEX(TableWRCalcPts[Custom],MATCH(TableWRRanks32[[#This Row],[RK]],TableWRCalcPts[RK],0)),"")),"")</f>
        <v>148.75355445006602</v>
      </c>
      <c r="AO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10.985119121014337</v>
      </c>
      <c r="AQ45" s="145">
        <v>44</v>
      </c>
      <c r="AR45" s="145" t="str">
        <f>IFERROR(INDEX(TableTECalcPts[PLAYER],MATCH(TableTERanks33[[#This Row],[RK]],TableTECalcPts[RK],0)),"")</f>
        <v>Theo Johnson</v>
      </c>
      <c r="AS45" s="145" t="str">
        <f>IFERROR(INDEX(TableTECalcPts[TM],MATCH(TableTERanks33[[#This Row],[Player]],TableTECalcPts[PLAYER],0)),"")</f>
        <v>NYG</v>
      </c>
      <c r="AT45" s="145">
        <f>IFERROR(INDEX(TableTECalcPts[BYE],MATCH(TableTERanks33[[#This Row],[Player]],TableTECalcPts[PLAYER],0)),"")</f>
        <v>8</v>
      </c>
      <c r="AU45" s="146">
        <f>IFERROR((VLOOKUP(TableTERanks33[[#This Row],[Player]],TE!B:O,4,FALSE)),"")</f>
        <v>30.653966840000002</v>
      </c>
      <c r="AV45" s="146">
        <f>IFERROR((VLOOKUP(TableTERanks33[[#This Row],[Player]],TE!B:O,5,FALSE)),"")</f>
        <v>20.292926048080002</v>
      </c>
      <c r="AW45" s="146">
        <f>IFERROR((VLOOKUP(TableTERanks33[[#This Row],[Player]],TE!B:O,6,FALSE)),"")</f>
        <v>217.47903885757958</v>
      </c>
      <c r="AX45" s="146">
        <f>IFERROR((VLOOKUP(TableTERanks33[[#This Row],[Player]],TE!B:O,7,FALSE)),"")</f>
        <v>1.521969453606</v>
      </c>
      <c r="AY45" s="147">
        <f>IFERROR((IFERROR(INDEX(TableTECalcPts[Custom],MATCH(TableTERanks33[[#This Row],[RK]],TableTECalcPts[RK],0)),"")),"")</f>
        <v>41.026183631433959</v>
      </c>
      <c r="AZ4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6" spans="1:53" x14ac:dyDescent="0.25">
      <c r="A46" s="145">
        <v>45</v>
      </c>
      <c r="B46" s="145" t="str">
        <f>IFERROR(INDEX(TableQBCalcPts[PLAYER],MATCH(TableQBRanks30[[#This Row],[RK]],TableQBCalcPts[RK],0)),"")</f>
        <v>Will Howard</v>
      </c>
      <c r="C46" s="145" t="str">
        <f>IFERROR(INDEX(TableQBCalcPts[TM],MATCH(TableQBRanks30[[#This Row],[Player]],TableQBCalcPts[PLAYER],0)),"")</f>
        <v>PIT</v>
      </c>
      <c r="D46" s="145">
        <f>IFERROR(INDEX(TableQBCalcPts[BYE],MATCH(TableQBRanks30[[#This Row],[Player]],TableQBCalcPts[PLAYER],0)),"")</f>
        <v>9</v>
      </c>
      <c r="E46" s="146">
        <f>IFERROR((VLOOKUP(TableQBRanks30[[#This Row],[Player]],QB!B:O,4,FALSE)),"")</f>
        <v>28.980000000000004</v>
      </c>
      <c r="F46" s="146">
        <f>IFERROR((VLOOKUP(TableQBRanks30[[#This Row],[Player]],QB!B:O,5,FALSE)),"")</f>
        <v>18.460260000000002</v>
      </c>
      <c r="G46" s="146">
        <f>IFERROR((VLOOKUP(TableQBRanks30[[#This Row],[Player]],QB!B:O,6,FALSE)),"")</f>
        <v>199.74001320000002</v>
      </c>
      <c r="H46" s="146">
        <f>IFERROR((VLOOKUP(TableQBRanks30[[#This Row],[Player]],QB!B:O,7,FALSE)),"")</f>
        <v>0.9599335200000001</v>
      </c>
      <c r="I46" s="146">
        <f>IFERROR((VLOOKUP(TableQBRanks30[[#This Row],[Player]],QB!B:O,8,FALSE)),"")</f>
        <v>0.86940000000000006</v>
      </c>
      <c r="J46" s="146">
        <f>IFERROR((VLOOKUP(TableQBRanks30[[#This Row],[Player]],QB!B:O,9,FALSE)),"")</f>
        <v>0</v>
      </c>
      <c r="K46" s="146">
        <f>IFERROR((VLOOKUP(TableQBRanks30[[#This Row],[Player]],QB!B:O,10,FALSE)),"")</f>
        <v>0</v>
      </c>
      <c r="L46" s="146">
        <f>IFERROR((VLOOKUP(TableQBRanks30[[#This Row],[Player]],QB!B:O,11,FALSE)),"")</f>
        <v>0</v>
      </c>
      <c r="M46" s="147">
        <f>IFERROR(INDEX(TableQBCalcPts[Custom],MATCH(TableQBRanks30[[#This Row],[RK]],TableQBCalcPts[RK],0)),"")</f>
        <v>14.725827648000003</v>
      </c>
      <c r="N4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6" s="58">
        <v>45</v>
      </c>
      <c r="Q46" s="58" t="str">
        <f>IFERROR(INDEX(TableRBCalcPts[PLAYER],MATCH(TableRBRanks31[[#This Row],[RK]],TableRBCalcPts[RK],0)),"")</f>
        <v>Chris Rodriguez</v>
      </c>
      <c r="R46" s="58" t="str">
        <f>IFERROR(INDEX(TableRBCalcPts[TM],MATCH(TableRBRanks31[[#This Row],[Player]],TableRBCalcPts[PLAYER],0)),"")</f>
        <v>JAX</v>
      </c>
      <c r="S46" s="58">
        <f>IFERROR(INDEX(TableRBCalcPts[BYE],MATCH(TableRBRanks31[[#This Row],[Player]],TableRBCalcPts[PLAYER],0)),"")</f>
        <v>7</v>
      </c>
      <c r="T46" s="100">
        <f>IFERROR((VLOOKUP(TableRBRanks31[[#This Row],[Player]],RB!B:O,4,FALSE)),"")</f>
        <v>134.17532309999999</v>
      </c>
      <c r="U46" s="100">
        <f>IFERROR((VLOOKUP(TableRBRanks31[[#This Row],[Player]],RB!B:O,5,FALSE)),"")</f>
        <v>554.14408440299997</v>
      </c>
      <c r="V46" s="100">
        <f>IFERROR((VLOOKUP(TableRBRanks31[[#This Row],[Player]],RB!B:O,6,FALSE)),"")</f>
        <v>4.964486954699999</v>
      </c>
      <c r="W46" s="100">
        <f>IFERROR((VLOOKUP(TableRBRanks31[[#This Row],[Player]],RB!B:O,7,FALSE)),"")</f>
        <v>14.551500600000001</v>
      </c>
      <c r="X46" s="100">
        <f>IFERROR((VLOOKUP(TableRBRanks31[[#This Row],[Player]],RB!B:O,8,FALSE)),"")</f>
        <v>10.098741416399999</v>
      </c>
      <c r="Y46" s="100">
        <f>IFERROR((VLOOKUP(TableRBRanks31[[#This Row],[Player]],RB!B:O,9,FALSE)),"")</f>
        <v>68.62928965127324</v>
      </c>
      <c r="Z46" s="100">
        <f>IFERROR((VLOOKUP(TableRBRanks31[[#This Row],[Player]],RB!B:O,10,FALSE)),"")</f>
        <v>0.30296224249199999</v>
      </c>
      <c r="AA46" s="95">
        <f>IFERROR((IFERROR(INDEX(TableRBCalcPts[Custom],MATCH(TableRBRanks31[[#This Row],[RK]],TableRBCalcPts[RK],0)),"")),"")</f>
        <v>98.931403296779322</v>
      </c>
      <c r="AB4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6" s="145">
        <v>45</v>
      </c>
      <c r="AE46" s="145" t="str">
        <f>IFERROR(INDEX(TableWRCalcPts[PLAYER],MATCH(TableWRRanks32[[#This Row],[RK]],TableWRCalcPts[RK],0)),"")</f>
        <v>Malik Nabers</v>
      </c>
      <c r="AF46" s="145" t="str">
        <f>IFERROR(INDEX(TableWRCalcPts[TM],MATCH(TableWRRanks32[[#This Row],[Player]],TableWRCalcPts[PLAYER],0)),"")</f>
        <v>NYG</v>
      </c>
      <c r="AG46" s="145">
        <f>IFERROR(INDEX(TableWRCalcPts[BYE],MATCH(TableWRRanks32[[#This Row],[Player]],TableWRCalcPts[PLAYER],0)),"")</f>
        <v>8</v>
      </c>
      <c r="AH46" s="146">
        <f>IFERROR((VLOOKUP(TableWRRanks32[[#This Row],[Player]],WR!B:O,4,FALSE)),"")</f>
        <v>0</v>
      </c>
      <c r="AI46" s="146">
        <f>IFERROR((VLOOKUP(TableWRRanks32[[#This Row],[Player]],WR!B:O,5,FALSE)),"")</f>
        <v>0</v>
      </c>
      <c r="AJ46" s="146">
        <f>IFERROR((VLOOKUP(TableWRRanks32[[#This Row],[Player]],WR!B:O,6,FALSE)),"")</f>
        <v>105.80562748</v>
      </c>
      <c r="AK46" s="146">
        <f>IFERROR((VLOOKUP(TableWRRanks32[[#This Row],[Player]],WR!B:O,7,FALSE)),"")</f>
        <v>62.742737095639995</v>
      </c>
      <c r="AL46" s="146">
        <f>IFERROR((VLOOKUP(TableWRRanks32[[#This Row],[Player]],WR!B:O,8,FALSE)),"")</f>
        <v>836.36068548488117</v>
      </c>
      <c r="AM46" s="146">
        <f>IFERROR((VLOOKUP(TableWRRanks32[[#This Row],[Player]],WR!B:O,9,FALSE)),"")</f>
        <v>5.3433888110292518</v>
      </c>
      <c r="AN46" s="147">
        <f>IFERROR((IFERROR(INDEX(TableWRCalcPts[Custom],MATCH(TableWRRanks32[[#This Row],[RK]],TableWRCalcPts[RK],0)),"")),"")</f>
        <v>147.06776996248362</v>
      </c>
      <c r="AO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10.668396985881625</v>
      </c>
      <c r="AQ46" s="145">
        <v>45</v>
      </c>
      <c r="AR46" s="145" t="str">
        <f>IFERROR(INDEX(TableTECalcPts[PLAYER],MATCH(TableTERanks33[[#This Row],[RK]],TableTECalcPts[RK],0)),"")</f>
        <v>Max Klare</v>
      </c>
      <c r="AS46" s="145" t="str">
        <f>IFERROR(INDEX(TableTECalcPts[TM],MATCH(TableTERanks33[[#This Row],[Player]],TableTECalcPts[PLAYER],0)),"")</f>
        <v>LAR</v>
      </c>
      <c r="AT46" s="145">
        <f>IFERROR(INDEX(TableTECalcPts[BYE],MATCH(TableTERanks33[[#This Row],[Player]],TableTECalcPts[PLAYER],0)),"")</f>
        <v>11</v>
      </c>
      <c r="AU46" s="146">
        <f>IFERROR((VLOOKUP(TableTERanks33[[#This Row],[Player]],TE!B:O,4,FALSE)),"")</f>
        <v>26.576534726280389</v>
      </c>
      <c r="AV46" s="146">
        <f>IFERROR((VLOOKUP(TableTERanks33[[#This Row],[Player]],TE!B:O,5,FALSE)),"")</f>
        <v>18.576997773669991</v>
      </c>
      <c r="AW46" s="146">
        <f>IFERROR((VLOOKUP(TableTERanks33[[#This Row],[Player]],TE!B:O,6,FALSE)),"")</f>
        <v>194.5696082610699</v>
      </c>
      <c r="AX46" s="146">
        <f>IFERROR((VLOOKUP(TableTERanks33[[#This Row],[Player]],TE!B:O,7,FALSE)),"")</f>
        <v>1.1732840699159994</v>
      </c>
      <c r="AY46" s="147">
        <f>IFERROR((IFERROR(INDEX(TableTECalcPts[Custom],MATCH(TableTERanks33[[#This Row],[RK]],TableTECalcPts[RK],0)),"")),"")</f>
        <v>35.785164132437984</v>
      </c>
      <c r="AZ4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7" spans="1:53" x14ac:dyDescent="0.25">
      <c r="A47" s="145">
        <v>46</v>
      </c>
      <c r="B47" s="145" t="str">
        <f>IFERROR(INDEX(TableQBCalcPts[PLAYER],MATCH(TableQBRanks30[[#This Row],[RK]],TableQBCalcPts[RK],0)),"")</f>
        <v>Kenny Pickett</v>
      </c>
      <c r="C47" s="145" t="str">
        <f>IFERROR(INDEX(TableQBCalcPts[TM],MATCH(TableQBRanks30[[#This Row],[Player]],TableQBCalcPts[PLAYER],0)),"")</f>
        <v>CAR</v>
      </c>
      <c r="D47" s="145">
        <f>IFERROR(INDEX(TableQBCalcPts[BYE],MATCH(TableQBRanks30[[#This Row],[Player]],TableQBCalcPts[PLAYER],0)),"")</f>
        <v>5</v>
      </c>
      <c r="E47" s="146">
        <f>IFERROR((VLOOKUP(TableQBRanks30[[#This Row],[Player]],QB!B:O,4,FALSE)),"")</f>
        <v>27.472500000000004</v>
      </c>
      <c r="F47" s="146">
        <f>IFERROR((VLOOKUP(TableQBRanks30[[#This Row],[Player]],QB!B:O,5,FALSE)),"")</f>
        <v>16.860489385117869</v>
      </c>
      <c r="G47" s="146">
        <f>IFERROR((VLOOKUP(TableQBRanks30[[#This Row],[Player]],QB!B:O,6,FALSE)),"")</f>
        <v>170.12233789583931</v>
      </c>
      <c r="H47" s="146">
        <f>IFERROR((VLOOKUP(TableQBRanks30[[#This Row],[Player]],QB!B:O,7,FALSE)),"")</f>
        <v>1.0116293631070721</v>
      </c>
      <c r="I47" s="146">
        <f>IFERROR((VLOOKUP(TableQBRanks30[[#This Row],[Player]],QB!B:O,8,FALSE)),"")</f>
        <v>0.54097131496733908</v>
      </c>
      <c r="J47" s="146">
        <f>IFERROR((VLOOKUP(TableQBRanks30[[#This Row],[Player]],QB!B:O,9,FALSE)),"")</f>
        <v>0.86347799999999986</v>
      </c>
      <c r="K47" s="146">
        <f>IFERROR((VLOOKUP(TableQBRanks30[[#This Row],[Player]],QB!B:O,10,FALSE)),"")</f>
        <v>3.0739816799999997</v>
      </c>
      <c r="L47" s="146">
        <f>IFERROR((VLOOKUP(TableQBRanks30[[#This Row],[Player]],QB!B:O,11,FALSE)),"")</f>
        <v>2.1586949999999997E-2</v>
      </c>
      <c r="M47" s="147">
        <f>IFERROR(INDEX(TableQBCalcPts[Custom],MATCH(TableQBRanks30[[#This Row],[RK]],TableQBCalcPts[RK],0)),"")</f>
        <v>14.456667186020452</v>
      </c>
      <c r="N4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7" s="58">
        <v>46</v>
      </c>
      <c r="Q47" s="58" t="str">
        <f>IFERROR(INDEX(TableRBCalcPts[PLAYER],MATCH(TableRBRanks31[[#This Row],[RK]],TableRBCalcPts[RK],0)),"")</f>
        <v>Woody Marks</v>
      </c>
      <c r="R47" s="58" t="str">
        <f>IFERROR(INDEX(TableRBCalcPts[TM],MATCH(TableRBRanks31[[#This Row],[Player]],TableRBCalcPts[PLAYER],0)),"")</f>
        <v>HOU</v>
      </c>
      <c r="S47" s="58">
        <f>IFERROR(INDEX(TableRBCalcPts[BYE],MATCH(TableRBRanks31[[#This Row],[Player]],TableRBCalcPts[PLAYER],0)),"")</f>
        <v>8</v>
      </c>
      <c r="T47" s="100">
        <f>IFERROR((VLOOKUP(TableRBRanks31[[#This Row],[Player]],RB!B:O,4,FALSE)),"")</f>
        <v>111.99860224000001</v>
      </c>
      <c r="U47" s="100">
        <f>IFERROR((VLOOKUP(TableRBRanks31[[#This Row],[Player]],RB!B:O,5,FALSE)),"")</f>
        <v>434.55457669120005</v>
      </c>
      <c r="V47" s="100">
        <f>IFERROR((VLOOKUP(TableRBRanks31[[#This Row],[Player]],RB!B:O,6,FALSE)),"")</f>
        <v>3.2479594649600005</v>
      </c>
      <c r="W47" s="100">
        <f>IFERROR((VLOOKUP(TableRBRanks31[[#This Row],[Player]],RB!B:O,7,FALSE)),"")</f>
        <v>32.081585759999996</v>
      </c>
      <c r="X47" s="100">
        <f>IFERROR((VLOOKUP(TableRBRanks31[[#This Row],[Player]],RB!B:O,8,FALSE)),"")</f>
        <v>22.427235116159999</v>
      </c>
      <c r="Y47" s="100">
        <f>IFERROR((VLOOKUP(TableRBRanks31[[#This Row],[Player]],RB!B:O,9,FALSE)),"")</f>
        <v>165.96153985958401</v>
      </c>
      <c r="Z47" s="100">
        <f>IFERROR((VLOOKUP(TableRBRanks31[[#This Row],[Player]],RB!B:O,10,FALSE)),"")</f>
        <v>0.71767152371711995</v>
      </c>
      <c r="AA47" s="95">
        <f>IFERROR((IFERROR(INDEX(TableRBCalcPts[Custom],MATCH(TableRBRanks31[[#This Row],[RK]],TableRBCalcPts[RK],0)),"")),"")</f>
        <v>95.059015145221139</v>
      </c>
      <c r="AB4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7" s="145">
        <v>46</v>
      </c>
      <c r="AE47" s="145" t="str">
        <f>IFERROR(INDEX(TableWRCalcPts[PLAYER],MATCH(TableWRRanks32[[#This Row],[RK]],TableWRCalcPts[RK],0)),"")</f>
        <v>Brian Thomas</v>
      </c>
      <c r="AF47" s="145" t="str">
        <f>IFERROR(INDEX(TableWRCalcPts[TM],MATCH(TableWRRanks32[[#This Row],[Player]],TableWRCalcPts[PLAYER],0)),"")</f>
        <v>JAX</v>
      </c>
      <c r="AG47" s="145">
        <f>IFERROR(INDEX(TableWRCalcPts[BYE],MATCH(TableWRRanks32[[#This Row],[Player]],TableWRCalcPts[PLAYER],0)),"")</f>
        <v>7</v>
      </c>
      <c r="AH47" s="146">
        <f>IFERROR((VLOOKUP(TableWRRanks32[[#This Row],[Player]],WR!B:O,4,FALSE)),"")</f>
        <v>0</v>
      </c>
      <c r="AI47" s="146">
        <f>IFERROR((VLOOKUP(TableWRRanks32[[#This Row],[Player]],WR!B:O,5,FALSE)),"")</f>
        <v>0</v>
      </c>
      <c r="AJ47" s="146">
        <f>IFERROR((VLOOKUP(TableWRRanks32[[#This Row],[Player]],WR!B:O,6,FALSE)),"")</f>
        <v>104.0991966</v>
      </c>
      <c r="AK47" s="146">
        <f>IFERROR((VLOOKUP(TableWRRanks32[[#This Row],[Player]],WR!B:O,7,FALSE)),"")</f>
        <v>56.525863753800003</v>
      </c>
      <c r="AL47" s="146">
        <f>IFERROR((VLOOKUP(TableWRRanks32[[#This Row],[Player]],WR!B:O,8,FALSE)),"")</f>
        <v>842.80062856915811</v>
      </c>
      <c r="AM47" s="146">
        <f>IFERROR((VLOOKUP(TableWRRanks32[[#This Row],[Player]],WR!B:O,9,FALSE)),"")</f>
        <v>5.4830087841186002</v>
      </c>
      <c r="AN47" s="147">
        <f>IFERROR((IFERROR(INDEX(TableWRCalcPts[Custom],MATCH(TableWRRanks32[[#This Row],[RK]],TableWRCalcPts[RK],0)),"")),"")</f>
        <v>145.44104743852742</v>
      </c>
      <c r="AO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10.362771305463385</v>
      </c>
      <c r="AQ47" s="145">
        <v>46</v>
      </c>
      <c r="AR47" s="145" t="str">
        <f>IFERROR(INDEX(TableTECalcPts[PLAYER],MATCH(TableTERanks33[[#This Row],[RK]],TableTECalcPts[RK],0)),"")</f>
        <v>Austin Hooper</v>
      </c>
      <c r="AS47" s="145" t="str">
        <f>IFERROR(INDEX(TableTECalcPts[TM],MATCH(TableTERanks33[[#This Row],[Player]],TableTECalcPts[PLAYER],0)),"")</f>
        <v>ATL</v>
      </c>
      <c r="AT47" s="145">
        <f>IFERROR(INDEX(TableTECalcPts[BYE],MATCH(TableTERanks33[[#This Row],[Player]],TableTECalcPts[PLAYER],0)),"")</f>
        <v>11</v>
      </c>
      <c r="AU47" s="146">
        <f>IFERROR((VLOOKUP(TableTERanks33[[#This Row],[Player]],TE!B:O,4,FALSE)),"")</f>
        <v>22.138629240000004</v>
      </c>
      <c r="AV47" s="146">
        <f>IFERROR((VLOOKUP(TableTERanks33[[#This Row],[Player]],TE!B:O,5,FALSE)),"")</f>
        <v>17.400962582640005</v>
      </c>
      <c r="AW47" s="146">
        <f>IFERROR((VLOOKUP(TableTERanks33[[#This Row],[Player]],TE!B:O,6,FALSE)),"")</f>
        <v>186.01629000842166</v>
      </c>
      <c r="AX47" s="146">
        <f>IFERROR((VLOOKUP(TableTERanks33[[#This Row],[Player]],TE!B:O,7,FALSE)),"")</f>
        <v>0.98039049847632109</v>
      </c>
      <c r="AY47" s="147">
        <f>IFERROR((IFERROR(INDEX(TableTECalcPts[Custom],MATCH(TableTERanks33[[#This Row],[RK]],TableTECalcPts[RK],0)),"")),"")</f>
        <v>33.184453283020098</v>
      </c>
      <c r="AZ4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8" spans="1:53" x14ac:dyDescent="0.25">
      <c r="A48" s="145">
        <v>47</v>
      </c>
      <c r="B48" s="145" t="str">
        <f>IFERROR(INDEX(TableQBCalcPts[PLAYER],MATCH(TableQBRanks30[[#This Row],[RK]],TableQBCalcPts[RK],0)),"")</f>
        <v>Cade Klubnik</v>
      </c>
      <c r="C48" s="145" t="str">
        <f>IFERROR(INDEX(TableQBCalcPts[TM],MATCH(TableQBRanks30[[#This Row],[Player]],TableQBCalcPts[PLAYER],0)),"")</f>
        <v>NYJ</v>
      </c>
      <c r="D48" s="145">
        <f>IFERROR(INDEX(TableQBCalcPts[BYE],MATCH(TableQBRanks30[[#This Row],[Player]],TableQBCalcPts[PLAYER],0)),"")</f>
        <v>13</v>
      </c>
      <c r="E48" s="146">
        <f>IFERROR((VLOOKUP(TableQBRanks30[[#This Row],[Player]],QB!B:O,4,FALSE)),"")</f>
        <v>22.936799999999998</v>
      </c>
      <c r="F48" s="146">
        <f>IFERROR((VLOOKUP(TableQBRanks30[[#This Row],[Player]],QB!B:O,5,FALSE)),"")</f>
        <v>13.06515688321605</v>
      </c>
      <c r="G48" s="146">
        <f>IFERROR((VLOOKUP(TableQBRanks30[[#This Row],[Player]],QB!B:O,6,FALSE)),"")</f>
        <v>134.9552857438139</v>
      </c>
      <c r="H48" s="146">
        <f>IFERROR((VLOOKUP(TableQBRanks30[[#This Row],[Player]],QB!B:O,7,FALSE)),"")</f>
        <v>0.75777909922653086</v>
      </c>
      <c r="I48" s="146">
        <f>IFERROR((VLOOKUP(TableQBRanks30[[#This Row],[Player]],QB!B:O,8,FALSE)),"")</f>
        <v>0.63595480044499142</v>
      </c>
      <c r="J48" s="146">
        <f>IFERROR((VLOOKUP(TableQBRanks30[[#This Row],[Player]],QB!B:O,9,FALSE)),"")</f>
        <v>2.1196420000000002</v>
      </c>
      <c r="K48" s="146">
        <f>IFERROR((VLOOKUP(TableQBRanks30[[#This Row],[Player]],QB!B:O,10,FALSE)),"")</f>
        <v>8.1921298918918932</v>
      </c>
      <c r="L48" s="146">
        <f>IFERROR((VLOOKUP(TableQBRanks30[[#This Row],[Player]],QB!B:O,11,FALSE)),"")</f>
        <v>5.7287621621621633E-2</v>
      </c>
      <c r="M48" s="147">
        <f>IFERROR(INDEX(TableQBCalcPts[Custom],MATCH(TableQBRanks30[[#This Row],[RK]],TableQBCalcPts[RK],0)),"")</f>
        <v>11.778385631907273</v>
      </c>
      <c r="N4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8" s="58">
        <v>47</v>
      </c>
      <c r="Q48" s="58" t="str">
        <f>IFERROR(INDEX(TableRBCalcPts[PLAYER],MATCH(TableRBRanks31[[#This Row],[RK]],TableRBCalcPts[RK],0)),"")</f>
        <v>Braelon Allen</v>
      </c>
      <c r="R48" s="58" t="str">
        <f>IFERROR(INDEX(TableRBCalcPts[TM],MATCH(TableRBRanks31[[#This Row],[Player]],TableRBCalcPts[PLAYER],0)),"")</f>
        <v>NYJ</v>
      </c>
      <c r="S48" s="58">
        <f>IFERROR(INDEX(TableRBCalcPts[BYE],MATCH(TableRBRanks31[[#This Row],[Player]],TableRBCalcPts[PLAYER],0)),"")</f>
        <v>13</v>
      </c>
      <c r="T48" s="100">
        <f>IFERROR((VLOOKUP(TableRBRanks31[[#This Row],[Player]],RB!B:O,4,FALSE)),"")</f>
        <v>118.27602360000002</v>
      </c>
      <c r="U48" s="100">
        <f>IFERROR((VLOOKUP(TableRBRanks31[[#This Row],[Player]],RB!B:O,5,FALSE)),"")</f>
        <v>507.40414124400007</v>
      </c>
      <c r="V48" s="100">
        <f>IFERROR((VLOOKUP(TableRBRanks31[[#This Row],[Player]],RB!B:O,6,FALSE)),"")</f>
        <v>4.139660826000001</v>
      </c>
      <c r="W48" s="100">
        <f>IFERROR((VLOOKUP(TableRBRanks31[[#This Row],[Player]],RB!B:O,7,FALSE)),"")</f>
        <v>17.421916693702357</v>
      </c>
      <c r="X48" s="100">
        <f>IFERROR((VLOOKUP(TableRBRanks31[[#This Row],[Player]],RB!B:O,8,FALSE)),"")</f>
        <v>12.926632015944589</v>
      </c>
      <c r="Y48" s="100">
        <f>IFERROR((VLOOKUP(TableRBRanks31[[#This Row],[Player]],RB!B:O,9,FALSE)),"")</f>
        <v>99.888236735255546</v>
      </c>
      <c r="Z48" s="100">
        <f>IFERROR((VLOOKUP(TableRBRanks31[[#This Row],[Player]],RB!B:O,10,FALSE)),"")</f>
        <v>0.26240417736193672</v>
      </c>
      <c r="AA48" s="95">
        <f>IFERROR((IFERROR(INDEX(TableRBCalcPts[Custom],MATCH(TableRBRanks31[[#This Row],[RK]],TableRBCalcPts[RK],0)),"")),"")</f>
        <v>93.604943826069501</v>
      </c>
      <c r="AB4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8" s="145">
        <v>47</v>
      </c>
      <c r="AE48" s="145" t="str">
        <f>IFERROR(INDEX(TableWRCalcPts[PLAYER],MATCH(TableWRRanks32[[#This Row],[RK]],TableWRCalcPts[RK],0)),"")</f>
        <v>Chris Godwin</v>
      </c>
      <c r="AF48" s="145" t="str">
        <f>IFERROR(INDEX(TableWRCalcPts[TM],MATCH(TableWRRanks32[[#This Row],[Player]],TableWRCalcPts[PLAYER],0)),"")</f>
        <v>TB</v>
      </c>
      <c r="AG48" s="145">
        <f>IFERROR(INDEX(TableWRCalcPts[BYE],MATCH(TableWRRanks32[[#This Row],[Player]],TableWRCalcPts[PLAYER],0)),"")</f>
        <v>10</v>
      </c>
      <c r="AH48" s="146">
        <f>IFERROR((VLOOKUP(TableWRRanks32[[#This Row],[Player]],WR!B:O,4,FALSE)),"")</f>
        <v>0</v>
      </c>
      <c r="AI48" s="146">
        <f>IFERROR((VLOOKUP(TableWRRanks32[[#This Row],[Player]],WR!B:O,5,FALSE)),"")</f>
        <v>0</v>
      </c>
      <c r="AJ48" s="146">
        <f>IFERROR((VLOOKUP(TableWRRanks32[[#This Row],[Player]],WR!B:O,6,FALSE)),"")</f>
        <v>105.95120255999994</v>
      </c>
      <c r="AK48" s="146">
        <f>IFERROR((VLOOKUP(TableWRRanks32[[#This Row],[Player]],WR!B:O,7,FALSE)),"")</f>
        <v>69.503988879359966</v>
      </c>
      <c r="AL48" s="146">
        <f>IFERROR((VLOOKUP(TableWRRanks32[[#This Row],[Player]],WR!B:O,8,FALSE)),"")</f>
        <v>777.05459567124444</v>
      </c>
      <c r="AM48" s="146">
        <f>IFERROR((VLOOKUP(TableWRRanks32[[#This Row],[Player]],WR!B:O,9,FALSE)),"")</f>
        <v>5.3518071437107171</v>
      </c>
      <c r="AN48" s="147">
        <f>IFERROR((IFERROR(INDEX(TableWRCalcPts[Custom],MATCH(TableWRRanks32[[#This Row],[RK]],TableWRCalcPts[RK],0)),"")),"")</f>
        <v>144.56829686906872</v>
      </c>
      <c r="AO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10.198800509769526</v>
      </c>
      <c r="AQ48" s="145">
        <v>47</v>
      </c>
      <c r="AR48" s="145" t="str">
        <f>IFERROR(INDEX(TableTECalcPts[PLAYER],MATCH(TableTERanks33[[#This Row],[RK]],TableTECalcPts[RK],0)),"")</f>
        <v>Justin Joly</v>
      </c>
      <c r="AS48" s="145" t="str">
        <f>IFERROR(INDEX(TableTECalcPts[TM],MATCH(TableTERanks33[[#This Row],[Player]],TableTECalcPts[PLAYER],0)),"")</f>
        <v>DEN</v>
      </c>
      <c r="AT48" s="145">
        <f>IFERROR(INDEX(TableTECalcPts[BYE],MATCH(TableTERanks33[[#This Row],[Player]],TableTECalcPts[PLAYER],0)),"")</f>
        <v>10</v>
      </c>
      <c r="AU48" s="146">
        <f>IFERROR((VLOOKUP(TableTERanks33[[#This Row],[Player]],TE!B:O,4,FALSE)),"")</f>
        <v>27.392238720000005</v>
      </c>
      <c r="AV48" s="146">
        <f>IFERROR((VLOOKUP(TableTERanks33[[#This Row],[Player]],TE!B:O,5,FALSE)),"")</f>
        <v>20.270256652800004</v>
      </c>
      <c r="AW48" s="146">
        <f>IFERROR((VLOOKUP(TableTERanks33[[#This Row],[Player]],TE!B:O,6,FALSE)),"")</f>
        <v>161.75627420081466</v>
      </c>
      <c r="AX48" s="146">
        <f>IFERROR((VLOOKUP(TableTERanks33[[#This Row],[Player]],TE!B:O,7,FALSE)),"")</f>
        <v>1.0135128326400002</v>
      </c>
      <c r="AY48" s="147">
        <f>IFERROR((IFERROR(INDEX(TableTECalcPts[Custom],MATCH(TableTERanks33[[#This Row],[RK]],TableTECalcPts[RK],0)),"")),"")</f>
        <v>32.391832742321469</v>
      </c>
      <c r="AZ4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9" spans="1:53" x14ac:dyDescent="0.25">
      <c r="A49" s="145">
        <v>48</v>
      </c>
      <c r="B49" s="145" t="str">
        <f>IFERROR(INDEX(TableQBCalcPts[PLAYER],MATCH(TableQBRanks30[[#This Row],[RK]],TableQBCalcPts[RK],0)),"")</f>
        <v>Tyson Bagent</v>
      </c>
      <c r="C49" s="145" t="str">
        <f>IFERROR(INDEX(TableQBCalcPts[TM],MATCH(TableQBRanks30[[#This Row],[Player]],TableQBCalcPts[PLAYER],0)),"")</f>
        <v>CHI</v>
      </c>
      <c r="D49" s="145">
        <f>IFERROR(INDEX(TableQBCalcPts[BYE],MATCH(TableQBRanks30[[#This Row],[Player]],TableQBCalcPts[PLAYER],0)),"")</f>
        <v>10</v>
      </c>
      <c r="E49" s="146">
        <f>IFERROR((VLOOKUP(TableQBRanks30[[#This Row],[Player]],QB!B:O,4,FALSE)),"")</f>
        <v>11.508880000000001</v>
      </c>
      <c r="F49" s="146">
        <f>IFERROR((VLOOKUP(TableQBRanks30[[#This Row],[Player]],QB!B:O,5,FALSE)),"")</f>
        <v>8.1782271917050551</v>
      </c>
      <c r="G49" s="146">
        <f>IFERROR((VLOOKUP(TableQBRanks30[[#This Row],[Player]],QB!B:O,6,FALSE)),"")</f>
        <v>95.603475871032089</v>
      </c>
      <c r="H49" s="146">
        <f>IFERROR((VLOOKUP(TableQBRanks30[[#This Row],[Player]],QB!B:O,7,FALSE)),"")</f>
        <v>0.62706265788300575</v>
      </c>
      <c r="I49" s="146">
        <f>IFERROR((VLOOKUP(TableQBRanks30[[#This Row],[Player]],QB!B:O,8,FALSE)),"")</f>
        <v>0.32455243020126479</v>
      </c>
      <c r="J49" s="146">
        <f>IFERROR((VLOOKUP(TableQBRanks30[[#This Row],[Player]],QB!B:O,9,FALSE)),"")</f>
        <v>4.6702487999999995</v>
      </c>
      <c r="K49" s="146">
        <f>IFERROR((VLOOKUP(TableQBRanks30[[#This Row],[Player]],QB!B:O,10,FALSE)),"")</f>
        <v>16.836392996892446</v>
      </c>
      <c r="L49" s="146">
        <f>IFERROR((VLOOKUP(TableQBRanks30[[#This Row],[Player]],QB!B:O,11,FALSE)),"")</f>
        <v>9.4240575771843665E-2</v>
      </c>
      <c r="M49" s="147">
        <f>IFERROR(INDEX(TableQBCalcPts[Custom],MATCH(TableQBRanks30[[#This Row],[RK]],TableQBCalcPts[RK],0)),"")</f>
        <v>10.328868025428866</v>
      </c>
      <c r="N4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9" s="58">
        <v>48</v>
      </c>
      <c r="Q49" s="58" t="str">
        <f>IFERROR(INDEX(TableRBCalcPts[PLAYER],MATCH(TableRBRanks31[[#This Row],[RK]],TableRBCalcPts[RK],0)),"")</f>
        <v>Justice Hill</v>
      </c>
      <c r="R49" s="58" t="str">
        <f>IFERROR(INDEX(TableRBCalcPts[TM],MATCH(TableRBRanks31[[#This Row],[Player]],TableRBCalcPts[PLAYER],0)),"")</f>
        <v>BAL</v>
      </c>
      <c r="S49" s="58">
        <f>IFERROR(INDEX(TableRBCalcPts[BYE],MATCH(TableRBRanks31[[#This Row],[Player]],TableRBCalcPts[PLAYER],0)),"")</f>
        <v>13</v>
      </c>
      <c r="T49" s="100">
        <f>IFERROR((VLOOKUP(TableRBRanks31[[#This Row],[Player]],RB!B:O,4,FALSE)),"")</f>
        <v>39.288948859551994</v>
      </c>
      <c r="U49" s="100">
        <f>IFERROR((VLOOKUP(TableRBRanks31[[#This Row],[Player]],RB!B:O,5,FALSE)),"")</f>
        <v>189.68282377937382</v>
      </c>
      <c r="V49" s="100">
        <f>IFERROR((VLOOKUP(TableRBRanks31[[#This Row],[Player]],RB!B:O,6,FALSE)),"")</f>
        <v>1.4480090584472696</v>
      </c>
      <c r="W49" s="100">
        <f>IFERROR((VLOOKUP(TableRBRanks31[[#This Row],[Player]],RB!B:O,7,FALSE)),"")</f>
        <v>47.936017919999991</v>
      </c>
      <c r="X49" s="100">
        <f>IFERROR((VLOOKUP(TableRBRanks31[[#This Row],[Player]],RB!B:O,8,FALSE)),"")</f>
        <v>38.38817232966062</v>
      </c>
      <c r="Y49" s="100">
        <f>IFERROR((VLOOKUP(TableRBRanks31[[#This Row],[Player]],RB!B:O,9,FALSE)),"")</f>
        <v>328.26147760575321</v>
      </c>
      <c r="Z49" s="100">
        <f>IFERROR((VLOOKUP(TableRBRanks31[[#This Row],[Player]],RB!B:O,10,FALSE)),"")</f>
        <v>2.1497376504609949</v>
      </c>
      <c r="AA49" s="95">
        <f>IFERROR((IFERROR(INDEX(TableRBCalcPts[Custom],MATCH(TableRBRanks31[[#This Row],[RK]],TableRBCalcPts[RK],0)),"")),"")</f>
        <v>92.574996556792598</v>
      </c>
      <c r="AB4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9" s="145">
        <v>48</v>
      </c>
      <c r="AE49" s="145" t="str">
        <f>IFERROR(INDEX(TableWRCalcPts[PLAYER],MATCH(TableWRRanks32[[#This Row],[RK]],TableWRCalcPts[RK],0)),"")</f>
        <v>Michael Wilson</v>
      </c>
      <c r="AF49" s="145" t="str">
        <f>IFERROR(INDEX(TableWRCalcPts[TM],MATCH(TableWRRanks32[[#This Row],[Player]],TableWRCalcPts[PLAYER],0)),"")</f>
        <v>ARI</v>
      </c>
      <c r="AG49" s="145">
        <f>IFERROR(INDEX(TableWRCalcPts[BYE],MATCH(TableWRRanks32[[#This Row],[Player]],TableWRCalcPts[PLAYER],0)),"")</f>
        <v>14</v>
      </c>
      <c r="AH49" s="146">
        <f>IFERROR((VLOOKUP(TableWRRanks32[[#This Row],[Player]],WR!B:O,4,FALSE)),"")</f>
        <v>0</v>
      </c>
      <c r="AI49" s="146">
        <f>IFERROR((VLOOKUP(TableWRRanks32[[#This Row],[Player]],WR!B:O,5,FALSE)),"")</f>
        <v>0</v>
      </c>
      <c r="AJ49" s="146">
        <f>IFERROR((VLOOKUP(TableWRRanks32[[#This Row],[Player]],WR!B:O,6,FALSE)),"")</f>
        <v>112.29874880000001</v>
      </c>
      <c r="AK49" s="146">
        <f>IFERROR((VLOOKUP(TableWRRanks32[[#This Row],[Player]],WR!B:O,7,FALSE)),"")</f>
        <v>66.274717090252423</v>
      </c>
      <c r="AL49" s="146">
        <f>IFERROR((VLOOKUP(TableWRRanks32[[#This Row],[Player]],WR!B:O,8,FALSE)),"")</f>
        <v>804.57506547566447</v>
      </c>
      <c r="AM49" s="146">
        <f>IFERROR((VLOOKUP(TableWRRanks32[[#This Row],[Player]],WR!B:O,9,FALSE)),"")</f>
        <v>4.9706037817689319</v>
      </c>
      <c r="AN49" s="147">
        <f>IFERROR((IFERROR(INDEX(TableWRCalcPts[Custom],MATCH(TableWRRanks32[[#This Row],[RK]],TableWRCalcPts[RK],0)),"")),"")</f>
        <v>143.41848778330626</v>
      </c>
      <c r="AO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9.982776462021917</v>
      </c>
      <c r="AQ49" s="145">
        <v>48</v>
      </c>
      <c r="AR49" s="145" t="str">
        <f>IFERROR(INDEX(TableTECalcPts[PLAYER],MATCH(TableTERanks33[[#This Row],[RK]],TableTECalcPts[RK],0)),"")</f>
        <v>Jake Tonges</v>
      </c>
      <c r="AS49" s="145" t="str">
        <f>IFERROR(INDEX(TableTECalcPts[TM],MATCH(TableTERanks33[[#This Row],[Player]],TableTECalcPts[PLAYER],0)),"")</f>
        <v>SF</v>
      </c>
      <c r="AT49" s="145">
        <f>IFERROR(INDEX(TableTECalcPts[BYE],MATCH(TableTERanks33[[#This Row],[Player]],TableTECalcPts[PLAYER],0)),"")</f>
        <v>8</v>
      </c>
      <c r="AU49" s="146">
        <f>IFERROR((VLOOKUP(TableTERanks33[[#This Row],[Player]],TE!B:O,4,FALSE)),"")</f>
        <v>22.547118720000004</v>
      </c>
      <c r="AV49" s="146">
        <f>IFERROR((VLOOKUP(TableTERanks33[[#This Row],[Player]],TE!B:O,5,FALSE)),"")</f>
        <v>15.67129135848889</v>
      </c>
      <c r="AW49" s="146">
        <f>IFERROR((VLOOKUP(TableTERanks33[[#This Row],[Player]],TE!B:O,6,FALSE)),"")</f>
        <v>158.59346854790755</v>
      </c>
      <c r="AX49" s="146">
        <f>IFERROR((VLOOKUP(TableTERanks33[[#This Row],[Player]],TE!B:O,7,FALSE)),"")</f>
        <v>1.410416222264</v>
      </c>
      <c r="AY49" s="147">
        <f>IFERROR((IFERROR(INDEX(TableTECalcPts[Custom],MATCH(TableTERanks33[[#This Row],[RK]],TableTECalcPts[RK],0)),"")),"")</f>
        <v>32.157489867619205</v>
      </c>
      <c r="AZ4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0" spans="1:53" x14ac:dyDescent="0.25">
      <c r="A50" s="145">
        <v>49</v>
      </c>
      <c r="B50" s="145" t="str">
        <f>IFERROR(INDEX(TableQBCalcPts[PLAYER],MATCH(TableQBRanks30[[#This Row],[RK]],TableQBCalcPts[RK],0)),"")</f>
        <v>Spencer Rattler</v>
      </c>
      <c r="C50" s="145" t="str">
        <f>IFERROR(INDEX(TableQBCalcPts[TM],MATCH(TableQBRanks30[[#This Row],[Player]],TableQBCalcPts[PLAYER],0)),"")</f>
        <v>NO</v>
      </c>
      <c r="D50" s="145">
        <f>IFERROR(INDEX(TableQBCalcPts[BYE],MATCH(TableQBRanks30[[#This Row],[Player]],TableQBCalcPts[PLAYER],0)),"")</f>
        <v>8</v>
      </c>
      <c r="E50" s="146">
        <f>IFERROR((VLOOKUP(TableQBRanks30[[#This Row],[Player]],QB!B:O,4,FALSE)),"")</f>
        <v>15.544319999999999</v>
      </c>
      <c r="F50" s="146">
        <f>IFERROR((VLOOKUP(TableQBRanks30[[#This Row],[Player]],QB!B:O,5,FALSE)),"")</f>
        <v>10.141974475776411</v>
      </c>
      <c r="G50" s="146">
        <f>IFERROR((VLOOKUP(TableQBRanks30[[#This Row],[Player]],QB!B:O,6,FALSE)),"")</f>
        <v>100.20270782067095</v>
      </c>
      <c r="H50" s="146">
        <f>IFERROR((VLOOKUP(TableQBRanks30[[#This Row],[Player]],QB!B:O,7,FALSE)),"")</f>
        <v>0.55780859616770262</v>
      </c>
      <c r="I50" s="146">
        <f>IFERROR((VLOOKUP(TableQBRanks30[[#This Row],[Player]],QB!B:O,8,FALSE)),"")</f>
        <v>0.28627229779075014</v>
      </c>
      <c r="J50" s="146">
        <f>IFERROR((VLOOKUP(TableQBRanks30[[#This Row],[Player]],QB!B:O,9,FALSE)),"")</f>
        <v>2.4786943999999997</v>
      </c>
      <c r="K50" s="146">
        <f>IFERROR((VLOOKUP(TableQBRanks30[[#This Row],[Player]],QB!B:O,10,FALSE)),"")</f>
        <v>13.694383562086616</v>
      </c>
      <c r="L50" s="146">
        <f>IFERROR((VLOOKUP(TableQBRanks30[[#This Row],[Player]],QB!B:O,11,FALSE)),"")</f>
        <v>8.8831029417462279E-2</v>
      </c>
      <c r="M50" s="147">
        <f>IFERROR(INDEX(TableQBCalcPts[Custom],MATCH(TableQBRanks30[[#This Row],[RK]],TableQBCalcPts[RK],0)),"")</f>
        <v>9.985309572333378</v>
      </c>
      <c r="N5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0" s="58">
        <v>49</v>
      </c>
      <c r="Q50" s="58" t="str">
        <f>IFERROR(INDEX(TableRBCalcPts[PLAYER],MATCH(TableRBRanks31[[#This Row],[RK]],TableRBCalcPts[RK],0)),"")</f>
        <v>Dylan Sampson</v>
      </c>
      <c r="R50" s="58" t="str">
        <f>IFERROR(INDEX(TableRBCalcPts[TM],MATCH(TableRBRanks31[[#This Row],[Player]],TableRBCalcPts[PLAYER],0)),"")</f>
        <v>CLE</v>
      </c>
      <c r="S50" s="58">
        <f>IFERROR(INDEX(TableRBCalcPts[BYE],MATCH(TableRBRanks31[[#This Row],[Player]],TableRBCalcPts[PLAYER],0)),"")</f>
        <v>11</v>
      </c>
      <c r="T50" s="100">
        <f>IFERROR((VLOOKUP(TableRBRanks31[[#This Row],[Player]],RB!B:O,4,FALSE)),"")</f>
        <v>99.950004000000007</v>
      </c>
      <c r="U50" s="100">
        <f>IFERROR((VLOOKUP(TableRBRanks31[[#This Row],[Player]],RB!B:O,5,FALSE)),"")</f>
        <v>376.81151508000005</v>
      </c>
      <c r="V50" s="100">
        <f>IFERROR((VLOOKUP(TableRBRanks31[[#This Row],[Player]],RB!B:O,6,FALSE)),"")</f>
        <v>1.5263641160310031</v>
      </c>
      <c r="W50" s="100">
        <f>IFERROR((VLOOKUP(TableRBRanks31[[#This Row],[Player]],RB!B:O,7,FALSE)),"")</f>
        <v>38.099753999999997</v>
      </c>
      <c r="X50" s="100">
        <f>IFERROR((VLOOKUP(TableRBRanks31[[#This Row],[Player]],RB!B:O,8,FALSE)),"")</f>
        <v>28.612915253999997</v>
      </c>
      <c r="Y50" s="100">
        <f>IFERROR((VLOOKUP(TableRBRanks31[[#This Row],[Player]],RB!B:O,9,FALSE)),"")</f>
        <v>220.70434522354418</v>
      </c>
      <c r="Z50" s="100">
        <f>IFERROR((VLOOKUP(TableRBRanks31[[#This Row],[Player]],RB!B:O,10,FALSE)),"")</f>
        <v>1.3161941016839998</v>
      </c>
      <c r="AA50" s="95">
        <f>IFERROR((IFERROR(INDEX(TableRBCalcPts[Custom],MATCH(TableRBRanks31[[#This Row],[RK]],TableRBCalcPts[RK],0)),"")),"")</f>
        <v>91.113392963644444</v>
      </c>
      <c r="AB5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0" s="145">
        <v>49</v>
      </c>
      <c r="AE50" s="145" t="str">
        <f>IFERROR(INDEX(TableWRCalcPts[PLAYER],MATCH(TableWRRanks32[[#This Row],[RK]],TableWRCalcPts[RK],0)),"")</f>
        <v>Xavier Worthy</v>
      </c>
      <c r="AF50" s="145" t="str">
        <f>IFERROR(INDEX(TableWRCalcPts[TM],MATCH(TableWRRanks32[[#This Row],[Player]],TableWRCalcPts[PLAYER],0)),"")</f>
        <v>KC</v>
      </c>
      <c r="AG50" s="145">
        <f>IFERROR(INDEX(TableWRCalcPts[BYE],MATCH(TableWRRanks32[[#This Row],[Player]],TableWRCalcPts[PLAYER],0)),"")</f>
        <v>5</v>
      </c>
      <c r="AH50" s="146">
        <f>IFERROR((VLOOKUP(TableWRRanks32[[#This Row],[Player]],WR!B:O,4,FALSE)),"")</f>
        <v>54.82748582903664</v>
      </c>
      <c r="AI50" s="146">
        <f>IFERROR((VLOOKUP(TableWRRanks32[[#This Row],[Player]],WR!B:O,5,FALSE)),"")</f>
        <v>0.42276162822252378</v>
      </c>
      <c r="AJ50" s="146">
        <f>IFERROR((VLOOKUP(TableWRRanks32[[#This Row],[Player]],WR!B:O,6,FALSE)),"")</f>
        <v>97.774575499999997</v>
      </c>
      <c r="AK50" s="146">
        <f>IFERROR((VLOOKUP(TableWRRanks32[[#This Row],[Player]],WR!B:O,7,FALSE)),"")</f>
        <v>57.323544316701565</v>
      </c>
      <c r="AL50" s="146">
        <f>IFERROR((VLOOKUP(TableWRRanks32[[#This Row],[Player]],WR!B:O,8,FALSE)),"")</f>
        <v>736.86230440193879</v>
      </c>
      <c r="AM50" s="146">
        <f>IFERROR((VLOOKUP(TableWRRanks32[[#This Row],[Player]],WR!B:O,9,FALSE)),"")</f>
        <v>5.2737660771365436</v>
      </c>
      <c r="AN50" s="147">
        <f>IFERROR((IFERROR(INDEX(TableWRCalcPts[Custom],MATCH(TableWRRanks32[[#This Row],[RK]],TableWRCalcPts[RK],0)),"")),"")</f>
        <v>142.00991741360272</v>
      </c>
      <c r="AO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9.7181368130849553</v>
      </c>
      <c r="AQ50" s="145">
        <v>49</v>
      </c>
      <c r="AR50" s="145" t="str">
        <f>IFERROR(INDEX(TableTECalcPts[PLAYER],MATCH(TableTERanks33[[#This Row],[RK]],TableTECalcPts[RK],0)),"")</f>
        <v>Eli Stowers</v>
      </c>
      <c r="AS50" s="145" t="str">
        <f>IFERROR(INDEX(TableTECalcPts[TM],MATCH(TableTERanks33[[#This Row],[Player]],TableTECalcPts[PLAYER],0)),"")</f>
        <v>PHI</v>
      </c>
      <c r="AT50" s="145">
        <f>IFERROR(INDEX(TableTECalcPts[BYE],MATCH(TableTERanks33[[#This Row],[Player]],TableTECalcPts[PLAYER],0)),"")</f>
        <v>10</v>
      </c>
      <c r="AU50" s="146">
        <f>IFERROR((VLOOKUP(TableTERanks33[[#This Row],[Player]],TE!B:O,4,FALSE)),"")</f>
        <v>23.05505664</v>
      </c>
      <c r="AV50" s="146">
        <f>IFERROR((VLOOKUP(TableTERanks33[[#This Row],[Player]],TE!B:O,5,FALSE)),"")</f>
        <v>16.39214527104</v>
      </c>
      <c r="AW50" s="146">
        <f>IFERROR((VLOOKUP(TableTERanks33[[#This Row],[Player]],TE!B:O,6,FALSE)),"")</f>
        <v>168.09825787902821</v>
      </c>
      <c r="AX50" s="146">
        <f>IFERROR((VLOOKUP(TableTERanks33[[#This Row],[Player]],TE!B:O,7,FALSE)),"")</f>
        <v>1.1802344595148799</v>
      </c>
      <c r="AY50" s="147">
        <f>IFERROR((IFERROR(INDEX(TableTECalcPts[Custom],MATCH(TableTERanks33[[#This Row],[RK]],TableTECalcPts[RK],0)),"")),"")</f>
        <v>32.087305180512104</v>
      </c>
      <c r="AZ5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1" spans="1:53" x14ac:dyDescent="0.25">
      <c r="A51" s="145">
        <v>50</v>
      </c>
      <c r="B51" s="145" t="str">
        <f>IFERROR(INDEX(TableQBCalcPts[PLAYER],MATCH(TableQBRanks30[[#This Row],[RK]],TableQBCalcPts[RK],0)),"")</f>
        <v>Sam Howell</v>
      </c>
      <c r="C51" s="145" t="str">
        <f>IFERROR(INDEX(TableQBCalcPts[TM],MATCH(TableQBRanks30[[#This Row],[Player]],TableQBCalcPts[PLAYER],0)),"")</f>
        <v>DAL</v>
      </c>
      <c r="D51" s="145">
        <f>IFERROR(INDEX(TableQBCalcPts[BYE],MATCH(TableQBRanks30[[#This Row],[Player]],TableQBCalcPts[PLAYER],0)),"")</f>
        <v>14</v>
      </c>
      <c r="E51" s="146">
        <f>IFERROR((VLOOKUP(TableQBRanks30[[#This Row],[Player]],QB!B:O,4,FALSE)),"")</f>
        <v>12.30130000000001</v>
      </c>
      <c r="F51" s="146">
        <f>IFERROR((VLOOKUP(TableQBRanks30[[#This Row],[Player]],QB!B:O,5,FALSE)),"")</f>
        <v>7.0581743298761186</v>
      </c>
      <c r="G51" s="146">
        <f>IFERROR((VLOOKUP(TableQBRanks30[[#This Row],[Player]],QB!B:O,6,FALSE)),"")</f>
        <v>75.577273295894912</v>
      </c>
      <c r="H51" s="146">
        <f>IFERROR((VLOOKUP(TableQBRanks30[[#This Row],[Player]],QB!B:O,7,FALSE)),"")</f>
        <v>0.48056544124672268</v>
      </c>
      <c r="I51" s="146">
        <f>IFERROR((VLOOKUP(TableQBRanks30[[#This Row],[Player]],QB!B:O,8,FALSE)),"")</f>
        <v>0.29251809467191825</v>
      </c>
      <c r="J51" s="146">
        <f>IFERROR((VLOOKUP(TableQBRanks30[[#This Row],[Player]],QB!B:O,9,FALSE)),"")</f>
        <v>1.2934089000000002</v>
      </c>
      <c r="K51" s="146">
        <f>IFERROR((VLOOKUP(TableQBRanks30[[#This Row],[Player]],QB!B:O,10,FALSE)),"")</f>
        <v>7.1856050000000007</v>
      </c>
      <c r="L51" s="146">
        <f>IFERROR((VLOOKUP(TableQBRanks30[[#This Row],[Player]],QB!B:O,11,FALSE)),"")</f>
        <v>9.5808066666666677E-2</v>
      </c>
      <c r="M51" s="147">
        <f>IFERROR(INDEX(TableQBCalcPts[Custom],MATCH(TableQBRanks30[[#This Row],[RK]],TableQBCalcPts[RK],0)),"")</f>
        <v>7.6131918176318258</v>
      </c>
      <c r="N5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1" s="58">
        <v>50</v>
      </c>
      <c r="Q51" s="58" t="str">
        <f>IFERROR(INDEX(TableRBCalcPts[PLAYER],MATCH(TableRBRanks31[[#This Row],[RK]],TableRBCalcPts[RK],0)),"")</f>
        <v>Tyrone Tracy</v>
      </c>
      <c r="R51" s="58" t="str">
        <f>IFERROR(INDEX(TableRBCalcPts[TM],MATCH(TableRBRanks31[[#This Row],[Player]],TableRBCalcPts[PLAYER],0)),"")</f>
        <v>NYG</v>
      </c>
      <c r="S51" s="58">
        <f>IFERROR(INDEX(TableRBCalcPts[BYE],MATCH(TableRBRanks31[[#This Row],[Player]],TableRBCalcPts[PLAYER],0)),"")</f>
        <v>8</v>
      </c>
      <c r="T51" s="100">
        <f>IFERROR((VLOOKUP(TableRBRanks31[[#This Row],[Player]],RB!B:O,4,FALSE)),"")</f>
        <v>109.42874431999999</v>
      </c>
      <c r="U51" s="100">
        <f>IFERROR((VLOOKUP(TableRBRanks31[[#This Row],[Player]],RB!B:O,5,FALSE)),"")</f>
        <v>448.65785171199991</v>
      </c>
      <c r="V51" s="100">
        <f>IFERROR((VLOOKUP(TableRBRanks31[[#This Row],[Player]],RB!B:O,6,FALSE)),"")</f>
        <v>3.1734335852799997</v>
      </c>
      <c r="W51" s="100">
        <f>IFERROR((VLOOKUP(TableRBRanks31[[#This Row],[Player]],RB!B:O,7,FALSE)),"")</f>
        <v>22.2488469</v>
      </c>
      <c r="X51" s="100">
        <f>IFERROR((VLOOKUP(TableRBRanks31[[#This Row],[Player]],RB!B:O,8,FALSE)),"")</f>
        <v>17.72104533232174</v>
      </c>
      <c r="Y51" s="100">
        <f>IFERROR((VLOOKUP(TableRBRanks31[[#This Row],[Player]],RB!B:O,9,FALSE)),"")</f>
        <v>127.94594729936296</v>
      </c>
      <c r="Z51" s="100">
        <f>IFERROR((VLOOKUP(TableRBRanks31[[#This Row],[Player]],RB!B:O,10,FALSE)),"")</f>
        <v>0.8103094530391306</v>
      </c>
      <c r="AA51" s="95">
        <f>IFERROR((IFERROR(INDEX(TableRBCalcPts[Custom],MATCH(TableRBRanks31[[#This Row],[RK]],TableRBCalcPts[RK],0)),"")),"")</f>
        <v>90.423360797211956</v>
      </c>
      <c r="AB5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1" s="145">
        <v>50</v>
      </c>
      <c r="AE51" s="145" t="str">
        <f>IFERROR(INDEX(TableWRCalcPts[PLAYER],MATCH(TableWRRanks32[[#This Row],[RK]],TableWRCalcPts[RK],0)),"")</f>
        <v>Jakobi Meyers</v>
      </c>
      <c r="AF51" s="145" t="str">
        <f>IFERROR(INDEX(TableWRCalcPts[TM],MATCH(TableWRRanks32[[#This Row],[Player]],TableWRCalcPts[PLAYER],0)),"")</f>
        <v>JAX</v>
      </c>
      <c r="AG51" s="145">
        <f>IFERROR(INDEX(TableWRCalcPts[BYE],MATCH(TableWRRanks32[[#This Row],[Player]],TableWRCalcPts[PLAYER],0)),"")</f>
        <v>7</v>
      </c>
      <c r="AH51" s="146">
        <f>IFERROR((VLOOKUP(TableWRRanks32[[#This Row],[Player]],WR!B:O,4,FALSE)),"")</f>
        <v>10.894215331920902</v>
      </c>
      <c r="AI51" s="146">
        <f>IFERROR((VLOOKUP(TableWRRanks32[[#This Row],[Player]],WR!B:O,5,FALSE)),"")</f>
        <v>3.018206214689265E-2</v>
      </c>
      <c r="AJ51" s="146">
        <f>IFERROR((VLOOKUP(TableWRRanks32[[#This Row],[Player]],WR!B:O,6,FALSE)),"")</f>
        <v>102.97985039999999</v>
      </c>
      <c r="AK51" s="146">
        <f>IFERROR((VLOOKUP(TableWRRanks32[[#This Row],[Player]],WR!B:O,7,FALSE)),"")</f>
        <v>65.495184854399994</v>
      </c>
      <c r="AL51" s="146">
        <f>IFERROR((VLOOKUP(TableWRRanks32[[#This Row],[Player]],WR!B:O,8,FALSE)),"")</f>
        <v>740.75054070326394</v>
      </c>
      <c r="AM51" s="146">
        <f>IFERROR((VLOOKUP(TableWRRanks32[[#This Row],[Player]],WR!B:O,9,FALSE)),"")</f>
        <v>4.9121388640799992</v>
      </c>
      <c r="AN51" s="147">
        <f>IFERROR((IFERROR(INDEX(TableWRCalcPts[Custom],MATCH(TableWRRanks32[[#This Row],[RK]],TableWRCalcPts[RK],0)),"")),"")</f>
        <v>137.56599358807983</v>
      </c>
      <c r="AO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8.8832204564839774</v>
      </c>
      <c r="AQ51" s="145">
        <v>50</v>
      </c>
      <c r="AR51" s="145" t="str">
        <f>IFERROR(INDEX(TableTECalcPts[PLAYER],MATCH(TableTERanks33[[#This Row],[RK]],TableTECalcPts[RK],0)),"")</f>
        <v>Erick All</v>
      </c>
      <c r="AS51" s="145" t="str">
        <f>IFERROR(INDEX(TableTECalcPts[TM],MATCH(TableTERanks33[[#This Row],[Player]],TableTECalcPts[PLAYER],0)),"")</f>
        <v>CIN</v>
      </c>
      <c r="AT51" s="145">
        <f>IFERROR(INDEX(TableTECalcPts[BYE],MATCH(TableTERanks33[[#This Row],[Player]],TableTECalcPts[PLAYER],0)),"")</f>
        <v>6</v>
      </c>
      <c r="AU51" s="146">
        <f>IFERROR((VLOOKUP(TableTERanks33[[#This Row],[Player]],TE!B:O,4,FALSE)),"")</f>
        <v>21.512225000000001</v>
      </c>
      <c r="AV51" s="146">
        <f>IFERROR((VLOOKUP(TableTERanks33[[#This Row],[Player]],TE!B:O,5,FALSE)),"")</f>
        <v>17.265258896052632</v>
      </c>
      <c r="AW51" s="146">
        <f>IFERROR((VLOOKUP(TableTERanks33[[#This Row],[Player]],TE!B:O,6,FALSE)),"")</f>
        <v>164.53791727938159</v>
      </c>
      <c r="AX51" s="146">
        <f>IFERROR((VLOOKUP(TableTERanks33[[#This Row],[Player]],TE!B:O,7,FALSE)),"")</f>
        <v>0.93597049122807019</v>
      </c>
      <c r="AY51" s="147">
        <f>IFERROR((IFERROR(INDEX(TableTECalcPts[Custom],MATCH(TableTERanks33[[#This Row],[RK]],TableTECalcPts[RK],0)),"")),"")</f>
        <v>30.702244123332896</v>
      </c>
      <c r="AZ5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2" spans="1:53" x14ac:dyDescent="0.25">
      <c r="A52" s="145">
        <v>51</v>
      </c>
      <c r="B52" s="145" t="str">
        <f>IFERROR(INDEX(TableQBCalcPts[PLAYER],MATCH(TableQBRanks30[[#This Row],[RK]],TableQBCalcPts[RK],0)),"")</f>
        <v>Teddy Bridgewater</v>
      </c>
      <c r="C52" s="145" t="str">
        <f>IFERROR(INDEX(TableQBCalcPts[TM],MATCH(TableQBRanks30[[#This Row],[Player]],TableQBCalcPts[PLAYER],0)),"")</f>
        <v>DET</v>
      </c>
      <c r="D52" s="145">
        <f>IFERROR(INDEX(TableQBCalcPts[BYE],MATCH(TableQBRanks30[[#This Row],[Player]],TableQBCalcPts[PLAYER],0)),"")</f>
        <v>6</v>
      </c>
      <c r="E52" s="146">
        <f>IFERROR((VLOOKUP(TableQBRanks30[[#This Row],[Player]],QB!B:O,4,FALSE)),"")</f>
        <v>11.947200000000009</v>
      </c>
      <c r="F52" s="146">
        <f>IFERROR((VLOOKUP(TableQBRanks30[[#This Row],[Player]],QB!B:O,5,FALSE)),"")</f>
        <v>7.6796676764691911</v>
      </c>
      <c r="G52" s="146">
        <f>IFERROR((VLOOKUP(TableQBRanks30[[#This Row],[Player]],QB!B:O,6,FALSE)),"")</f>
        <v>80.713307279691193</v>
      </c>
      <c r="H52" s="146">
        <f>IFERROR((VLOOKUP(TableQBRanks30[[#This Row],[Player]],QB!B:O,7,FALSE)),"")</f>
        <v>0.40270053095657998</v>
      </c>
      <c r="I52" s="146">
        <f>IFERROR((VLOOKUP(TableQBRanks30[[#This Row],[Player]],QB!B:O,8,FALSE)),"")</f>
        <v>0.19770591678185043</v>
      </c>
      <c r="J52" s="146">
        <f>IFERROR((VLOOKUP(TableQBRanks30[[#This Row],[Player]],QB!B:O,9,FALSE)),"")</f>
        <v>2.2081360000000001</v>
      </c>
      <c r="K52" s="146">
        <f>IFERROR((VLOOKUP(TableQBRanks30[[#This Row],[Player]],QB!B:O,10,FALSE)),"")</f>
        <v>7.8353212903225806</v>
      </c>
      <c r="L52" s="146">
        <f>IFERROR((VLOOKUP(TableQBRanks30[[#This Row],[Player]],QB!B:O,11,FALSE)),"")</f>
        <v>7.1230193548387097E-2</v>
      </c>
      <c r="M52" s="147">
        <f>IFERROR(INDEX(TableQBCalcPts[Custom],MATCH(TableQBRanks30[[#This Row],[RK]],TableQBCalcPts[RK],0)),"")</f>
        <v>7.4259096181147779</v>
      </c>
      <c r="N5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2" s="58">
        <v>51</v>
      </c>
      <c r="Q52" s="58" t="str">
        <f>IFERROR(INDEX(TableRBCalcPts[PLAYER],MATCH(TableRBRanks31[[#This Row],[RK]],TableRBCalcPts[RK],0)),"")</f>
        <v>Samaje Perine</v>
      </c>
      <c r="R52" s="58" t="str">
        <f>IFERROR(INDEX(TableRBCalcPts[TM],MATCH(TableRBRanks31[[#This Row],[Player]],TableRBCalcPts[PLAYER],0)),"")</f>
        <v>CIN</v>
      </c>
      <c r="S52" s="58">
        <f>IFERROR(INDEX(TableRBCalcPts[BYE],MATCH(TableRBRanks31[[#This Row],[Player]],TableRBCalcPts[PLAYER],0)),"")</f>
        <v>6</v>
      </c>
      <c r="T52" s="100">
        <f>IFERROR((VLOOKUP(TableRBRanks31[[#This Row],[Player]],RB!B:O,4,FALSE)),"")</f>
        <v>86.934697499999999</v>
      </c>
      <c r="U52" s="100">
        <f>IFERROR((VLOOKUP(TableRBRanks31[[#This Row],[Player]],RB!B:O,5,FALSE)),"")</f>
        <v>376.42724017500001</v>
      </c>
      <c r="V52" s="100">
        <f>IFERROR((VLOOKUP(TableRBRanks31[[#This Row],[Player]],RB!B:O,6,FALSE)),"")</f>
        <v>2.640391754401255</v>
      </c>
      <c r="W52" s="100">
        <f>IFERROR((VLOOKUP(TableRBRanks31[[#This Row],[Player]],RB!B:O,7,FALSE)),"")</f>
        <v>26.573925000000003</v>
      </c>
      <c r="X52" s="100">
        <f>IFERROR((VLOOKUP(TableRBRanks31[[#This Row],[Player]],RB!B:O,8,FALSE)),"")</f>
        <v>22.322097000000003</v>
      </c>
      <c r="Y52" s="100">
        <f>IFERROR((VLOOKUP(TableRBRanks31[[#This Row],[Player]],RB!B:O,9,FALSE)),"")</f>
        <v>149.47821969471161</v>
      </c>
      <c r="Z52" s="100">
        <f>IFERROR((VLOOKUP(TableRBRanks31[[#This Row],[Player]],RB!B:O,10,FALSE)),"")</f>
        <v>1.0029674114089127</v>
      </c>
      <c r="AA52" s="95">
        <f>IFERROR((IFERROR(INDEX(TableRBCalcPts[Custom],MATCH(TableRBRanks31[[#This Row],[RK]],TableRBCalcPts[RK],0)),"")),"")</f>
        <v>85.611749481832177</v>
      </c>
      <c r="AB5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2" s="145">
        <v>51</v>
      </c>
      <c r="AE52" s="145" t="str">
        <f>IFERROR(INDEX(TableWRCalcPts[PLAYER],MATCH(TableWRRanks32[[#This Row],[RK]],TableWRCalcPts[RK],0)),"")</f>
        <v>Jalen Coker</v>
      </c>
      <c r="AF52" s="145" t="str">
        <f>IFERROR(INDEX(TableWRCalcPts[TM],MATCH(TableWRRanks32[[#This Row],[Player]],TableWRCalcPts[PLAYER],0)),"")</f>
        <v>CAR</v>
      </c>
      <c r="AG52" s="145">
        <f>IFERROR(INDEX(TableWRCalcPts[BYE],MATCH(TableWRRanks32[[#This Row],[Player]],TableWRCalcPts[PLAYER],0)),"")</f>
        <v>5</v>
      </c>
      <c r="AH52" s="146">
        <f>IFERROR((VLOOKUP(TableWRRanks32[[#This Row],[Player]],WR!B:O,4,FALSE)),"")</f>
        <v>0</v>
      </c>
      <c r="AI52" s="146">
        <f>IFERROR((VLOOKUP(TableWRRanks32[[#This Row],[Player]],WR!B:O,5,FALSE)),"")</f>
        <v>0</v>
      </c>
      <c r="AJ52" s="146">
        <f>IFERROR((VLOOKUP(TableWRRanks32[[#This Row],[Player]],WR!B:O,6,FALSE)),"")</f>
        <v>99.615284999999986</v>
      </c>
      <c r="AK52" s="146">
        <f>IFERROR((VLOOKUP(TableWRRanks32[[#This Row],[Player]],WR!B:O,7,FALSE)),"")</f>
        <v>62.558398979999993</v>
      </c>
      <c r="AL52" s="146">
        <f>IFERROR((VLOOKUP(TableWRRanks32[[#This Row],[Player]],WR!B:O,8,FALSE)),"")</f>
        <v>770.09389144379998</v>
      </c>
      <c r="AM52" s="146">
        <f>IFERROR((VLOOKUP(TableWRRanks32[[#This Row],[Player]],WR!B:O,9,FALSE)),"")</f>
        <v>4.629321524519999</v>
      </c>
      <c r="AN52" s="147">
        <f>IFERROR((IFERROR(INDEX(TableWRCalcPts[Custom],MATCH(TableWRRanks32[[#This Row],[RK]],TableWRCalcPts[RK],0)),"")),"")</f>
        <v>136.0645177815</v>
      </c>
      <c r="AO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8.601125902397726</v>
      </c>
      <c r="AQ52" s="145">
        <v>51</v>
      </c>
      <c r="AR52" s="145" t="str">
        <f>IFERROR(INDEX(TableTECalcPts[PLAYER],MATCH(TableTERanks33[[#This Row],[RK]],TableTECalcPts[RK],0)),"")</f>
        <v>Luke Musgrave</v>
      </c>
      <c r="AS52" s="145" t="str">
        <f>IFERROR(INDEX(TableTECalcPts[TM],MATCH(TableTERanks33[[#This Row],[Player]],TableTECalcPts[PLAYER],0)),"")</f>
        <v>GB</v>
      </c>
      <c r="AT52" s="145">
        <f>IFERROR(INDEX(TableTECalcPts[BYE],MATCH(TableTERanks33[[#This Row],[Player]],TableTECalcPts[PLAYER],0)),"")</f>
        <v>11</v>
      </c>
      <c r="AU52" s="146">
        <f>IFERROR((VLOOKUP(TableTERanks33[[#This Row],[Player]],TE!B:O,4,FALSE)),"")</f>
        <v>20.871104321608037</v>
      </c>
      <c r="AV52" s="146">
        <f>IFERROR((VLOOKUP(TableTERanks33[[#This Row],[Player]],TE!B:O,5,FALSE)),"")</f>
        <v>16.279461370854268</v>
      </c>
      <c r="AW52" s="146">
        <f>IFERROR((VLOOKUP(TableTERanks33[[#This Row],[Player]],TE!B:O,6,FALSE)),"")</f>
        <v>157.70550039039088</v>
      </c>
      <c r="AX52" s="146">
        <f>IFERROR((VLOOKUP(TableTERanks33[[#This Row],[Player]],TE!B:O,7,FALSE)),"")</f>
        <v>0.97676768225125599</v>
      </c>
      <c r="AY52" s="147">
        <f>IFERROR((IFERROR(INDEX(TableTECalcPts[Custom],MATCH(TableTERanks33[[#This Row],[RK]],TableTECalcPts[RK],0)),"")),"")</f>
        <v>29.770886817973757</v>
      </c>
      <c r="AZ5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3" spans="1:53" x14ac:dyDescent="0.25">
      <c r="A53" s="145">
        <v>52</v>
      </c>
      <c r="B53" s="145" t="str">
        <f>IFERROR(INDEX(TableQBCalcPts[PLAYER],MATCH(TableQBRanks30[[#This Row],[RK]],TableQBCalcPts[RK],0)),"")</f>
        <v>Quinn Ewers</v>
      </c>
      <c r="C53" s="145" t="str">
        <f>IFERROR(INDEX(TableQBCalcPts[TM],MATCH(TableQBRanks30[[#This Row],[Player]],TableQBCalcPts[PLAYER],0)),"")</f>
        <v>MIA</v>
      </c>
      <c r="D53" s="145">
        <f>IFERROR(INDEX(TableQBCalcPts[BYE],MATCH(TableQBRanks30[[#This Row],[Player]],TableQBCalcPts[PLAYER],0)),"")</f>
        <v>6</v>
      </c>
      <c r="E53" s="146">
        <f>IFERROR((VLOOKUP(TableQBRanks30[[#This Row],[Player]],QB!B:O,4,FALSE)),"")</f>
        <v>15.074910000000013</v>
      </c>
      <c r="F53" s="146">
        <f>IFERROR((VLOOKUP(TableQBRanks30[[#This Row],[Player]],QB!B:O,5,FALSE)),"")</f>
        <v>8.6753177213731139</v>
      </c>
      <c r="G53" s="146">
        <f>IFERROR((VLOOKUP(TableQBRanks30[[#This Row],[Player]],QB!B:O,6,FALSE)),"")</f>
        <v>85.104866846670248</v>
      </c>
      <c r="H53" s="146">
        <f>IFERROR((VLOOKUP(TableQBRanks30[[#This Row],[Player]],QB!B:O,7,FALSE)),"")</f>
        <v>0.40773993290453636</v>
      </c>
      <c r="I53" s="146">
        <f>IFERROR((VLOOKUP(TableQBRanks30[[#This Row],[Player]],QB!B:O,8,FALSE)),"")</f>
        <v>0.2853933774923359</v>
      </c>
      <c r="J53" s="146">
        <f>IFERROR((VLOOKUP(TableQBRanks30[[#This Row],[Player]],QB!B:O,9,FALSE)),"")</f>
        <v>1.2599934743934682</v>
      </c>
      <c r="K53" s="146">
        <f>IFERROR((VLOOKUP(TableQBRanks30[[#This Row],[Player]],QB!B:O,10,FALSE)),"")</f>
        <v>4.1327785960105752</v>
      </c>
      <c r="L53" s="146">
        <f>IFERROR((VLOOKUP(TableQBRanks30[[#This Row],[Player]],QB!B:O,11,FALSE)),"")</f>
        <v>5.0399738975738732E-2</v>
      </c>
      <c r="M53" s="147">
        <f>IFERROR(INDEX(TableQBCalcPts[Custom],MATCH(TableQBRanks30[[#This Row],[RK]],TableQBCalcPts[RK],0)),"")</f>
        <v>7.1484489593944947</v>
      </c>
      <c r="N5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3" s="58">
        <v>52</v>
      </c>
      <c r="Q53" s="58" t="str">
        <f>IFERROR(INDEX(TableRBCalcPts[PLAYER],MATCH(TableRBRanks31[[#This Row],[RK]],TableRBCalcPts[RK],0)),"")</f>
        <v>Brian Robinson</v>
      </c>
      <c r="R53" s="58" t="str">
        <f>IFERROR(INDEX(TableRBCalcPts[TM],MATCH(TableRBRanks31[[#This Row],[Player]],TableRBCalcPts[PLAYER],0)),"")</f>
        <v>ATL</v>
      </c>
      <c r="S53" s="58">
        <f>IFERROR(INDEX(TableRBCalcPts[BYE],MATCH(TableRBRanks31[[#This Row],[Player]],TableRBCalcPts[PLAYER],0)),"")</f>
        <v>11</v>
      </c>
      <c r="T53" s="100">
        <f>IFERROR((VLOOKUP(TableRBRanks31[[#This Row],[Player]],RB!B:O,4,FALSE)),"")</f>
        <v>110.50558988000002</v>
      </c>
      <c r="U53" s="100">
        <f>IFERROR((VLOOKUP(TableRBRanks31[[#This Row],[Player]],RB!B:O,5,FALSE)),"")</f>
        <v>471.85886878760004</v>
      </c>
      <c r="V53" s="100">
        <f>IFERROR((VLOOKUP(TableRBRanks31[[#This Row],[Player]],RB!B:O,6,FALSE)),"")</f>
        <v>4.5307291850800011</v>
      </c>
      <c r="W53" s="100">
        <f>IFERROR((VLOOKUP(TableRBRanks31[[#This Row],[Player]],RB!B:O,7,FALSE)),"")</f>
        <v>10.785486040000002</v>
      </c>
      <c r="X53" s="100">
        <f>IFERROR((VLOOKUP(TableRBRanks31[[#This Row],[Player]],RB!B:O,8,FALSE)),"")</f>
        <v>8.0891145300000016</v>
      </c>
      <c r="Y53" s="100">
        <f>IFERROR((VLOOKUP(TableRBRanks31[[#This Row],[Player]],RB!B:O,9,FALSE)),"")</f>
        <v>54.636638549268255</v>
      </c>
      <c r="Z53" s="100">
        <f>IFERROR((VLOOKUP(TableRBRanks31[[#This Row],[Player]],RB!B:O,10,FALSE)),"")</f>
        <v>0.24267343590000004</v>
      </c>
      <c r="AA53" s="95">
        <f>IFERROR((IFERROR(INDEX(TableRBCalcPts[Custom],MATCH(TableRBRanks31[[#This Row],[RK]],TableRBCalcPts[RK],0)),"")),"")</f>
        <v>85.334523724566836</v>
      </c>
      <c r="AB5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3" s="145">
        <v>52</v>
      </c>
      <c r="AE53" s="145" t="str">
        <f>IFERROR(INDEX(TableWRCalcPts[PLAYER],MATCH(TableWRRanks32[[#This Row],[RK]],TableWRCalcPts[RK],0)),"")</f>
        <v>Romeo Doubs</v>
      </c>
      <c r="AF53" s="145" t="str">
        <f>IFERROR(INDEX(TableWRCalcPts[TM],MATCH(TableWRRanks32[[#This Row],[Player]],TableWRCalcPts[PLAYER],0)),"")</f>
        <v>NE</v>
      </c>
      <c r="AG53" s="145">
        <f>IFERROR(INDEX(TableWRCalcPts[BYE],MATCH(TableWRRanks32[[#This Row],[Player]],TableWRCalcPts[PLAYER],0)),"")</f>
        <v>11</v>
      </c>
      <c r="AH53" s="146">
        <f>IFERROR((VLOOKUP(TableWRRanks32[[#This Row],[Player]],WR!B:O,4,FALSE)),"")</f>
        <v>0</v>
      </c>
      <c r="AI53" s="146">
        <f>IFERROR((VLOOKUP(TableWRRanks32[[#This Row],[Player]],WR!B:O,5,FALSE)),"")</f>
        <v>0</v>
      </c>
      <c r="AJ53" s="146">
        <f>IFERROR((VLOOKUP(TableWRRanks32[[#This Row],[Player]],WR!B:O,6,FALSE)),"")</f>
        <v>84.533868999999967</v>
      </c>
      <c r="AK53" s="146">
        <f>IFERROR((VLOOKUP(TableWRRanks32[[#This Row],[Player]],WR!B:O,7,FALSE)),"")</f>
        <v>53.002735862999977</v>
      </c>
      <c r="AL53" s="146">
        <f>IFERROR((VLOOKUP(TableWRRanks32[[#This Row],[Player]],WR!B:O,8,FALSE)),"")</f>
        <v>694.33583980529966</v>
      </c>
      <c r="AM53" s="146">
        <f>IFERROR((VLOOKUP(TableWRRanks32[[#This Row],[Player]],WR!B:O,9,FALSE)),"")</f>
        <v>5.9363064166559978</v>
      </c>
      <c r="AN53" s="147">
        <f>IFERROR((IFERROR(INDEX(TableWRCalcPts[Custom],MATCH(TableWRRanks32[[#This Row],[RK]],TableWRCalcPts[RK],0)),"")),"")</f>
        <v>131.55279041196593</v>
      </c>
      <c r="AO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7.7534707387980042</v>
      </c>
      <c r="AQ53" s="145">
        <v>52</v>
      </c>
      <c r="AR53" s="145" t="str">
        <f>IFERROR(INDEX(TableTECalcPts[PLAYER],MATCH(TableTERanks33[[#This Row],[RK]],TableTECalcPts[RK],0)),"")</f>
        <v>Mitchell Evans</v>
      </c>
      <c r="AS53" s="145" t="str">
        <f>IFERROR(INDEX(TableTECalcPts[TM],MATCH(TableTERanks33[[#This Row],[Player]],TableTECalcPts[PLAYER],0)),"")</f>
        <v>CAR</v>
      </c>
      <c r="AT53" s="145">
        <f>IFERROR(INDEX(TableTECalcPts[BYE],MATCH(TableTERanks33[[#This Row],[Player]],TableTECalcPts[PLAYER],0)),"")</f>
        <v>5</v>
      </c>
      <c r="AU53" s="146">
        <f>IFERROR((VLOOKUP(TableTERanks33[[#This Row],[Player]],TE!B:O,4,FALSE)),"")</f>
        <v>23.153822999999996</v>
      </c>
      <c r="AV53" s="146">
        <f>IFERROR((VLOOKUP(TableTERanks33[[#This Row],[Player]],TE!B:O,5,FALSE)),"")</f>
        <v>16.855983143999996</v>
      </c>
      <c r="AW53" s="146">
        <f>IFERROR((VLOOKUP(TableTERanks33[[#This Row],[Player]],TE!B:O,6,FALSE)),"")</f>
        <v>136.53346346639995</v>
      </c>
      <c r="AX53" s="146">
        <f>IFERROR((VLOOKUP(TableTERanks33[[#This Row],[Player]],TE!B:O,7,FALSE)),"")</f>
        <v>1.1633192061497322</v>
      </c>
      <c r="AY53" s="147">
        <f>IFERROR((IFERROR(INDEX(TableTECalcPts[Custom],MATCH(TableTERanks33[[#This Row],[RK]],TableTECalcPts[RK],0)),"")),"")</f>
        <v>29.061253155538388</v>
      </c>
      <c r="AZ5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4" spans="1:53" x14ac:dyDescent="0.25">
      <c r="A54" s="145">
        <v>53</v>
      </c>
      <c r="B54" s="145" t="str">
        <f>IFERROR(INDEX(TableQBCalcPts[PLAYER],MATCH(TableQBRanks30[[#This Row],[RK]],TableQBCalcPts[RK],0)),"")</f>
        <v>Mitchell Trubisky</v>
      </c>
      <c r="C54" s="145" t="str">
        <f>IFERROR(INDEX(TableQBCalcPts[TM],MATCH(TableQBRanks30[[#This Row],[Player]],TableQBCalcPts[PLAYER],0)),"")</f>
        <v>TEN</v>
      </c>
      <c r="D54" s="145">
        <f>IFERROR(INDEX(TableQBCalcPts[BYE],MATCH(TableQBRanks30[[#This Row],[Player]],TableQBCalcPts[PLAYER],0)),"")</f>
        <v>9</v>
      </c>
      <c r="E54" s="146">
        <f>IFERROR((VLOOKUP(TableQBRanks30[[#This Row],[Player]],QB!B:O,4,FALSE)),"")</f>
        <v>11.208960000000003</v>
      </c>
      <c r="F54" s="146">
        <f>IFERROR((VLOOKUP(TableQBRanks30[[#This Row],[Player]],QB!B:O,5,FALSE)),"")</f>
        <v>7.2528564705882372</v>
      </c>
      <c r="G54" s="146">
        <f>IFERROR((VLOOKUP(TableQBRanks30[[#This Row],[Player]],QB!B:O,6,FALSE)),"")</f>
        <v>75.792350117647075</v>
      </c>
      <c r="H54" s="146">
        <f>IFERROR((VLOOKUP(TableQBRanks30[[#This Row],[Player]],QB!B:O,7,FALSE)),"")</f>
        <v>0.37714853647058832</v>
      </c>
      <c r="I54" s="146">
        <f>IFERROR((VLOOKUP(TableQBRanks30[[#This Row],[Player]],QB!B:O,8,FALSE)),"")</f>
        <v>0.32967529411764712</v>
      </c>
      <c r="J54" s="146">
        <f>IFERROR((VLOOKUP(TableQBRanks30[[#This Row],[Player]],QB!B:O,9,FALSE)),"")</f>
        <v>2.1930047999999998</v>
      </c>
      <c r="K54" s="146">
        <f>IFERROR((VLOOKUP(TableQBRanks30[[#This Row],[Player]],QB!B:O,10,FALSE)),"")</f>
        <v>8.2237679999999997</v>
      </c>
      <c r="L54" s="146">
        <f>IFERROR((VLOOKUP(TableQBRanks30[[#This Row],[Player]],QB!B:O,11,FALSE)),"")</f>
        <v>6.09168E-2</v>
      </c>
      <c r="M54" s="147">
        <f>IFERROR(INDEX(TableQBCalcPts[Custom],MATCH(TableQBRanks30[[#This Row],[RK]],TableQBCalcPts[RK],0)),"")</f>
        <v>6.8780731764705898</v>
      </c>
      <c r="N5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4" s="58">
        <v>53</v>
      </c>
      <c r="Q54" s="58" t="str">
        <f>IFERROR(INDEX(TableRBCalcPts[PLAYER],MATCH(TableRBRanks31[[#This Row],[RK]],TableRBCalcPts[RK],0)),"")</f>
        <v>Tyler Allgeier</v>
      </c>
      <c r="R54" s="58" t="str">
        <f>IFERROR(INDEX(TableRBCalcPts[TM],MATCH(TableRBRanks31[[#This Row],[Player]],TableRBCalcPts[PLAYER],0)),"")</f>
        <v>ARI</v>
      </c>
      <c r="S54" s="58">
        <f>IFERROR(INDEX(TableRBCalcPts[BYE],MATCH(TableRBRanks31[[#This Row],[Player]],TableRBCalcPts[PLAYER],0)),"")</f>
        <v>14</v>
      </c>
      <c r="T54" s="100">
        <f>IFERROR((VLOOKUP(TableRBRanks31[[#This Row],[Player]],RB!B:O,4,FALSE)),"")</f>
        <v>109.63820559999999</v>
      </c>
      <c r="U54" s="100">
        <f>IFERROR((VLOOKUP(TableRBRanks31[[#This Row],[Player]],RB!B:O,5,FALSE)),"")</f>
        <v>451.43669207096968</v>
      </c>
      <c r="V54" s="100">
        <f>IFERROR((VLOOKUP(TableRBRanks31[[#This Row],[Player]],RB!B:O,6,FALSE)),"")</f>
        <v>2.9602315511999997</v>
      </c>
      <c r="W54" s="100">
        <f>IFERROR((VLOOKUP(TableRBRanks31[[#This Row],[Player]],RB!B:O,7,FALSE)),"")</f>
        <v>16.678032000000002</v>
      </c>
      <c r="X54" s="100">
        <f>IFERROR((VLOOKUP(TableRBRanks31[[#This Row],[Player]],RB!B:O,8,FALSE)),"")</f>
        <v>13.025542992000002</v>
      </c>
      <c r="Y54" s="100">
        <f>IFERROR((VLOOKUP(TableRBRanks31[[#This Row],[Player]],RB!B:O,9,FALSE)),"")</f>
        <v>84.666029448000018</v>
      </c>
      <c r="Z54" s="100">
        <f>IFERROR((VLOOKUP(TableRBRanks31[[#This Row],[Player]],RB!B:O,10,FALSE)),"")</f>
        <v>0.39076628976000005</v>
      </c>
      <c r="AA54" s="95">
        <f>IFERROR((IFERROR(INDEX(TableRBCalcPts[Custom],MATCH(TableRBRanks31[[#This Row],[RK]],TableRBCalcPts[RK],0)),"")),"")</f>
        <v>80.229030693656966</v>
      </c>
      <c r="AB5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4" s="145">
        <v>53</v>
      </c>
      <c r="AE54" s="145" t="str">
        <f>IFERROR(INDEX(TableWRCalcPts[PLAYER],MATCH(TableWRRanks32[[#This Row],[RK]],TableWRCalcPts[RK],0)),"")</f>
        <v>Omar Cooper</v>
      </c>
      <c r="AF54" s="145" t="str">
        <f>IFERROR(INDEX(TableWRCalcPts[TM],MATCH(TableWRRanks32[[#This Row],[Player]],TableWRCalcPts[PLAYER],0)),"")</f>
        <v>NYJ</v>
      </c>
      <c r="AG54" s="145">
        <f>IFERROR(INDEX(TableWRCalcPts[BYE],MATCH(TableWRRanks32[[#This Row],[Player]],TableWRCalcPts[PLAYER],0)),"")</f>
        <v>13</v>
      </c>
      <c r="AH54" s="146">
        <f>IFERROR((VLOOKUP(TableWRRanks32[[#This Row],[Player]],WR!B:O,4,FALSE)),"")</f>
        <v>9.185115333333334</v>
      </c>
      <c r="AI54" s="146">
        <f>IFERROR((VLOOKUP(TableWRRanks32[[#This Row],[Player]],WR!B:O,5,FALSE)),"")</f>
        <v>3.5327366666666672E-2</v>
      </c>
      <c r="AJ54" s="146">
        <f>IFERROR((VLOOKUP(TableWRRanks32[[#This Row],[Player]],WR!B:O,6,FALSE)),"")</f>
        <v>105.09349747491423</v>
      </c>
      <c r="AK54" s="146">
        <f>IFERROR((VLOOKUP(TableWRRanks32[[#This Row],[Player]],WR!B:O,7,FALSE)),"")</f>
        <v>62.478995464132538</v>
      </c>
      <c r="AL54" s="146">
        <f>IFERROR((VLOOKUP(TableWRRanks32[[#This Row],[Player]],WR!B:O,8,FALSE)),"")</f>
        <v>724.7563473839374</v>
      </c>
      <c r="AM54" s="146">
        <f>IFERROR((VLOOKUP(TableWRRanks32[[#This Row],[Player]],WR!B:O,9,FALSE)),"")</f>
        <v>4.373529682489278</v>
      </c>
      <c r="AN54" s="147">
        <f>IFERROR((IFERROR(INDEX(TableWRCalcPts[Custom],MATCH(TableWRRanks32[[#This Row],[RK]],TableWRCalcPts[RK],0)),"")),"")</f>
        <v>131.08678629872901</v>
      </c>
      <c r="AO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7.6659187303341643</v>
      </c>
      <c r="AQ54" s="145">
        <v>53</v>
      </c>
      <c r="AR54" s="145" t="str">
        <f>IFERROR(INDEX(TableTECalcPts[PLAYER],MATCH(TableTERanks33[[#This Row],[RK]],TableTECalcPts[RK],0)),"")</f>
        <v>Daniel Bellinger</v>
      </c>
      <c r="AS54" s="145" t="str">
        <f>IFERROR(INDEX(TableTECalcPts[TM],MATCH(TableTERanks33[[#This Row],[Player]],TableTECalcPts[PLAYER],0)),"")</f>
        <v>TEN</v>
      </c>
      <c r="AT54" s="145">
        <f>IFERROR(INDEX(TableTECalcPts[BYE],MATCH(TableTERanks33[[#This Row],[Player]],TableTECalcPts[PLAYER],0)),"")</f>
        <v>9</v>
      </c>
      <c r="AU54" s="146">
        <f>IFERROR((VLOOKUP(TableTERanks33[[#This Row],[Player]],TE!B:O,4,FALSE)),"")</f>
        <v>23.068039680000005</v>
      </c>
      <c r="AV54" s="146">
        <f>IFERROR((VLOOKUP(TableTERanks33[[#This Row],[Player]],TE!B:O,5,FALSE)),"")</f>
        <v>15.335882163476761</v>
      </c>
      <c r="AW54" s="146">
        <f>IFERROR((VLOOKUP(TableTERanks33[[#This Row],[Player]],TE!B:O,6,FALSE)),"")</f>
        <v>146.15095701793351</v>
      </c>
      <c r="AX54" s="146">
        <f>IFERROR((VLOOKUP(TableTERanks33[[#This Row],[Player]],TE!B:O,7,FALSE)),"")</f>
        <v>0.92015292980860564</v>
      </c>
      <c r="AY54" s="147">
        <f>IFERROR((IFERROR(INDEX(TableTECalcPts[Custom],MATCH(TableTERanks33[[#This Row],[RK]],TableTECalcPts[RK],0)),"")),"")</f>
        <v>27.803954362383365</v>
      </c>
      <c r="AZ5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5" spans="1:53" x14ac:dyDescent="0.25">
      <c r="A55" s="145">
        <v>54</v>
      </c>
      <c r="B55" s="145" t="str">
        <f>IFERROR(INDEX(TableQBCalcPts[PLAYER],MATCH(TableQBRanks30[[#This Row],[RK]],TableQBCalcPts[RK],0)),"")</f>
        <v>Mac Jones</v>
      </c>
      <c r="C55" s="145" t="str">
        <f>IFERROR(INDEX(TableQBCalcPts[TM],MATCH(TableQBRanks30[[#This Row],[Player]],TableQBCalcPts[PLAYER],0)),"")</f>
        <v>SF</v>
      </c>
      <c r="D55" s="145">
        <f>IFERROR(INDEX(TableQBCalcPts[BYE],MATCH(TableQBRanks30[[#This Row],[Player]],TableQBCalcPts[PLAYER],0)),"")</f>
        <v>8</v>
      </c>
      <c r="E55" s="146">
        <f>IFERROR((VLOOKUP(TableQBRanks30[[#This Row],[Player]],QB!B:O,4,FALSE)),"")</f>
        <v>10.95584</v>
      </c>
      <c r="F55" s="146">
        <f>IFERROR((VLOOKUP(TableQBRanks30[[#This Row],[Player]],QB!B:O,5,FALSE)),"")</f>
        <v>7.4130051613116148</v>
      </c>
      <c r="G55" s="146">
        <f>IFERROR((VLOOKUP(TableQBRanks30[[#This Row],[Player]],QB!B:O,6,FALSE)),"")</f>
        <v>83.358543801178257</v>
      </c>
      <c r="H55" s="146">
        <f>IFERROR((VLOOKUP(TableQBRanks30[[#This Row],[Player]],QB!B:O,7,FALSE)),"")</f>
        <v>0.52503852269914342</v>
      </c>
      <c r="I55" s="146">
        <f>IFERROR((VLOOKUP(TableQBRanks30[[#This Row],[Player]],QB!B:O,8,FALSE)),"")</f>
        <v>0.35255685925045799</v>
      </c>
      <c r="J55" s="146">
        <f>IFERROR((VLOOKUP(TableQBRanks30[[#This Row],[Player]],QB!B:O,9,FALSE)),"")</f>
        <v>0</v>
      </c>
      <c r="K55" s="146">
        <f>IFERROR((VLOOKUP(TableQBRanks30[[#This Row],[Player]],QB!B:O,10,FALSE)),"")</f>
        <v>0</v>
      </c>
      <c r="L55" s="146">
        <f>IFERROR((VLOOKUP(TableQBRanks30[[#This Row],[Player]],QB!B:O,11,FALSE)),"")</f>
        <v>0</v>
      </c>
      <c r="M55" s="147">
        <f>IFERROR(INDEX(TableQBCalcPts[Custom],MATCH(TableQBRanks30[[#This Row],[RK]],TableQBCalcPts[RK],0)),"")</f>
        <v>6.8733165451226945</v>
      </c>
      <c r="N5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5" s="58">
        <v>54</v>
      </c>
      <c r="Q55" s="58" t="str">
        <f>IFERROR(INDEX(TableRBCalcPts[PLAYER],MATCH(TableRBRanks31[[#This Row],[RK]],TableRBCalcPts[RK],0)),"")</f>
        <v>Keaton Mitchell</v>
      </c>
      <c r="R55" s="58" t="str">
        <f>IFERROR(INDEX(TableRBCalcPts[TM],MATCH(TableRBRanks31[[#This Row],[Player]],TableRBCalcPts[PLAYER],0)),"")</f>
        <v>LAC</v>
      </c>
      <c r="S55" s="58">
        <f>IFERROR(INDEX(TableRBCalcPts[BYE],MATCH(TableRBRanks31[[#This Row],[Player]],TableRBCalcPts[PLAYER],0)),"")</f>
        <v>7</v>
      </c>
      <c r="T55" s="100">
        <f>IFERROR((VLOOKUP(TableRBRanks31[[#This Row],[Player]],RB!B:O,4,FALSE)),"")</f>
        <v>93.00278987999998</v>
      </c>
      <c r="U55" s="100">
        <f>IFERROR((VLOOKUP(TableRBRanks31[[#This Row],[Player]],RB!B:O,5,FALSE)),"")</f>
        <v>408.28224757319987</v>
      </c>
      <c r="V55" s="100">
        <f>IFERROR((VLOOKUP(TableRBRanks31[[#This Row],[Player]],RB!B:O,6,FALSE)),"")</f>
        <v>2.6970809065199997</v>
      </c>
      <c r="W55" s="100">
        <f>IFERROR((VLOOKUP(TableRBRanks31[[#This Row],[Player]],RB!B:O,7,FALSE)),"")</f>
        <v>21.799337559999998</v>
      </c>
      <c r="X55" s="100">
        <f>IFERROR((VLOOKUP(TableRBRanks31[[#This Row],[Player]],RB!B:O,8,FALSE)),"")</f>
        <v>14.987258291495687</v>
      </c>
      <c r="Y55" s="100">
        <f>IFERROR((VLOOKUP(TableRBRanks31[[#This Row],[Player]],RB!B:O,9,FALSE)),"")</f>
        <v>111.65507427164287</v>
      </c>
      <c r="Z55" s="100">
        <f>IFERROR((VLOOKUP(TableRBRanks31[[#This Row],[Player]],RB!B:O,10,FALSE)),"")</f>
        <v>0.4945795236193577</v>
      </c>
      <c r="AA55" s="95">
        <f>IFERROR((IFERROR(INDEX(TableRBCalcPts[Custom],MATCH(TableRBRanks31[[#This Row],[RK]],TableRBCalcPts[RK],0)),"")),"")</f>
        <v>78.637323911068265</v>
      </c>
      <c r="AB5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5" s="145">
        <v>54</v>
      </c>
      <c r="AE55" s="145" t="str">
        <f>IFERROR(INDEX(TableWRCalcPts[PLAYER],MATCH(TableWRRanks32[[#This Row],[RK]],TableWRCalcPts[RK],0)),"")</f>
        <v>Khalil Shakir</v>
      </c>
      <c r="AF55" s="145" t="str">
        <f>IFERROR(INDEX(TableWRCalcPts[TM],MATCH(TableWRRanks32[[#This Row],[Player]],TableWRCalcPts[PLAYER],0)),"")</f>
        <v>BUF</v>
      </c>
      <c r="AG55" s="145">
        <f>IFERROR(INDEX(TableWRCalcPts[BYE],MATCH(TableWRRanks32[[#This Row],[Player]],TableWRCalcPts[PLAYER],0)),"")</f>
        <v>7</v>
      </c>
      <c r="AH55" s="146">
        <f>IFERROR((VLOOKUP(TableWRRanks32[[#This Row],[Player]],WR!B:O,4,FALSE)),"")</f>
        <v>0</v>
      </c>
      <c r="AI55" s="146">
        <f>IFERROR((VLOOKUP(TableWRRanks32[[#This Row],[Player]],WR!B:O,5,FALSE)),"")</f>
        <v>0</v>
      </c>
      <c r="AJ55" s="146">
        <f>IFERROR((VLOOKUP(TableWRRanks32[[#This Row],[Player]],WR!B:O,6,FALSE)),"")</f>
        <v>90.403882799999963</v>
      </c>
      <c r="AK55" s="146">
        <f>IFERROR((VLOOKUP(TableWRRanks32[[#This Row],[Player]],WR!B:O,7,FALSE)),"")</f>
        <v>64.457968436399966</v>
      </c>
      <c r="AL55" s="146">
        <f>IFERROR((VLOOKUP(TableWRRanks32[[#This Row],[Player]],WR!B:O,8,FALSE)),"")</f>
        <v>705.95057284349139</v>
      </c>
      <c r="AM55" s="146">
        <f>IFERROR((VLOOKUP(TableWRRanks32[[#This Row],[Player]],WR!B:O,9,FALSE)),"")</f>
        <v>3.7385621693111983</v>
      </c>
      <c r="AN55" s="147">
        <f>IFERROR((IFERROR(INDEX(TableWRCalcPts[Custom],MATCH(TableWRRanks32[[#This Row],[RK]],TableWRCalcPts[RK],0)),"")),"")</f>
        <v>125.25541451841632</v>
      </c>
      <c r="AO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6.5703311658394998</v>
      </c>
      <c r="AQ55" s="145">
        <v>54</v>
      </c>
      <c r="AR55" s="145" t="str">
        <f>IFERROR(INDEX(TableTECalcPts[PLAYER],MATCH(TableTERanks33[[#This Row],[RK]],TableTECalcPts[RK],0)),"")</f>
        <v>Luke Schoonmaker</v>
      </c>
      <c r="AS55" s="145" t="str">
        <f>IFERROR(INDEX(TableTECalcPts[TM],MATCH(TableTERanks33[[#This Row],[Player]],TableTECalcPts[PLAYER],0)),"")</f>
        <v>DAL</v>
      </c>
      <c r="AT55" s="145">
        <f>IFERROR(INDEX(TableTECalcPts[BYE],MATCH(TableTERanks33[[#This Row],[Player]],TableTECalcPts[PLAYER],0)),"")</f>
        <v>14</v>
      </c>
      <c r="AU55" s="146">
        <f>IFERROR((VLOOKUP(TableTERanks33[[#This Row],[Player]],TE!B:O,4,FALSE)),"")</f>
        <v>19.891202099999997</v>
      </c>
      <c r="AV55" s="146">
        <f>IFERROR((VLOOKUP(TableTERanks33[[#This Row],[Player]],TE!B:O,5,FALSE)),"")</f>
        <v>13.670811043286484</v>
      </c>
      <c r="AW55" s="146">
        <f>IFERROR((VLOOKUP(TableTERanks33[[#This Row],[Player]],TE!B:O,6,FALSE)),"")</f>
        <v>127.5560070666378</v>
      </c>
      <c r="AX55" s="146">
        <f>IFERROR((VLOOKUP(TableTERanks33[[#This Row],[Player]],TE!B:O,7,FALSE)),"")</f>
        <v>0.97062758407334027</v>
      </c>
      <c r="AY55" s="147">
        <f>IFERROR((IFERROR(INDEX(TableTECalcPts[Custom],MATCH(TableTERanks33[[#This Row],[RK]],TableTECalcPts[RK],0)),"")),"")</f>
        <v>25.414771732747063</v>
      </c>
      <c r="AZ5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6" spans="1:53" x14ac:dyDescent="0.25">
      <c r="A56" s="145">
        <v>55</v>
      </c>
      <c r="B56" s="145" t="str">
        <f>IFERROR(INDEX(TableQBCalcPts[PLAYER],MATCH(TableQBRanks30[[#This Row],[RK]],TableQBCalcPts[RK],0)),"")</f>
        <v>Gardner Minshew</v>
      </c>
      <c r="C56" s="145" t="str">
        <f>IFERROR(INDEX(TableQBCalcPts[TM],MATCH(TableQBRanks30[[#This Row],[Player]],TableQBCalcPts[PLAYER],0)),"")</f>
        <v>ARI</v>
      </c>
      <c r="D56" s="145">
        <f>IFERROR(INDEX(TableQBCalcPts[BYE],MATCH(TableQBRanks30[[#This Row],[Player]],TableQBCalcPts[PLAYER],0)),"")</f>
        <v>14</v>
      </c>
      <c r="E56" s="146">
        <f>IFERROR((VLOOKUP(TableQBRanks30[[#This Row],[Player]],QB!B:O,4,FALSE)),"")</f>
        <v>11.345600000000003</v>
      </c>
      <c r="F56" s="146">
        <f>IFERROR((VLOOKUP(TableQBRanks30[[#This Row],[Player]],QB!B:O,5,FALSE)),"")</f>
        <v>7.0106146735531736</v>
      </c>
      <c r="G56" s="146">
        <f>IFERROR((VLOOKUP(TableQBRanks30[[#This Row],[Player]],QB!B:O,6,FALSE)),"")</f>
        <v>75.434213887432151</v>
      </c>
      <c r="H56" s="146">
        <f>IFERROR((VLOOKUP(TableQBRanks30[[#This Row],[Player]],QB!B:O,7,FALSE)),"")</f>
        <v>0.45568995378095628</v>
      </c>
      <c r="I56" s="146">
        <f>IFERROR((VLOOKUP(TableQBRanks30[[#This Row],[Player]],QB!B:O,8,FALSE)),"")</f>
        <v>0.30633120000000008</v>
      </c>
      <c r="J56" s="146">
        <f>IFERROR((VLOOKUP(TableQBRanks30[[#This Row],[Player]],QB!B:O,9,FALSE)),"")</f>
        <v>1.3104167999999998</v>
      </c>
      <c r="K56" s="146">
        <f>IFERROR((VLOOKUP(TableQBRanks30[[#This Row],[Player]],QB!B:O,10,FALSE)),"")</f>
        <v>4.6448437069306934</v>
      </c>
      <c r="L56" s="146">
        <f>IFERROR((VLOOKUP(TableQBRanks30[[#This Row],[Player]],QB!B:O,11,FALSE)),"")</f>
        <v>1.9656251999999996E-2</v>
      </c>
      <c r="M56" s="147">
        <f>IFERROR(INDEX(TableQBCalcPts[Custom],MATCH(TableQBRanks30[[#This Row],[RK]],TableQBCalcPts[RK],0)),"")</f>
        <v>6.7286604282314109</v>
      </c>
      <c r="N5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6" s="58">
        <v>55</v>
      </c>
      <c r="Q56" s="58" t="str">
        <f>IFERROR(INDEX(TableRBCalcPts[PLAYER],MATCH(TableRBRanks31[[#This Row],[RK]],TableRBCalcPts[RK],0)),"")</f>
        <v>Ty Johnson</v>
      </c>
      <c r="R56" s="58" t="str">
        <f>IFERROR(INDEX(TableRBCalcPts[TM],MATCH(TableRBRanks31[[#This Row],[Player]],TableRBCalcPts[PLAYER],0)),"")</f>
        <v>BUF</v>
      </c>
      <c r="S56" s="58">
        <f>IFERROR(INDEX(TableRBCalcPts[BYE],MATCH(TableRBRanks31[[#This Row],[Player]],TableRBCalcPts[PLAYER],0)),"")</f>
        <v>7</v>
      </c>
      <c r="T56" s="100">
        <f>IFERROR((VLOOKUP(TableRBRanks31[[#This Row],[Player]],RB!B:O,4,FALSE)),"")</f>
        <v>58.341301199999997</v>
      </c>
      <c r="U56" s="100">
        <f>IFERROR((VLOOKUP(TableRBRanks31[[#This Row],[Player]],RB!B:O,5,FALSE)),"")</f>
        <v>244.64132636834495</v>
      </c>
      <c r="V56" s="100">
        <f>IFERROR((VLOOKUP(TableRBRanks31[[#This Row],[Player]],RB!B:O,6,FALSE)),"")</f>
        <v>2.0585638140148612</v>
      </c>
      <c r="W56" s="100">
        <f>IFERROR((VLOOKUP(TableRBRanks31[[#This Row],[Player]],RB!B:O,7,FALSE)),"")</f>
        <v>28.091601999999988</v>
      </c>
      <c r="X56" s="100">
        <f>IFERROR((VLOOKUP(TableRBRanks31[[#This Row],[Player]],RB!B:O,8,FALSE)),"")</f>
        <v>22.330148199333323</v>
      </c>
      <c r="Y56" s="100">
        <f>IFERROR((VLOOKUP(TableRBRanks31[[#This Row],[Player]],RB!B:O,9,FALSE)),"")</f>
        <v>195.16549526217324</v>
      </c>
      <c r="Z56" s="100">
        <f>IFERROR((VLOOKUP(TableRBRanks31[[#This Row],[Player]],RB!B:O,10,FALSE)),"")</f>
        <v>1.4610977278333328</v>
      </c>
      <c r="AA56" s="95">
        <f>IFERROR((IFERROR(INDEX(TableRBCalcPts[Custom],MATCH(TableRBRanks31[[#This Row],[RK]],TableRBCalcPts[RK],0)),"")),"")</f>
        <v>76.263725513807657</v>
      </c>
      <c r="AB5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6" s="145">
        <v>55</v>
      </c>
      <c r="AE56" s="145" t="str">
        <f>IFERROR(INDEX(TableWRCalcPts[PLAYER],MATCH(TableWRRanks32[[#This Row],[RK]],TableWRCalcPts[RK],0)),"")</f>
        <v>Matthew Golden</v>
      </c>
      <c r="AF56" s="145" t="str">
        <f>IFERROR(INDEX(TableWRCalcPts[TM],MATCH(TableWRRanks32[[#This Row],[Player]],TableWRCalcPts[PLAYER],0)),"")</f>
        <v>GB</v>
      </c>
      <c r="AG56" s="145">
        <f>IFERROR(INDEX(TableWRCalcPts[BYE],MATCH(TableWRRanks32[[#This Row],[Player]],TableWRCalcPts[PLAYER],0)),"")</f>
        <v>11</v>
      </c>
      <c r="AH56" s="146">
        <f>IFERROR((VLOOKUP(TableWRRanks32[[#This Row],[Player]],WR!B:O,4,FALSE)),"")</f>
        <v>24.99271009319855</v>
      </c>
      <c r="AI56" s="146">
        <f>IFERROR((VLOOKUP(TableWRRanks32[[#This Row],[Player]],WR!B:O,5,FALSE)),"")</f>
        <v>0.11790281999999999</v>
      </c>
      <c r="AJ56" s="146">
        <f>IFERROR((VLOOKUP(TableWRRanks32[[#This Row],[Player]],WR!B:O,6,FALSE)),"")</f>
        <v>85.049750110552765</v>
      </c>
      <c r="AK56" s="146">
        <f>IFERROR((VLOOKUP(TableWRRanks32[[#This Row],[Player]],WR!B:O,7,FALSE)),"")</f>
        <v>53.587897463683738</v>
      </c>
      <c r="AL56" s="146">
        <f>IFERROR((VLOOKUP(TableWRRanks32[[#This Row],[Player]],WR!B:O,8,FALSE)),"")</f>
        <v>676.53815153162077</v>
      </c>
      <c r="AM56" s="146">
        <f>IFERROR((VLOOKUP(TableWRRanks32[[#This Row],[Player]],WR!B:O,9,FALSE)),"")</f>
        <v>4.0190923097762798</v>
      </c>
      <c r="AN56" s="147">
        <f>IFERROR((IFERROR(INDEX(TableWRCalcPts[Custom],MATCH(TableWRRanks32[[#This Row],[RK]],TableWRCalcPts[RK],0)),"")),"")</f>
        <v>121.76900567298148</v>
      </c>
      <c r="AO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5.9153109888207425</v>
      </c>
      <c r="AQ56" s="145">
        <v>55</v>
      </c>
      <c r="AR56" s="145" t="str">
        <f>IFERROR(INDEX(TableTECalcPts[PLAYER],MATCH(TableTERanks33[[#This Row],[RK]],TableTECalcPts[RK],0)),"")</f>
        <v>Noah Fant</v>
      </c>
      <c r="AS56" s="145" t="str">
        <f>IFERROR(INDEX(TableTECalcPts[TM],MATCH(TableTERanks33[[#This Row],[Player]],TableTECalcPts[PLAYER],0)),"")</f>
        <v>NO</v>
      </c>
      <c r="AT56" s="145">
        <f>IFERROR(INDEX(TableTECalcPts[BYE],MATCH(TableTERanks33[[#This Row],[Player]],TableTECalcPts[PLAYER],0)),"")</f>
        <v>8</v>
      </c>
      <c r="AU56" s="146">
        <f>IFERROR((VLOOKUP(TableTERanks33[[#This Row],[Player]],TE!B:O,4,FALSE)),"")</f>
        <v>17.772339200000001</v>
      </c>
      <c r="AV56" s="146">
        <f>IFERROR((VLOOKUP(TableTERanks33[[#This Row],[Player]],TE!B:O,5,FALSE)),"")</f>
        <v>13.506977792000001</v>
      </c>
      <c r="AW56" s="146">
        <f>IFERROR((VLOOKUP(TableTERanks33[[#This Row],[Player]],TE!B:O,6,FALSE)),"")</f>
        <v>125.96002159379692</v>
      </c>
      <c r="AX56" s="146">
        <f>IFERROR((VLOOKUP(TableTERanks33[[#This Row],[Player]],TE!B:O,7,FALSE)),"")</f>
        <v>0.71586982297599999</v>
      </c>
      <c r="AY56" s="147">
        <f>IFERROR((IFERROR(INDEX(TableTECalcPts[Custom],MATCH(TableTERanks33[[#This Row],[RK]],TableTECalcPts[RK],0)),"")),"")</f>
        <v>23.644709993235693</v>
      </c>
      <c r="AZ5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7" spans="1:53" x14ac:dyDescent="0.25">
      <c r="A57" s="145">
        <v>56</v>
      </c>
      <c r="B57" s="145" t="str">
        <f>IFERROR(INDEX(TableQBCalcPts[PLAYER],MATCH(TableQBRanks30[[#This Row],[RK]],TableQBCalcPts[RK],0)),"")</f>
        <v>Jake Browning</v>
      </c>
      <c r="C57" s="145" t="str">
        <f>IFERROR(INDEX(TableQBCalcPts[TM],MATCH(TableQBRanks30[[#This Row],[Player]],TableQBCalcPts[PLAYER],0)),"")</f>
        <v>TB</v>
      </c>
      <c r="D57" s="145">
        <f>IFERROR(INDEX(TableQBCalcPts[BYE],MATCH(TableQBRanks30[[#This Row],[Player]],TableQBCalcPts[PLAYER],0)),"")</f>
        <v>10</v>
      </c>
      <c r="E57" s="146">
        <f>IFERROR((VLOOKUP(TableQBRanks30[[#This Row],[Player]],QB!B:O,4,FALSE)),"")</f>
        <v>11.26182</v>
      </c>
      <c r="F57" s="146">
        <f>IFERROR((VLOOKUP(TableQBRanks30[[#This Row],[Player]],QB!B:O,5,FALSE)),"")</f>
        <v>7.6300990723948559</v>
      </c>
      <c r="G57" s="146">
        <f>IFERROR((VLOOKUP(TableQBRanks30[[#This Row],[Player]],QB!B:O,6,FALSE)),"")</f>
        <v>80.421244223041768</v>
      </c>
      <c r="H57" s="146">
        <f>IFERROR((VLOOKUP(TableQBRanks30[[#This Row],[Player]],QB!B:O,7,FALSE)),"")</f>
        <v>0.50938136026486158</v>
      </c>
      <c r="I57" s="146">
        <f>IFERROR((VLOOKUP(TableQBRanks30[[#This Row],[Player]],QB!B:O,8,FALSE)),"")</f>
        <v>0.37749982650384617</v>
      </c>
      <c r="J57" s="146">
        <f>IFERROR((VLOOKUP(TableQBRanks30[[#This Row],[Player]],QB!B:O,9,FALSE)),"")</f>
        <v>0</v>
      </c>
      <c r="K57" s="146">
        <f>IFERROR((VLOOKUP(TableQBRanks30[[#This Row],[Player]],QB!B:O,10,FALSE)),"")</f>
        <v>0</v>
      </c>
      <c r="L57" s="146">
        <f>IFERROR((VLOOKUP(TableQBRanks30[[#This Row],[Player]],QB!B:O,11,FALSE)),"")</f>
        <v>0</v>
      </c>
      <c r="M57" s="147">
        <f>IFERROR(INDEX(TableQBCalcPts[Custom],MATCH(TableQBRanks30[[#This Row],[RK]],TableQBCalcPts[RK],0)),"")</f>
        <v>6.6586480112464796</v>
      </c>
      <c r="N5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7" s="58">
        <v>56</v>
      </c>
      <c r="Q57" s="58" t="str">
        <f>IFERROR(INDEX(TableRBCalcPts[PLAYER],MATCH(TableRBRanks31[[#This Row],[RK]],TableRBCalcPts[RK],0)),"")</f>
        <v>Tyjae Spears</v>
      </c>
      <c r="R57" s="58" t="str">
        <f>IFERROR(INDEX(TableRBCalcPts[TM],MATCH(TableRBRanks31[[#This Row],[Player]],TableRBCalcPts[PLAYER],0)),"")</f>
        <v>TEN</v>
      </c>
      <c r="S57" s="58">
        <f>IFERROR(INDEX(TableRBCalcPts[BYE],MATCH(TableRBRanks31[[#This Row],[Player]],TableRBCalcPts[PLAYER],0)),"")</f>
        <v>9</v>
      </c>
      <c r="T57" s="100">
        <f>IFERROR((VLOOKUP(TableRBRanks31[[#This Row],[Player]],RB!B:O,4,FALSE)),"")</f>
        <v>75.000764160000003</v>
      </c>
      <c r="U57" s="100">
        <f>IFERROR((VLOOKUP(TableRBRanks31[[#This Row],[Player]],RB!B:O,5,FALSE)),"")</f>
        <v>303.00308720640004</v>
      </c>
      <c r="V57" s="100">
        <f>IFERROR((VLOOKUP(TableRBRanks31[[#This Row],[Player]],RB!B:O,6,FALSE)),"")</f>
        <v>1.80001833984</v>
      </c>
      <c r="W57" s="100">
        <f>IFERROR((VLOOKUP(TableRBRanks31[[#This Row],[Player]],RB!B:O,7,FALSE)),"")</f>
        <v>34.602059520000005</v>
      </c>
      <c r="X57" s="100">
        <f>IFERROR((VLOOKUP(TableRBRanks31[[#This Row],[Player]],RB!B:O,8,FALSE)),"")</f>
        <v>25.160553700446318</v>
      </c>
      <c r="Y57" s="100">
        <f>IFERROR((VLOOKUP(TableRBRanks31[[#This Row],[Player]],RB!B:O,9,FALSE)),"")</f>
        <v>167.82089318197694</v>
      </c>
      <c r="Z57" s="100">
        <f>IFERROR((VLOOKUP(TableRBRanks31[[#This Row],[Player]],RB!B:O,10,FALSE)),"")</f>
        <v>0.85545882581517485</v>
      </c>
      <c r="AA57" s="95">
        <f>IFERROR((IFERROR(INDEX(TableRBCalcPts[Custom],MATCH(TableRBRanks31[[#This Row],[RK]],TableRBCalcPts[RK],0)),"")),"")</f>
        <v>75.595537882991906</v>
      </c>
      <c r="AB5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7" s="145">
        <v>56</v>
      </c>
      <c r="AE57" s="145" t="str">
        <f>IFERROR(INDEX(TableWRCalcPts[PLAYER],MATCH(TableWRRanks32[[#This Row],[RK]],TableWRCalcPts[RK],0)),"")</f>
        <v>Rashid Shaheed</v>
      </c>
      <c r="AF57" s="145" t="str">
        <f>IFERROR(INDEX(TableWRCalcPts[TM],MATCH(TableWRRanks32[[#This Row],[Player]],TableWRCalcPts[PLAYER],0)),"")</f>
        <v>SEA</v>
      </c>
      <c r="AG57" s="145">
        <f>IFERROR(INDEX(TableWRCalcPts[BYE],MATCH(TableWRRanks32[[#This Row],[Player]],TableWRCalcPts[PLAYER],0)),"")</f>
        <v>11</v>
      </c>
      <c r="AH57" s="146">
        <f>IFERROR((VLOOKUP(TableWRRanks32[[#This Row],[Player]],WR!B:O,4,FALSE)),"")</f>
        <v>81.255613363779929</v>
      </c>
      <c r="AI57" s="146">
        <f>IFERROR((VLOOKUP(TableWRRanks32[[#This Row],[Player]],WR!B:O,5,FALSE)),"")</f>
        <v>0.40443284197737778</v>
      </c>
      <c r="AJ57" s="146">
        <f>IFERROR((VLOOKUP(TableWRRanks32[[#This Row],[Player]],WR!B:O,6,FALSE)),"")</f>
        <v>78.737480640000001</v>
      </c>
      <c r="AK57" s="146">
        <f>IFERROR((VLOOKUP(TableWRRanks32[[#This Row],[Player]],WR!B:O,7,FALSE)),"")</f>
        <v>44.4866765616</v>
      </c>
      <c r="AL57" s="146">
        <f>IFERROR((VLOOKUP(TableWRRanks32[[#This Row],[Player]],WR!B:O,8,FALSE)),"")</f>
        <v>615.25073684692802</v>
      </c>
      <c r="AM57" s="146">
        <f>IFERROR((VLOOKUP(TableWRRanks32[[#This Row],[Player]],WR!B:O,9,FALSE)),"")</f>
        <v>4.1817475967903999</v>
      </c>
      <c r="AN57" s="147">
        <f>IFERROR((IFERROR(INDEX(TableWRCalcPts[Custom],MATCH(TableWRRanks32[[#This Row],[RK]],TableWRCalcPts[RK],0)),"")),"")</f>
        <v>119.41105593447746</v>
      </c>
      <c r="AO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5.4723036642097354</v>
      </c>
      <c r="AQ57" s="145">
        <v>56</v>
      </c>
      <c r="AR57" s="145" t="str">
        <f>IFERROR(INDEX(TableTECalcPts[PLAYER],MATCH(TableTERanks33[[#This Row],[RK]],TableTECalcPts[RK],0)),"")</f>
        <v>Durham Smythe</v>
      </c>
      <c r="AS57" s="145" t="str">
        <f>IFERROR(INDEX(TableTECalcPts[TM],MATCH(TableTERanks33[[#This Row],[Player]],TableTECalcPts[PLAYER],0)),"")</f>
        <v>BAL</v>
      </c>
      <c r="AT57" s="145">
        <f>IFERROR(INDEX(TableTECalcPts[BYE],MATCH(TableTERanks33[[#This Row],[Player]],TableTECalcPts[PLAYER],0)),"")</f>
        <v>13</v>
      </c>
      <c r="AU57" s="146">
        <f>IFERROR((VLOOKUP(TableTERanks33[[#This Row],[Player]],TE!B:O,4,FALSE)),"")</f>
        <v>16.448633600000001</v>
      </c>
      <c r="AV57" s="146">
        <f>IFERROR((VLOOKUP(TableTERanks33[[#This Row],[Player]],TE!B:O,5,FALSE)),"")</f>
        <v>11.663451941866668</v>
      </c>
      <c r="AW57" s="146">
        <f>IFERROR((VLOOKUP(TableTERanks33[[#This Row],[Player]],TE!B:O,6,FALSE)),"")</f>
        <v>109.72986278520001</v>
      </c>
      <c r="AX57" s="146">
        <f>IFERROR((VLOOKUP(TableTERanks33[[#This Row],[Player]],TE!B:O,7,FALSE)),"")</f>
        <v>1.0732733423999998</v>
      </c>
      <c r="AY57" s="147">
        <f>IFERROR((IFERROR(INDEX(TableTECalcPts[Custom],MATCH(TableTERanks33[[#This Row],[RK]],TableTECalcPts[RK],0)),"")),"")</f>
        <v>23.244352303853336</v>
      </c>
      <c r="AZ5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8" spans="1:53" x14ac:dyDescent="0.25">
      <c r="A58" s="145">
        <v>57</v>
      </c>
      <c r="B58" s="145" t="str">
        <f>IFERROR(INDEX(TableQBCalcPts[PLAYER],MATCH(TableQBRanks30[[#This Row],[RK]],TableQBCalcPts[RK],0)),"")</f>
        <v>Trey Lance</v>
      </c>
      <c r="C58" s="145" t="str">
        <f>IFERROR(INDEX(TableQBCalcPts[TM],MATCH(TableQBRanks30[[#This Row],[Player]],TableQBCalcPts[PLAYER],0)),"")</f>
        <v>LAC</v>
      </c>
      <c r="D58" s="145">
        <f>IFERROR(INDEX(TableQBCalcPts[BYE],MATCH(TableQBRanks30[[#This Row],[Player]],TableQBCalcPts[PLAYER],0)),"")</f>
        <v>7</v>
      </c>
      <c r="E58" s="146">
        <f>IFERROR((VLOOKUP(TableQBRanks30[[#This Row],[Player]],QB!B:O,4,FALSE)),"")</f>
        <v>10.850840000000002</v>
      </c>
      <c r="F58" s="146">
        <f>IFERROR((VLOOKUP(TableQBRanks30[[#This Row],[Player]],QB!B:O,5,FALSE)),"")</f>
        <v>6.333093047158405</v>
      </c>
      <c r="G58" s="146">
        <f>IFERROR((VLOOKUP(TableQBRanks30[[#This Row],[Player]],QB!B:O,6,FALSE)),"")</f>
        <v>62.536189383313193</v>
      </c>
      <c r="H58" s="146">
        <f>IFERROR((VLOOKUP(TableQBRanks30[[#This Row],[Player]],QB!B:O,7,FALSE)),"")</f>
        <v>0.34020166868198309</v>
      </c>
      <c r="I58" s="146">
        <f>IFERROR((VLOOKUP(TableQBRanks30[[#This Row],[Player]],QB!B:O,8,FALSE)),"")</f>
        <v>0.17197522370012097</v>
      </c>
      <c r="J58" s="146">
        <f>IFERROR((VLOOKUP(TableQBRanks30[[#This Row],[Player]],QB!B:O,9,FALSE)),"")</f>
        <v>2.2464442</v>
      </c>
      <c r="K58" s="146">
        <f>IFERROR((VLOOKUP(TableQBRanks30[[#This Row],[Player]],QB!B:O,10,FALSE)),"")</f>
        <v>11.257870663898693</v>
      </c>
      <c r="L58" s="146">
        <f>IFERROR((VLOOKUP(TableQBRanks30[[#This Row],[Player]],QB!B:O,11,FALSE)),"")</f>
        <v>7.1886214399999995E-2</v>
      </c>
      <c r="M58" s="147">
        <f>IFERROR(INDEX(TableQBCalcPts[Custom],MATCH(TableQBRanks30[[#This Row],[RK]],TableQBCalcPts[RK],0)),"")</f>
        <v>6.5610960212300142</v>
      </c>
      <c r="N5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8" s="58">
        <v>57</v>
      </c>
      <c r="Q58" s="58" t="str">
        <f>IFERROR(INDEX(TableRBCalcPts[PLAYER],MATCH(TableRBRanks31[[#This Row],[RK]],TableRBCalcPts[RK],0)),"")</f>
        <v>Tank Bigsby</v>
      </c>
      <c r="R58" s="58" t="str">
        <f>IFERROR(INDEX(TableRBCalcPts[TM],MATCH(TableRBRanks31[[#This Row],[Player]],TableRBCalcPts[PLAYER],0)),"")</f>
        <v>PHI</v>
      </c>
      <c r="S58" s="58">
        <f>IFERROR(INDEX(TableRBCalcPts[BYE],MATCH(TableRBRanks31[[#This Row],[Player]],TableRBCalcPts[PLAYER],0)),"")</f>
        <v>10</v>
      </c>
      <c r="T58" s="100">
        <f>IFERROR((VLOOKUP(TableRBRanks31[[#This Row],[Player]],RB!B:O,4,FALSE)),"")</f>
        <v>97.007150240000016</v>
      </c>
      <c r="U58" s="100">
        <f>IFERROR((VLOOKUP(TableRBRanks31[[#This Row],[Player]],RB!B:O,5,FALSE)),"")</f>
        <v>463.69417814720009</v>
      </c>
      <c r="V58" s="100">
        <f>IFERROR((VLOOKUP(TableRBRanks31[[#This Row],[Player]],RB!B:O,6,FALSE)),"")</f>
        <v>3.4927472680063905</v>
      </c>
      <c r="W58" s="100">
        <f>IFERROR((VLOOKUP(TableRBRanks31[[#This Row],[Player]],RB!B:O,7,FALSE)),"")</f>
        <v>5.2834504799999999</v>
      </c>
      <c r="X58" s="100">
        <f>IFERROR((VLOOKUP(TableRBRanks31[[#This Row],[Player]],RB!B:O,8,FALSE)),"")</f>
        <v>3.5113420523377772</v>
      </c>
      <c r="Y58" s="100">
        <f>IFERROR((VLOOKUP(TableRBRanks31[[#This Row],[Player]],RB!B:O,9,FALSE)),"")</f>
        <v>24.369230447271107</v>
      </c>
      <c r="Z58" s="100">
        <f>IFERROR((VLOOKUP(TableRBRanks31[[#This Row],[Player]],RB!B:O,10,FALSE)),"")</f>
        <v>0.10534026157013331</v>
      </c>
      <c r="AA58" s="95">
        <f>IFERROR((IFERROR(INDEX(TableRBCalcPts[Custom],MATCH(TableRBRanks31[[#This Row],[RK]],TableRBCalcPts[RK],0)),"")),"")</f>
        <v>72.150537063075149</v>
      </c>
      <c r="AB5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8" s="145">
        <v>57</v>
      </c>
      <c r="AE58" s="145" t="str">
        <f>IFERROR(INDEX(TableWRCalcPts[PLAYER],MATCH(TableWRRanks32[[#This Row],[RK]],TableWRCalcPts[RK],0)),"")</f>
        <v>Jalen McMillan</v>
      </c>
      <c r="AF58" s="145" t="str">
        <f>IFERROR(INDEX(TableWRCalcPts[TM],MATCH(TableWRRanks32[[#This Row],[Player]],TableWRCalcPts[PLAYER],0)),"")</f>
        <v>TB</v>
      </c>
      <c r="AG58" s="145">
        <f>IFERROR(INDEX(TableWRCalcPts[BYE],MATCH(TableWRRanks32[[#This Row],[Player]],TableWRCalcPts[PLAYER],0)),"")</f>
        <v>10</v>
      </c>
      <c r="AH58" s="146">
        <f>IFERROR((VLOOKUP(TableWRRanks32[[#This Row],[Player]],WR!B:O,4,FALSE)),"")</f>
        <v>29.607464774999997</v>
      </c>
      <c r="AI58" s="146">
        <f>IFERROR((VLOOKUP(TableWRRanks32[[#This Row],[Player]],WR!B:O,5,FALSE)),"")</f>
        <v>5.8053852499999996E-2</v>
      </c>
      <c r="AJ58" s="146">
        <f>IFERROR((VLOOKUP(TableWRRanks32[[#This Row],[Player]],WR!B:O,6,FALSE)),"")</f>
        <v>72.289622579999971</v>
      </c>
      <c r="AK58" s="146">
        <f>IFERROR((VLOOKUP(TableWRRanks32[[#This Row],[Player]],WR!B:O,7,FALSE)),"")</f>
        <v>44.747276377019979</v>
      </c>
      <c r="AL58" s="146">
        <f>IFERROR((VLOOKUP(TableWRRanks32[[#This Row],[Player]],WR!B:O,8,FALSE)),"")</f>
        <v>587.97921159404257</v>
      </c>
      <c r="AM58" s="146">
        <f>IFERROR((VLOOKUP(TableWRRanks32[[#This Row],[Player]],WR!B:O,9,FALSE)),"")</f>
        <v>3.9377603211777581</v>
      </c>
      <c r="AN58" s="147">
        <f>IFERROR((IFERROR(INDEX(TableWRCalcPts[Custom],MATCH(TableWRRanks32[[#This Row],[RK]],TableWRCalcPts[RK],0)),"")),"")</f>
        <v>108.1071908674808</v>
      </c>
      <c r="AO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3.3485539763681698</v>
      </c>
      <c r="AQ58" s="145">
        <v>57</v>
      </c>
      <c r="AR58" s="145" t="str">
        <f>IFERROR(INDEX(TableTECalcPts[PLAYER],MATCH(TableTERanks33[[#This Row],[RK]],TableTECalcPts[RK],0)),"")</f>
        <v>Will Kacmarek</v>
      </c>
      <c r="AS58" s="145" t="str">
        <f>IFERROR(INDEX(TableTECalcPts[TM],MATCH(TableTERanks33[[#This Row],[Player]],TableTECalcPts[PLAYER],0)),"")</f>
        <v>MIA</v>
      </c>
      <c r="AT58" s="145">
        <f>IFERROR(INDEX(TableTECalcPts[BYE],MATCH(TableTERanks33[[#This Row],[Player]],TableTECalcPts[PLAYER],0)),"")</f>
        <v>6</v>
      </c>
      <c r="AU58" s="146">
        <f>IFERROR((VLOOKUP(TableTERanks33[[#This Row],[Player]],TE!B:O,4,FALSE)),"")</f>
        <v>16.743200039999998</v>
      </c>
      <c r="AV58" s="146">
        <f>IFERROR((VLOOKUP(TableTERanks33[[#This Row],[Player]],TE!B:O,5,FALSE)),"")</f>
        <v>11.54568326162553</v>
      </c>
      <c r="AW58" s="146">
        <f>IFERROR((VLOOKUP(TableTERanks33[[#This Row],[Player]],TE!B:O,6,FALSE)),"")</f>
        <v>119.84419225567302</v>
      </c>
      <c r="AX58" s="146">
        <f>IFERROR((VLOOKUP(TableTERanks33[[#This Row],[Player]],TE!B:O,7,FALSE)),"")</f>
        <v>0.69585214350638291</v>
      </c>
      <c r="AY58" s="147">
        <f>IFERROR((IFERROR(INDEX(TableTECalcPts[Custom],MATCH(TableTERanks33[[#This Row],[RK]],TableTECalcPts[RK],0)),"")),"")</f>
        <v>21.932373717418365</v>
      </c>
      <c r="AZ5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9" spans="1:53" x14ac:dyDescent="0.25">
      <c r="A59" s="145">
        <v>58</v>
      </c>
      <c r="B59" s="145" t="str">
        <f>IFERROR(INDEX(TableQBCalcPts[PLAYER],MATCH(TableQBRanks30[[#This Row],[RK]],TableQBCalcPts[RK],0)),"")</f>
        <v>Jarrett Stidham</v>
      </c>
      <c r="C59" s="145" t="str">
        <f>IFERROR(INDEX(TableQBCalcPts[TM],MATCH(TableQBRanks30[[#This Row],[Player]],TableQBCalcPts[PLAYER],0)),"")</f>
        <v>DEN</v>
      </c>
      <c r="D59" s="145">
        <f>IFERROR(INDEX(TableQBCalcPts[BYE],MATCH(TableQBRanks30[[#This Row],[Player]],TableQBCalcPts[PLAYER],0)),"")</f>
        <v>10</v>
      </c>
      <c r="E59" s="146">
        <f>IFERROR((VLOOKUP(TableQBRanks30[[#This Row],[Player]],QB!B:O,4,FALSE)),"")</f>
        <v>11.646360000000001</v>
      </c>
      <c r="F59" s="146">
        <f>IFERROR((VLOOKUP(TableQBRanks30[[#This Row],[Player]],QB!B:O,5,FALSE)),"")</f>
        <v>6.9001058890030844</v>
      </c>
      <c r="G59" s="146">
        <f>IFERROR((VLOOKUP(TableQBRanks30[[#This Row],[Player]],QB!B:O,6,FALSE)),"")</f>
        <v>74.156161370332313</v>
      </c>
      <c r="H59" s="146">
        <f>IFERROR((VLOOKUP(TableQBRanks30[[#This Row],[Player]],QB!B:O,7,FALSE)),"")</f>
        <v>0.47612160328879771</v>
      </c>
      <c r="I59" s="146">
        <f>IFERROR((VLOOKUP(TableQBRanks30[[#This Row],[Player]],QB!B:O,8,FALSE)),"")</f>
        <v>0.34445669064748208</v>
      </c>
      <c r="J59" s="146">
        <f>IFERROR((VLOOKUP(TableQBRanks30[[#This Row],[Player]],QB!B:O,9,FALSE)),"")</f>
        <v>0</v>
      </c>
      <c r="K59" s="146">
        <f>IFERROR((VLOOKUP(TableQBRanks30[[#This Row],[Player]],QB!B:O,10,FALSE)),"")</f>
        <v>0</v>
      </c>
      <c r="L59" s="146">
        <f>IFERROR((VLOOKUP(TableQBRanks30[[#This Row],[Player]],QB!B:O,11,FALSE)),"")</f>
        <v>0</v>
      </c>
      <c r="M59" s="147">
        <f>IFERROR(INDEX(TableQBCalcPts[Custom],MATCH(TableQBRanks30[[#This Row],[RK]],TableQBCalcPts[RK],0)),"")</f>
        <v>6.1685299727989049</v>
      </c>
      <c r="N5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9" s="58">
        <v>58</v>
      </c>
      <c r="Q59" s="58" t="str">
        <f>IFERROR(INDEX(TableRBCalcPts[PLAYER],MATCH(TableRBRanks31[[#This Row],[RK]],TableRBCalcPts[RK],0)),"")</f>
        <v>MarShawn Lloyd</v>
      </c>
      <c r="R59" s="58" t="str">
        <f>IFERROR(INDEX(TableRBCalcPts[TM],MATCH(TableRBRanks31[[#This Row],[Player]],TableRBCalcPts[PLAYER],0)),"")</f>
        <v>GB</v>
      </c>
      <c r="S59" s="58">
        <f>IFERROR(INDEX(TableRBCalcPts[BYE],MATCH(TableRBRanks31[[#This Row],[Player]],TableRBCalcPts[PLAYER],0)),"")</f>
        <v>11</v>
      </c>
      <c r="T59" s="100">
        <f>IFERROR((VLOOKUP(TableRBRanks31[[#This Row],[Player]],RB!B:O,4,FALSE)),"")</f>
        <v>101.3964252</v>
      </c>
      <c r="U59" s="100">
        <f>IFERROR((VLOOKUP(TableRBRanks31[[#This Row],[Player]],RB!B:O,5,FALSE)),"")</f>
        <v>415.49452903946116</v>
      </c>
      <c r="V59" s="100">
        <f>IFERROR((VLOOKUP(TableRBRanks31[[#This Row],[Player]],RB!B:O,6,FALSE)),"")</f>
        <v>3.2446856064</v>
      </c>
      <c r="W59" s="100">
        <f>IFERROR((VLOOKUP(TableRBRanks31[[#This Row],[Player]],RB!B:O,7,FALSE)),"")</f>
        <v>10.95732976884422</v>
      </c>
      <c r="X59" s="100">
        <f>IFERROR((VLOOKUP(TableRBRanks31[[#This Row],[Player]],RB!B:O,8,FALSE)),"")</f>
        <v>7.0160391250452259</v>
      </c>
      <c r="Y59" s="100">
        <f>IFERROR((VLOOKUP(TableRBRanks31[[#This Row],[Player]],RB!B:O,9,FALSE)),"")</f>
        <v>49.793454542613063</v>
      </c>
      <c r="Z59" s="100">
        <f>IFERROR((VLOOKUP(TableRBRanks31[[#This Row],[Player]],RB!B:O,10,FALSE)),"")</f>
        <v>0.26660948675171858</v>
      </c>
      <c r="AA59" s="95">
        <f>IFERROR((IFERROR(INDEX(TableRBCalcPts[Custom],MATCH(TableRBRanks31[[#This Row],[RK]],TableRBCalcPts[RK],0)),"")),"")</f>
        <v>71.104588479640356</v>
      </c>
      <c r="AB5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9" s="145">
        <v>58</v>
      </c>
      <c r="AE59" s="145" t="str">
        <f>IFERROR(INDEX(TableWRCalcPts[PLAYER],MATCH(TableWRRanks32[[#This Row],[RK]],TableWRCalcPts[RK],0)),"")</f>
        <v>Tyquan Thornton</v>
      </c>
      <c r="AF59" s="145" t="str">
        <f>IFERROR(INDEX(TableWRCalcPts[TM],MATCH(TableWRRanks32[[#This Row],[Player]],TableWRCalcPts[PLAYER],0)),"")</f>
        <v>KC</v>
      </c>
      <c r="AG59" s="145">
        <f>IFERROR(INDEX(TableWRCalcPts[BYE],MATCH(TableWRRanks32[[#This Row],[Player]],TableWRCalcPts[PLAYER],0)),"")</f>
        <v>5</v>
      </c>
      <c r="AH59" s="146">
        <f>IFERROR((VLOOKUP(TableWRRanks32[[#This Row],[Player]],WR!B:O,4,FALSE)),"")</f>
        <v>0</v>
      </c>
      <c r="AI59" s="146">
        <f>IFERROR((VLOOKUP(TableWRRanks32[[#This Row],[Player]],WR!B:O,5,FALSE)),"")</f>
        <v>0</v>
      </c>
      <c r="AJ59" s="146">
        <f>IFERROR((VLOOKUP(TableWRRanks32[[#This Row],[Player]],WR!B:O,6,FALSE)),"")</f>
        <v>63.231462000000001</v>
      </c>
      <c r="AK59" s="146">
        <f>IFERROR((VLOOKUP(TableWRRanks32[[#This Row],[Player]],WR!B:O,7,FALSE)),"")</f>
        <v>35.599313105999997</v>
      </c>
      <c r="AL59" s="146">
        <f>IFERROR((VLOOKUP(TableWRRanks32[[#This Row],[Player]],WR!B:O,8,FALSE)),"")</f>
        <v>594.29453017048206</v>
      </c>
      <c r="AM59" s="146">
        <f>IFERROR((VLOOKUP(TableWRRanks32[[#This Row],[Player]],WR!B:O,9,FALSE)),"")</f>
        <v>4.6991093299919999</v>
      </c>
      <c r="AN59" s="147">
        <f>IFERROR((IFERROR(INDEX(TableWRCalcPts[Custom],MATCH(TableWRRanks32[[#This Row],[RK]],TableWRCalcPts[RK],0)),"")),"")</f>
        <v>105.42376555000021</v>
      </c>
      <c r="AO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2.8443968896930634</v>
      </c>
      <c r="AQ59" s="145">
        <v>58</v>
      </c>
      <c r="AR59" s="145" t="str">
        <f>IFERROR(INDEX(TableTECalcPts[PLAYER],MATCH(TableTERanks33[[#This Row],[RK]],TableTECalcPts[RK],0)),"")</f>
        <v>Josh Oliver</v>
      </c>
      <c r="AS59" s="145" t="str">
        <f>IFERROR(INDEX(TableTECalcPts[TM],MATCH(TableTERanks33[[#This Row],[Player]],TableTECalcPts[PLAYER],0)),"")</f>
        <v>MIN</v>
      </c>
      <c r="AT59" s="145">
        <f>IFERROR(INDEX(TableTECalcPts[BYE],MATCH(TableTERanks33[[#This Row],[Player]],TableTECalcPts[PLAYER],0)),"")</f>
        <v>6</v>
      </c>
      <c r="AU59" s="146">
        <f>IFERROR((VLOOKUP(TableTERanks33[[#This Row],[Player]],TE!B:O,4,FALSE)),"")</f>
        <v>14.30787456</v>
      </c>
      <c r="AV59" s="146">
        <f>IFERROR((VLOOKUP(TableTERanks33[[#This Row],[Player]],TE!B:O,5,FALSE)),"")</f>
        <v>11.160142156800001</v>
      </c>
      <c r="AW59" s="146">
        <f>IFERROR((VLOOKUP(TableTERanks33[[#This Row],[Player]],TE!B:O,6,FALSE)),"")</f>
        <v>104.90533627392001</v>
      </c>
      <c r="AX59" s="146">
        <f>IFERROR((VLOOKUP(TableTERanks33[[#This Row],[Player]],TE!B:O,7,FALSE)),"")</f>
        <v>0.8258505196032</v>
      </c>
      <c r="AY59" s="147">
        <f>IFERROR((IFERROR(INDEX(TableTECalcPts[Custom],MATCH(TableTERanks33[[#This Row],[RK]],TableTECalcPts[RK],0)),"")),"")</f>
        <v>21.025707823411203</v>
      </c>
      <c r="AZ5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0" spans="1:53" x14ac:dyDescent="0.25">
      <c r="A60" s="145">
        <v>59</v>
      </c>
      <c r="B60" s="145" t="str">
        <f>IFERROR(INDEX(TableQBCalcPts[PLAYER],MATCH(TableQBRanks30[[#This Row],[RK]],TableQBCalcPts[RK],0)),"")</f>
        <v>Tommy DeVito</v>
      </c>
      <c r="C60" s="145" t="str">
        <f>IFERROR(INDEX(TableQBCalcPts[TM],MATCH(TableQBRanks30[[#This Row],[Player]],TableQBCalcPts[PLAYER],0)),"")</f>
        <v>NE</v>
      </c>
      <c r="D60" s="145">
        <f>IFERROR(INDEX(TableQBCalcPts[BYE],MATCH(TableQBRanks30[[#This Row],[Player]],TableQBCalcPts[PLAYER],0)),"")</f>
        <v>11</v>
      </c>
      <c r="E60" s="146">
        <f>IFERROR((VLOOKUP(TableQBRanks30[[#This Row],[Player]],QB!B:O,4,FALSE)),"")</f>
        <v>11.1302</v>
      </c>
      <c r="F60" s="146">
        <f>IFERROR((VLOOKUP(TableQBRanks30[[#This Row],[Player]],QB!B:O,5,FALSE)),"")</f>
        <v>6.5722465132139813</v>
      </c>
      <c r="G60" s="146">
        <f>IFERROR((VLOOKUP(TableQBRanks30[[#This Row],[Player]],QB!B:O,6,FALSE)),"")</f>
        <v>66.854512395566928</v>
      </c>
      <c r="H60" s="146">
        <f>IFERROR((VLOOKUP(TableQBRanks30[[#This Row],[Player]],QB!B:O,7,FALSE)),"")</f>
        <v>0.44034051638533678</v>
      </c>
      <c r="I60" s="146">
        <f>IFERROR((VLOOKUP(TableQBRanks30[[#This Row],[Player]],QB!B:O,8,FALSE)),"")</f>
        <v>0.16580187553282183</v>
      </c>
      <c r="J60" s="146">
        <f>IFERROR((VLOOKUP(TableQBRanks30[[#This Row],[Player]],QB!B:O,9,FALSE)),"")</f>
        <v>0</v>
      </c>
      <c r="K60" s="146">
        <f>IFERROR((VLOOKUP(TableQBRanks30[[#This Row],[Player]],QB!B:O,10,FALSE)),"")</f>
        <v>0</v>
      </c>
      <c r="L60" s="146">
        <f>IFERROR((VLOOKUP(TableQBRanks30[[#This Row],[Player]],QB!B:O,11,FALSE)),"")</f>
        <v>0</v>
      </c>
      <c r="M60" s="147">
        <f>IFERROR(INDEX(TableQBCalcPts[Custom],MATCH(TableQBRanks30[[#This Row],[RK]],TableQBCalcPts[RK],0)),"")</f>
        <v>5.8076463699232752</v>
      </c>
      <c r="N6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0" s="58">
        <v>59</v>
      </c>
      <c r="Q60" s="58" t="str">
        <f>IFERROR(INDEX(TableRBCalcPts[PLAYER],MATCH(TableRBRanks31[[#This Row],[RK]],TableRBCalcPts[RK],0)),"")</f>
        <v>Mike Washington</v>
      </c>
      <c r="R60" s="58" t="str">
        <f>IFERROR(INDEX(TableRBCalcPts[TM],MATCH(TableRBRanks31[[#This Row],[Player]],TableRBCalcPts[PLAYER],0)),"")</f>
        <v>LV</v>
      </c>
      <c r="S60" s="58">
        <f>IFERROR(INDEX(TableRBCalcPts[BYE],MATCH(TableRBRanks31[[#This Row],[Player]],TableRBCalcPts[PLAYER],0)),"")</f>
        <v>13</v>
      </c>
      <c r="T60" s="100">
        <f>IFERROR((VLOOKUP(TableRBRanks31[[#This Row],[Player]],RB!B:O,4,FALSE)),"")</f>
        <v>107.78025887999998</v>
      </c>
      <c r="U60" s="100">
        <f>IFERROR((VLOOKUP(TableRBRanks31[[#This Row],[Player]],RB!B:O,5,FALSE)),"")</f>
        <v>439.74345623039989</v>
      </c>
      <c r="V60" s="100">
        <f>IFERROR((VLOOKUP(TableRBRanks31[[#This Row],[Player]],RB!B:O,6,FALSE)),"")</f>
        <v>2.2652911711162633</v>
      </c>
      <c r="W60" s="100">
        <f>IFERROR((VLOOKUP(TableRBRanks31[[#This Row],[Player]],RB!B:O,7,FALSE)),"")</f>
        <v>8.1644976000000007</v>
      </c>
      <c r="X60" s="100">
        <f>IFERROR((VLOOKUP(TableRBRanks31[[#This Row],[Player]],RB!B:O,8,FALSE)),"")</f>
        <v>5.4457198992000011</v>
      </c>
      <c r="Y60" s="100">
        <f>IFERROR((VLOOKUP(TableRBRanks31[[#This Row],[Player]],RB!B:O,9,FALSE)),"")</f>
        <v>35.996208533712007</v>
      </c>
      <c r="Z60" s="100">
        <f>IFERROR((VLOOKUP(TableRBRanks31[[#This Row],[Player]],RB!B:O,10,FALSE)),"")</f>
        <v>8.8304198138479006E-2</v>
      </c>
      <c r="AA60" s="95">
        <f>IFERROR((IFERROR(INDEX(TableRBCalcPts[Custom],MATCH(TableRBRanks31[[#This Row],[RK]],TableRBCalcPts[RK],0)),"")),"")</f>
        <v>64.418398641539639</v>
      </c>
      <c r="AB6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0" s="145">
        <v>59</v>
      </c>
      <c r="AE60" s="145" t="str">
        <f>IFERROR(INDEX(TableWRCalcPts[PLAYER],MATCH(TableWRRanks32[[#This Row],[RK]],TableWRCalcPts[RK],0)),"")</f>
        <v>Calvin Ridley</v>
      </c>
      <c r="AF60" s="145" t="str">
        <f>IFERROR(INDEX(TableWRCalcPts[TM],MATCH(TableWRRanks32[[#This Row],[Player]],TableWRCalcPts[PLAYER],0)),"")</f>
        <v>TEN</v>
      </c>
      <c r="AG60" s="145">
        <f>IFERROR(INDEX(TableWRCalcPts[BYE],MATCH(TableWRRanks32[[#This Row],[Player]],TableWRCalcPts[PLAYER],0)),"")</f>
        <v>9</v>
      </c>
      <c r="AH60" s="146">
        <f>IFERROR((VLOOKUP(TableWRRanks32[[#This Row],[Player]],WR!B:O,4,FALSE)),"")</f>
        <v>0</v>
      </c>
      <c r="AI60" s="146">
        <f>IFERROR((VLOOKUP(TableWRRanks32[[#This Row],[Player]],WR!B:O,5,FALSE)),"")</f>
        <v>0</v>
      </c>
      <c r="AJ60" s="146">
        <f>IFERROR((VLOOKUP(TableWRRanks32[[#This Row],[Player]],WR!B:O,6,FALSE)),"")</f>
        <v>80.738138880000008</v>
      </c>
      <c r="AK60" s="146">
        <f>IFERROR((VLOOKUP(TableWRRanks32[[#This Row],[Player]],WR!B:O,7,FALSE)),"")</f>
        <v>43.517856856320009</v>
      </c>
      <c r="AL60" s="146">
        <f>IFERROR((VLOOKUP(TableWRRanks32[[#This Row],[Player]],WR!B:O,8,FALSE)),"")</f>
        <v>617.08321022261771</v>
      </c>
      <c r="AM60" s="146">
        <f>IFERROR((VLOOKUP(TableWRRanks32[[#This Row],[Player]],WR!B:O,9,FALSE)),"")</f>
        <v>3.6554999759308808</v>
      </c>
      <c r="AN60" s="147">
        <f>IFERROR((IFERROR(INDEX(TableWRCalcPts[Custom],MATCH(TableWRRanks32[[#This Row],[RK]],TableWRCalcPts[RK],0)),"")),"")</f>
        <v>105.40024930600705</v>
      </c>
      <c r="AO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2.8399787003796142</v>
      </c>
      <c r="AQ60" s="145">
        <v>59</v>
      </c>
      <c r="AR60" s="145" t="str">
        <f>IFERROR(INDEX(TableTECalcPts[PLAYER],MATCH(TableTERanks33[[#This Row],[RK]],TableTECalcPts[RK],0)),"")</f>
        <v>Elijah Higgins</v>
      </c>
      <c r="AS60" s="145" t="str">
        <f>IFERROR(INDEX(TableTECalcPts[TM],MATCH(TableTERanks33[[#This Row],[Player]],TableTECalcPts[PLAYER],0)),"")</f>
        <v>ARI</v>
      </c>
      <c r="AT60" s="145">
        <f>IFERROR(INDEX(TableTECalcPts[BYE],MATCH(TableTERanks33[[#This Row],[Player]],TableTECalcPts[PLAYER],0)),"")</f>
        <v>14</v>
      </c>
      <c r="AU60" s="146">
        <f>IFERROR((VLOOKUP(TableTERanks33[[#This Row],[Player]],TE!B:O,4,FALSE)),"")</f>
        <v>16.122097600000004</v>
      </c>
      <c r="AV60" s="146">
        <f>IFERROR((VLOOKUP(TableTERanks33[[#This Row],[Player]],TE!B:O,5,FALSE)),"")</f>
        <v>11.285468320000001</v>
      </c>
      <c r="AW60" s="146">
        <f>IFERROR((VLOOKUP(TableTERanks33[[#This Row],[Player]],TE!B:O,6,FALSE)),"")</f>
        <v>107.61583109588102</v>
      </c>
      <c r="AX60" s="146">
        <f>IFERROR((VLOOKUP(TableTERanks33[[#This Row],[Player]],TE!B:O,7,FALSE)),"")</f>
        <v>0.67712809920000006</v>
      </c>
      <c r="AY60" s="147">
        <f>IFERROR((IFERROR(INDEX(TableTECalcPts[Custom],MATCH(TableTERanks33[[#This Row],[RK]],TableTECalcPts[RK],0)),"")),"")</f>
        <v>20.467085864788103</v>
      </c>
      <c r="AZ6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1" spans="1:53" x14ac:dyDescent="0.25">
      <c r="A61" s="145">
        <v>60</v>
      </c>
      <c r="B61" s="145" t="str">
        <f>IFERROR(INDEX(TableQBCalcPts[PLAYER],MATCH(TableQBRanks30[[#This Row],[RK]],TableQBCalcPts[RK],0)),"")</f>
        <v>Jalen Milroe</v>
      </c>
      <c r="C61" s="145" t="str">
        <f>IFERROR(INDEX(TableQBCalcPts[TM],MATCH(TableQBRanks30[[#This Row],[Player]],TableQBCalcPts[PLAYER],0)),"")</f>
        <v>SEA</v>
      </c>
      <c r="D61" s="145">
        <f>IFERROR(INDEX(TableQBCalcPts[BYE],MATCH(TableQBRanks30[[#This Row],[Player]],TableQBCalcPts[PLAYER],0)),"")</f>
        <v>11</v>
      </c>
      <c r="E61" s="146">
        <f>IFERROR((VLOOKUP(TableQBRanks30[[#This Row],[Player]],QB!B:O,4,FALSE)),"")</f>
        <v>10.300560000000001</v>
      </c>
      <c r="F61" s="146">
        <f>IFERROR((VLOOKUP(TableQBRanks30[[#This Row],[Player]],QB!B:O,5,FALSE)),"")</f>
        <v>5.7477124800000006</v>
      </c>
      <c r="G61" s="146">
        <f>IFERROR((VLOOKUP(TableQBRanks30[[#This Row],[Player]],QB!B:O,6,FALSE)),"")</f>
        <v>64.834196774399999</v>
      </c>
      <c r="H61" s="146">
        <f>IFERROR((VLOOKUP(TableQBRanks30[[#This Row],[Player]],QB!B:O,7,FALSE)),"")</f>
        <v>0.33336732384000006</v>
      </c>
      <c r="I61" s="146">
        <f>IFERROR((VLOOKUP(TableQBRanks30[[#This Row],[Player]],QB!B:O,8,FALSE)),"")</f>
        <v>0.28841568000000001</v>
      </c>
      <c r="J61" s="146">
        <f>IFERROR((VLOOKUP(TableQBRanks30[[#This Row],[Player]],QB!B:O,9,FALSE)),"")</f>
        <v>0</v>
      </c>
      <c r="K61" s="146">
        <f>IFERROR((VLOOKUP(TableQBRanks30[[#This Row],[Player]],QB!B:O,10,FALSE)),"")</f>
        <v>0</v>
      </c>
      <c r="L61" s="146">
        <f>IFERROR((VLOOKUP(TableQBRanks30[[#This Row],[Player]],QB!B:O,11,FALSE)),"")</f>
        <v>0</v>
      </c>
      <c r="M61" s="147">
        <f>IFERROR(INDEX(TableQBCalcPts[Custom],MATCH(TableQBRanks30[[#This Row],[RK]],TableQBCalcPts[RK],0)),"")</f>
        <v>4.8799273820160005</v>
      </c>
      <c r="N6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1" s="58">
        <v>60</v>
      </c>
      <c r="Q61" s="58" t="str">
        <f>IFERROR(INDEX(TableRBCalcPts[PLAYER],MATCH(TableRBRanks31[[#This Row],[RK]],TableRBCalcPts[RK],0)),"")</f>
        <v>Kaytron Allen</v>
      </c>
      <c r="R61" s="58" t="str">
        <f>IFERROR(INDEX(TableRBCalcPts[TM],MATCH(TableRBRanks31[[#This Row],[Player]],TableRBCalcPts[PLAYER],0)),"")</f>
        <v>WSH</v>
      </c>
      <c r="S61" s="58">
        <f>IFERROR(INDEX(TableRBCalcPts[BYE],MATCH(TableRBRanks31[[#This Row],[Player]],TableRBCalcPts[PLAYER],0)),"")</f>
        <v>7</v>
      </c>
      <c r="T61" s="100">
        <f>IFERROR((VLOOKUP(TableRBRanks31[[#This Row],[Player]],RB!B:O,4,FALSE)),"")</f>
        <v>87.967904640000015</v>
      </c>
      <c r="U61" s="100">
        <f>IFERROR((VLOOKUP(TableRBRanks31[[#This Row],[Player]],RB!B:O,5,FALSE)),"")</f>
        <v>379.14166899840001</v>
      </c>
      <c r="V61" s="100">
        <f>IFERROR((VLOOKUP(TableRBRanks31[[#This Row],[Player]],RB!B:O,6,FALSE)),"")</f>
        <v>2.9029408531200005</v>
      </c>
      <c r="W61" s="100">
        <f>IFERROR((VLOOKUP(TableRBRanks31[[#This Row],[Player]],RB!B:O,7,FALSE)),"")</f>
        <v>7.4673353999999987</v>
      </c>
      <c r="X61" s="100">
        <f>IFERROR((VLOOKUP(TableRBRanks31[[#This Row],[Player]],RB!B:O,8,FALSE)),"")</f>
        <v>5.4362201711999987</v>
      </c>
      <c r="Y61" s="100">
        <f>IFERROR((VLOOKUP(TableRBRanks31[[#This Row],[Player]],RB!B:O,9,FALSE)),"")</f>
        <v>37.020659365871985</v>
      </c>
      <c r="Z61" s="100">
        <f>IFERROR((VLOOKUP(TableRBRanks31[[#This Row],[Player]],RB!B:O,10,FALSE)),"")</f>
        <v>0.15532057631999999</v>
      </c>
      <c r="AA61" s="95">
        <f>IFERROR((IFERROR(INDEX(TableRBCalcPts[Custom],MATCH(TableRBRanks31[[#This Row],[RK]],TableRBCalcPts[RK],0)),"")),"")</f>
        <v>62.6839114986672</v>
      </c>
      <c r="AB6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1" s="145">
        <v>60</v>
      </c>
      <c r="AE61" s="145" t="str">
        <f>IFERROR(INDEX(TableWRCalcPts[PLAYER],MATCH(TableWRRanks32[[#This Row],[RK]],TableWRCalcPts[RK],0)),"")</f>
        <v>Antonio Williams</v>
      </c>
      <c r="AF61" s="145" t="str">
        <f>IFERROR(INDEX(TableWRCalcPts[TM],MATCH(TableWRRanks32[[#This Row],[Player]],TableWRCalcPts[PLAYER],0)),"")</f>
        <v>WSH</v>
      </c>
      <c r="AG61" s="145">
        <f>IFERROR(INDEX(TableWRCalcPts[BYE],MATCH(TableWRRanks32[[#This Row],[Player]],TableWRCalcPts[PLAYER],0)),"")</f>
        <v>7</v>
      </c>
      <c r="AH61" s="146">
        <f>IFERROR((VLOOKUP(TableWRRanks32[[#This Row],[Player]],WR!B:O,4,FALSE)),"")</f>
        <v>0</v>
      </c>
      <c r="AI61" s="146">
        <f>IFERROR((VLOOKUP(TableWRRanks32[[#This Row],[Player]],WR!B:O,5,FALSE)),"")</f>
        <v>0</v>
      </c>
      <c r="AJ61" s="146">
        <f>IFERROR((VLOOKUP(TableWRRanks32[[#This Row],[Player]],WR!B:O,6,FALSE)),"")</f>
        <v>71.686419839999985</v>
      </c>
      <c r="AK61" s="146">
        <f>IFERROR((VLOOKUP(TableWRRanks32[[#This Row],[Player]],WR!B:O,7,FALSE)),"")</f>
        <v>49.320256849919986</v>
      </c>
      <c r="AL61" s="146">
        <f>IFERROR((VLOOKUP(TableWRRanks32[[#This Row],[Player]],WR!B:O,8,FALSE)),"")</f>
        <v>574.5809923015679</v>
      </c>
      <c r="AM61" s="146">
        <f>IFERROR((VLOOKUP(TableWRRanks32[[#This Row],[Player]],WR!B:O,9,FALSE)),"")</f>
        <v>3.6003787500441589</v>
      </c>
      <c r="AN61" s="147">
        <f>IFERROR((IFERROR(INDEX(TableWRCalcPts[Custom],MATCH(TableWRRanks32[[#This Row],[RK]],TableWRCalcPts[RK],0)),"")),"")</f>
        <v>103.72050015538173</v>
      </c>
      <c r="AO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2.5243904734192504</v>
      </c>
      <c r="AQ61" s="145">
        <v>60</v>
      </c>
      <c r="AR61" s="145" t="str">
        <f>IFERROR(INDEX(TableTECalcPts[PLAYER],MATCH(TableTERanks33[[#This Row],[RK]],TableTECalcPts[RK],0)),"")</f>
        <v>Adam Trautman</v>
      </c>
      <c r="AS61" s="145" t="str">
        <f>IFERROR(INDEX(TableTECalcPts[TM],MATCH(TableTERanks33[[#This Row],[Player]],TableTECalcPts[PLAYER],0)),"")</f>
        <v>DEN</v>
      </c>
      <c r="AT61" s="145">
        <f>IFERROR(INDEX(TableTECalcPts[BYE],MATCH(TableTERanks33[[#This Row],[Player]],TableTECalcPts[PLAYER],0)),"")</f>
        <v>10</v>
      </c>
      <c r="AU61" s="146">
        <f>IFERROR((VLOOKUP(TableTERanks33[[#This Row],[Player]],TE!B:O,4,FALSE)),"")</f>
        <v>14.837462640000002</v>
      </c>
      <c r="AV61" s="146">
        <f>IFERROR((VLOOKUP(TableTERanks33[[#This Row],[Player]],TE!B:O,5,FALSE)),"")</f>
        <v>11.373692313984002</v>
      </c>
      <c r="AW61" s="146">
        <f>IFERROR((VLOOKUP(TableTERanks33[[#This Row],[Player]],TE!B:O,6,FALSE)),"")</f>
        <v>108.73260026428802</v>
      </c>
      <c r="AX61" s="146">
        <f>IFERROR((VLOOKUP(TableTERanks33[[#This Row],[Player]],TE!B:O,7,FALSE)),"")</f>
        <v>0.60280569264115202</v>
      </c>
      <c r="AY61" s="147">
        <f>IFERROR((IFERROR(INDEX(TableTECalcPts[Custom],MATCH(TableTERanks33[[#This Row],[RK]],TableTECalcPts[RK],0)),"")),"")</f>
        <v>20.176940339267716</v>
      </c>
      <c r="AZ6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2" spans="1:53" x14ac:dyDescent="0.25">
      <c r="A62" s="145">
        <v>61</v>
      </c>
      <c r="B62" s="145" t="str">
        <f>IFERROR(INDEX(TableQBCalcPts[PLAYER],MATCH(TableQBRanks30[[#This Row],[RK]],TableQBCalcPts[RK],0)),"")</f>
        <v>Taylen Green</v>
      </c>
      <c r="C62" s="145" t="str">
        <f>IFERROR(INDEX(TableQBCalcPts[TM],MATCH(TableQBRanks30[[#This Row],[Player]],TableQBCalcPts[PLAYER],0)),"")</f>
        <v>CLE</v>
      </c>
      <c r="D62" s="145">
        <f>IFERROR(INDEX(TableQBCalcPts[BYE],MATCH(TableQBRanks30[[#This Row],[Player]],TableQBCalcPts[PLAYER],0)),"")</f>
        <v>11</v>
      </c>
      <c r="E62" s="146">
        <f>IFERROR((VLOOKUP(TableQBRanks30[[#This Row],[Player]],QB!B:O,4,FALSE)),"")</f>
        <v>10.097999999999999</v>
      </c>
      <c r="F62" s="146">
        <f>IFERROR((VLOOKUP(TableQBRanks30[[#This Row],[Player]],QB!B:O,5,FALSE)),"")</f>
        <v>5.7154679999999987</v>
      </c>
      <c r="G62" s="146">
        <f>IFERROR((VLOOKUP(TableQBRanks30[[#This Row],[Player]],QB!B:O,6,FALSE)),"")</f>
        <v>63.041612039999983</v>
      </c>
      <c r="H62" s="146">
        <f>IFERROR((VLOOKUP(TableQBRanks30[[#This Row],[Player]],QB!B:O,7,FALSE)),"")</f>
        <v>0.3029198039999999</v>
      </c>
      <c r="I62" s="146">
        <f>IFERROR((VLOOKUP(TableQBRanks30[[#This Row],[Player]],QB!B:O,8,FALSE)),"")</f>
        <v>0.32313599999999998</v>
      </c>
      <c r="J62" s="146">
        <f>IFERROR((VLOOKUP(TableQBRanks30[[#This Row],[Player]],QB!B:O,9,FALSE)),"")</f>
        <v>0</v>
      </c>
      <c r="K62" s="146">
        <f>IFERROR((VLOOKUP(TableQBRanks30[[#This Row],[Player]],QB!B:O,10,FALSE)),"")</f>
        <v>0</v>
      </c>
      <c r="L62" s="146">
        <f>IFERROR((VLOOKUP(TableQBRanks30[[#This Row],[Player]],QB!B:O,11,FALSE)),"")</f>
        <v>0</v>
      </c>
      <c r="M62" s="147">
        <f>IFERROR(INDEX(TableQBCalcPts[Custom],MATCH(TableQBRanks30[[#This Row],[RK]],TableQBCalcPts[RK],0)),"")</f>
        <v>4.5875941055999991</v>
      </c>
      <c r="N6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2" s="58">
        <v>61</v>
      </c>
      <c r="Q62" s="58" t="str">
        <f>IFERROR(INDEX(TableRBCalcPts[PLAYER],MATCH(TableRBRanks31[[#This Row],[RK]],TableRBCalcPts[RK],0)),"")</f>
        <v>Emari Demercado</v>
      </c>
      <c r="R62" s="58" t="str">
        <f>IFERROR(INDEX(TableRBCalcPts[TM],MATCH(TableRBRanks31[[#This Row],[Player]],TableRBCalcPts[PLAYER],0)),"")</f>
        <v>KC</v>
      </c>
      <c r="S62" s="58">
        <f>IFERROR(INDEX(TableRBCalcPts[BYE],MATCH(TableRBRanks31[[#This Row],[Player]],TableRBCalcPts[PLAYER],0)),"")</f>
        <v>5</v>
      </c>
      <c r="T62" s="100">
        <f>IFERROR((VLOOKUP(TableRBRanks31[[#This Row],[Player]],RB!B:O,4,FALSE)),"")</f>
        <v>42.841606500000012</v>
      </c>
      <c r="U62" s="100">
        <f>IFERROR((VLOOKUP(TableRBRanks31[[#This Row],[Player]],RB!B:O,5,FALSE)),"")</f>
        <v>170.08117780500007</v>
      </c>
      <c r="V62" s="100">
        <f>IFERROR((VLOOKUP(TableRBRanks31[[#This Row],[Player]],RB!B:O,6,FALSE)),"")</f>
        <v>1.3709314080000004</v>
      </c>
      <c r="W62" s="100">
        <f>IFERROR((VLOOKUP(TableRBRanks31[[#This Row],[Player]],RB!B:O,7,FALSE)),"")</f>
        <v>28.102871999999998</v>
      </c>
      <c r="X62" s="100">
        <f>IFERROR((VLOOKUP(TableRBRanks31[[#This Row],[Player]],RB!B:O,8,FALSE)),"")</f>
        <v>20.571302304</v>
      </c>
      <c r="Y62" s="100">
        <f>IFERROR((VLOOKUP(TableRBRanks31[[#This Row],[Player]],RB!B:O,9,FALSE)),"")</f>
        <v>144.41054217407998</v>
      </c>
      <c r="Z62" s="100">
        <f>IFERROR((VLOOKUP(TableRBRanks31[[#This Row],[Player]],RB!B:O,10,FALSE)),"")</f>
        <v>0.82285209215999999</v>
      </c>
      <c r="AA62" s="95">
        <f>IFERROR((IFERROR(INDEX(TableRBCalcPts[Custom],MATCH(TableRBRanks31[[#This Row],[RK]],TableRBCalcPts[RK],0)),"")),"")</f>
        <v>54.897524150868009</v>
      </c>
      <c r="AB6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2" s="145">
        <v>61</v>
      </c>
      <c r="AE62" s="145" t="str">
        <f>IFERROR(INDEX(TableWRCalcPts[PLAYER],MATCH(TableWRRanks32[[#This Row],[RK]],TableWRCalcPts[RK],0)),"")</f>
        <v>Jalen Nailor</v>
      </c>
      <c r="AF62" s="145" t="str">
        <f>IFERROR(INDEX(TableWRCalcPts[TM],MATCH(TableWRRanks32[[#This Row],[Player]],TableWRCalcPts[PLAYER],0)),"")</f>
        <v>LV</v>
      </c>
      <c r="AG62" s="145">
        <f>IFERROR(INDEX(TableWRCalcPts[BYE],MATCH(TableWRRanks32[[#This Row],[Player]],TableWRCalcPts[PLAYER],0)),"")</f>
        <v>13</v>
      </c>
      <c r="AH62" s="146">
        <f>IFERROR((VLOOKUP(TableWRRanks32[[#This Row],[Player]],WR!B:O,4,FALSE)),"")</f>
        <v>0</v>
      </c>
      <c r="AI62" s="146">
        <f>IFERROR((VLOOKUP(TableWRRanks32[[#This Row],[Player]],WR!B:O,5,FALSE)),"")</f>
        <v>0</v>
      </c>
      <c r="AJ62" s="146">
        <f>IFERROR((VLOOKUP(TableWRRanks32[[#This Row],[Player]],WR!B:O,6,FALSE)),"")</f>
        <v>78.379176959999995</v>
      </c>
      <c r="AK62" s="146">
        <f>IFERROR((VLOOKUP(TableWRRanks32[[#This Row],[Player]],WR!B:O,7,FALSE)),"")</f>
        <v>47.654539591679999</v>
      </c>
      <c r="AL62" s="146">
        <f>IFERROR((VLOOKUP(TableWRRanks32[[#This Row],[Player]],WR!B:O,8,FALSE)),"")</f>
        <v>608.07192518983675</v>
      </c>
      <c r="AM62" s="146">
        <f>IFERROR((VLOOKUP(TableWRRanks32[[#This Row],[Player]],WR!B:O,9,FALSE)),"")</f>
        <v>3.0975450734591998</v>
      </c>
      <c r="AN62" s="147">
        <f>IFERROR((IFERROR(INDEX(TableWRCalcPts[Custom],MATCH(TableWRRanks32[[#This Row],[RK]],TableWRCalcPts[RK],0)),"")),"")</f>
        <v>103.21973275557887</v>
      </c>
      <c r="AO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2.4303072016613805</v>
      </c>
      <c r="AQ62" s="145">
        <v>61</v>
      </c>
      <c r="AR62" s="145" t="str">
        <f>IFERROR(INDEX(TableTECalcPts[PLAYER],MATCH(TableTERanks33[[#This Row],[RK]],TableTECalcPts[RK],0)),"")</f>
        <v>Tanner Koziol</v>
      </c>
      <c r="AS62" s="145" t="str">
        <f>IFERROR(INDEX(TableTECalcPts[TM],MATCH(TableTERanks33[[#This Row],[Player]],TableTECalcPts[PLAYER],0)),"")</f>
        <v>JAX</v>
      </c>
      <c r="AT62" s="145">
        <f>IFERROR(INDEX(TableTECalcPts[BYE],MATCH(TableTERanks33[[#This Row],[Player]],TableTECalcPts[PLAYER],0)),"")</f>
        <v>7</v>
      </c>
      <c r="AU62" s="146">
        <f>IFERROR((VLOOKUP(TableTERanks33[[#This Row],[Player]],TE!B:O,4,FALSE)),"")</f>
        <v>16.790192999999999</v>
      </c>
      <c r="AV62" s="146">
        <f>IFERROR((VLOOKUP(TableTERanks33[[#This Row],[Player]],TE!B:O,5,FALSE)),"")</f>
        <v>10.611401976</v>
      </c>
      <c r="AW62" s="146">
        <f>IFERROR((VLOOKUP(TableTERanks33[[#This Row],[Player]],TE!B:O,6,FALSE)),"")</f>
        <v>106.22013377975999</v>
      </c>
      <c r="AX62" s="146">
        <f>IFERROR((VLOOKUP(TableTERanks33[[#This Row],[Player]],TE!B:O,7,FALSE)),"")</f>
        <v>0.63668411855999996</v>
      </c>
      <c r="AY62" s="147">
        <f>IFERROR((IFERROR(INDEX(TableTECalcPts[Custom],MATCH(TableTERanks33[[#This Row],[RK]],TableTECalcPts[RK],0)),"")),"")</f>
        <v>19.747819077336001</v>
      </c>
      <c r="AZ6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3" spans="1:53" x14ac:dyDescent="0.25">
      <c r="A63" s="145">
        <v>62</v>
      </c>
      <c r="B63" s="145" t="str">
        <f>IFERROR(INDEX(TableQBCalcPts[PLAYER],MATCH(TableQBRanks30[[#This Row],[RK]],TableQBCalcPts[RK],0)),"")</f>
        <v>Davis Mills</v>
      </c>
      <c r="C63" s="145" t="str">
        <f>IFERROR(INDEX(TableQBCalcPts[TM],MATCH(TableQBRanks30[[#This Row],[Player]],TableQBCalcPts[PLAYER],0)),"")</f>
        <v>HOU</v>
      </c>
      <c r="D63" s="145">
        <f>IFERROR(INDEX(TableQBCalcPts[BYE],MATCH(TableQBRanks30[[#This Row],[Player]],TableQBCalcPts[PLAYER],0)),"")</f>
        <v>8</v>
      </c>
      <c r="E63" s="146">
        <f>IFERROR((VLOOKUP(TableQBRanks30[[#This Row],[Player]],QB!B:O,4,FALSE)),"")</f>
        <v>5.8457699999999999</v>
      </c>
      <c r="F63" s="146">
        <f>IFERROR((VLOOKUP(TableQBRanks30[[#This Row],[Player]],QB!B:O,5,FALSE)),"")</f>
        <v>3.3520408239830131</v>
      </c>
      <c r="G63" s="146">
        <f>IFERROR((VLOOKUP(TableQBRanks30[[#This Row],[Player]],QB!B:O,6,FALSE)),"")</f>
        <v>34.323580975413506</v>
      </c>
      <c r="H63" s="146">
        <f>IFERROR((VLOOKUP(TableQBRanks30[[#This Row],[Player]],QB!B:O,7,FALSE)),"")</f>
        <v>0.20095651005811357</v>
      </c>
      <c r="I63" s="146">
        <f>IFERROR((VLOOKUP(TableQBRanks30[[#This Row],[Player]],QB!B:O,8,FALSE)),"")</f>
        <v>0.10661931873044257</v>
      </c>
      <c r="J63" s="146">
        <f>IFERROR((VLOOKUP(TableQBRanks30[[#This Row],[Player]],QB!B:O,9,FALSE)),"")</f>
        <v>2.1874727000000003</v>
      </c>
      <c r="K63" s="146">
        <f>IFERROR((VLOOKUP(TableQBRanks30[[#This Row],[Player]],QB!B:O,10,FALSE)),"")</f>
        <v>9.4107618162823758</v>
      </c>
      <c r="L63" s="146">
        <f>IFERROR((VLOOKUP(TableQBRanks30[[#This Row],[Player]],QB!B:O,11,FALSE)),"")</f>
        <v>8.7056715161086554E-2</v>
      </c>
      <c r="M63" s="147">
        <f>IFERROR(INDEX(TableQBCalcPts[Custom],MATCH(TableQBRanks30[[#This Row],[RK]],TableQBCalcPts[RK],0)),"")</f>
        <v>4.2706835356278372</v>
      </c>
      <c r="N6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3" s="58">
        <v>62</v>
      </c>
      <c r="Q63" s="58" t="str">
        <f>IFERROR(INDEX(TableRBCalcPts[PLAYER],MATCH(TableRBRanks31[[#This Row],[RK]],TableRBCalcPts[RK],0)),"")</f>
        <v>Nicholas Singleton</v>
      </c>
      <c r="R63" s="58" t="str">
        <f>IFERROR(INDEX(TableRBCalcPts[TM],MATCH(TableRBRanks31[[#This Row],[Player]],TableRBCalcPts[PLAYER],0)),"")</f>
        <v>TEN</v>
      </c>
      <c r="S63" s="58">
        <f>IFERROR(INDEX(TableRBCalcPts[BYE],MATCH(TableRBRanks31[[#This Row],[Player]],TableRBCalcPts[PLAYER],0)),"")</f>
        <v>9</v>
      </c>
      <c r="T63" s="100">
        <f>IFERROR((VLOOKUP(TableRBRanks31[[#This Row],[Player]],RB!B:O,4,FALSE)),"")</f>
        <v>71.053355519999997</v>
      </c>
      <c r="U63" s="100">
        <f>IFERROR((VLOOKUP(TableRBRanks31[[#This Row],[Player]],RB!B:O,5,FALSE)),"")</f>
        <v>302.68729451519999</v>
      </c>
      <c r="V63" s="100">
        <f>IFERROR((VLOOKUP(TableRBRanks31[[#This Row],[Player]],RB!B:O,6,FALSE)),"")</f>
        <v>2.1316006655999997</v>
      </c>
      <c r="W63" s="100">
        <f>IFERROR((VLOOKUP(TableRBRanks31[[#This Row],[Player]],RB!B:O,7,FALSE)),"")</f>
        <v>8.2385856000000004</v>
      </c>
      <c r="X63" s="100">
        <f>IFERROR((VLOOKUP(TableRBRanks31[[#This Row],[Player]],RB!B:O,8,FALSE)),"")</f>
        <v>6.014167488</v>
      </c>
      <c r="Y63" s="100">
        <f>IFERROR((VLOOKUP(TableRBRanks31[[#This Row],[Player]],RB!B:O,9,FALSE)),"")</f>
        <v>37.347980100480001</v>
      </c>
      <c r="Z63" s="100">
        <f>IFERROR((VLOOKUP(TableRBRanks31[[#This Row],[Player]],RB!B:O,10,FALSE)),"")</f>
        <v>0.18042502463999999</v>
      </c>
      <c r="AA63" s="95">
        <f>IFERROR((IFERROR(INDEX(TableRBCalcPts[Custom],MATCH(TableRBRanks31[[#This Row],[RK]],TableRBCalcPts[RK],0)),"")),"")</f>
        <v>50.882765347008004</v>
      </c>
      <c r="AB6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3" s="145">
        <v>62</v>
      </c>
      <c r="AE63" s="145" t="str">
        <f>IFERROR(INDEX(TableWRCalcPts[PLAYER],MATCH(TableWRRanks32[[#This Row],[RK]],TableWRCalcPts[RK],0)),"")</f>
        <v>Adonai Mitchell</v>
      </c>
      <c r="AF63" s="145" t="str">
        <f>IFERROR(INDEX(TableWRCalcPts[TM],MATCH(TableWRRanks32[[#This Row],[Player]],TableWRCalcPts[PLAYER],0)),"")</f>
        <v>NYJ</v>
      </c>
      <c r="AG63" s="145">
        <f>IFERROR(INDEX(TableWRCalcPts[BYE],MATCH(TableWRRanks32[[#This Row],[Player]],TableWRCalcPts[PLAYER],0)),"")</f>
        <v>13</v>
      </c>
      <c r="AH63" s="146">
        <f>IFERROR((VLOOKUP(TableWRRanks32[[#This Row],[Player]],WR!B:O,4,FALSE)),"")</f>
        <v>0</v>
      </c>
      <c r="AI63" s="146">
        <f>IFERROR((VLOOKUP(TableWRRanks32[[#This Row],[Player]],WR!B:O,5,FALSE)),"")</f>
        <v>0</v>
      </c>
      <c r="AJ63" s="146">
        <f>IFERROR((VLOOKUP(TableWRRanks32[[#This Row],[Player]],WR!B:O,6,FALSE)),"")</f>
        <v>73.621647963709975</v>
      </c>
      <c r="AK63" s="146">
        <f>IFERROR((VLOOKUP(TableWRRanks32[[#This Row],[Player]],WR!B:O,7,FALSE)),"")</f>
        <v>46.052929941825305</v>
      </c>
      <c r="AL63" s="146">
        <f>IFERROR((VLOOKUP(TableWRRanks32[[#This Row],[Player]],WR!B:O,8,FALSE)),"")</f>
        <v>592.50297024416</v>
      </c>
      <c r="AM63" s="146">
        <f>IFERROR((VLOOKUP(TableWRRanks32[[#This Row],[Player]],WR!B:O,9,FALSE)),"")</f>
        <v>3.2697580258695962</v>
      </c>
      <c r="AN63" s="147">
        <f>IFERROR((IFERROR(INDEX(TableWRCalcPts[Custom],MATCH(TableWRRanks32[[#This Row],[RK]],TableWRCalcPts[RK],0)),"")),"")</f>
        <v>101.89531015054624</v>
      </c>
      <c r="AO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2.1814770822873797</v>
      </c>
      <c r="AQ63" s="145">
        <v>62</v>
      </c>
      <c r="AR63" s="145" t="str">
        <f>IFERROR(INDEX(TableTECalcPts[PLAYER],MATCH(TableTERanks33[[#This Row],[RK]],TableTECalcPts[RK],0)),"")</f>
        <v>Brock Wright</v>
      </c>
      <c r="AS63" s="145" t="str">
        <f>IFERROR(INDEX(TableTECalcPts[TM],MATCH(TableTERanks33[[#This Row],[Player]],TableTECalcPts[PLAYER],0)),"")</f>
        <v>DET</v>
      </c>
      <c r="AT63" s="145">
        <f>IFERROR(INDEX(TableTECalcPts[BYE],MATCH(TableTERanks33[[#This Row],[Player]],TableTECalcPts[PLAYER],0)),"")</f>
        <v>6</v>
      </c>
      <c r="AU63" s="146">
        <f>IFERROR((VLOOKUP(TableTERanks33[[#This Row],[Player]],TE!B:O,4,FALSE)),"")</f>
        <v>14.635319999999998</v>
      </c>
      <c r="AV63" s="146">
        <f>IFERROR((VLOOKUP(TableTERanks33[[#This Row],[Player]],TE!B:O,5,FALSE)),"")</f>
        <v>10.478889119999998</v>
      </c>
      <c r="AW63" s="146">
        <f>IFERROR((VLOOKUP(TableTERanks33[[#This Row],[Player]],TE!B:O,6,FALSE)),"")</f>
        <v>84.662462233766234</v>
      </c>
      <c r="AX63" s="146">
        <f>IFERROR((VLOOKUP(TableTERanks33[[#This Row],[Player]],TE!B:O,7,FALSE)),"")</f>
        <v>0.75448001663999975</v>
      </c>
      <c r="AY63" s="147">
        <f>IFERROR((IFERROR(INDEX(TableTECalcPts[Custom],MATCH(TableTERanks33[[#This Row],[RK]],TableTECalcPts[RK],0)),"")),"")</f>
        <v>18.232570883216621</v>
      </c>
      <c r="AZ6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4" spans="1:53" x14ac:dyDescent="0.25">
      <c r="A64" s="145">
        <v>63</v>
      </c>
      <c r="B64" s="145" t="str">
        <f>IFERROR(INDEX(TableQBCalcPts[PLAYER],MATCH(TableQBRanks30[[#This Row],[RK]],TableQBCalcPts[RK],0)),"")</f>
        <v>Nick Mullens</v>
      </c>
      <c r="C64" s="145" t="str">
        <f>IFERROR(INDEX(TableQBCalcPts[TM],MATCH(TableQBRanks30[[#This Row],[Player]],TableQBCalcPts[PLAYER],0)),"")</f>
        <v>JAX</v>
      </c>
      <c r="D64" s="145">
        <f>IFERROR(INDEX(TableQBCalcPts[BYE],MATCH(TableQBRanks30[[#This Row],[Player]],TableQBCalcPts[PLAYER],0)),"")</f>
        <v>7</v>
      </c>
      <c r="E64" s="146">
        <f>IFERROR((VLOOKUP(TableQBRanks30[[#This Row],[Player]],QB!B:O,4,FALSE)),"")</f>
        <v>5.7109500000000057</v>
      </c>
      <c r="F64" s="146">
        <f>IFERROR((VLOOKUP(TableQBRanks30[[#This Row],[Player]],QB!B:O,5,FALSE)),"")</f>
        <v>3.9862431000000038</v>
      </c>
      <c r="G64" s="146">
        <f>IFERROR((VLOOKUP(TableQBRanks30[[#This Row],[Player]],QB!B:O,6,FALSE)),"")</f>
        <v>42.453489015000045</v>
      </c>
      <c r="H64" s="146">
        <f>IFERROR((VLOOKUP(TableQBRanks30[[#This Row],[Player]],QB!B:O,7,FALSE)),"")</f>
        <v>0.23598103231579806</v>
      </c>
      <c r="I64" s="146">
        <f>IFERROR((VLOOKUP(TableQBRanks30[[#This Row],[Player]],QB!B:O,8,FALSE)),"")</f>
        <v>0.17418006440389402</v>
      </c>
      <c r="J64" s="146">
        <f>IFERROR((VLOOKUP(TableQBRanks30[[#This Row],[Player]],QB!B:O,9,FALSE)),"")</f>
        <v>0</v>
      </c>
      <c r="K64" s="146">
        <f>IFERROR((VLOOKUP(TableQBRanks30[[#This Row],[Player]],QB!B:O,10,FALSE)),"")</f>
        <v>0</v>
      </c>
      <c r="L64" s="146">
        <f>IFERROR((VLOOKUP(TableQBRanks30[[#This Row],[Player]],QB!B:O,11,FALSE)),"")</f>
        <v>0</v>
      </c>
      <c r="M64" s="147">
        <f>IFERROR(INDEX(TableQBCalcPts[Custom],MATCH(TableQBRanks30[[#This Row],[RK]],TableQBCalcPts[RK],0)),"")</f>
        <v>3.3384700000908967</v>
      </c>
      <c r="N6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4" s="58">
        <v>63</v>
      </c>
      <c r="Q64" s="58" t="str">
        <f>IFERROR(INDEX(TableRBCalcPts[PLAYER],MATCH(TableRBRanks31[[#This Row],[RK]],TableRBCalcPts[RK],0)),"")</f>
        <v>Ray Davis</v>
      </c>
      <c r="R64" s="58" t="str">
        <f>IFERROR(INDEX(TableRBCalcPts[TM],MATCH(TableRBRanks31[[#This Row],[Player]],TableRBCalcPts[PLAYER],0)),"")</f>
        <v>BUF</v>
      </c>
      <c r="S64" s="58">
        <f>IFERROR(INDEX(TableRBCalcPts[BYE],MATCH(TableRBRanks31[[#This Row],[Player]],TableRBCalcPts[PLAYER],0)),"")</f>
        <v>7</v>
      </c>
      <c r="T64" s="100">
        <f>IFERROR((VLOOKUP(TableRBRanks31[[#This Row],[Player]],RB!B:O,4,FALSE)),"")</f>
        <v>54.352152400000001</v>
      </c>
      <c r="U64" s="100">
        <f>IFERROR((VLOOKUP(TableRBRanks31[[#This Row],[Player]],RB!B:O,5,FALSE)),"")</f>
        <v>247.26168301074537</v>
      </c>
      <c r="V64" s="100">
        <f>IFERROR((VLOOKUP(TableRBRanks31[[#This Row],[Player]],RB!B:O,6,FALSE)),"")</f>
        <v>1.6305645719999999</v>
      </c>
      <c r="W64" s="100">
        <f>IFERROR((VLOOKUP(TableRBRanks31[[#This Row],[Player]],RB!B:O,7,FALSE)),"")</f>
        <v>10.725884399999998</v>
      </c>
      <c r="X64" s="100">
        <f>IFERROR((VLOOKUP(TableRBRanks31[[#This Row],[Player]],RB!B:O,8,FALSE)),"")</f>
        <v>8.3018345255999986</v>
      </c>
      <c r="Y64" s="100">
        <f>IFERROR((VLOOKUP(TableRBRanks31[[#This Row],[Player]],RB!B:O,9,FALSE)),"")</f>
        <v>67.659951383639992</v>
      </c>
      <c r="Z64" s="100">
        <f>IFERROR((VLOOKUP(TableRBRanks31[[#This Row],[Player]],RB!B:O,10,FALSE)),"")</f>
        <v>0.5562229132151999</v>
      </c>
      <c r="AA64" s="95">
        <f>IFERROR((IFERROR(INDEX(TableRBCalcPts[Custom],MATCH(TableRBRanks31[[#This Row],[RK]],TableRBCalcPts[RK],0)),"")),"")</f>
        <v>48.763805613529733</v>
      </c>
      <c r="AB6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4" s="145">
        <v>63</v>
      </c>
      <c r="AE64" s="145" t="str">
        <f>IFERROR(INDEX(TableWRCalcPts[PLAYER],MATCH(TableWRRanks32[[#This Row],[RK]],TableWRCalcPts[RK],0)),"")</f>
        <v>Jack Bech</v>
      </c>
      <c r="AF64" s="145" t="str">
        <f>IFERROR(INDEX(TableWRCalcPts[TM],MATCH(TableWRRanks32[[#This Row],[Player]],TableWRCalcPts[PLAYER],0)),"")</f>
        <v>LV</v>
      </c>
      <c r="AG64" s="145">
        <f>IFERROR(INDEX(TableWRCalcPts[BYE],MATCH(TableWRRanks32[[#This Row],[Player]],TableWRCalcPts[PLAYER],0)),"")</f>
        <v>13</v>
      </c>
      <c r="AH64" s="146">
        <f>IFERROR((VLOOKUP(TableWRRanks32[[#This Row],[Player]],WR!B:O,4,FALSE)),"")</f>
        <v>0</v>
      </c>
      <c r="AI64" s="146">
        <f>IFERROR((VLOOKUP(TableWRRanks32[[#This Row],[Player]],WR!B:O,5,FALSE)),"")</f>
        <v>0</v>
      </c>
      <c r="AJ64" s="146">
        <f>IFERROR((VLOOKUP(TableWRRanks32[[#This Row],[Player]],WR!B:O,6,FALSE)),"")</f>
        <v>81.100676159999992</v>
      </c>
      <c r="AK64" s="146">
        <f>IFERROR((VLOOKUP(TableWRRanks32[[#This Row],[Player]],WR!B:O,7,FALSE)),"")</f>
        <v>51.661130713919995</v>
      </c>
      <c r="AL64" s="146">
        <f>IFERROR((VLOOKUP(TableWRRanks32[[#This Row],[Player]],WR!B:O,8,FALSE)),"")</f>
        <v>568.78904916025908</v>
      </c>
      <c r="AM64" s="146">
        <f>IFERROR((VLOOKUP(TableWRRanks32[[#This Row],[Player]],WR!B:O,9,FALSE)),"")</f>
        <v>3.0996678428351996</v>
      </c>
      <c r="AN64" s="147">
        <f>IFERROR((IFERROR(INDEX(TableWRCalcPts[Custom],MATCH(TableWRRanks32[[#This Row],[RK]],TableWRCalcPts[RK],0)),"")),"")</f>
        <v>101.30747732999711</v>
      </c>
      <c r="AO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2.071036117029474</v>
      </c>
      <c r="AQ64" s="145">
        <v>63</v>
      </c>
      <c r="AR64" s="145" t="str">
        <f>IFERROR(INDEX(TableTECalcPts[PLAYER],MATCH(TableTERanks33[[#This Row],[RK]],TableTECalcPts[RK],0)),"")</f>
        <v>Marlin Klein</v>
      </c>
      <c r="AS64" s="145" t="str">
        <f>IFERROR(INDEX(TableTECalcPts[TM],MATCH(TableTERanks33[[#This Row],[Player]],TableTECalcPts[PLAYER],0)),"")</f>
        <v>HOU</v>
      </c>
      <c r="AT64" s="145">
        <f>IFERROR(INDEX(TableTECalcPts[BYE],MATCH(TableTERanks33[[#This Row],[Player]],TableTECalcPts[PLAYER],0)),"")</f>
        <v>8</v>
      </c>
      <c r="AU64" s="146">
        <f>IFERROR((VLOOKUP(TableTERanks33[[#This Row],[Player]],TE!B:O,4,FALSE)),"")</f>
        <v>14.322136500000001</v>
      </c>
      <c r="AV64" s="146">
        <f>IFERROR((VLOOKUP(TableTERanks33[[#This Row],[Player]],TE!B:O,5,FALSE)),"")</f>
        <v>10.31193828</v>
      </c>
      <c r="AW64" s="146">
        <f>IFERROR((VLOOKUP(TableTERanks33[[#This Row],[Player]],TE!B:O,6,FALSE)),"")</f>
        <v>92.80744451999999</v>
      </c>
      <c r="AX64" s="146">
        <f>IFERROR((VLOOKUP(TableTERanks33[[#This Row],[Player]],TE!B:O,7,FALSE)),"")</f>
        <v>0.59809242023999998</v>
      </c>
      <c r="AY64" s="147">
        <f>IFERROR((IFERROR(INDEX(TableTECalcPts[Custom],MATCH(TableTERanks33[[#This Row],[RK]],TableTECalcPts[RK],0)),"")),"")</f>
        <v>18.025268113439999</v>
      </c>
      <c r="AZ6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5" spans="1:53" x14ac:dyDescent="0.25">
      <c r="A65" s="145">
        <v>64</v>
      </c>
      <c r="B65" s="145" t="str">
        <f>IFERROR(INDEX(TableQBCalcPts[PLAYER],MATCH(TableQBRanks30[[#This Row],[RK]],TableQBCalcPts[RK],0)),"")</f>
        <v>Ty Simpson</v>
      </c>
      <c r="C65" s="145" t="str">
        <f>IFERROR(INDEX(TableQBCalcPts[TM],MATCH(TableQBRanks30[[#This Row],[Player]],TableQBCalcPts[PLAYER],0)),"")</f>
        <v>LAR</v>
      </c>
      <c r="D65" s="145">
        <f>IFERROR(INDEX(TableQBCalcPts[BYE],MATCH(TableQBRanks30[[#This Row],[Player]],TableQBCalcPts[PLAYER],0)),"")</f>
        <v>11</v>
      </c>
      <c r="E65" s="146">
        <f>IFERROR((VLOOKUP(TableQBRanks30[[#This Row],[Player]],QB!B:O,4,FALSE)),"")</f>
        <v>5.7680000000000007</v>
      </c>
      <c r="F65" s="146">
        <f>IFERROR((VLOOKUP(TableQBRanks30[[#This Row],[Player]],QB!B:O,5,FALSE)),"")</f>
        <v>3.4781040000000001</v>
      </c>
      <c r="G65" s="146">
        <f>IFERROR((VLOOKUP(TableQBRanks30[[#This Row],[Player]],QB!B:O,6,FALSE)),"")</f>
        <v>37.339305721133357</v>
      </c>
      <c r="H65" s="146">
        <f>IFERROR((VLOOKUP(TableQBRanks30[[#This Row],[Player]],QB!B:O,7,FALSE)),"")</f>
        <v>0.24346728000000004</v>
      </c>
      <c r="I65" s="146">
        <f>IFERROR((VLOOKUP(TableQBRanks30[[#This Row],[Player]],QB!B:O,8,FALSE)),"")</f>
        <v>0.13281394959316628</v>
      </c>
      <c r="J65" s="146">
        <f>IFERROR((VLOOKUP(TableQBRanks30[[#This Row],[Player]],QB!B:O,9,FALSE)),"")</f>
        <v>0</v>
      </c>
      <c r="K65" s="146">
        <f>IFERROR((VLOOKUP(TableQBRanks30[[#This Row],[Player]],QB!B:O,10,FALSE)),"")</f>
        <v>0</v>
      </c>
      <c r="L65" s="146">
        <f>IFERROR((VLOOKUP(TableQBRanks30[[#This Row],[Player]],QB!B:O,11,FALSE)),"")</f>
        <v>0</v>
      </c>
      <c r="M65" s="147">
        <f>IFERROR(INDEX(TableQBCalcPts[Custom],MATCH(TableQBRanks30[[#This Row],[RK]],TableQBCalcPts[RK],0)),"")</f>
        <v>3.1693723592521681</v>
      </c>
      <c r="N6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5" s="58">
        <v>64</v>
      </c>
      <c r="Q65" s="58" t="str">
        <f>IFERROR(INDEX(TableRBCalcPts[PLAYER],MATCH(TableRBRanks31[[#This Row],[RK]],TableRBCalcPts[RK],0)),"")</f>
        <v>Emmett Johnson</v>
      </c>
      <c r="R65" s="58" t="str">
        <f>IFERROR(INDEX(TableRBCalcPts[TM],MATCH(TableRBRanks31[[#This Row],[Player]],TableRBCalcPts[PLAYER],0)),"")</f>
        <v>KC</v>
      </c>
      <c r="S65" s="58">
        <f>IFERROR(INDEX(TableRBCalcPts[BYE],MATCH(TableRBRanks31[[#This Row],[Player]],TableRBCalcPts[PLAYER],0)),"")</f>
        <v>5</v>
      </c>
      <c r="T65" s="100">
        <f>IFERROR((VLOOKUP(TableRBRanks31[[#This Row],[Player]],RB!B:O,4,FALSE)),"")</f>
        <v>39.812401999999999</v>
      </c>
      <c r="U65" s="100">
        <f>IFERROR((VLOOKUP(TableRBRanks31[[#This Row],[Player]],RB!B:O,5,FALSE)),"")</f>
        <v>164.82334427999999</v>
      </c>
      <c r="V65" s="100">
        <f>IFERROR((VLOOKUP(TableRBRanks31[[#This Row],[Player]],RB!B:O,6,FALSE)),"")</f>
        <v>1.3934340700000001</v>
      </c>
      <c r="W65" s="100">
        <f>IFERROR((VLOOKUP(TableRBRanks31[[#This Row],[Player]],RB!B:O,7,FALSE)),"")</f>
        <v>21.077153999999997</v>
      </c>
      <c r="X65" s="100">
        <f>IFERROR((VLOOKUP(TableRBRanks31[[#This Row],[Player]],RB!B:O,8,FALSE)),"")</f>
        <v>15.618171113999997</v>
      </c>
      <c r="Y65" s="100">
        <f>IFERROR((VLOOKUP(TableRBRanks31[[#This Row],[Player]],RB!B:O,9,FALSE)),"")</f>
        <v>112.93139113199999</v>
      </c>
      <c r="Z65" s="100">
        <f>IFERROR((VLOOKUP(TableRBRanks31[[#This Row],[Player]],RB!B:O,10,FALSE)),"")</f>
        <v>0.70281770012999989</v>
      </c>
      <c r="AA65" s="95">
        <f>IFERROR((IFERROR(INDEX(TableRBCalcPts[Custom],MATCH(TableRBRanks31[[#This Row],[RK]],TableRBCalcPts[RK],0)),"")),"")</f>
        <v>48.16206971898</v>
      </c>
      <c r="AB6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5" s="145">
        <v>64</v>
      </c>
      <c r="AE65" s="145" t="str">
        <f>IFERROR(INDEX(TableWRCalcPts[PLAYER],MATCH(TableWRRanks32[[#This Row],[RK]],TableWRCalcPts[RK],0)),"")</f>
        <v>Andrei Iosivas</v>
      </c>
      <c r="AF65" s="145" t="str">
        <f>IFERROR(INDEX(TableWRCalcPts[TM],MATCH(TableWRRanks32[[#This Row],[Player]],TableWRCalcPts[PLAYER],0)),"")</f>
        <v>CIN</v>
      </c>
      <c r="AG65" s="145">
        <f>IFERROR(INDEX(TableWRCalcPts[BYE],MATCH(TableWRRanks32[[#This Row],[Player]],TableWRCalcPts[PLAYER],0)),"")</f>
        <v>6</v>
      </c>
      <c r="AH65" s="146">
        <f>IFERROR((VLOOKUP(TableWRRanks32[[#This Row],[Player]],WR!B:O,4,FALSE)),"")</f>
        <v>11.102636344640434</v>
      </c>
      <c r="AI65" s="146">
        <f>IFERROR((VLOOKUP(TableWRRanks32[[#This Row],[Player]],WR!B:O,5,FALSE)),"")</f>
        <v>3.0905902306648577E-2</v>
      </c>
      <c r="AJ65" s="146">
        <f>IFERROR((VLOOKUP(TableWRRanks32[[#This Row],[Player]],WR!B:O,6,FALSE)),"")</f>
        <v>68.965662499999993</v>
      </c>
      <c r="AK65" s="146">
        <f>IFERROR((VLOOKUP(TableWRRanks32[[#This Row],[Player]],WR!B:O,7,FALSE)),"")</f>
        <v>46.691190297135407</v>
      </c>
      <c r="AL65" s="146">
        <f>IFERROR((VLOOKUP(TableWRRanks32[[#This Row],[Player]],WR!B:O,8,FALSE)),"")</f>
        <v>524.46087475833326</v>
      </c>
      <c r="AM65" s="146">
        <f>IFERROR((VLOOKUP(TableWRRanks32[[#This Row],[Player]],WR!B:O,9,FALSE)),"")</f>
        <v>4.0154423655536444</v>
      </c>
      <c r="AN65" s="147">
        <f>IFERROR((IFERROR(INDEX(TableWRCalcPts[Custom],MATCH(TableWRRanks32[[#This Row],[RK]],TableWRCalcPts[RK],0)),"")),"")</f>
        <v>101.18003586602683</v>
      </c>
      <c r="AO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2.0470926456839802</v>
      </c>
      <c r="AQ65" s="145">
        <v>64</v>
      </c>
      <c r="AR65" s="145" t="str">
        <f>IFERROR(INDEX(TableTECalcPts[PLAYER],MATCH(TableTERanks33[[#This Row],[RK]],TableTECalcPts[RK],0)),"")</f>
        <v>Ben Sinnott</v>
      </c>
      <c r="AS65" s="145" t="str">
        <f>IFERROR(INDEX(TableTECalcPts[TM],MATCH(TableTERanks33[[#This Row],[Player]],TableTECalcPts[PLAYER],0)),"")</f>
        <v>WSH</v>
      </c>
      <c r="AT65" s="145">
        <f>IFERROR(INDEX(TableTECalcPts[BYE],MATCH(TableTERanks33[[#This Row],[Player]],TableTECalcPts[PLAYER],0)),"")</f>
        <v>7</v>
      </c>
      <c r="AU65" s="146">
        <f>IFERROR((VLOOKUP(TableTERanks33[[#This Row],[Player]],TE!B:O,4,FALSE)),"")</f>
        <v>13.939026079999998</v>
      </c>
      <c r="AV65" s="146">
        <f>IFERROR((VLOOKUP(TableTERanks33[[#This Row],[Player]],TE!B:O,5,FALSE)),"")</f>
        <v>9.785196308159998</v>
      </c>
      <c r="AW65" s="146">
        <f>IFERROR((VLOOKUP(TableTERanks33[[#This Row],[Player]],TE!B:O,6,FALSE)),"")</f>
        <v>92.719709704010924</v>
      </c>
      <c r="AX65" s="146">
        <f>IFERROR((VLOOKUP(TableTERanks33[[#This Row],[Player]],TE!B:O,7,FALSE)),"")</f>
        <v>0.60668217110591982</v>
      </c>
      <c r="AY65" s="147">
        <f>IFERROR((IFERROR(INDEX(TableTECalcPts[Custom],MATCH(TableTERanks33[[#This Row],[RK]],TableTECalcPts[RK],0)),"")),"")</f>
        <v>17.804662151116609</v>
      </c>
      <c r="AZ6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6" spans="1:53" x14ac:dyDescent="0.25">
      <c r="A66" s="145">
        <v>65</v>
      </c>
      <c r="B66" s="145" t="str">
        <f>IFERROR(INDEX(TableQBCalcPts[PLAYER],MATCH(TableQBRanks30[[#This Row],[RK]],TableQBCalcPts[RK],0)),"")</f>
        <v>Tyrod Taylor</v>
      </c>
      <c r="C66" s="145" t="str">
        <f>IFERROR(INDEX(TableQBCalcPts[TM],MATCH(TableQBRanks30[[#This Row],[Player]],TableQBCalcPts[PLAYER],0)),"")</f>
        <v>GB</v>
      </c>
      <c r="D66" s="145">
        <f>IFERROR(INDEX(TableQBCalcPts[BYE],MATCH(TableQBRanks30[[#This Row],[Player]],TableQBCalcPts[PLAYER],0)),"")</f>
        <v>11</v>
      </c>
      <c r="E66" s="146">
        <f>IFERROR((VLOOKUP(TableQBRanks30[[#This Row],[Player]],QB!B:O,4,FALSE)),"")</f>
        <v>5.2976400000000048</v>
      </c>
      <c r="F66" s="146">
        <f>IFERROR((VLOOKUP(TableQBRanks30[[#This Row],[Player]],QB!B:O,5,FALSE)),"")</f>
        <v>3.1190413527540626</v>
      </c>
      <c r="G66" s="146">
        <f>IFERROR((VLOOKUP(TableQBRanks30[[#This Row],[Player]],QB!B:O,6,FALSE)),"")</f>
        <v>32.004419264467913</v>
      </c>
      <c r="H66" s="146">
        <f>IFERROR((VLOOKUP(TableQBRanks30[[#This Row],[Player]],QB!B:O,7,FALSE)),"")</f>
        <v>0.21601701880685328</v>
      </c>
      <c r="I66" s="146">
        <f>IFERROR((VLOOKUP(TableQBRanks30[[#This Row],[Player]],QB!B:O,8,FALSE)),"")</f>
        <v>8.1991861152966194E-2</v>
      </c>
      <c r="J66" s="146">
        <f>IFERROR((VLOOKUP(TableQBRanks30[[#This Row],[Player]],QB!B:O,9,FALSE)),"")</f>
        <v>0</v>
      </c>
      <c r="K66" s="146">
        <f>IFERROR((VLOOKUP(TableQBRanks30[[#This Row],[Player]],QB!B:O,10,FALSE)),"")</f>
        <v>0</v>
      </c>
      <c r="L66" s="146">
        <f>IFERROR((VLOOKUP(TableQBRanks30[[#This Row],[Player]],QB!B:O,11,FALSE)),"")</f>
        <v>0</v>
      </c>
      <c r="M66" s="147">
        <f>IFERROR(INDEX(TableQBCalcPts[Custom],MATCH(TableQBRanks30[[#This Row],[RK]],TableQBCalcPts[RK],0)),"")</f>
        <v>2.8061911575422762</v>
      </c>
      <c r="N6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6" s="58">
        <v>65</v>
      </c>
      <c r="Q66" s="58" t="str">
        <f>IFERROR(INDEX(TableRBCalcPts[PLAYER],MATCH(TableRBRanks31[[#This Row],[RK]],TableRBCalcPts[RK],0)),"")</f>
        <v>Ollie Gordon</v>
      </c>
      <c r="R66" s="58" t="str">
        <f>IFERROR(INDEX(TableRBCalcPts[TM],MATCH(TableRBRanks31[[#This Row],[Player]],TableRBCalcPts[PLAYER],0)),"")</f>
        <v>MIA</v>
      </c>
      <c r="S66" s="58">
        <f>IFERROR(INDEX(TableRBCalcPts[BYE],MATCH(TableRBRanks31[[#This Row],[Player]],TableRBCalcPts[PLAYER],0)),"")</f>
        <v>6</v>
      </c>
      <c r="T66" s="100">
        <f>IFERROR((VLOOKUP(TableRBRanks31[[#This Row],[Player]],RB!B:O,4,FALSE)),"")</f>
        <v>82.265393940974334</v>
      </c>
      <c r="U66" s="100">
        <f>IFERROR((VLOOKUP(TableRBRanks31[[#This Row],[Player]],RB!B:O,5,FALSE)),"")</f>
        <v>322.48034424861936</v>
      </c>
      <c r="V66" s="100">
        <f>IFERROR((VLOOKUP(TableRBRanks31[[#This Row],[Player]],RB!B:O,6,FALSE)),"")</f>
        <v>1.8098386667014352</v>
      </c>
      <c r="W66" s="100">
        <f>IFERROR((VLOOKUP(TableRBRanks31[[#This Row],[Player]],RB!B:O,7,FALSE)),"")</f>
        <v>4.9244705999999994</v>
      </c>
      <c r="X66" s="100">
        <f>IFERROR((VLOOKUP(TableRBRanks31[[#This Row],[Player]],RB!B:O,8,FALSE)),"")</f>
        <v>3.6933529499999995</v>
      </c>
      <c r="Y66" s="100">
        <f>IFERROR((VLOOKUP(TableRBRanks31[[#This Row],[Player]],RB!B:O,9,FALSE)),"")</f>
        <v>23.637458879999997</v>
      </c>
      <c r="Z66" s="100">
        <f>IFERROR((VLOOKUP(TableRBRanks31[[#This Row],[Player]],RB!B:O,10,FALSE)),"")</f>
        <v>0.12795832822847683</v>
      </c>
      <c r="AA66" s="95">
        <f>IFERROR((IFERROR(INDEX(TableRBCalcPts[Custom],MATCH(TableRBRanks31[[#This Row],[RK]],TableRBCalcPts[RK],0)),"")),"")</f>
        <v>48.085238757441402</v>
      </c>
      <c r="AB6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6" s="145">
        <v>65</v>
      </c>
      <c r="AE66" s="145" t="str">
        <f>IFERROR(INDEX(TableWRCalcPts[PLAYER],MATCH(TableWRRanks32[[#This Row],[RK]],TableWRCalcPts[RK],0)),"")</f>
        <v>Denzel Boston</v>
      </c>
      <c r="AF66" s="145" t="str">
        <f>IFERROR(INDEX(TableWRCalcPts[TM],MATCH(TableWRRanks32[[#This Row],[Player]],TableWRCalcPts[PLAYER],0)),"")</f>
        <v>CLE</v>
      </c>
      <c r="AG66" s="145">
        <f>IFERROR(INDEX(TableWRCalcPts[BYE],MATCH(TableWRRanks32[[#This Row],[Player]],TableWRCalcPts[PLAYER],0)),"")</f>
        <v>11</v>
      </c>
      <c r="AH66" s="146">
        <f>IFERROR((VLOOKUP(TableWRRanks32[[#This Row],[Player]],WR!B:O,4,FALSE)),"")</f>
        <v>0</v>
      </c>
      <c r="AI66" s="146">
        <f>IFERROR((VLOOKUP(TableWRRanks32[[#This Row],[Player]],WR!B:O,5,FALSE)),"")</f>
        <v>0</v>
      </c>
      <c r="AJ66" s="146">
        <f>IFERROR((VLOOKUP(TableWRRanks32[[#This Row],[Player]],WR!B:O,6,FALSE)),"")</f>
        <v>84.116339999999994</v>
      </c>
      <c r="AK66" s="146">
        <f>IFERROR((VLOOKUP(TableWRRanks32[[#This Row],[Player]],WR!B:O,7,FALSE)),"")</f>
        <v>44.413427519999999</v>
      </c>
      <c r="AL66" s="146">
        <f>IFERROR((VLOOKUP(TableWRRanks32[[#This Row],[Player]],WR!B:O,8,FALSE)),"")</f>
        <v>597.80473441920003</v>
      </c>
      <c r="AM66" s="146">
        <f>IFERROR((VLOOKUP(TableWRRanks32[[#This Row],[Player]],WR!B:O,9,FALSE)),"")</f>
        <v>3.02011307136</v>
      </c>
      <c r="AN66" s="147">
        <f>IFERROR((IFERROR(INDEX(TableWRCalcPts[Custom],MATCH(TableWRRanks32[[#This Row],[RK]],TableWRCalcPts[RK],0)),"")),"")</f>
        <v>100.10786563008</v>
      </c>
      <c r="AO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1.8456552443695218</v>
      </c>
      <c r="AQ66" s="145">
        <v>65</v>
      </c>
      <c r="AR66" s="145" t="str">
        <f>IFERROR(INDEX(TableTECalcPts[PLAYER],MATCH(TableTERanks33[[#This Row],[RK]],TableTECalcPts[RK],0)),"")</f>
        <v>Drew Ogletree</v>
      </c>
      <c r="AS66" s="145" t="str">
        <f>IFERROR(INDEX(TableTECalcPts[TM],MATCH(TableTERanks33[[#This Row],[Player]],TableTECalcPts[PLAYER],0)),"")</f>
        <v>IND</v>
      </c>
      <c r="AT66" s="145">
        <f>IFERROR(INDEX(TableTECalcPts[BYE],MATCH(TableTERanks33[[#This Row],[Player]],TableTECalcPts[PLAYER],0)),"")</f>
        <v>13</v>
      </c>
      <c r="AU66" s="146">
        <f>IFERROR((VLOOKUP(TableTERanks33[[#This Row],[Player]],TE!B:O,4,FALSE)),"")</f>
        <v>13.06536</v>
      </c>
      <c r="AV66" s="146">
        <f>IFERROR((VLOOKUP(TableTERanks33[[#This Row],[Player]],TE!B:O,5,FALSE)),"")</f>
        <v>9.2226070588235309</v>
      </c>
      <c r="AW66" s="146">
        <f>IFERROR((VLOOKUP(TableTERanks33[[#This Row],[Player]],TE!B:O,6,FALSE)),"")</f>
        <v>98.374475294117659</v>
      </c>
      <c r="AX66" s="146">
        <f>IFERROR((VLOOKUP(TableTERanks33[[#This Row],[Player]],TE!B:O,7,FALSE)),"")</f>
        <v>0.46113035294117655</v>
      </c>
      <c r="AY66" s="147">
        <f>IFERROR((IFERROR(INDEX(TableTECalcPts[Custom],MATCH(TableTERanks33[[#This Row],[RK]],TableTECalcPts[RK],0)),"")),"")</f>
        <v>17.215533176470593</v>
      </c>
      <c r="AZ6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7" spans="1:53" x14ac:dyDescent="0.25">
      <c r="A67" s="145">
        <v>66</v>
      </c>
      <c r="B67" s="145" t="str">
        <f>IFERROR(INDEX(TableQBCalcPts[PLAYER],MATCH(TableQBRanks30[[#This Row],[RK]],TableQBCalcPts[RK],0)),"")</f>
        <v>Kyle Allen</v>
      </c>
      <c r="C67" s="145" t="str">
        <f>IFERROR(INDEX(TableQBCalcPts[TM],MATCH(TableQBRanks30[[#This Row],[Player]],TableQBCalcPts[PLAYER],0)),"")</f>
        <v>BUF</v>
      </c>
      <c r="D67" s="145">
        <f>IFERROR(INDEX(TableQBCalcPts[BYE],MATCH(TableQBRanks30[[#This Row],[Player]],TableQBCalcPts[PLAYER],0)),"")</f>
        <v>7</v>
      </c>
      <c r="E67" s="146">
        <f>IFERROR((VLOOKUP(TableQBRanks30[[#This Row],[Player]],QB!B:O,4,FALSE)),"")</f>
        <v>5.2118000000000038</v>
      </c>
      <c r="F67" s="146">
        <f>IFERROR((VLOOKUP(TableQBRanks30[[#This Row],[Player]],QB!B:O,5,FALSE)),"")</f>
        <v>2.9969649568986068</v>
      </c>
      <c r="G67" s="146">
        <f>IFERROR((VLOOKUP(TableQBRanks30[[#This Row],[Player]],QB!B:O,6,FALSE)),"")</f>
        <v>32.091403457636829</v>
      </c>
      <c r="H67" s="146">
        <f>IFERROR((VLOOKUP(TableQBRanks30[[#This Row],[Player]],QB!B:O,7,FALSE)),"")</f>
        <v>0.20080707720150515</v>
      </c>
      <c r="I67" s="146">
        <f>IFERROR((VLOOKUP(TableQBRanks30[[#This Row],[Player]],QB!B:O,8,FALSE)),"")</f>
        <v>0.10300981092537037</v>
      </c>
      <c r="J67" s="146">
        <f>IFERROR((VLOOKUP(TableQBRanks30[[#This Row],[Player]],QB!B:O,9,FALSE)),"")</f>
        <v>0</v>
      </c>
      <c r="K67" s="146">
        <f>IFERROR((VLOOKUP(TableQBRanks30[[#This Row],[Player]],QB!B:O,10,FALSE)),"")</f>
        <v>0</v>
      </c>
      <c r="L67" s="146">
        <f>IFERROR((VLOOKUP(TableQBRanks30[[#This Row],[Player]],QB!B:O,11,FALSE)),"")</f>
        <v>0</v>
      </c>
      <c r="M67" s="147">
        <f>IFERROR(INDEX(TableQBCalcPts[Custom],MATCH(TableQBRanks30[[#This Row],[RK]],TableQBCalcPts[RK],0)),"")</f>
        <v>2.685185286278994</v>
      </c>
      <c r="N6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7" s="58">
        <v>66</v>
      </c>
      <c r="Q67" s="58" t="str">
        <f>IFERROR(INDEX(TableRBCalcPts[PLAYER],MATCH(TableRBRanks31[[#This Row],[RK]],TableRBCalcPts[RK],0)),"")</f>
        <v>Jonah Coleman</v>
      </c>
      <c r="R67" s="58" t="str">
        <f>IFERROR(INDEX(TableRBCalcPts[TM],MATCH(TableRBRanks31[[#This Row],[Player]],TableRBCalcPts[PLAYER],0)),"")</f>
        <v>DEN</v>
      </c>
      <c r="S67" s="58">
        <f>IFERROR(INDEX(TableRBCalcPts[BYE],MATCH(TableRBRanks31[[#This Row],[Player]],TableRBCalcPts[PLAYER],0)),"")</f>
        <v>10</v>
      </c>
      <c r="T67" s="100">
        <f>IFERROR((VLOOKUP(TableRBRanks31[[#This Row],[Player]],RB!B:O,4,FALSE)),"")</f>
        <v>55.374476639999997</v>
      </c>
      <c r="U67" s="100">
        <f>IFERROR((VLOOKUP(TableRBRanks31[[#This Row],[Player]],RB!B:O,5,FALSE)),"")</f>
        <v>240.87897338399998</v>
      </c>
      <c r="V67" s="100">
        <f>IFERROR((VLOOKUP(TableRBRanks31[[#This Row],[Player]],RB!B:O,6,FALSE)),"")</f>
        <v>2.32572801888</v>
      </c>
      <c r="W67" s="100">
        <f>IFERROR((VLOOKUP(TableRBRanks31[[#This Row],[Player]],RB!B:O,7,FALSE)),"")</f>
        <v>9.7014178800000028</v>
      </c>
      <c r="X67" s="100">
        <f>IFERROR((VLOOKUP(TableRBRanks31[[#This Row],[Player]],RB!B:O,8,FALSE)),"")</f>
        <v>7.2566605742400023</v>
      </c>
      <c r="Y67" s="100">
        <f>IFERROR((VLOOKUP(TableRBRanks31[[#This Row],[Player]],RB!B:O,9,FALSE)),"")</f>
        <v>50.562817902940751</v>
      </c>
      <c r="Z67" s="100">
        <f>IFERROR((VLOOKUP(TableRBRanks31[[#This Row],[Player]],RB!B:O,10,FALSE)),"")</f>
        <v>0.14307076282588149</v>
      </c>
      <c r="AA67" s="95">
        <f>IFERROR((IFERROR(INDEX(TableRBCalcPts[Custom],MATCH(TableRBRanks31[[#This Row],[RK]],TableRBCalcPts[RK],0)),"")),"")</f>
        <v>47.585302106049355</v>
      </c>
      <c r="AB6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7" s="145">
        <v>66</v>
      </c>
      <c r="AE67" s="145" t="str">
        <f>IFERROR(INDEX(TableWRCalcPts[PLAYER],MATCH(TableWRRanks32[[#This Row],[RK]],TableWRCalcPts[RK],0)),"")</f>
        <v>KC Concepcion</v>
      </c>
      <c r="AF67" s="145" t="str">
        <f>IFERROR(INDEX(TableWRCalcPts[TM],MATCH(TableWRRanks32[[#This Row],[Player]],TableWRCalcPts[PLAYER],0)),"")</f>
        <v>CLE</v>
      </c>
      <c r="AG67" s="145">
        <f>IFERROR(INDEX(TableWRCalcPts[BYE],MATCH(TableWRRanks32[[#This Row],[Player]],TableWRCalcPts[PLAYER],0)),"")</f>
        <v>11</v>
      </c>
      <c r="AH67" s="146">
        <f>IFERROR((VLOOKUP(TableWRRanks32[[#This Row],[Player]],WR!B:O,4,FALSE)),"")</f>
        <v>27.958043076923079</v>
      </c>
      <c r="AI67" s="146">
        <f>IFERROR((VLOOKUP(TableWRRanks32[[#This Row],[Player]],WR!B:O,5,FALSE)),"")</f>
        <v>7.7661230769230774E-2</v>
      </c>
      <c r="AJ67" s="146">
        <f>IFERROR((VLOOKUP(TableWRRanks32[[#This Row],[Player]],WR!B:O,6,FALSE)),"")</f>
        <v>80.157924000000008</v>
      </c>
      <c r="AK67" s="146">
        <f>IFERROR((VLOOKUP(TableWRRanks32[[#This Row],[Player]],WR!B:O,7,FALSE)),"")</f>
        <v>44.167016124000007</v>
      </c>
      <c r="AL67" s="146">
        <f>IFERROR((VLOOKUP(TableWRRanks32[[#This Row],[Player]],WR!B:O,8,FALSE)),"")</f>
        <v>571.46108318056611</v>
      </c>
      <c r="AM67" s="146">
        <f>IFERROR((VLOOKUP(TableWRRanks32[[#This Row],[Player]],WR!B:O,9,FALSE)),"")</f>
        <v>2.9150230641840005</v>
      </c>
      <c r="AN67" s="147">
        <f>IFERROR((IFERROR(INDEX(TableWRCalcPts[Custom],MATCH(TableWRRanks32[[#This Row],[RK]],TableWRCalcPts[RK],0)),"")),"")</f>
        <v>99.98152645746832</v>
      </c>
      <c r="AO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1.8219188695272923</v>
      </c>
      <c r="AQ67" s="145">
        <v>66</v>
      </c>
      <c r="AR67" s="145" t="str">
        <f>IFERROR(INDEX(TableTECalcPts[PLAYER],MATCH(TableTERanks33[[#This Row],[RK]],TableTECalcPts[RK],0)),"")</f>
        <v>Charlie Kolar</v>
      </c>
      <c r="AS67" s="145" t="str">
        <f>IFERROR(INDEX(TableTECalcPts[TM],MATCH(TableTERanks33[[#This Row],[Player]],TableTECalcPts[PLAYER],0)),"")</f>
        <v>LAC</v>
      </c>
      <c r="AT67" s="145">
        <f>IFERROR(INDEX(TableTECalcPts[BYE],MATCH(TableTERanks33[[#This Row],[Player]],TableTECalcPts[PLAYER],0)),"")</f>
        <v>7</v>
      </c>
      <c r="AU67" s="146">
        <f>IFERROR((VLOOKUP(TableTERanks33[[#This Row],[Player]],TE!B:O,4,FALSE)),"")</f>
        <v>10.633823199999998</v>
      </c>
      <c r="AV67" s="146">
        <f>IFERROR((VLOOKUP(TableTERanks33[[#This Row],[Player]],TE!B:O,5,FALSE)),"")</f>
        <v>7.4011409471999983</v>
      </c>
      <c r="AW67" s="146">
        <f>IFERROR((VLOOKUP(TableTERanks33[[#This Row],[Player]],TE!B:O,6,FALSE)),"")</f>
        <v>80.041968762311086</v>
      </c>
      <c r="AX67" s="146">
        <f>IFERROR((VLOOKUP(TableTERanks33[[#This Row],[Player]],TE!B:O,7,FALSE)),"")</f>
        <v>0.52548100725119984</v>
      </c>
      <c r="AY67" s="147">
        <f>IFERROR((IFERROR(INDEX(TableTECalcPts[Custom],MATCH(TableTERanks33[[#This Row],[RK]],TableTECalcPts[RK],0)),"")),"")</f>
        <v>14.857653393338307</v>
      </c>
      <c r="AZ6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8" spans="1:53" x14ac:dyDescent="0.25">
      <c r="A68" s="145">
        <v>67</v>
      </c>
      <c r="B68" s="145" t="str">
        <f>IFERROR(INDEX(TableQBCalcPts[PLAYER],MATCH(TableQBRanks30[[#This Row],[RK]],TableQBCalcPts[RK],0)),"")</f>
        <v>Tanner McKee</v>
      </c>
      <c r="C68" s="145" t="str">
        <f>IFERROR(INDEX(TableQBCalcPts[TM],MATCH(TableQBRanks30[[#This Row],[Player]],TableQBCalcPts[PLAYER],0)),"")</f>
        <v>PHI</v>
      </c>
      <c r="D68" s="145">
        <f>IFERROR(INDEX(TableQBCalcPts[BYE],MATCH(TableQBRanks30[[#This Row],[Player]],TableQBCalcPts[PLAYER],0)),"")</f>
        <v>10</v>
      </c>
      <c r="E68" s="146">
        <f>IFERROR((VLOOKUP(TableQBRanks30[[#This Row],[Player]],QB!B:O,4,FALSE)),"")</f>
        <v>4.90116</v>
      </c>
      <c r="F68" s="146">
        <f>IFERROR((VLOOKUP(TableQBRanks30[[#This Row],[Player]],QB!B:O,5,FALSE)),"")</f>
        <v>3.1024342800000002</v>
      </c>
      <c r="G68" s="146">
        <f>IFERROR((VLOOKUP(TableQBRanks30[[#This Row],[Player]],QB!B:O,6,FALSE)),"")</f>
        <v>32.983774976842106</v>
      </c>
      <c r="H68" s="146">
        <f>IFERROR((VLOOKUP(TableQBRanks30[[#This Row],[Player]],QB!B:O,7,FALSE)),"")</f>
        <v>0.19235092536000001</v>
      </c>
      <c r="I68" s="146">
        <f>IFERROR((VLOOKUP(TableQBRanks30[[#This Row],[Player]],QB!B:O,8,FALSE)),"")</f>
        <v>0.11067135483870967</v>
      </c>
      <c r="J68" s="146">
        <f>IFERROR((VLOOKUP(TableQBRanks30[[#This Row],[Player]],QB!B:O,9,FALSE)),"")</f>
        <v>0</v>
      </c>
      <c r="K68" s="146">
        <f>IFERROR((VLOOKUP(TableQBRanks30[[#This Row],[Player]],QB!B:O,10,FALSE)),"")</f>
        <v>0</v>
      </c>
      <c r="L68" s="146">
        <f>IFERROR((VLOOKUP(TableQBRanks30[[#This Row],[Player]],QB!B:O,11,FALSE)),"")</f>
        <v>0</v>
      </c>
      <c r="M68" s="147">
        <f>IFERROR(INDEX(TableQBCalcPts[Custom],MATCH(TableQBRanks30[[#This Row],[RK]],TableQBCalcPts[RK],0)),"")</f>
        <v>2.6730286243949752</v>
      </c>
      <c r="N6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8" s="58">
        <v>67</v>
      </c>
      <c r="Q68" s="58" t="str">
        <f>IFERROR(INDEX(TableRBCalcPts[PLAYER],MATCH(TableRBRanks31[[#This Row],[RK]],TableRBCalcPts[RK],0)),"")</f>
        <v>Jaydon Blue</v>
      </c>
      <c r="R68" s="58" t="str">
        <f>IFERROR(INDEX(TableRBCalcPts[TM],MATCH(TableRBRanks31[[#This Row],[Player]],TableRBCalcPts[PLAYER],0)),"")</f>
        <v>DAL</v>
      </c>
      <c r="S68" s="58">
        <f>IFERROR(INDEX(TableRBCalcPts[BYE],MATCH(TableRBRanks31[[#This Row],[Player]],TableRBCalcPts[PLAYER],0)),"")</f>
        <v>14</v>
      </c>
      <c r="T68" s="100">
        <f>IFERROR((VLOOKUP(TableRBRanks31[[#This Row],[Player]],RB!B:O,4,FALSE)),"")</f>
        <v>49.580674500000008</v>
      </c>
      <c r="U68" s="100">
        <f>IFERROR((VLOOKUP(TableRBRanks31[[#This Row],[Player]],RB!B:O,5,FALSE)),"")</f>
        <v>203.77657219500006</v>
      </c>
      <c r="V68" s="100">
        <f>IFERROR((VLOOKUP(TableRBRanks31[[#This Row],[Player]],RB!B:O,6,FALSE)),"")</f>
        <v>1.4378395605000003</v>
      </c>
      <c r="W68" s="100">
        <f>IFERROR((VLOOKUP(TableRBRanks31[[#This Row],[Player]],RB!B:O,7,FALSE)),"")</f>
        <v>19.891202099999997</v>
      </c>
      <c r="X68" s="100">
        <f>IFERROR((VLOOKUP(TableRBRanks31[[#This Row],[Player]],RB!B:O,8,FALSE)),"")</f>
        <v>13.289416813547367</v>
      </c>
      <c r="Y68" s="100">
        <f>IFERROR((VLOOKUP(TableRBRanks31[[#This Row],[Player]],RB!B:O,9,FALSE)),"")</f>
        <v>87.045680128735256</v>
      </c>
      <c r="Z68" s="100">
        <f>IFERROR((VLOOKUP(TableRBRanks31[[#This Row],[Player]],RB!B:O,10,FALSE)),"")</f>
        <v>0.3189460035251368</v>
      </c>
      <c r="AA68" s="95">
        <f>IFERROR((IFERROR(INDEX(TableRBCalcPts[Custom],MATCH(TableRBRanks31[[#This Row],[RK]],TableRBCalcPts[RK],0)),"")),"")</f>
        <v>46.267647023298039</v>
      </c>
      <c r="AB6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8" s="145">
        <v>67</v>
      </c>
      <c r="AE68" s="145" t="str">
        <f>IFERROR(INDEX(TableWRCalcPts[PLAYER],MATCH(TableWRRanks32[[#This Row],[RK]],TableWRCalcPts[RK],0)),"")</f>
        <v>Jalen Tolbert</v>
      </c>
      <c r="AF68" s="145" t="str">
        <f>IFERROR(INDEX(TableWRCalcPts[TM],MATCH(TableWRRanks32[[#This Row],[Player]],TableWRCalcPts[PLAYER],0)),"")</f>
        <v>MIA</v>
      </c>
      <c r="AG68" s="145">
        <f>IFERROR(INDEX(TableWRCalcPts[BYE],MATCH(TableWRRanks32[[#This Row],[Player]],TableWRCalcPts[PLAYER],0)),"")</f>
        <v>6</v>
      </c>
      <c r="AH68" s="146">
        <f>IFERROR((VLOOKUP(TableWRRanks32[[#This Row],[Player]],WR!B:O,4,FALSE)),"")</f>
        <v>0</v>
      </c>
      <c r="AI68" s="146">
        <f>IFERROR((VLOOKUP(TableWRRanks32[[#This Row],[Player]],WR!B:O,5,FALSE)),"")</f>
        <v>0</v>
      </c>
      <c r="AJ68" s="146">
        <f>IFERROR((VLOOKUP(TableWRRanks32[[#This Row],[Player]],WR!B:O,6,FALSE)),"")</f>
        <v>70.912376639999991</v>
      </c>
      <c r="AK68" s="146">
        <f>IFERROR((VLOOKUP(TableWRRanks32[[#This Row],[Player]],WR!B:O,7,FALSE)),"")</f>
        <v>48.787715128319988</v>
      </c>
      <c r="AL68" s="146">
        <f>IFERROR((VLOOKUP(TableWRRanks32[[#This Row],[Player]],WR!B:O,8,FALSE)),"")</f>
        <v>566.91324979107821</v>
      </c>
      <c r="AM68" s="146">
        <f>IFERROR((VLOOKUP(TableWRRanks32[[#This Row],[Player]],WR!B:O,9,FALSE)),"")</f>
        <v>3.1224137682124793</v>
      </c>
      <c r="AN68" s="147">
        <f>IFERROR((IFERROR(INDEX(TableWRCalcPts[Custom],MATCH(TableWRRanks32[[#This Row],[RK]],TableWRCalcPts[RK],0)),"")),"")</f>
        <v>99.819665152542697</v>
      </c>
      <c r="AO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1.7915086608268136</v>
      </c>
      <c r="AQ68" s="145">
        <v>67</v>
      </c>
      <c r="AR68" s="145" t="str">
        <f>IFERROR(INDEX(TableTECalcPts[PLAYER],MATCH(TableTERanks33[[#This Row],[RK]],TableTECalcPts[RK],0)),"")</f>
        <v>Oscar Delp</v>
      </c>
      <c r="AS68" s="145" t="str">
        <f>IFERROR(INDEX(TableTECalcPts[TM],MATCH(TableTERanks33[[#This Row],[Player]],TableTECalcPts[PLAYER],0)),"")</f>
        <v>NO</v>
      </c>
      <c r="AT68" s="145">
        <f>IFERROR(INDEX(TableTECalcPts[BYE],MATCH(TableTERanks33[[#This Row],[Player]],TableTECalcPts[PLAYER],0)),"")</f>
        <v>8</v>
      </c>
      <c r="AU68" s="146">
        <f>IFERROR((VLOOKUP(TableTERanks33[[#This Row],[Player]],TE!B:O,4,FALSE)),"")</f>
        <v>10.1556224</v>
      </c>
      <c r="AV68" s="146">
        <f>IFERROR((VLOOKUP(TableTERanks33[[#This Row],[Player]],TE!B:O,5,FALSE)),"")</f>
        <v>7.8299848704000006</v>
      </c>
      <c r="AW68" s="146">
        <f>IFERROR((VLOOKUP(TableTERanks33[[#This Row],[Player]],TE!B:O,6,FALSE)),"")</f>
        <v>70.465419187505162</v>
      </c>
      <c r="AX68" s="146">
        <f>IFERROR((VLOOKUP(TableTERanks33[[#This Row],[Player]],TE!B:O,7,FALSE)),"")</f>
        <v>0.46979909222400001</v>
      </c>
      <c r="AY68" s="147">
        <f>IFERROR((IFERROR(INDEX(TableTECalcPts[Custom],MATCH(TableTERanks33[[#This Row],[RK]],TableTECalcPts[RK],0)),"")),"")</f>
        <v>13.780328907294518</v>
      </c>
      <c r="AZ6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9" spans="1:53" x14ac:dyDescent="0.25">
      <c r="A69" s="145">
        <v>68</v>
      </c>
      <c r="B69" s="145" t="str">
        <f>IFERROR(INDEX(TableQBCalcPts[PLAYER],MATCH(TableQBRanks30[[#This Row],[RK]],TableQBCalcPts[RK],0)),"")</f>
        <v>Zach Wilson</v>
      </c>
      <c r="C69" s="145" t="str">
        <f>IFERROR(INDEX(TableQBCalcPts[TM],MATCH(TableQBRanks30[[#This Row],[Player]],TableQBCalcPts[PLAYER],0)),"")</f>
        <v>NO</v>
      </c>
      <c r="D69" s="145">
        <f>IFERROR(INDEX(TableQBCalcPts[BYE],MATCH(TableQBRanks30[[#This Row],[Player]],TableQBCalcPts[PLAYER],0)),"")</f>
        <v>8</v>
      </c>
      <c r="E69" s="146">
        <f>IFERROR((VLOOKUP(TableQBRanks30[[#This Row],[Player]],QB!B:O,4,FALSE)),"")</f>
        <v>0</v>
      </c>
      <c r="F69" s="146">
        <f>IFERROR((VLOOKUP(TableQBRanks30[[#This Row],[Player]],QB!B:O,5,FALSE)),"")</f>
        <v>0</v>
      </c>
      <c r="G69" s="146">
        <f>IFERROR((VLOOKUP(TableQBRanks30[[#This Row],[Player]],QB!B:O,6,FALSE)),"")</f>
        <v>0</v>
      </c>
      <c r="H69" s="146">
        <f>IFERROR((VLOOKUP(TableQBRanks30[[#This Row],[Player]],QB!B:O,7,FALSE)),"")</f>
        <v>0</v>
      </c>
      <c r="I69" s="146">
        <f>IFERROR((VLOOKUP(TableQBRanks30[[#This Row],[Player]],QB!B:O,8,FALSE)),"")</f>
        <v>0</v>
      </c>
      <c r="J69" s="146">
        <f>IFERROR((VLOOKUP(TableQBRanks30[[#This Row],[Player]],QB!B:O,9,FALSE)),"")</f>
        <v>0</v>
      </c>
      <c r="K69" s="146">
        <f>IFERROR((VLOOKUP(TableQBRanks30[[#This Row],[Player]],QB!B:O,10,FALSE)),"")</f>
        <v>0</v>
      </c>
      <c r="L69" s="146">
        <f>IFERROR((VLOOKUP(TableQBRanks30[[#This Row],[Player]],QB!B:O,11,FALSE)),"")</f>
        <v>0</v>
      </c>
      <c r="M69" s="147">
        <f>IFERROR(INDEX(TableQBCalcPts[Custom],MATCH(TableQBRanks30[[#This Row],[RK]],TableQBCalcPts[RK],0)),"")</f>
        <v>0</v>
      </c>
      <c r="N6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9" s="58">
        <v>68</v>
      </c>
      <c r="Q69" s="58" t="str">
        <f>IFERROR(INDEX(TableRBCalcPts[PLAYER],MATCH(TableRBRanks31[[#This Row],[RK]],TableRBCalcPts[RK],0)),"")</f>
        <v>Kaelon Black</v>
      </c>
      <c r="R69" s="58" t="str">
        <f>IFERROR(INDEX(TableRBCalcPts[TM],MATCH(TableRBRanks31[[#This Row],[Player]],TableRBCalcPts[PLAYER],0)),"")</f>
        <v>SF</v>
      </c>
      <c r="S69" s="58">
        <f>IFERROR(INDEX(TableRBCalcPts[BYE],MATCH(TableRBRanks31[[#This Row],[Player]],TableRBCalcPts[PLAYER],0)),"")</f>
        <v>8</v>
      </c>
      <c r="T69" s="100">
        <f>IFERROR((VLOOKUP(TableRBRanks31[[#This Row],[Player]],RB!B:O,4,FALSE)),"")</f>
        <v>67.384956799999983</v>
      </c>
      <c r="U69" s="100">
        <f>IFERROR((VLOOKUP(TableRBRanks31[[#This Row],[Player]],RB!B:O,5,FALSE)),"")</f>
        <v>274.25677417599996</v>
      </c>
      <c r="V69" s="100">
        <f>IFERROR((VLOOKUP(TableRBRanks31[[#This Row],[Player]],RB!B:O,6,FALSE)),"")</f>
        <v>1.8222914794566203</v>
      </c>
      <c r="W69" s="100">
        <f>IFERROR((VLOOKUP(TableRBRanks31[[#This Row],[Player]],RB!B:O,7,FALSE)),"")</f>
        <v>5.3683616000000001</v>
      </c>
      <c r="X69" s="100">
        <f>IFERROR((VLOOKUP(TableRBRanks31[[#This Row],[Player]],RB!B:O,8,FALSE)),"")</f>
        <v>3.9618508607999998</v>
      </c>
      <c r="Y69" s="100">
        <f>IFERROR((VLOOKUP(TableRBRanks31[[#This Row],[Player]],RB!B:O,9,FALSE)),"")</f>
        <v>27.970667077247999</v>
      </c>
      <c r="Z69" s="100">
        <f>IFERROR((VLOOKUP(TableRBRanks31[[#This Row],[Player]],RB!B:O,10,FALSE)),"")</f>
        <v>0.10531314530767501</v>
      </c>
      <c r="AA69" s="95">
        <f>IFERROR((IFERROR(INDEX(TableRBCalcPts[Custom],MATCH(TableRBRanks31[[#This Row],[RK]],TableRBCalcPts[RK],0)),"")),"")</f>
        <v>43.76929730431057</v>
      </c>
      <c r="AB6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9" s="145">
        <v>68</v>
      </c>
      <c r="AE69" s="145" t="str">
        <f>IFERROR(INDEX(TableWRCalcPts[PLAYER],MATCH(TableWRRanks32[[#This Row],[RK]],TableWRCalcPts[RK],0)),"")</f>
        <v>Caleb Douglas</v>
      </c>
      <c r="AF69" s="145" t="str">
        <f>IFERROR(INDEX(TableWRCalcPts[TM],MATCH(TableWRRanks32[[#This Row],[Player]],TableWRCalcPts[PLAYER],0)),"")</f>
        <v>MIA</v>
      </c>
      <c r="AG69" s="145">
        <f>IFERROR(INDEX(TableWRCalcPts[BYE],MATCH(TableWRRanks32[[#This Row],[Player]],TableWRCalcPts[PLAYER],0)),"")</f>
        <v>6</v>
      </c>
      <c r="AH69" s="146">
        <f>IFERROR((VLOOKUP(TableWRRanks32[[#This Row],[Player]],WR!B:O,4,FALSE)),"")</f>
        <v>0</v>
      </c>
      <c r="AI69" s="146">
        <f>IFERROR((VLOOKUP(TableWRRanks32[[#This Row],[Player]],WR!B:O,5,FALSE)),"")</f>
        <v>0</v>
      </c>
      <c r="AJ69" s="146">
        <f>IFERROR((VLOOKUP(TableWRRanks32[[#This Row],[Player]],WR!B:O,6,FALSE)),"")</f>
        <v>73.37461193999998</v>
      </c>
      <c r="AK69" s="146">
        <f>IFERROR((VLOOKUP(TableWRRanks32[[#This Row],[Player]],WR!B:O,7,FALSE)),"")</f>
        <v>41.530030358039987</v>
      </c>
      <c r="AL69" s="146">
        <f>IFERROR((VLOOKUP(TableWRRanks32[[#This Row],[Player]],WR!B:O,8,FALSE)),"")</f>
        <v>583.08162622688133</v>
      </c>
      <c r="AM69" s="146">
        <f>IFERROR((VLOOKUP(TableWRRanks32[[#This Row],[Player]],WR!B:O,9,FALSE)),"")</f>
        <v>2.7409820036306392</v>
      </c>
      <c r="AN69" s="147">
        <f>IFERROR((IFERROR(INDEX(TableWRCalcPts[Custom],MATCH(TableWRRanks32[[#This Row],[RK]],TableWRCalcPts[RK],0)),"")),"")</f>
        <v>95.519069823491961</v>
      </c>
      <c r="AO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0.98352060245280704</v>
      </c>
      <c r="AQ69" s="145">
        <v>68</v>
      </c>
      <c r="AR69" s="145" t="str">
        <f>IFERROR(INDEX(TableTECalcPts[PLAYER],MATCH(TableTERanks33[[#This Row],[RK]],TableTECalcPts[RK],0)),"")</f>
        <v>Ben Sims</v>
      </c>
      <c r="AS69" s="145" t="str">
        <f>IFERROR(INDEX(TableTECalcPts[TM],MATCH(TableTERanks33[[#This Row],[Player]],TableTECalcPts[PLAYER],0)),"")</f>
        <v>MIA</v>
      </c>
      <c r="AT69" s="145">
        <f>IFERROR(INDEX(TableTECalcPts[BYE],MATCH(TableTERanks33[[#This Row],[Player]],TableTECalcPts[PLAYER],0)),"")</f>
        <v>6</v>
      </c>
      <c r="AU69" s="146">
        <f>IFERROR((VLOOKUP(TableTERanks33[[#This Row],[Player]],TE!B:O,4,FALSE)),"")</f>
        <v>12.311176499999997</v>
      </c>
      <c r="AV69" s="146">
        <f>IFERROR((VLOOKUP(TableTERanks33[[#This Row],[Player]],TE!B:O,5,FALSE)),"")</f>
        <v>7.1035488404999976</v>
      </c>
      <c r="AW69" s="146">
        <f>IFERROR((VLOOKUP(TableTERanks33[[#This Row],[Player]],TE!B:O,6,FALSE)),"")</f>
        <v>66.134039705054974</v>
      </c>
      <c r="AX69" s="146">
        <f>IFERROR((VLOOKUP(TableTERanks33[[#This Row],[Player]],TE!B:O,7,FALSE)),"")</f>
        <v>0.3551774420249999</v>
      </c>
      <c r="AY69" s="147">
        <f>IFERROR((IFERROR(INDEX(TableTECalcPts[Custom],MATCH(TableTERanks33[[#This Row],[RK]],TableTECalcPts[RK],0)),"")),"")</f>
        <v>12.296243042905495</v>
      </c>
      <c r="AZ6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0" spans="1:53" x14ac:dyDescent="0.25">
      <c r="A70" s="145">
        <v>69</v>
      </c>
      <c r="B70" s="145" t="str">
        <f>IFERROR(INDEX(TableQBCalcPts[PLAYER],MATCH(TableQBRanks30[[#This Row],[RK]],TableQBCalcPts[RK],0)),"")</f>
        <v>Drew Allar</v>
      </c>
      <c r="C70" s="145" t="str">
        <f>IFERROR(INDEX(TableQBCalcPts[TM],MATCH(TableQBRanks30[[#This Row],[Player]],TableQBCalcPts[PLAYER],0)),"")</f>
        <v>PIT</v>
      </c>
      <c r="D70" s="145">
        <f>IFERROR(INDEX(TableQBCalcPts[BYE],MATCH(TableQBRanks30[[#This Row],[Player]],TableQBCalcPts[PLAYER],0)),"")</f>
        <v>9</v>
      </c>
      <c r="E70" s="146">
        <f>IFERROR((VLOOKUP(TableQBRanks30[[#This Row],[Player]],QB!B:O,4,FALSE)),"")</f>
        <v>0</v>
      </c>
      <c r="F70" s="146">
        <f>IFERROR((VLOOKUP(TableQBRanks30[[#This Row],[Player]],QB!B:O,5,FALSE)),"")</f>
        <v>0</v>
      </c>
      <c r="G70" s="146">
        <f>IFERROR((VLOOKUP(TableQBRanks30[[#This Row],[Player]],QB!B:O,6,FALSE)),"")</f>
        <v>0</v>
      </c>
      <c r="H70" s="146">
        <f>IFERROR((VLOOKUP(TableQBRanks30[[#This Row],[Player]],QB!B:O,7,FALSE)),"")</f>
        <v>0</v>
      </c>
      <c r="I70" s="146">
        <f>IFERROR((VLOOKUP(TableQBRanks30[[#This Row],[Player]],QB!B:O,8,FALSE)),"")</f>
        <v>0</v>
      </c>
      <c r="J70" s="146">
        <f>IFERROR((VLOOKUP(TableQBRanks30[[#This Row],[Player]],QB!B:O,9,FALSE)),"")</f>
        <v>0</v>
      </c>
      <c r="K70" s="146">
        <f>IFERROR((VLOOKUP(TableQBRanks30[[#This Row],[Player]],QB!B:O,10,FALSE)),"")</f>
        <v>0</v>
      </c>
      <c r="L70" s="146">
        <f>IFERROR((VLOOKUP(TableQBRanks30[[#This Row],[Player]],QB!B:O,11,FALSE)),"")</f>
        <v>0</v>
      </c>
      <c r="M70" s="147">
        <f>IFERROR(INDEX(TableQBCalcPts[Custom],MATCH(TableQBRanks30[[#This Row],[RK]],TableQBCalcPts[RK],0)),"")</f>
        <v>0</v>
      </c>
      <c r="N7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70" s="58">
        <v>69</v>
      </c>
      <c r="Q70" s="58" t="str">
        <f>IFERROR(INDEX(TableRBCalcPts[PLAYER],MATCH(TableRBRanks31[[#This Row],[RK]],TableRBCalcPts[RK],0)),"")</f>
        <v>Demond Claiborne</v>
      </c>
      <c r="R70" s="58" t="str">
        <f>IFERROR(INDEX(TableRBCalcPts[TM],MATCH(TableRBRanks31[[#This Row],[Player]],TableRBCalcPts[PLAYER],0)),"")</f>
        <v>MIN</v>
      </c>
      <c r="S70" s="58">
        <f>IFERROR(INDEX(TableRBCalcPts[BYE],MATCH(TableRBRanks31[[#This Row],[Player]],TableRBCalcPts[PLAYER],0)),"")</f>
        <v>6</v>
      </c>
      <c r="T70" s="100">
        <f>IFERROR((VLOOKUP(TableRBRanks31[[#This Row],[Player]],RB!B:O,4,FALSE)),"")</f>
        <v>30.20551296</v>
      </c>
      <c r="U70" s="100">
        <f>IFERROR((VLOOKUP(TableRBRanks31[[#This Row],[Player]],RB!B:O,5,FALSE)),"")</f>
        <v>129.05991901090908</v>
      </c>
      <c r="V70" s="100">
        <f>IFERROR((VLOOKUP(TableRBRanks31[[#This Row],[Player]],RB!B:O,6,FALSE)),"")</f>
        <v>0.99678192768000007</v>
      </c>
      <c r="W70" s="100">
        <f>IFERROR((VLOOKUP(TableRBRanks31[[#This Row],[Player]],RB!B:O,7,FALSE)),"")</f>
        <v>21.726772480000001</v>
      </c>
      <c r="X70" s="100">
        <f>IFERROR((VLOOKUP(TableRBRanks31[[#This Row],[Player]],RB!B:O,8,FALSE)),"")</f>
        <v>17.012062851840003</v>
      </c>
      <c r="Y70" s="100">
        <f>IFERROR((VLOOKUP(TableRBRanks31[[#This Row],[Player]],RB!B:O,9,FALSE)),"")</f>
        <v>112.27961482214401</v>
      </c>
      <c r="Z70" s="100">
        <f>IFERROR((VLOOKUP(TableRBRanks31[[#This Row],[Player]],RB!B:O,10,FALSE)),"")</f>
        <v>0.51036188555520012</v>
      </c>
      <c r="AA70" s="95">
        <f>IFERROR((IFERROR(INDEX(TableRBCalcPts[Custom],MATCH(TableRBRanks31[[#This Row],[RK]],TableRBCalcPts[RK],0)),"")),"")</f>
        <v>41.682847688636514</v>
      </c>
      <c r="AB7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0" s="145">
        <v>69</v>
      </c>
      <c r="AE70" s="145" t="str">
        <f>IFERROR(INDEX(TableWRCalcPts[PLAYER],MATCH(TableWRRanks32[[#This Row],[RK]],TableWRCalcPts[RK],0)),"")</f>
        <v>Jerry Jeudy</v>
      </c>
      <c r="AF70" s="145" t="str">
        <f>IFERROR(INDEX(TableWRCalcPts[TM],MATCH(TableWRRanks32[[#This Row],[Player]],TableWRCalcPts[PLAYER],0)),"")</f>
        <v>CLE</v>
      </c>
      <c r="AG70" s="145">
        <f>IFERROR(INDEX(TableWRCalcPts[BYE],MATCH(TableWRRanks32[[#This Row],[Player]],TableWRCalcPts[PLAYER],0)),"")</f>
        <v>11</v>
      </c>
      <c r="AH70" s="146">
        <f>IFERROR((VLOOKUP(TableWRRanks32[[#This Row],[Player]],WR!B:O,4,FALSE)),"")</f>
        <v>0</v>
      </c>
      <c r="AI70" s="146">
        <f>IFERROR((VLOOKUP(TableWRRanks32[[#This Row],[Player]],WR!B:O,5,FALSE)),"")</f>
        <v>0</v>
      </c>
      <c r="AJ70" s="146">
        <f>IFERROR((VLOOKUP(TableWRRanks32[[#This Row],[Player]],WR!B:O,6,FALSE)),"")</f>
        <v>83.126735999999994</v>
      </c>
      <c r="AK70" s="146">
        <f>IFERROR((VLOOKUP(TableWRRanks32[[#This Row],[Player]],WR!B:O,7,FALSE)),"")</f>
        <v>45.054690911999998</v>
      </c>
      <c r="AL70" s="146">
        <f>IFERROR((VLOOKUP(TableWRRanks32[[#This Row],[Player]],WR!B:O,8,FALSE)),"")</f>
        <v>554.17269821759999</v>
      </c>
      <c r="AM70" s="146">
        <f>IFERROR((VLOOKUP(TableWRRanks32[[#This Row],[Player]],WR!B:O,9,FALSE)),"")</f>
        <v>2.8835002183679999</v>
      </c>
      <c r="AN70" s="147">
        <f>IFERROR((IFERROR(INDEX(TableWRCalcPts[Custom],MATCH(TableWRRanks32[[#This Row],[RK]],TableWRCalcPts[RK],0)),"")),"")</f>
        <v>95.245616587967987</v>
      </c>
      <c r="AO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0.93214470401972305</v>
      </c>
      <c r="AQ70" s="145">
        <v>69</v>
      </c>
      <c r="AR70" s="145" t="str">
        <f>IFERROR(INDEX(TableTECalcPts[PLAYER],MATCH(TableTERanks33[[#This Row],[RK]],TableTECalcPts[RK],0)),"")</f>
        <v>Payne Durham</v>
      </c>
      <c r="AS70" s="145" t="str">
        <f>IFERROR(INDEX(TableTECalcPts[TM],MATCH(TableTERanks33[[#This Row],[Player]],TableTECalcPts[PLAYER],0)),"")</f>
        <v>TB</v>
      </c>
      <c r="AT70" s="145">
        <f>IFERROR(INDEX(TableTECalcPts[BYE],MATCH(TableTERanks33[[#This Row],[Player]],TableTECalcPts[PLAYER],0)),"")</f>
        <v>10</v>
      </c>
      <c r="AU70" s="146">
        <f>IFERROR((VLOOKUP(TableTERanks33[[#This Row],[Player]],TE!B:O,4,FALSE)),"")</f>
        <v>10.484754419999994</v>
      </c>
      <c r="AV70" s="146">
        <f>IFERROR((VLOOKUP(TableTERanks33[[#This Row],[Player]],TE!B:O,5,FALSE)),"")</f>
        <v>6.1964898622199964</v>
      </c>
      <c r="AW70" s="146">
        <f>IFERROR((VLOOKUP(TableTERanks33[[#This Row],[Player]],TE!B:O,6,FALSE)),"")</f>
        <v>64.38152966846576</v>
      </c>
      <c r="AX70" s="146">
        <f>IFERROR((VLOOKUP(TableTERanks33[[#This Row],[Player]],TE!B:O,7,FALSE)),"")</f>
        <v>0.33461045255987981</v>
      </c>
      <c r="AY70" s="147">
        <f>IFERROR((IFERROR(INDEX(TableTECalcPts[Custom],MATCH(TableTERanks33[[#This Row],[RK]],TableTECalcPts[RK],0)),"")),"")</f>
        <v>11.544060613315855</v>
      </c>
      <c r="AZ7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1" spans="1:53" x14ac:dyDescent="0.25">
      <c r="A71" s="145">
        <v>70</v>
      </c>
      <c r="B71" s="145" t="str">
        <f>IFERROR(INDEX(TableQBCalcPts[PLAYER],MATCH(TableQBRanks30[[#This Row],[RK]],TableQBCalcPts[RK],0)),"")</f>
        <v/>
      </c>
      <c r="C71" s="145" t="str">
        <f>IFERROR(INDEX(TableQBCalcPts[TM],MATCH(TableQBRanks30[[#This Row],[Player]],TableQBCalcPts[PLAYER],0)),"")</f>
        <v/>
      </c>
      <c r="D71" s="145" t="str">
        <f>IFERROR(INDEX(TableQBCalcPts[BYE],MATCH(TableQBRanks30[[#This Row],[Player]],TableQBCalcPts[PLAYER],0)),"")</f>
        <v/>
      </c>
      <c r="E71" s="146" t="str">
        <f>IFERROR((VLOOKUP(TableQBRanks30[[#This Row],[Player]],QB!B:O,4,FALSE)),"")</f>
        <v/>
      </c>
      <c r="F71" s="146" t="str">
        <f>IFERROR((VLOOKUP(TableQBRanks30[[#This Row],[Player]],QB!B:O,5,FALSE)),"")</f>
        <v/>
      </c>
      <c r="G71" s="146" t="str">
        <f>IFERROR((VLOOKUP(TableQBRanks30[[#This Row],[Player]],QB!B:O,6,FALSE)),"")</f>
        <v/>
      </c>
      <c r="H71" s="146" t="str">
        <f>IFERROR((VLOOKUP(TableQBRanks30[[#This Row],[Player]],QB!B:O,7,FALSE)),"")</f>
        <v/>
      </c>
      <c r="I71" s="146" t="str">
        <f>IFERROR((VLOOKUP(TableQBRanks30[[#This Row],[Player]],QB!B:O,8,FALSE)),"")</f>
        <v/>
      </c>
      <c r="J71" s="146" t="str">
        <f>IFERROR((VLOOKUP(TableQBRanks30[[#This Row],[Player]],QB!B:O,9,FALSE)),"")</f>
        <v/>
      </c>
      <c r="K71" s="146" t="str">
        <f>IFERROR((VLOOKUP(TableQBRanks30[[#This Row],[Player]],QB!B:O,10,FALSE)),"")</f>
        <v/>
      </c>
      <c r="L71" s="146" t="str">
        <f>IFERROR((VLOOKUP(TableQBRanks30[[#This Row],[Player]],QB!B:O,11,FALSE)),"")</f>
        <v/>
      </c>
      <c r="M71" s="147" t="str">
        <f>IFERROR(INDEX(TableQBCalcPts[Custom],MATCH(TableQBRanks30[[#This Row],[RK]],TableQBCalcPts[RK],0)),"")</f>
        <v/>
      </c>
      <c r="N71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1" s="58">
        <v>70</v>
      </c>
      <c r="Q71" s="58" t="str">
        <f>IFERROR(INDEX(TableRBCalcPts[PLAYER],MATCH(TableRBRanks31[[#This Row],[RK]],TableRBCalcPts[RK],0)),"")</f>
        <v>Sean Tucker</v>
      </c>
      <c r="R71" s="58" t="str">
        <f>IFERROR(INDEX(TableRBCalcPts[TM],MATCH(TableRBRanks31[[#This Row],[Player]],TableRBCalcPts[PLAYER],0)),"")</f>
        <v>TB</v>
      </c>
      <c r="S71" s="58">
        <f>IFERROR(INDEX(TableRBCalcPts[BYE],MATCH(TableRBRanks31[[#This Row],[Player]],TableRBCalcPts[PLAYER],0)),"")</f>
        <v>10</v>
      </c>
      <c r="T71" s="100">
        <f>IFERROR((VLOOKUP(TableRBRanks31[[#This Row],[Player]],RB!B:O,4,FALSE)),"")</f>
        <v>62.233729879999984</v>
      </c>
      <c r="U71" s="100">
        <f>IFERROR((VLOOKUP(TableRBRanks31[[#This Row],[Player]],RB!B:O,5,FALSE)),"")</f>
        <v>247.06790762359995</v>
      </c>
      <c r="V71" s="100">
        <f>IFERROR((VLOOKUP(TableRBRanks31[[#This Row],[Player]],RB!B:O,6,FALSE)),"")</f>
        <v>2.1159468159199997</v>
      </c>
      <c r="W71" s="100">
        <f>IFERROR((VLOOKUP(TableRBRanks31[[#This Row],[Player]],RB!B:O,7,FALSE)),"")</f>
        <v>1.6554875399999991</v>
      </c>
      <c r="X71" s="100">
        <f>IFERROR((VLOOKUP(TableRBRanks31[[#This Row],[Player]],RB!B:O,8,FALSE)),"")</f>
        <v>1.2416156549999993</v>
      </c>
      <c r="Y71" s="100">
        <f>IFERROR((VLOOKUP(TableRBRanks31[[#This Row],[Player]],RB!B:O,9,FALSE)),"")</f>
        <v>8.8030549939499938</v>
      </c>
      <c r="Z71" s="100">
        <f>IFERROR((VLOOKUP(TableRBRanks31[[#This Row],[Player]],RB!B:O,10,FALSE)),"")</f>
        <v>4.7181394889999971E-2</v>
      </c>
      <c r="AA71" s="95">
        <f>IFERROR((IFERROR(INDEX(TableRBCalcPts[Custom],MATCH(TableRBRanks31[[#This Row],[RK]],TableRBCalcPts[RK],0)),"")),"")</f>
        <v>39.186673354115001</v>
      </c>
      <c r="AB7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1" s="145">
        <v>70</v>
      </c>
      <c r="AE71" s="145" t="str">
        <f>IFERROR(INDEX(TableWRCalcPts[PLAYER],MATCH(TableWRRanks32[[#This Row],[RK]],TableWRCalcPts[RK],0)),"")</f>
        <v>Tre Tucker</v>
      </c>
      <c r="AF71" s="145" t="str">
        <f>IFERROR(INDEX(TableWRCalcPts[TM],MATCH(TableWRRanks32[[#This Row],[Player]],TableWRCalcPts[PLAYER],0)),"")</f>
        <v>LV</v>
      </c>
      <c r="AG71" s="145">
        <f>IFERROR(INDEX(TableWRCalcPts[BYE],MATCH(TableWRRanks32[[#This Row],[Player]],TableWRCalcPts[PLAYER],0)),"")</f>
        <v>13</v>
      </c>
      <c r="AH71" s="146">
        <f>IFERROR((VLOOKUP(TableWRRanks32[[#This Row],[Player]],WR!B:O,4,FALSE)),"")</f>
        <v>67.796032603549392</v>
      </c>
      <c r="AI71" s="146">
        <f>IFERROR((VLOOKUP(TableWRRanks32[[#This Row],[Player]],WR!B:O,5,FALSE)),"")</f>
        <v>0.10898982799104459</v>
      </c>
      <c r="AJ71" s="146">
        <f>IFERROR((VLOOKUP(TableWRRanks32[[#This Row],[Player]],WR!B:O,6,FALSE)),"")</f>
        <v>70.758979200000013</v>
      </c>
      <c r="AK71" s="146">
        <f>IFERROR((VLOOKUP(TableWRRanks32[[#This Row],[Player]],WR!B:O,7,FALSE)),"")</f>
        <v>40.615654060800004</v>
      </c>
      <c r="AL71" s="146">
        <f>IFERROR((VLOOKUP(TableWRRanks32[[#This Row],[Player]],WR!B:O,8,FALSE)),"")</f>
        <v>482.92012678291206</v>
      </c>
      <c r="AM71" s="146">
        <f>IFERROR((VLOOKUP(TableWRRanks32[[#This Row],[Player]],WR!B:O,9,FALSE)),"")</f>
        <v>2.7212488220736004</v>
      </c>
      <c r="AN71" s="147">
        <f>IFERROR((IFERROR(INDEX(TableWRCalcPts[Custom],MATCH(TableWRRanks32[[#This Row],[RK]],TableWRCalcPts[RK],0)),"")),"")</f>
        <v>92.360874869434014</v>
      </c>
      <c r="AO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0.39016465667050115</v>
      </c>
      <c r="AQ71" s="145">
        <v>70</v>
      </c>
      <c r="AR71" s="145" t="str">
        <f>IFERROR(INDEX(TableTECalcPts[PLAYER],MATCH(TableTERanks33[[#This Row],[RK]],TableTECalcPts[RK],0)),"")</f>
        <v>Mo Alie-Cox</v>
      </c>
      <c r="AS71" s="145" t="str">
        <f>IFERROR(INDEX(TableTECalcPts[TM],MATCH(TableTERanks33[[#This Row],[Player]],TableTECalcPts[PLAYER],0)),"")</f>
        <v>IND</v>
      </c>
      <c r="AT71" s="145">
        <f>IFERROR(INDEX(TableTECalcPts[BYE],MATCH(TableTERanks33[[#This Row],[Player]],TableTECalcPts[PLAYER],0)),"")</f>
        <v>13</v>
      </c>
      <c r="AU71" s="146">
        <f>IFERROR((VLOOKUP(TableTERanks33[[#This Row],[Player]],TE!B:O,4,FALSE)),"")</f>
        <v>7.8392159999999995</v>
      </c>
      <c r="AV71" s="146">
        <f>IFERROR((VLOOKUP(TableTERanks33[[#This Row],[Player]],TE!B:O,5,FALSE)),"")</f>
        <v>5.431864032</v>
      </c>
      <c r="AW71" s="146">
        <f>IFERROR((VLOOKUP(TableTERanks33[[#This Row],[Player]],TE!B:O,6,FALSE)),"")</f>
        <v>52.545710560000003</v>
      </c>
      <c r="AX71" s="146">
        <f>IFERROR((VLOOKUP(TableTERanks33[[#This Row],[Player]],TE!B:O,7,FALSE)),"")</f>
        <v>0.36936675417600001</v>
      </c>
      <c r="AY71" s="147">
        <f>IFERROR((IFERROR(INDEX(TableTECalcPts[Custom],MATCH(TableTERanks33[[#This Row],[RK]],TableTECalcPts[RK],0)),"")),"")</f>
        <v>10.186703597056001</v>
      </c>
      <c r="AZ7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2" spans="1:53" x14ac:dyDescent="0.25">
      <c r="A72" s="145">
        <v>71</v>
      </c>
      <c r="B72" s="145" t="str">
        <f>IFERROR(INDEX(TableQBCalcPts[PLAYER],MATCH(TableQBRanks30[[#This Row],[RK]],TableQBCalcPts[RK],0)),"")</f>
        <v/>
      </c>
      <c r="C72" s="145" t="str">
        <f>IFERROR(INDEX(TableQBCalcPts[TM],MATCH(TableQBRanks30[[#This Row],[Player]],TableQBCalcPts[PLAYER],0)),"")</f>
        <v/>
      </c>
      <c r="D72" s="145" t="str">
        <f>IFERROR(INDEX(TableQBCalcPts[BYE],MATCH(TableQBRanks30[[#This Row],[Player]],TableQBCalcPts[PLAYER],0)),"")</f>
        <v/>
      </c>
      <c r="E72" s="146" t="str">
        <f>IFERROR((VLOOKUP(TableQBRanks30[[#This Row],[Player]],QB!B:O,4,FALSE)),"")</f>
        <v/>
      </c>
      <c r="F72" s="146" t="str">
        <f>IFERROR((VLOOKUP(TableQBRanks30[[#This Row],[Player]],QB!B:O,5,FALSE)),"")</f>
        <v/>
      </c>
      <c r="G72" s="146" t="str">
        <f>IFERROR((VLOOKUP(TableQBRanks30[[#This Row],[Player]],QB!B:O,6,FALSE)),"")</f>
        <v/>
      </c>
      <c r="H72" s="146" t="str">
        <f>IFERROR((VLOOKUP(TableQBRanks30[[#This Row],[Player]],QB!B:O,7,FALSE)),"")</f>
        <v/>
      </c>
      <c r="I72" s="146" t="str">
        <f>IFERROR((VLOOKUP(TableQBRanks30[[#This Row],[Player]],QB!B:O,8,FALSE)),"")</f>
        <v/>
      </c>
      <c r="J72" s="146" t="str">
        <f>IFERROR((VLOOKUP(TableQBRanks30[[#This Row],[Player]],QB!B:O,9,FALSE)),"")</f>
        <v/>
      </c>
      <c r="K72" s="146" t="str">
        <f>IFERROR((VLOOKUP(TableQBRanks30[[#This Row],[Player]],QB!B:O,10,FALSE)),"")</f>
        <v/>
      </c>
      <c r="L72" s="146" t="str">
        <f>IFERROR((VLOOKUP(TableQBRanks30[[#This Row],[Player]],QB!B:O,11,FALSE)),"")</f>
        <v/>
      </c>
      <c r="M72" s="147" t="str">
        <f>IFERROR(INDEX(TableQBCalcPts[Custom],MATCH(TableQBRanks30[[#This Row],[RK]],TableQBCalcPts[RK],0)),"")</f>
        <v/>
      </c>
      <c r="N72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2" s="58">
        <v>71</v>
      </c>
      <c r="Q72" s="58" t="str">
        <f>IFERROR(INDEX(TableRBCalcPts[PLAYER],MATCH(TableRBRanks31[[#This Row],[RK]],TableRBCalcPts[RK],0)),"")</f>
        <v>Chris Brooks</v>
      </c>
      <c r="R72" s="58" t="str">
        <f>IFERROR(INDEX(TableRBCalcPts[TM],MATCH(TableRBRanks31[[#This Row],[Player]],TableRBCalcPts[PLAYER],0)),"")</f>
        <v>GB</v>
      </c>
      <c r="S72" s="58">
        <f>IFERROR(INDEX(TableRBCalcPts[BYE],MATCH(TableRBRanks31[[#This Row],[Player]],TableRBCalcPts[PLAYER],0)),"")</f>
        <v>11</v>
      </c>
      <c r="T72" s="100">
        <f>IFERROR((VLOOKUP(TableRBRanks31[[#This Row],[Player]],RB!B:O,4,FALSE)),"")</f>
        <v>41.973403919999996</v>
      </c>
      <c r="U72" s="100">
        <f>IFERROR((VLOOKUP(TableRBRanks31[[#This Row],[Player]],RB!B:O,5,FALSE)),"")</f>
        <v>173.76610074907819</v>
      </c>
      <c r="V72" s="100">
        <f>IFERROR((VLOOKUP(TableRBRanks31[[#This Row],[Player]],RB!B:O,6,FALSE)),"")</f>
        <v>1.1752553097599998</v>
      </c>
      <c r="W72" s="100">
        <f>IFERROR((VLOOKUP(TableRBRanks31[[#This Row],[Player]],RB!B:O,7,FALSE)),"")</f>
        <v>12.000884984924623</v>
      </c>
      <c r="X72" s="100">
        <f>IFERROR((VLOOKUP(TableRBRanks31[[#This Row],[Player]],RB!B:O,8,FALSE)),"")</f>
        <v>10.15849271057235</v>
      </c>
      <c r="Y72" s="100">
        <f>IFERROR((VLOOKUP(TableRBRanks31[[#This Row],[Player]],RB!B:O,9,FALSE)),"")</f>
        <v>67.242907432196887</v>
      </c>
      <c r="Z72" s="100">
        <f>IFERROR((VLOOKUP(TableRBRanks31[[#This Row],[Player]],RB!B:O,10,FALSE)),"")</f>
        <v>0.30238127295348538</v>
      </c>
      <c r="AA72" s="95">
        <f>IFERROR((IFERROR(INDEX(TableRBCalcPts[Custom],MATCH(TableRBRanks31[[#This Row],[RK]],TableRBCalcPts[RK],0)),"")),"")</f>
        <v>38.045966669694593</v>
      </c>
      <c r="AB7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2" s="145">
        <v>71</v>
      </c>
      <c r="AE72" s="145" t="str">
        <f>IFERROR(INDEX(TableWRCalcPts[PLAYER],MATCH(TableWRRanks32[[#This Row],[RK]],TableWRCalcPts[RK],0)),"")</f>
        <v>Germie Bernard</v>
      </c>
      <c r="AF72" s="145" t="str">
        <f>IFERROR(INDEX(TableWRCalcPts[TM],MATCH(TableWRRanks32[[#This Row],[Player]],TableWRCalcPts[PLAYER],0)),"")</f>
        <v>PIT</v>
      </c>
      <c r="AG72" s="145">
        <f>IFERROR(INDEX(TableWRCalcPts[BYE],MATCH(TableWRRanks32[[#This Row],[Player]],TableWRCalcPts[PLAYER],0)),"")</f>
        <v>9</v>
      </c>
      <c r="AH72" s="146">
        <f>IFERROR((VLOOKUP(TableWRRanks32[[#This Row],[Player]],WR!B:O,4,FALSE)),"")</f>
        <v>26.777519999999992</v>
      </c>
      <c r="AI72" s="146">
        <f>IFERROR((VLOOKUP(TableWRRanks32[[#This Row],[Player]],WR!B:O,5,FALSE)),"")</f>
        <v>3.1240439999999991E-2</v>
      </c>
      <c r="AJ72" s="146">
        <f>IFERROR((VLOOKUP(TableWRRanks32[[#This Row],[Player]],WR!B:O,6,FALSE)),"")</f>
        <v>77.249088000000015</v>
      </c>
      <c r="AK72" s="146">
        <f>IFERROR((VLOOKUP(TableWRRanks32[[#This Row],[Player]],WR!B:O,7,FALSE)),"")</f>
        <v>46.394433281620259</v>
      </c>
      <c r="AL72" s="146">
        <f>IFERROR((VLOOKUP(TableWRRanks32[[#This Row],[Player]],WR!B:O,8,FALSE)),"")</f>
        <v>489.92521545390997</v>
      </c>
      <c r="AM72" s="146">
        <f>IFERROR((VLOOKUP(TableWRRanks32[[#This Row],[Player]],WR!B:O,9,FALSE)),"")</f>
        <v>2.8148655019746838</v>
      </c>
      <c r="AN72" s="147">
        <f>IFERROR((IFERROR(INDEX(TableWRCalcPts[Custom],MATCH(TableWRRanks32[[#This Row],[RK]],TableWRCalcPts[RK],0)),"")),"")</f>
        <v>91.944125838049231</v>
      </c>
      <c r="AO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0.31186660374205616</v>
      </c>
      <c r="AQ72" s="145">
        <v>71</v>
      </c>
      <c r="AR72" s="145" t="str">
        <f>IFERROR(INDEX(TableTECalcPts[PLAYER],MATCH(TableTERanks33[[#This Row],[RK]],TableTECalcPts[RK],0)),"")</f>
        <v>Nate Boerkircher</v>
      </c>
      <c r="AS72" s="145" t="str">
        <f>IFERROR(INDEX(TableTECalcPts[TM],MATCH(TableTERanks33[[#This Row],[Player]],TableTECalcPts[PLAYER],0)),"")</f>
        <v>JAX</v>
      </c>
      <c r="AT72" s="145">
        <f>IFERROR(INDEX(TableTECalcPts[BYE],MATCH(TableTERanks33[[#This Row],[Player]],TableTECalcPts[PLAYER],0)),"")</f>
        <v>7</v>
      </c>
      <c r="AU72" s="146">
        <f>IFERROR((VLOOKUP(TableTERanks33[[#This Row],[Player]],TE!B:O,4,FALSE)),"")</f>
        <v>8.3950964999999993</v>
      </c>
      <c r="AV72" s="146">
        <f>IFERROR((VLOOKUP(TableTERanks33[[#This Row],[Player]],TE!B:O,5,FALSE)),"")</f>
        <v>5.2130051308125003</v>
      </c>
      <c r="AW72" s="146">
        <f>IFERROR((VLOOKUP(TableTERanks33[[#This Row],[Player]],TE!B:O,6,FALSE)),"")</f>
        <v>50.983190179346252</v>
      </c>
      <c r="AX72" s="146">
        <f>IFERROR((VLOOKUP(TableTERanks33[[#This Row],[Player]],TE!B:O,7,FALSE)),"")</f>
        <v>0.40140139507256251</v>
      </c>
      <c r="AY72" s="147">
        <f>IFERROR((IFERROR(INDEX(TableTECalcPts[Custom],MATCH(TableTERanks33[[#This Row],[RK]],TableTECalcPts[RK],0)),"")),"")</f>
        <v>10.11322995377625</v>
      </c>
      <c r="AZ7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3" spans="1:53" x14ac:dyDescent="0.25">
      <c r="A73" s="145">
        <v>72</v>
      </c>
      <c r="B73" s="145" t="str">
        <f>IFERROR(INDEX(TableQBCalcPts[PLAYER],MATCH(TableQBRanks30[[#This Row],[RK]],TableQBCalcPts[RK],0)),"")</f>
        <v/>
      </c>
      <c r="C73" s="145" t="str">
        <f>IFERROR(INDEX(TableQBCalcPts[TM],MATCH(TableQBRanks30[[#This Row],[Player]],TableQBCalcPts[PLAYER],0)),"")</f>
        <v/>
      </c>
      <c r="D73" s="145" t="str">
        <f>IFERROR(INDEX(TableQBCalcPts[BYE],MATCH(TableQBRanks30[[#This Row],[Player]],TableQBCalcPts[PLAYER],0)),"")</f>
        <v/>
      </c>
      <c r="E73" s="146" t="str">
        <f>IFERROR((VLOOKUP(TableQBRanks30[[#This Row],[Player]],QB!B:O,4,FALSE)),"")</f>
        <v/>
      </c>
      <c r="F73" s="146" t="str">
        <f>IFERROR((VLOOKUP(TableQBRanks30[[#This Row],[Player]],QB!B:O,5,FALSE)),"")</f>
        <v/>
      </c>
      <c r="G73" s="146" t="str">
        <f>IFERROR((VLOOKUP(TableQBRanks30[[#This Row],[Player]],QB!B:O,6,FALSE)),"")</f>
        <v/>
      </c>
      <c r="H73" s="146" t="str">
        <f>IFERROR((VLOOKUP(TableQBRanks30[[#This Row],[Player]],QB!B:O,7,FALSE)),"")</f>
        <v/>
      </c>
      <c r="I73" s="146" t="str">
        <f>IFERROR((VLOOKUP(TableQBRanks30[[#This Row],[Player]],QB!B:O,8,FALSE)),"")</f>
        <v/>
      </c>
      <c r="J73" s="146" t="str">
        <f>IFERROR((VLOOKUP(TableQBRanks30[[#This Row],[Player]],QB!B:O,9,FALSE)),"")</f>
        <v/>
      </c>
      <c r="K73" s="146" t="str">
        <f>IFERROR((VLOOKUP(TableQBRanks30[[#This Row],[Player]],QB!B:O,10,FALSE)),"")</f>
        <v/>
      </c>
      <c r="L73" s="146" t="str">
        <f>IFERROR((VLOOKUP(TableQBRanks30[[#This Row],[Player]],QB!B:O,11,FALSE)),"")</f>
        <v/>
      </c>
      <c r="M73" s="147" t="str">
        <f>IFERROR(INDEX(TableQBCalcPts[Custom],MATCH(TableQBRanks30[[#This Row],[RK]],TableQBCalcPts[RK],0)),"")</f>
        <v/>
      </c>
      <c r="N73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3" s="58">
        <v>72</v>
      </c>
      <c r="Q73" s="58" t="str">
        <f>IFERROR(INDEX(TableRBCalcPts[PLAYER],MATCH(TableRBRanks31[[#This Row],[RK]],TableRBCalcPts[RK],0)),"")</f>
        <v>Zach Charbonnet</v>
      </c>
      <c r="R73" s="58" t="str">
        <f>IFERROR(INDEX(TableRBCalcPts[TM],MATCH(TableRBRanks31[[#This Row],[Player]],TableRBCalcPts[PLAYER],0)),"")</f>
        <v>SEA</v>
      </c>
      <c r="S73" s="58">
        <f>IFERROR(INDEX(TableRBCalcPts[BYE],MATCH(TableRBRanks31[[#This Row],[Player]],TableRBCalcPts[PLAYER],0)),"")</f>
        <v>11</v>
      </c>
      <c r="T73" s="100">
        <f>IFERROR((VLOOKUP(TableRBRanks31[[#This Row],[Player]],RB!B:O,4,FALSE)),"")</f>
        <v>45.343837387261864</v>
      </c>
      <c r="U73" s="100">
        <f>IFERROR((VLOOKUP(TableRBRanks31[[#This Row],[Player]],RB!B:O,5,FALSE)),"")</f>
        <v>187.37888790166693</v>
      </c>
      <c r="V73" s="100">
        <f>IFERROR((VLOOKUP(TableRBRanks31[[#This Row],[Player]],RB!B:O,6,FALSE)),"")</f>
        <v>1.7230658207159508</v>
      </c>
      <c r="W73" s="100">
        <f>IFERROR((VLOOKUP(TableRBRanks31[[#This Row],[Player]],RB!B:O,7,FALSE)),"")</f>
        <v>7.5709115999999996</v>
      </c>
      <c r="X73" s="100">
        <f>IFERROR((VLOOKUP(TableRBRanks31[[#This Row],[Player]],RB!B:O,8,FALSE)),"")</f>
        <v>5.6176164071999999</v>
      </c>
      <c r="Y73" s="100">
        <f>IFERROR((VLOOKUP(TableRBRanks31[[#This Row],[Player]],RB!B:O,9,FALSE)),"")</f>
        <v>44.835138104922024</v>
      </c>
      <c r="Z73" s="100">
        <f>IFERROR((VLOOKUP(TableRBRanks31[[#This Row],[Player]],RB!B:O,10,FALSE)),"")</f>
        <v>0.18538134143760002</v>
      </c>
      <c r="AA73" s="95">
        <f>IFERROR((IFERROR(INDEX(TableRBCalcPts[Custom],MATCH(TableRBRanks31[[#This Row],[RK]],TableRBCalcPts[RK],0)),"")),"")</f>
        <v>37.480893777180206</v>
      </c>
      <c r="AB7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3" s="145">
        <v>72</v>
      </c>
      <c r="AE73" s="145" t="str">
        <f>IFERROR(INDEX(TableWRCalcPts[PLAYER],MATCH(TableWRRanks32[[#This Row],[RK]],TableWRCalcPts[RK],0)),"")</f>
        <v>Cooper Kupp</v>
      </c>
      <c r="AF73" s="145" t="str">
        <f>IFERROR(INDEX(TableWRCalcPts[TM],MATCH(TableWRRanks32[[#This Row],[Player]],TableWRCalcPts[PLAYER],0)),"")</f>
        <v>SEA</v>
      </c>
      <c r="AG73" s="145">
        <f>IFERROR(INDEX(TableWRCalcPts[BYE],MATCH(TableWRRanks32[[#This Row],[Player]],TableWRCalcPts[PLAYER],0)),"")</f>
        <v>11</v>
      </c>
      <c r="AH73" s="146">
        <f>IFERROR((VLOOKUP(TableWRRanks32[[#This Row],[Player]],WR!B:O,4,FALSE)),"")</f>
        <v>0</v>
      </c>
      <c r="AI73" s="146">
        <f>IFERROR((VLOOKUP(TableWRRanks32[[#This Row],[Player]],WR!B:O,5,FALSE)),"")</f>
        <v>0</v>
      </c>
      <c r="AJ73" s="146">
        <f>IFERROR((VLOOKUP(TableWRRanks32[[#This Row],[Player]],WR!B:O,6,FALSE)),"")</f>
        <v>63.09093</v>
      </c>
      <c r="AK73" s="146">
        <f>IFERROR((VLOOKUP(TableWRRanks32[[#This Row],[Player]],WR!B:O,7,FALSE)),"")</f>
        <v>41.70310473</v>
      </c>
      <c r="AL73" s="146">
        <f>IFERROR((VLOOKUP(TableWRRanks32[[#This Row],[Player]],WR!B:O,8,FALSE)),"")</f>
        <v>507.52678456410001</v>
      </c>
      <c r="AM73" s="146">
        <f>IFERROR((VLOOKUP(TableWRRanks32[[#This Row],[Player]],WR!B:O,9,FALSE)),"")</f>
        <v>3.2111390642099997</v>
      </c>
      <c r="AN73" s="147">
        <f>IFERROR((IFERROR(INDEX(TableWRCalcPts[Custom],MATCH(TableWRRanks32[[#This Row],[RK]],TableWRCalcPts[RK],0)),"")),"")</f>
        <v>90.871065206669996</v>
      </c>
      <c r="AO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0.11026191654702311</v>
      </c>
      <c r="AQ73" s="145">
        <v>72</v>
      </c>
      <c r="AR73" s="145" t="str">
        <f>IFERROR(INDEX(TableTECalcPts[PLAYER],MATCH(TableTERanks33[[#This Row],[RK]],TableTECalcPts[RK],0)),"")</f>
        <v>Sam Roush</v>
      </c>
      <c r="AS73" s="145" t="str">
        <f>IFERROR(INDEX(TableTECalcPts[TM],MATCH(TableTERanks33[[#This Row],[Player]],TableTECalcPts[PLAYER],0)),"")</f>
        <v>CHI</v>
      </c>
      <c r="AT73" s="145">
        <f>IFERROR(INDEX(TableTECalcPts[BYE],MATCH(TableTERanks33[[#This Row],[Player]],TableTECalcPts[PLAYER],0)),"")</f>
        <v>10</v>
      </c>
      <c r="AU73" s="146">
        <f>IFERROR((VLOOKUP(TableTERanks33[[#This Row],[Player]],TE!B:O,4,FALSE)),"")</f>
        <v>8.4590268000000002</v>
      </c>
      <c r="AV73" s="146">
        <f>IFERROR((VLOOKUP(TableTERanks33[[#This Row],[Player]],TE!B:O,5,FALSE)),"")</f>
        <v>5.2445966159999999</v>
      </c>
      <c r="AW73" s="146">
        <f>IFERROR((VLOOKUP(TableTERanks33[[#This Row],[Player]],TE!B:O,6,FALSE)),"")</f>
        <v>51.002181838508641</v>
      </c>
      <c r="AX73" s="146">
        <f>IFERROR((VLOOKUP(TableTERanks33[[#This Row],[Player]],TE!B:O,7,FALSE)),"")</f>
        <v>0.28220248402416165</v>
      </c>
      <c r="AY73" s="147">
        <f>IFERROR((IFERROR(INDEX(TableTECalcPts[Custom],MATCH(TableTERanks33[[#This Row],[RK]],TableTECalcPts[RK],0)),"")),"")</f>
        <v>9.4157313959958344</v>
      </c>
      <c r="AZ7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4" spans="1:53" x14ac:dyDescent="0.25">
      <c r="A74" s="145">
        <v>73</v>
      </c>
      <c r="B74" s="145" t="str">
        <f>IFERROR(INDEX(TableQBCalcPts[PLAYER],MATCH(TableQBRanks30[[#This Row],[RK]],TableQBCalcPts[RK],0)),"")</f>
        <v/>
      </c>
      <c r="C74" s="145" t="str">
        <f>IFERROR(INDEX(TableQBCalcPts[TM],MATCH(TableQBRanks30[[#This Row],[Player]],TableQBCalcPts[PLAYER],0)),"")</f>
        <v/>
      </c>
      <c r="D74" s="145" t="str">
        <f>IFERROR(INDEX(TableQBCalcPts[BYE],MATCH(TableQBRanks30[[#This Row],[Player]],TableQBCalcPts[PLAYER],0)),"")</f>
        <v/>
      </c>
      <c r="E74" s="146" t="str">
        <f>IFERROR((VLOOKUP(TableQBRanks30[[#This Row],[Player]],QB!B:O,4,FALSE)),"")</f>
        <v/>
      </c>
      <c r="F74" s="146" t="str">
        <f>IFERROR((VLOOKUP(TableQBRanks30[[#This Row],[Player]],QB!B:O,5,FALSE)),"")</f>
        <v/>
      </c>
      <c r="G74" s="146" t="str">
        <f>IFERROR((VLOOKUP(TableQBRanks30[[#This Row],[Player]],QB!B:O,6,FALSE)),"")</f>
        <v/>
      </c>
      <c r="H74" s="146" t="str">
        <f>IFERROR((VLOOKUP(TableQBRanks30[[#This Row],[Player]],QB!B:O,7,FALSE)),"")</f>
        <v/>
      </c>
      <c r="I74" s="146" t="str">
        <f>IFERROR((VLOOKUP(TableQBRanks30[[#This Row],[Player]],QB!B:O,8,FALSE)),"")</f>
        <v/>
      </c>
      <c r="J74" s="146" t="str">
        <f>IFERROR((VLOOKUP(TableQBRanks30[[#This Row],[Player]],QB!B:O,9,FALSE)),"")</f>
        <v/>
      </c>
      <c r="K74" s="146" t="str">
        <f>IFERROR((VLOOKUP(TableQBRanks30[[#This Row],[Player]],QB!B:O,10,FALSE)),"")</f>
        <v/>
      </c>
      <c r="L74" s="146" t="str">
        <f>IFERROR((VLOOKUP(TableQBRanks30[[#This Row],[Player]],QB!B:O,11,FALSE)),"")</f>
        <v/>
      </c>
      <c r="M74" s="147" t="str">
        <f>IFERROR(INDEX(TableQBCalcPts[Custom],MATCH(TableQBRanks30[[#This Row],[RK]],TableQBCalcPts[RK],0)),"")</f>
        <v/>
      </c>
      <c r="N74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4" s="58">
        <v>73</v>
      </c>
      <c r="Q74" s="58" t="str">
        <f>IFERROR(INDEX(TableRBCalcPts[PLAYER],MATCH(TableRBRanks31[[#This Row],[RK]],TableRBCalcPts[RK],0)),"")</f>
        <v>Jordan James</v>
      </c>
      <c r="R74" s="58" t="str">
        <f>IFERROR(INDEX(TableRBCalcPts[TM],MATCH(TableRBRanks31[[#This Row],[Player]],TableRBCalcPts[PLAYER],0)),"")</f>
        <v>SF</v>
      </c>
      <c r="S74" s="58">
        <f>IFERROR(INDEX(TableRBCalcPts[BYE],MATCH(TableRBRanks31[[#This Row],[Player]],TableRBCalcPts[PLAYER],0)),"")</f>
        <v>8</v>
      </c>
      <c r="T74" s="100">
        <f>IFERROR((VLOOKUP(TableRBRanks31[[#This Row],[Player]],RB!B:O,4,FALSE)),"")</f>
        <v>36.713183360000002</v>
      </c>
      <c r="U74" s="100">
        <f>IFERROR((VLOOKUP(TableRBRanks31[[#This Row],[Player]],RB!B:O,5,FALSE)),"")</f>
        <v>148.3212607744</v>
      </c>
      <c r="V74" s="100">
        <f>IFERROR((VLOOKUP(TableRBRanks31[[#This Row],[Player]],RB!B:O,6,FALSE)),"")</f>
        <v>1.0408231880525365</v>
      </c>
      <c r="W74" s="100">
        <f>IFERROR((VLOOKUP(TableRBRanks31[[#This Row],[Player]],RB!B:O,7,FALSE)),"")</f>
        <v>13.420904000000002</v>
      </c>
      <c r="X74" s="100">
        <f>IFERROR((VLOOKUP(TableRBRanks31[[#This Row],[Player]],RB!B:O,8,FALSE)),"")</f>
        <v>10.683039584000003</v>
      </c>
      <c r="Y74" s="100">
        <f>IFERROR((VLOOKUP(TableRBRanks31[[#This Row],[Player]],RB!B:O,9,FALSE)),"")</f>
        <v>76.917885004800027</v>
      </c>
      <c r="Z74" s="100">
        <f>IFERROR((VLOOKUP(TableRBRanks31[[#This Row],[Player]],RB!B:O,10,FALSE)),"")</f>
        <v>0.3375294912927938</v>
      </c>
      <c r="AA74" s="95">
        <f>IFERROR((IFERROR(INDEX(TableRBCalcPts[Custom],MATCH(TableRBRanks31[[#This Row],[RK]],TableRBCalcPts[RK],0)),"")),"")</f>
        <v>36.135550445991981</v>
      </c>
      <c r="AB7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4" s="145">
        <v>73</v>
      </c>
      <c r="AE74" s="145" t="str">
        <f>IFERROR(INDEX(TableWRCalcPts[PLAYER],MATCH(TableWRRanks32[[#This Row],[RK]],TableWRCalcPts[RK],0)),"")</f>
        <v>Ryan Flournoy</v>
      </c>
      <c r="AF74" s="145" t="str">
        <f>IFERROR(INDEX(TableWRCalcPts[TM],MATCH(TableWRRanks32[[#This Row],[Player]],TableWRCalcPts[PLAYER],0)),"")</f>
        <v>DAL</v>
      </c>
      <c r="AG74" s="145">
        <f>IFERROR(INDEX(TableWRCalcPts[BYE],MATCH(TableWRRanks32[[#This Row],[Player]],TableWRCalcPts[PLAYER],0)),"")</f>
        <v>14</v>
      </c>
      <c r="AH74" s="146">
        <f>IFERROR((VLOOKUP(TableWRRanks32[[#This Row],[Player]],WR!B:O,4,FALSE)),"")</f>
        <v>0</v>
      </c>
      <c r="AI74" s="146">
        <f>IFERROR((VLOOKUP(TableWRRanks32[[#This Row],[Player]],WR!B:O,5,FALSE)),"")</f>
        <v>0</v>
      </c>
      <c r="AJ74" s="146">
        <f>IFERROR((VLOOKUP(TableWRRanks32[[#This Row],[Player]],WR!B:O,6,FALSE)),"")</f>
        <v>55.454260399999988</v>
      </c>
      <c r="AK74" s="146">
        <f>IFERROR((VLOOKUP(TableWRRanks32[[#This Row],[Player]],WR!B:O,7,FALSE)),"")</f>
        <v>41.844770048630053</v>
      </c>
      <c r="AL74" s="146">
        <f>IFERROR((VLOOKUP(TableWRRanks32[[#This Row],[Player]],WR!B:O,8,FALSE)),"")</f>
        <v>472.67761780374371</v>
      </c>
      <c r="AM74" s="146">
        <f>IFERROR((VLOOKUP(TableWRRanks32[[#This Row],[Player]],WR!B:O,9,FALSE)),"")</f>
        <v>3.6823397642794444</v>
      </c>
      <c r="AN74" s="147">
        <f>IFERROR((IFERROR(INDEX(TableWRCalcPts[Custom],MATCH(TableWRRanks32[[#This Row],[RK]],TableWRCalcPts[RK],0)),"")),"")</f>
        <v>90.284185390366062</v>
      </c>
      <c r="AO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4" s="145">
        <v>73</v>
      </c>
      <c r="AR74" s="145" t="str">
        <f>IFERROR(INDEX(TableTECalcPts[PLAYER],MATCH(TableTERanks33[[#This Row],[RK]],TableTECalcPts[RK],0)),"")</f>
        <v>Julian Hill</v>
      </c>
      <c r="AS74" s="145" t="str">
        <f>IFERROR(INDEX(TableTECalcPts[TM],MATCH(TableTERanks33[[#This Row],[Player]],TableTECalcPts[PLAYER],0)),"")</f>
        <v>NE</v>
      </c>
      <c r="AT74" s="145">
        <f>IFERROR(INDEX(TableTECalcPts[BYE],MATCH(TableTERanks33[[#This Row],[Player]],TableTECalcPts[PLAYER],0)),"")</f>
        <v>11</v>
      </c>
      <c r="AU74" s="146">
        <f>IFERROR((VLOOKUP(TableTERanks33[[#This Row],[Player]],TE!B:O,4,FALSE)),"")</f>
        <v>7.6353171999999958</v>
      </c>
      <c r="AV74" s="146">
        <f>IFERROR((VLOOKUP(TableTERanks33[[#This Row],[Player]],TE!B:O,5,FALSE)),"")</f>
        <v>5.2803765463316212</v>
      </c>
      <c r="AW74" s="146">
        <f>IFERROR((VLOOKUP(TableTERanks33[[#This Row],[Player]],TE!B:O,6,FALSE)),"")</f>
        <v>49.646398653312801</v>
      </c>
      <c r="AX74" s="146">
        <f>IFERROR((VLOOKUP(TableTERanks33[[#This Row],[Player]],TE!B:O,7,FALSE)),"")</f>
        <v>0.30175817720341869</v>
      </c>
      <c r="AY74" s="147">
        <f>IFERROR((IFERROR(INDEX(TableTECalcPts[Custom],MATCH(TableTERanks33[[#This Row],[RK]],TableTECalcPts[RK],0)),"")),"")</f>
        <v>9.4153772017176021</v>
      </c>
      <c r="AZ7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5" spans="1:53" x14ac:dyDescent="0.25">
      <c r="A75" s="145">
        <v>74</v>
      </c>
      <c r="B75" s="145" t="str">
        <f>IFERROR(INDEX(TableQBCalcPts[PLAYER],MATCH(TableQBRanks30[[#This Row],[RK]],TableQBCalcPts[RK],0)),"")</f>
        <v/>
      </c>
      <c r="C75" s="145" t="str">
        <f>IFERROR(INDEX(TableQBCalcPts[TM],MATCH(TableQBRanks30[[#This Row],[Player]],TableQBCalcPts[PLAYER],0)),"")</f>
        <v/>
      </c>
      <c r="D75" s="145" t="str">
        <f>IFERROR(INDEX(TableQBCalcPts[BYE],MATCH(TableQBRanks30[[#This Row],[Player]],TableQBCalcPts[PLAYER],0)),"")</f>
        <v/>
      </c>
      <c r="E75" s="146" t="str">
        <f>IFERROR((VLOOKUP(TableQBRanks30[[#This Row],[Player]],QB!B:O,4,FALSE)),"")</f>
        <v/>
      </c>
      <c r="F75" s="146" t="str">
        <f>IFERROR((VLOOKUP(TableQBRanks30[[#This Row],[Player]],QB!B:O,5,FALSE)),"")</f>
        <v/>
      </c>
      <c r="G75" s="146" t="str">
        <f>IFERROR((VLOOKUP(TableQBRanks30[[#This Row],[Player]],QB!B:O,6,FALSE)),"")</f>
        <v/>
      </c>
      <c r="H75" s="146" t="str">
        <f>IFERROR((VLOOKUP(TableQBRanks30[[#This Row],[Player]],QB!B:O,7,FALSE)),"")</f>
        <v/>
      </c>
      <c r="I75" s="146" t="str">
        <f>IFERROR((VLOOKUP(TableQBRanks30[[#This Row],[Player]],QB!B:O,8,FALSE)),"")</f>
        <v/>
      </c>
      <c r="J75" s="146" t="str">
        <f>IFERROR((VLOOKUP(TableQBRanks30[[#This Row],[Player]],QB!B:O,9,FALSE)),"")</f>
        <v/>
      </c>
      <c r="K75" s="146" t="str">
        <f>IFERROR((VLOOKUP(TableQBRanks30[[#This Row],[Player]],QB!B:O,10,FALSE)),"")</f>
        <v/>
      </c>
      <c r="L75" s="146" t="str">
        <f>IFERROR((VLOOKUP(TableQBRanks30[[#This Row],[Player]],QB!B:O,11,FALSE)),"")</f>
        <v/>
      </c>
      <c r="M75" s="147" t="str">
        <f>IFERROR(INDEX(TableQBCalcPts[Custom],MATCH(TableQBRanks30[[#This Row],[RK]],TableQBCalcPts[RK],0)),"")</f>
        <v/>
      </c>
      <c r="N75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5" s="58">
        <v>74</v>
      </c>
      <c r="Q75" s="58" t="str">
        <f>IFERROR(INDEX(TableRBCalcPts[PLAYER],MATCH(TableRBRanks31[[#This Row],[RK]],TableRBCalcPts[RK],0)),"")</f>
        <v>Malik Davis</v>
      </c>
      <c r="R75" s="58" t="str">
        <f>IFERROR(INDEX(TableRBCalcPts[TM],MATCH(TableRBRanks31[[#This Row],[Player]],TableRBCalcPts[PLAYER],0)),"")</f>
        <v>DAL</v>
      </c>
      <c r="S75" s="58">
        <f>IFERROR(INDEX(TableRBCalcPts[BYE],MATCH(TableRBRanks31[[#This Row],[Player]],TableRBCalcPts[PLAYER],0)),"")</f>
        <v>14</v>
      </c>
      <c r="T75" s="100">
        <f>IFERROR((VLOOKUP(TableRBRanks31[[#This Row],[Player]],RB!B:O,4,FALSE)),"")</f>
        <v>46.131584100000005</v>
      </c>
      <c r="U75" s="100">
        <f>IFERROR((VLOOKUP(TableRBRanks31[[#This Row],[Player]],RB!B:O,5,FALSE)),"")</f>
        <v>205.74686508600001</v>
      </c>
      <c r="V75" s="100">
        <f>IFERROR((VLOOKUP(TableRBRanks31[[#This Row],[Player]],RB!B:O,6,FALSE)),"")</f>
        <v>1.6146054435000003</v>
      </c>
      <c r="W75" s="100">
        <f>IFERROR((VLOOKUP(TableRBRanks31[[#This Row],[Player]],RB!B:O,7,FALSE)),"")</f>
        <v>6.0276369999999995</v>
      </c>
      <c r="X75" s="100">
        <f>IFERROR((VLOOKUP(TableRBRanks31[[#This Row],[Player]],RB!B:O,8,FALSE)),"")</f>
        <v>4.0385167900000001</v>
      </c>
      <c r="Y75" s="100">
        <f>IFERROR((VLOOKUP(TableRBRanks31[[#This Row],[Player]],RB!B:O,9,FALSE)),"")</f>
        <v>25.429642123903989</v>
      </c>
      <c r="Z75" s="100">
        <f>IFERROR((VLOOKUP(TableRBRanks31[[#This Row],[Player]],RB!B:O,10,FALSE)),"")</f>
        <v>0.1211555037</v>
      </c>
      <c r="AA75" s="95">
        <f>IFERROR((IFERROR(INDEX(TableRBCalcPts[Custom],MATCH(TableRBRanks31[[#This Row],[RK]],TableRBCalcPts[RK],0)),"")),"")</f>
        <v>35.551474799190409</v>
      </c>
      <c r="AB7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5" s="145">
        <v>74</v>
      </c>
      <c r="AE75" s="145" t="str">
        <f>IFERROR(INDEX(TableWRCalcPts[PLAYER],MATCH(TableWRRanks32[[#This Row],[RK]],TableWRCalcPts[RK],0)),"")</f>
        <v>Isaac TeSlaa</v>
      </c>
      <c r="AF75" s="145" t="str">
        <f>IFERROR(INDEX(TableWRCalcPts[TM],MATCH(TableWRRanks32[[#This Row],[Player]],TableWRCalcPts[PLAYER],0)),"")</f>
        <v>DET</v>
      </c>
      <c r="AG75" s="145">
        <f>IFERROR(INDEX(TableWRCalcPts[BYE],MATCH(TableWRRanks32[[#This Row],[Player]],TableWRCalcPts[PLAYER],0)),"")</f>
        <v>6</v>
      </c>
      <c r="AH75" s="146">
        <f>IFERROR((VLOOKUP(TableWRRanks32[[#This Row],[Player]],WR!B:O,4,FALSE)),"")</f>
        <v>0</v>
      </c>
      <c r="AI75" s="146">
        <f>IFERROR((VLOOKUP(TableWRRanks32[[#This Row],[Player]],WR!B:O,5,FALSE)),"")</f>
        <v>0</v>
      </c>
      <c r="AJ75" s="146">
        <f>IFERROR((VLOOKUP(TableWRRanks32[[#This Row],[Player]],WR!B:O,6,FALSE)),"")</f>
        <v>48.589262399999996</v>
      </c>
      <c r="AK75" s="146">
        <f>IFERROR((VLOOKUP(TableWRRanks32[[#This Row],[Player]],WR!B:O,7,FALSE)),"")</f>
        <v>32.726917171199993</v>
      </c>
      <c r="AL75" s="146">
        <f>IFERROR((VLOOKUP(TableWRRanks32[[#This Row],[Player]],WR!B:O,8,FALSE)),"")</f>
        <v>451.63145696255992</v>
      </c>
      <c r="AM75" s="146">
        <f>IFERROR((VLOOKUP(TableWRRanks32[[#This Row],[Player]],WR!B:O,9,FALSE)),"")</f>
        <v>4.5490414867967992</v>
      </c>
      <c r="AN75" s="147">
        <f>IFERROR((IFERROR(INDEX(TableWRCalcPts[Custom],MATCH(TableWRRanks32[[#This Row],[RK]],TableWRCalcPts[RK],0)),"")),"")</f>
        <v>88.820853202636783</v>
      </c>
      <c r="AO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5" s="145">
        <v>74</v>
      </c>
      <c r="AR75" s="145" t="str">
        <f>IFERROR(INDEX(TableTECalcPts[PLAYER],MATCH(TableTERanks33[[#This Row],[RK]],TableTECalcPts[RK],0)),"")</f>
        <v>Jeremy Ruckert</v>
      </c>
      <c r="AS75" s="145" t="str">
        <f>IFERROR(INDEX(TableTECalcPts[TM],MATCH(TableTERanks33[[#This Row],[Player]],TableTECalcPts[PLAYER],0)),"")</f>
        <v>NYJ</v>
      </c>
      <c r="AT75" s="145">
        <f>IFERROR(INDEX(TableTECalcPts[BYE],MATCH(TableTERanks33[[#This Row],[Player]],TableTECalcPts[PLAYER],0)),"")</f>
        <v>13</v>
      </c>
      <c r="AU75" s="146">
        <f>IFERROR((VLOOKUP(TableTERanks33[[#This Row],[Player]],TE!B:O,4,FALSE)),"")</f>
        <v>8.4299596905011391</v>
      </c>
      <c r="AV75" s="146">
        <f>IFERROR((VLOOKUP(TableTERanks33[[#This Row],[Player]],TE!B:O,5,FALSE)),"")</f>
        <v>5.3709061361450434</v>
      </c>
      <c r="AW75" s="146">
        <f>IFERROR((VLOOKUP(TableTERanks33[[#This Row],[Player]],TE!B:O,6,FALSE)),"")</f>
        <v>44.092010074532368</v>
      </c>
      <c r="AX75" s="146">
        <f>IFERROR((VLOOKUP(TableTERanks33[[#This Row],[Player]],TE!B:O,7,FALSE)),"")</f>
        <v>0.32225436816870262</v>
      </c>
      <c r="AY75" s="147">
        <f>IFERROR((IFERROR(INDEX(TableTECalcPts[Custom],MATCH(TableTERanks33[[#This Row],[RK]],TableTECalcPts[RK],0)),"")),"")</f>
        <v>9.0281802845379744</v>
      </c>
      <c r="AZ7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6" spans="1:53" x14ac:dyDescent="0.25">
      <c r="A76" s="145">
        <v>75</v>
      </c>
      <c r="B76" s="145" t="str">
        <f>IFERROR(INDEX(TableQBCalcPts[PLAYER],MATCH(TableQBRanks30[[#This Row],[RK]],TableQBCalcPts[RK],0)),"")</f>
        <v/>
      </c>
      <c r="C76" s="145" t="str">
        <f>IFERROR(INDEX(TableQBCalcPts[TM],MATCH(TableQBRanks30[[#This Row],[Player]],TableQBCalcPts[PLAYER],0)),"")</f>
        <v/>
      </c>
      <c r="D76" s="145" t="str">
        <f>IFERROR(INDEX(TableQBCalcPts[BYE],MATCH(TableQBRanks30[[#This Row],[Player]],TableQBCalcPts[PLAYER],0)),"")</f>
        <v/>
      </c>
      <c r="E76" s="146" t="str">
        <f>IFERROR((VLOOKUP(TableQBRanks30[[#This Row],[Player]],QB!B:O,4,FALSE)),"")</f>
        <v/>
      </c>
      <c r="F76" s="146" t="str">
        <f>IFERROR((VLOOKUP(TableQBRanks30[[#This Row],[Player]],QB!B:O,5,FALSE)),"")</f>
        <v/>
      </c>
      <c r="G76" s="146" t="str">
        <f>IFERROR((VLOOKUP(TableQBRanks30[[#This Row],[Player]],QB!B:O,6,FALSE)),"")</f>
        <v/>
      </c>
      <c r="H76" s="146" t="str">
        <f>IFERROR((VLOOKUP(TableQBRanks30[[#This Row],[Player]],QB!B:O,7,FALSE)),"")</f>
        <v/>
      </c>
      <c r="I76" s="146" t="str">
        <f>IFERROR((VLOOKUP(TableQBRanks30[[#This Row],[Player]],QB!B:O,8,FALSE)),"")</f>
        <v/>
      </c>
      <c r="J76" s="146" t="str">
        <f>IFERROR((VLOOKUP(TableQBRanks30[[#This Row],[Player]],QB!B:O,9,FALSE)),"")</f>
        <v/>
      </c>
      <c r="K76" s="146" t="str">
        <f>IFERROR((VLOOKUP(TableQBRanks30[[#This Row],[Player]],QB!B:O,10,FALSE)),"")</f>
        <v/>
      </c>
      <c r="L76" s="146" t="str">
        <f>IFERROR((VLOOKUP(TableQBRanks30[[#This Row],[Player]],QB!B:O,11,FALSE)),"")</f>
        <v/>
      </c>
      <c r="M76" s="147" t="str">
        <f>IFERROR(INDEX(TableQBCalcPts[Custom],MATCH(TableQBRanks30[[#This Row],[RK]],TableQBCalcPts[RK],0)),"")</f>
        <v/>
      </c>
      <c r="N76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6" s="58">
        <v>75</v>
      </c>
      <c r="Q76" s="58" t="str">
        <f>IFERROR(INDEX(TableRBCalcPts[PLAYER],MATCH(TableRBRanks31[[#This Row],[RK]],TableRBCalcPts[RK],0)),"")</f>
        <v>Trey Benson</v>
      </c>
      <c r="R76" s="58" t="str">
        <f>IFERROR(INDEX(TableRBCalcPts[TM],MATCH(TableRBRanks31[[#This Row],[Player]],TableRBCalcPts[PLAYER],0)),"")</f>
        <v>ARI</v>
      </c>
      <c r="S76" s="58">
        <f>IFERROR(INDEX(TableRBCalcPts[BYE],MATCH(TableRBRanks31[[#This Row],[Player]],TableRBCalcPts[PLAYER],0)),"")</f>
        <v>14</v>
      </c>
      <c r="T76" s="100">
        <f>IFERROR((VLOOKUP(TableRBRanks31[[#This Row],[Player]],RB!B:O,4,FALSE)),"")</f>
        <v>45.864587999999991</v>
      </c>
      <c r="U76" s="100">
        <f>IFERROR((VLOOKUP(TableRBRanks31[[#This Row],[Player]],RB!B:O,5,FALSE)),"")</f>
        <v>203.63877071999997</v>
      </c>
      <c r="V76" s="100">
        <f>IFERROR((VLOOKUP(TableRBRanks31[[#This Row],[Player]],RB!B:O,6,FALSE)),"")</f>
        <v>1.0548855239999997</v>
      </c>
      <c r="W76" s="100">
        <f>IFERROR((VLOOKUP(TableRBRanks31[[#This Row],[Player]],RB!B:O,7,FALSE)),"")</f>
        <v>8.3390160000000009</v>
      </c>
      <c r="X76" s="100">
        <f>IFERROR((VLOOKUP(TableRBRanks31[[#This Row],[Player]],RB!B:O,8,FALSE)),"")</f>
        <v>6.1946976000000005</v>
      </c>
      <c r="Y76" s="100">
        <f>IFERROR((VLOOKUP(TableRBRanks31[[#This Row],[Player]],RB!B:O,9,FALSE)),"")</f>
        <v>42.247837632000007</v>
      </c>
      <c r="Z76" s="100">
        <f>IFERROR((VLOOKUP(TableRBRanks31[[#This Row],[Player]],RB!B:O,10,FALSE)),"")</f>
        <v>0.23825760000000004</v>
      </c>
      <c r="AA76" s="95">
        <f>IFERROR((IFERROR(INDEX(TableRBCalcPts[Custom],MATCH(TableRBRanks31[[#This Row],[RK]],TableRBCalcPts[RK],0)),"")),"")</f>
        <v>35.444868379199995</v>
      </c>
      <c r="AB7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6" s="145">
        <v>75</v>
      </c>
      <c r="AE76" s="145" t="str">
        <f>IFERROR(INDEX(TableWRCalcPts[PLAYER],MATCH(TableWRRanks32[[#This Row],[RK]],TableWRCalcPts[RK],0)),"")</f>
        <v>Rashod Bateman</v>
      </c>
      <c r="AF76" s="145" t="str">
        <f>IFERROR(INDEX(TableWRCalcPts[TM],MATCH(TableWRRanks32[[#This Row],[Player]],TableWRCalcPts[PLAYER],0)),"")</f>
        <v>BAL</v>
      </c>
      <c r="AG76" s="145">
        <f>IFERROR(INDEX(TableWRCalcPts[BYE],MATCH(TableWRRanks32[[#This Row],[Player]],TableWRCalcPts[PLAYER],0)),"")</f>
        <v>13</v>
      </c>
      <c r="AH76" s="146">
        <f>IFERROR((VLOOKUP(TableWRRanks32[[#This Row],[Player]],WR!B:O,4,FALSE)),"")</f>
        <v>0</v>
      </c>
      <c r="AI76" s="146">
        <f>IFERROR((VLOOKUP(TableWRRanks32[[#This Row],[Player]],WR!B:O,5,FALSE)),"")</f>
        <v>0</v>
      </c>
      <c r="AJ76" s="146">
        <f>IFERROR((VLOOKUP(TableWRRanks32[[#This Row],[Player]],WR!B:O,6,FALSE)),"")</f>
        <v>53.105588480000002</v>
      </c>
      <c r="AK76" s="146">
        <f>IFERROR((VLOOKUP(TableWRRanks32[[#This Row],[Player]],WR!B:O,7,FALSE)),"")</f>
        <v>33.116430408093741</v>
      </c>
      <c r="AL76" s="146">
        <f>IFERROR((VLOOKUP(TableWRRanks32[[#This Row],[Player]],WR!B:O,8,FALSE)),"")</f>
        <v>480.18824091735922</v>
      </c>
      <c r="AM76" s="146">
        <f>IFERROR((VLOOKUP(TableWRRanks32[[#This Row],[Player]],WR!B:O,9,FALSE)),"")</f>
        <v>3.9408552185631551</v>
      </c>
      <c r="AN76" s="147">
        <f>IFERROR((IFERROR(INDEX(TableWRCalcPts[Custom],MATCH(TableWRRanks32[[#This Row],[RK]],TableWRCalcPts[RK],0)),"")),"")</f>
        <v>88.222170607161729</v>
      </c>
      <c r="AO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6" s="145">
        <v>75</v>
      </c>
      <c r="AR76" s="145" t="str">
        <f>IFERROR(INDEX(TableTECalcPts[PLAYER],MATCH(TableTERanks33[[#This Row],[RK]],TableTECalcPts[RK],0)),"")</f>
        <v>Jared Wiley</v>
      </c>
      <c r="AS76" s="145" t="str">
        <f>IFERROR(INDEX(TableTECalcPts[TM],MATCH(TableTERanks33[[#This Row],[Player]],TableTECalcPts[PLAYER],0)),"")</f>
        <v>KC</v>
      </c>
      <c r="AT76" s="145">
        <f>IFERROR(INDEX(TableTECalcPts[BYE],MATCH(TableTERanks33[[#This Row],[Player]],TableTECalcPts[PLAYER],0)),"")</f>
        <v>5</v>
      </c>
      <c r="AU76" s="146">
        <f>IFERROR((VLOOKUP(TableTERanks33[[#This Row],[Player]],TE!B:O,4,FALSE)),"")</f>
        <v>5.8547649999999996</v>
      </c>
      <c r="AV76" s="146">
        <f>IFERROR((VLOOKUP(TableTERanks33[[#This Row],[Player]],TE!B:O,5,FALSE)),"")</f>
        <v>4.2154307999999991</v>
      </c>
      <c r="AW76" s="146">
        <f>IFERROR((VLOOKUP(TableTERanks33[[#This Row],[Player]],TE!B:O,6,FALSE)),"")</f>
        <v>39.809532268358844</v>
      </c>
      <c r="AX76" s="146">
        <f>IFERROR((VLOOKUP(TableTERanks33[[#This Row],[Player]],TE!B:O,7,FALSE)),"")</f>
        <v>0.27400300199999994</v>
      </c>
      <c r="AY76" s="147">
        <f>IFERROR((IFERROR(INDEX(TableTECalcPts[Custom],MATCH(TableTERanks33[[#This Row],[RK]],TableTECalcPts[RK],0)),"")),"")</f>
        <v>7.7326866388358848</v>
      </c>
      <c r="AZ7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7" spans="1:53" x14ac:dyDescent="0.25">
      <c r="A77" s="145">
        <v>76</v>
      </c>
      <c r="B77" s="145" t="str">
        <f>IFERROR(INDEX(TableQBCalcPts[PLAYER],MATCH(TableQBRanks30[[#This Row],[RK]],TableQBCalcPts[RK],0)),"")</f>
        <v/>
      </c>
      <c r="C77" s="145" t="str">
        <f>IFERROR(INDEX(TableQBCalcPts[TM],MATCH(TableQBRanks30[[#This Row],[Player]],TableQBCalcPts[PLAYER],0)),"")</f>
        <v/>
      </c>
      <c r="D77" s="145" t="str">
        <f>IFERROR(INDEX(TableQBCalcPts[BYE],MATCH(TableQBRanks30[[#This Row],[Player]],TableQBCalcPts[PLAYER],0)),"")</f>
        <v/>
      </c>
      <c r="E77" s="146" t="str">
        <f>IFERROR((VLOOKUP(TableQBRanks30[[#This Row],[Player]],QB!B:O,4,FALSE)),"")</f>
        <v/>
      </c>
      <c r="F77" s="146" t="str">
        <f>IFERROR((VLOOKUP(TableQBRanks30[[#This Row],[Player]],QB!B:O,5,FALSE)),"")</f>
        <v/>
      </c>
      <c r="G77" s="146" t="str">
        <f>IFERROR((VLOOKUP(TableQBRanks30[[#This Row],[Player]],QB!B:O,6,FALSE)),"")</f>
        <v/>
      </c>
      <c r="H77" s="146" t="str">
        <f>IFERROR((VLOOKUP(TableQBRanks30[[#This Row],[Player]],QB!B:O,7,FALSE)),"")</f>
        <v/>
      </c>
      <c r="I77" s="146" t="str">
        <f>IFERROR((VLOOKUP(TableQBRanks30[[#This Row],[Player]],QB!B:O,8,FALSE)),"")</f>
        <v/>
      </c>
      <c r="J77" s="146" t="str">
        <f>IFERROR((VLOOKUP(TableQBRanks30[[#This Row],[Player]],QB!B:O,9,FALSE)),"")</f>
        <v/>
      </c>
      <c r="K77" s="146" t="str">
        <f>IFERROR((VLOOKUP(TableQBRanks30[[#This Row],[Player]],QB!B:O,10,FALSE)),"")</f>
        <v/>
      </c>
      <c r="L77" s="146" t="str">
        <f>IFERROR((VLOOKUP(TableQBRanks30[[#This Row],[Player]],QB!B:O,11,FALSE)),"")</f>
        <v/>
      </c>
      <c r="M77" s="147" t="str">
        <f>IFERROR(INDEX(TableQBCalcPts[Custom],MATCH(TableQBRanks30[[#This Row],[RK]],TableQBCalcPts[RK],0)),"")</f>
        <v/>
      </c>
      <c r="N77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7" s="58">
        <v>76</v>
      </c>
      <c r="Q77" s="58" t="str">
        <f>IFERROR(INDEX(TableRBCalcPts[PLAYER],MATCH(TableRBRanks31[[#This Row],[RK]],TableRBCalcPts[RK],0)),"")</f>
        <v>Kimani Vidal</v>
      </c>
      <c r="R77" s="58" t="str">
        <f>IFERROR(INDEX(TableRBCalcPts[TM],MATCH(TableRBRanks31[[#This Row],[Player]],TableRBCalcPts[PLAYER],0)),"")</f>
        <v>LAC</v>
      </c>
      <c r="S77" s="58">
        <f>IFERROR(INDEX(TableRBCalcPts[BYE],MATCH(TableRBRanks31[[#This Row],[Player]],TableRBCalcPts[PLAYER],0)),"")</f>
        <v>7</v>
      </c>
      <c r="T77" s="100">
        <f>IFERROR((VLOOKUP(TableRBRanks31[[#This Row],[Player]],RB!B:O,4,FALSE)),"")</f>
        <v>36.392396040000001</v>
      </c>
      <c r="U77" s="100">
        <f>IFERROR((VLOOKUP(TableRBRanks31[[#This Row],[Player]],RB!B:O,5,FALSE)),"")</f>
        <v>153.2119873284</v>
      </c>
      <c r="V77" s="100">
        <f>IFERROR((VLOOKUP(TableRBRanks31[[#This Row],[Player]],RB!B:O,6,FALSE)),"")</f>
        <v>0.83702510892000004</v>
      </c>
      <c r="W77" s="100">
        <f>IFERROR((VLOOKUP(TableRBRanks31[[#This Row],[Player]],RB!B:O,7,FALSE)),"")</f>
        <v>11.697205519999997</v>
      </c>
      <c r="X77" s="100">
        <f>IFERROR((VLOOKUP(TableRBRanks31[[#This Row],[Player]],RB!B:O,8,FALSE)),"")</f>
        <v>8.7729041399999979</v>
      </c>
      <c r="Y77" s="100">
        <f>IFERROR((VLOOKUP(TableRBRanks31[[#This Row],[Player]],RB!B:O,9,FALSE)),"")</f>
        <v>69.393671747399978</v>
      </c>
      <c r="Z77" s="100">
        <f>IFERROR((VLOOKUP(TableRBRanks31[[#This Row],[Player]],RB!B:O,10,FALSE)),"")</f>
        <v>0.30705164489999998</v>
      </c>
      <c r="AA77" s="95">
        <f>IFERROR((IFERROR(INDEX(TableRBCalcPts[Custom],MATCH(TableRBRanks31[[#This Row],[RK]],TableRBCalcPts[RK],0)),"")),"")</f>
        <v>33.511478500499997</v>
      </c>
      <c r="AB7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7" s="145">
        <v>76</v>
      </c>
      <c r="AE77" s="145" t="str">
        <f>IFERROR(INDEX(TableWRCalcPts[PLAYER],MATCH(TableWRRanks32[[#This Row],[RK]],TableWRCalcPts[RK],0)),"")</f>
        <v>Jauan Jennings</v>
      </c>
      <c r="AF77" s="145" t="str">
        <f>IFERROR(INDEX(TableWRCalcPts[TM],MATCH(TableWRRanks32[[#This Row],[Player]],TableWRCalcPts[PLAYER],0)),"")</f>
        <v>MIN</v>
      </c>
      <c r="AG77" s="145">
        <f>IFERROR(INDEX(TableWRCalcPts[BYE],MATCH(TableWRRanks32[[#This Row],[Player]],TableWRCalcPts[PLAYER],0)),"")</f>
        <v>6</v>
      </c>
      <c r="AH77" s="146">
        <f>IFERROR((VLOOKUP(TableWRRanks32[[#This Row],[Player]],WR!B:O,4,FALSE)),"")</f>
        <v>0</v>
      </c>
      <c r="AI77" s="146">
        <f>IFERROR((VLOOKUP(TableWRRanks32[[#This Row],[Player]],WR!B:O,5,FALSE)),"")</f>
        <v>0</v>
      </c>
      <c r="AJ77" s="146">
        <f>IFERROR((VLOOKUP(TableWRRanks32[[#This Row],[Player]],WR!B:O,6,FALSE)),"")</f>
        <v>62.530711039999993</v>
      </c>
      <c r="AK77" s="146">
        <f>IFERROR((VLOOKUP(TableWRRanks32[[#This Row],[Player]],WR!B:O,7,FALSE)),"")</f>
        <v>40.808526304414812</v>
      </c>
      <c r="AL77" s="146">
        <f>IFERROR((VLOOKUP(TableWRRanks32[[#This Row],[Player]],WR!B:O,8,FALSE)),"")</f>
        <v>452.45311847928878</v>
      </c>
      <c r="AM77" s="146">
        <f>IFERROR((VLOOKUP(TableWRRanks32[[#This Row],[Player]],WR!B:O,9,FALSE)),"")</f>
        <v>2.8565968413090372</v>
      </c>
      <c r="AN77" s="147">
        <f>IFERROR((IFERROR(INDEX(TableWRCalcPts[Custom],MATCH(TableWRRanks32[[#This Row],[RK]],TableWRCalcPts[RK],0)),"")),"")</f>
        <v>82.789156047990502</v>
      </c>
      <c r="AO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7" s="145">
        <v>76</v>
      </c>
      <c r="AR77" s="145" t="str">
        <f>IFERROR(INDEX(TableTECalcPts[PLAYER],MATCH(TableTERanks33[[#This Row],[RK]],TableTECalcPts[RK],0)),"")</f>
        <v>Foster Moreau</v>
      </c>
      <c r="AS77" s="145" t="str">
        <f>IFERROR(INDEX(TableTECalcPts[TM],MATCH(TableTERanks33[[#This Row],[Player]],TableTECalcPts[PLAYER],0)),"")</f>
        <v>HOU</v>
      </c>
      <c r="AT77" s="145">
        <f>IFERROR(INDEX(TableTECalcPts[BYE],MATCH(TableTERanks33[[#This Row],[Player]],TableTECalcPts[PLAYER],0)),"")</f>
        <v>8</v>
      </c>
      <c r="AU77" s="146">
        <f>IFERROR((VLOOKUP(TableTERanks33[[#This Row],[Player]],TE!B:O,4,FALSE)),"")</f>
        <v>5.7288546</v>
      </c>
      <c r="AV77" s="146">
        <f>IFERROR((VLOOKUP(TableTERanks33[[#This Row],[Player]],TE!B:O,5,FALSE)),"")</f>
        <v>4.0159270745999995</v>
      </c>
      <c r="AW77" s="146">
        <f>IFERROR((VLOOKUP(TableTERanks33[[#This Row],[Player]],TE!B:O,6,FALSE)),"")</f>
        <v>40.009124450142352</v>
      </c>
      <c r="AX77" s="146">
        <f>IFERROR((VLOOKUP(TableTERanks33[[#This Row],[Player]],TE!B:O,7,FALSE)),"")</f>
        <v>0.22489191617759999</v>
      </c>
      <c r="AY77" s="147">
        <f>IFERROR((IFERROR(INDEX(TableTECalcPts[Custom],MATCH(TableTERanks33[[#This Row],[RK]],TableTECalcPts[RK],0)),"")),"")</f>
        <v>7.3582274793798348</v>
      </c>
      <c r="AZ7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8" spans="1:53" x14ac:dyDescent="0.25">
      <c r="A78" s="145">
        <v>77</v>
      </c>
      <c r="B78" s="145" t="str">
        <f>IFERROR(INDEX(TableQBCalcPts[PLAYER],MATCH(TableQBRanks30[[#This Row],[RK]],TableQBCalcPts[RK],0)),"")</f>
        <v/>
      </c>
      <c r="C78" s="145" t="str">
        <f>IFERROR(INDEX(TableQBCalcPts[TM],MATCH(TableQBRanks30[[#This Row],[Player]],TableQBCalcPts[PLAYER],0)),"")</f>
        <v/>
      </c>
      <c r="D78" s="145" t="str">
        <f>IFERROR(INDEX(TableQBCalcPts[BYE],MATCH(TableQBRanks30[[#This Row],[Player]],TableQBCalcPts[PLAYER],0)),"")</f>
        <v/>
      </c>
      <c r="E78" s="146" t="str">
        <f>IFERROR((VLOOKUP(TableQBRanks30[[#This Row],[Player]],QB!B:O,4,FALSE)),"")</f>
        <v/>
      </c>
      <c r="F78" s="146" t="str">
        <f>IFERROR((VLOOKUP(TableQBRanks30[[#This Row],[Player]],QB!B:O,5,FALSE)),"")</f>
        <v/>
      </c>
      <c r="G78" s="146" t="str">
        <f>IFERROR((VLOOKUP(TableQBRanks30[[#This Row],[Player]],QB!B:O,6,FALSE)),"")</f>
        <v/>
      </c>
      <c r="H78" s="146" t="str">
        <f>IFERROR((VLOOKUP(TableQBRanks30[[#This Row],[Player]],QB!B:O,7,FALSE)),"")</f>
        <v/>
      </c>
      <c r="I78" s="146" t="str">
        <f>IFERROR((VLOOKUP(TableQBRanks30[[#This Row],[Player]],QB!B:O,8,FALSE)),"")</f>
        <v/>
      </c>
      <c r="J78" s="146" t="str">
        <f>IFERROR((VLOOKUP(TableQBRanks30[[#This Row],[Player]],QB!B:O,9,FALSE)),"")</f>
        <v/>
      </c>
      <c r="K78" s="146" t="str">
        <f>IFERROR((VLOOKUP(TableQBRanks30[[#This Row],[Player]],QB!B:O,10,FALSE)),"")</f>
        <v/>
      </c>
      <c r="L78" s="146" t="str">
        <f>IFERROR((VLOOKUP(TableQBRanks30[[#This Row],[Player]],QB!B:O,11,FALSE)),"")</f>
        <v/>
      </c>
      <c r="M78" s="147" t="str">
        <f>IFERROR(INDEX(TableQBCalcPts[Custom],MATCH(TableQBRanks30[[#This Row],[RK]],TableQBCalcPts[RK],0)),"")</f>
        <v/>
      </c>
      <c r="N78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8" s="58">
        <v>77</v>
      </c>
      <c r="Q78" s="58" t="str">
        <f>IFERROR(INDEX(TableRBCalcPts[PLAYER],MATCH(TableRBRanks31[[#This Row],[RK]],TableRBCalcPts[RK],0)),"")</f>
        <v>Jaylen Wright</v>
      </c>
      <c r="R78" s="58" t="str">
        <f>IFERROR(INDEX(TableRBCalcPts[TM],MATCH(TableRBRanks31[[#This Row],[Player]],TableRBCalcPts[PLAYER],0)),"")</f>
        <v>MIA</v>
      </c>
      <c r="S78" s="58">
        <f>IFERROR(INDEX(TableRBCalcPts[BYE],MATCH(TableRBRanks31[[#This Row],[Player]],TableRBCalcPts[PLAYER],0)),"")</f>
        <v>6</v>
      </c>
      <c r="T78" s="100">
        <f>IFERROR((VLOOKUP(TableRBRanks31[[#This Row],[Player]],RB!B:O,4,FALSE)),"")</f>
        <v>34.074423525847358</v>
      </c>
      <c r="U78" s="100">
        <f>IFERROR((VLOOKUP(TableRBRanks31[[#This Row],[Player]],RB!B:O,5,FALSE)),"")</f>
        <v>137.66067104442334</v>
      </c>
      <c r="V78" s="100">
        <f>IFERROR((VLOOKUP(TableRBRanks31[[#This Row],[Player]],RB!B:O,6,FALSE)),"")</f>
        <v>0.68148847051694716</v>
      </c>
      <c r="W78" s="100">
        <f>IFERROR((VLOOKUP(TableRBRanks31[[#This Row],[Player]],RB!B:O,7,FALSE)),"")</f>
        <v>10.341388259999999</v>
      </c>
      <c r="X78" s="100">
        <f>IFERROR((VLOOKUP(TableRBRanks31[[#This Row],[Player]],RB!B:O,8,FALSE)),"")</f>
        <v>7.3236726763199984</v>
      </c>
      <c r="Y78" s="100">
        <f>IFERROR((VLOOKUP(TableRBRanks31[[#This Row],[Player]],RB!B:O,9,FALSE)),"")</f>
        <v>56.530624401719976</v>
      </c>
      <c r="Z78" s="100">
        <f>IFERROR((VLOOKUP(TableRBRanks31[[#This Row],[Player]],RB!B:O,10,FALSE)),"")</f>
        <v>0.21971018028959993</v>
      </c>
      <c r="AA78" s="95">
        <f>IFERROR((IFERROR(INDEX(TableRBCalcPts[Custom],MATCH(TableRBRanks31[[#This Row],[RK]],TableRBCalcPts[RK],0)),"")),"")</f>
        <v>28.488157787613616</v>
      </c>
      <c r="AB7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8" s="145">
        <v>77</v>
      </c>
      <c r="AE78" s="145" t="str">
        <f>IFERROR(INDEX(TableWRCalcPts[PLAYER],MATCH(TableWRRanks32[[#This Row],[RK]],TableWRCalcPts[RK],0)),"")</f>
        <v>Darnell Mooney</v>
      </c>
      <c r="AF78" s="145" t="str">
        <f>IFERROR(INDEX(TableWRCalcPts[TM],MATCH(TableWRRanks32[[#This Row],[Player]],TableWRCalcPts[PLAYER],0)),"")</f>
        <v>NYG</v>
      </c>
      <c r="AG78" s="145">
        <f>IFERROR(INDEX(TableWRCalcPts[BYE],MATCH(TableWRRanks32[[#This Row],[Player]],TableWRCalcPts[PLAYER],0)),"")</f>
        <v>8</v>
      </c>
      <c r="AH78" s="146">
        <f>IFERROR((VLOOKUP(TableWRRanks32[[#This Row],[Player]],WR!B:O,4,FALSE)),"")</f>
        <v>0</v>
      </c>
      <c r="AI78" s="146">
        <f>IFERROR((VLOOKUP(TableWRRanks32[[#This Row],[Player]],WR!B:O,5,FALSE)),"")</f>
        <v>0</v>
      </c>
      <c r="AJ78" s="146">
        <f>IFERROR((VLOOKUP(TableWRRanks32[[#This Row],[Player]],WR!B:O,6,FALSE)),"")</f>
        <v>66.746540699999997</v>
      </c>
      <c r="AK78" s="146">
        <f>IFERROR((VLOOKUP(TableWRRanks32[[#This Row],[Player]],WR!B:O,7,FALSE)),"")</f>
        <v>36.643850844300005</v>
      </c>
      <c r="AL78" s="146">
        <f>IFERROR((VLOOKUP(TableWRRanks32[[#This Row],[Player]],WR!B:O,8,FALSE)),"")</f>
        <v>461.34608212973706</v>
      </c>
      <c r="AM78" s="146">
        <f>IFERROR((VLOOKUP(TableWRRanks32[[#This Row],[Player]],WR!B:O,9,FALSE)),"")</f>
        <v>2.6750011116339003</v>
      </c>
      <c r="AN78" s="147">
        <f>IFERROR((IFERROR(INDEX(TableWRCalcPts[Custom],MATCH(TableWRRanks32[[#This Row],[RK]],TableWRCalcPts[RK],0)),"")),"")</f>
        <v>80.506540304927114</v>
      </c>
      <c r="AO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8" s="145">
        <v>77</v>
      </c>
      <c r="AR78" s="145" t="str">
        <f>IFERROR(INDEX(TableTECalcPts[PLAYER],MATCH(TableTERanks33[[#This Row],[RK]],TableTECalcPts[RK],0)),"")</f>
        <v>Charlie Woerner</v>
      </c>
      <c r="AS78" s="145" t="str">
        <f>IFERROR(INDEX(TableTECalcPts[TM],MATCH(TableTERanks33[[#This Row],[Player]],TableTECalcPts[PLAYER],0)),"")</f>
        <v>ATL</v>
      </c>
      <c r="AT78" s="145">
        <f>IFERROR(INDEX(TableTECalcPts[BYE],MATCH(TableTERanks33[[#This Row],[Player]],TableTECalcPts[PLAYER],0)),"")</f>
        <v>11</v>
      </c>
      <c r="AU78" s="146">
        <f>IFERROR((VLOOKUP(TableTERanks33[[#This Row],[Player]],TE!B:O,4,FALSE)),"")</f>
        <v>5.6765716000000017</v>
      </c>
      <c r="AV78" s="146">
        <f>IFERROR((VLOOKUP(TableTERanks33[[#This Row],[Player]],TE!B:O,5,FALSE)),"")</f>
        <v>4.2006629840000009</v>
      </c>
      <c r="AW78" s="146">
        <f>IFERROR((VLOOKUP(TableTERanks33[[#This Row],[Player]],TE!B:O,6,FALSE)),"")</f>
        <v>35.836419755850109</v>
      </c>
      <c r="AX78" s="146">
        <f>IFERROR((VLOOKUP(TableTERanks33[[#This Row],[Player]],TE!B:O,7,FALSE)),"")</f>
        <v>0.21003314920000005</v>
      </c>
      <c r="AY78" s="147">
        <f>IFERROR((IFERROR(INDEX(TableTECalcPts[Custom],MATCH(TableTERanks33[[#This Row],[RK]],TableTECalcPts[RK],0)),"")),"")</f>
        <v>6.9441723627850118</v>
      </c>
      <c r="AZ7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9" spans="1:53" x14ac:dyDescent="0.25">
      <c r="A79" s="145">
        <v>78</v>
      </c>
      <c r="B79" s="145" t="str">
        <f>IFERROR(INDEX(TableQBCalcPts[PLAYER],MATCH(TableQBRanks30[[#This Row],[RK]],TableQBCalcPts[RK],0)),"")</f>
        <v/>
      </c>
      <c r="C79" s="145" t="str">
        <f>IFERROR(INDEX(TableQBCalcPts[TM],MATCH(TableQBRanks30[[#This Row],[Player]],TableQBCalcPts[PLAYER],0)),"")</f>
        <v/>
      </c>
      <c r="D79" s="145" t="str">
        <f>IFERROR(INDEX(TableQBCalcPts[BYE],MATCH(TableQBRanks30[[#This Row],[Player]],TableQBCalcPts[PLAYER],0)),"")</f>
        <v/>
      </c>
      <c r="E79" s="146" t="str">
        <f>IFERROR((VLOOKUP(TableQBRanks30[[#This Row],[Player]],QB!B:O,4,FALSE)),"")</f>
        <v/>
      </c>
      <c r="F79" s="146" t="str">
        <f>IFERROR((VLOOKUP(TableQBRanks30[[#This Row],[Player]],QB!B:O,5,FALSE)),"")</f>
        <v/>
      </c>
      <c r="G79" s="146" t="str">
        <f>IFERROR((VLOOKUP(TableQBRanks30[[#This Row],[Player]],QB!B:O,6,FALSE)),"")</f>
        <v/>
      </c>
      <c r="H79" s="146" t="str">
        <f>IFERROR((VLOOKUP(TableQBRanks30[[#This Row],[Player]],QB!B:O,7,FALSE)),"")</f>
        <v/>
      </c>
      <c r="I79" s="146" t="str">
        <f>IFERROR((VLOOKUP(TableQBRanks30[[#This Row],[Player]],QB!B:O,8,FALSE)),"")</f>
        <v/>
      </c>
      <c r="J79" s="146" t="str">
        <f>IFERROR((VLOOKUP(TableQBRanks30[[#This Row],[Player]],QB!B:O,9,FALSE)),"")</f>
        <v/>
      </c>
      <c r="K79" s="146" t="str">
        <f>IFERROR((VLOOKUP(TableQBRanks30[[#This Row],[Player]],QB!B:O,10,FALSE)),"")</f>
        <v/>
      </c>
      <c r="L79" s="146" t="str">
        <f>IFERROR((VLOOKUP(TableQBRanks30[[#This Row],[Player]],QB!B:O,11,FALSE)),"")</f>
        <v/>
      </c>
      <c r="M79" s="147" t="str">
        <f>IFERROR(INDEX(TableQBCalcPts[Custom],MATCH(TableQBRanks30[[#This Row],[RK]],TableQBCalcPts[RK],0)),"")</f>
        <v/>
      </c>
      <c r="N79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9" s="58">
        <v>78</v>
      </c>
      <c r="Q79" s="58" t="str">
        <f>IFERROR(INDEX(TableRBCalcPts[PLAYER],MATCH(TableRBRanks31[[#This Row],[RK]],TableRBCalcPts[RK],0)),"")</f>
        <v>Seth McGowan</v>
      </c>
      <c r="R79" s="58" t="str">
        <f>IFERROR(INDEX(TableRBCalcPts[TM],MATCH(TableRBRanks31[[#This Row],[Player]],TableRBCalcPts[PLAYER],0)),"")</f>
        <v>IND</v>
      </c>
      <c r="S79" s="58">
        <f>IFERROR(INDEX(TableRBCalcPts[BYE],MATCH(TableRBRanks31[[#This Row],[Player]],TableRBCalcPts[PLAYER],0)),"")</f>
        <v>13</v>
      </c>
      <c r="T79" s="100">
        <f>IFERROR((VLOOKUP(TableRBRanks31[[#This Row],[Player]],RB!B:O,4,FALSE)),"")</f>
        <v>41.112332799999997</v>
      </c>
      <c r="U79" s="100">
        <f>IFERROR((VLOOKUP(TableRBRanks31[[#This Row],[Player]],RB!B:O,5,FALSE)),"")</f>
        <v>167.73831782399998</v>
      </c>
      <c r="V79" s="100">
        <f>IFERROR((VLOOKUP(TableRBRanks31[[#This Row],[Player]],RB!B:O,6,FALSE)),"")</f>
        <v>1.5211563135999999</v>
      </c>
      <c r="W79" s="100">
        <f>IFERROR((VLOOKUP(TableRBRanks31[[#This Row],[Player]],RB!B:O,7,FALSE)),"")</f>
        <v>2.6130719999999998</v>
      </c>
      <c r="X79" s="100">
        <f>IFERROR((VLOOKUP(TableRBRanks31[[#This Row],[Player]],RB!B:O,8,FALSE)),"")</f>
        <v>1.9598039999999999</v>
      </c>
      <c r="Y79" s="100">
        <f>IFERROR((VLOOKUP(TableRBRanks31[[#This Row],[Player]],RB!B:O,9,FALSE)),"")</f>
        <v>12.043963424675757</v>
      </c>
      <c r="Z79" s="100">
        <f>IFERROR((VLOOKUP(TableRBRanks31[[#This Row],[Player]],RB!B:O,10,FALSE)),"")</f>
        <v>3.9196080000000001E-2</v>
      </c>
      <c r="AA79" s="95">
        <f>IFERROR((IFERROR(INDEX(TableRBCalcPts[Custom],MATCH(TableRBRanks31[[#This Row],[RK]],TableRBCalcPts[RK],0)),"")),"")</f>
        <v>28.320244486467573</v>
      </c>
      <c r="AB7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9" s="145">
        <v>78</v>
      </c>
      <c r="AE79" s="145" t="str">
        <f>IFERROR(INDEX(TableWRCalcPts[PLAYER],MATCH(TableWRRanks32[[#This Row],[RK]],TableWRCalcPts[RK],0)),"")</f>
        <v>Malik Washington</v>
      </c>
      <c r="AF79" s="145" t="str">
        <f>IFERROR(INDEX(TableWRCalcPts[TM],MATCH(TableWRRanks32[[#This Row],[Player]],TableWRCalcPts[PLAYER],0)),"")</f>
        <v>MIA</v>
      </c>
      <c r="AG79" s="145">
        <f>IFERROR(INDEX(TableWRCalcPts[BYE],MATCH(TableWRRanks32[[#This Row],[Player]],TableWRCalcPts[PLAYER],0)),"")</f>
        <v>6</v>
      </c>
      <c r="AH79" s="146">
        <f>IFERROR((VLOOKUP(TableWRRanks32[[#This Row],[Player]],WR!B:O,4,FALSE)),"")</f>
        <v>48.719747676547435</v>
      </c>
      <c r="AI79" s="146">
        <f>IFERROR((VLOOKUP(TableWRRanks32[[#This Row],[Player]],WR!B:O,5,FALSE)),"")</f>
        <v>0.20159895590295487</v>
      </c>
      <c r="AJ79" s="146">
        <f>IFERROR((VLOOKUP(TableWRRanks32[[#This Row],[Player]],WR!B:O,6,FALSE)),"")</f>
        <v>63.525670739999988</v>
      </c>
      <c r="AK79" s="146">
        <f>IFERROR((VLOOKUP(TableWRRanks32[[#This Row],[Player]],WR!B:O,7,FALSE)),"")</f>
        <v>43.197456103199997</v>
      </c>
      <c r="AL79" s="146">
        <f>IFERROR((VLOOKUP(TableWRRanks32[[#This Row],[Player]],WR!B:O,8,FALSE)),"")</f>
        <v>409.94385841936798</v>
      </c>
      <c r="AM79" s="146">
        <f>IFERROR((VLOOKUP(TableWRRanks32[[#This Row],[Player]],WR!B:O,9,FALSE)),"")</f>
        <v>1.9438855246439999</v>
      </c>
      <c r="AN79" s="147">
        <f>IFERROR((IFERROR(INDEX(TableWRCalcPts[Custom],MATCH(TableWRRanks32[[#This Row],[RK]],TableWRCalcPts[RK],0)),"")),"")</f>
        <v>80.337995544473287</v>
      </c>
      <c r="AO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9" s="145">
        <v>78</v>
      </c>
      <c r="AR79" s="145" t="str">
        <f>IFERROR(INDEX(TableTECalcPts[PLAYER],MATCH(TableTERanks33[[#This Row],[RK]],TableTECalcPts[RK],0)),"")</f>
        <v>Michael Trigg</v>
      </c>
      <c r="AS79" s="145" t="str">
        <f>IFERROR(INDEX(TableTECalcPts[TM],MATCH(TableTERanks33[[#This Row],[Player]],TableTECalcPts[PLAYER],0)),"")</f>
        <v>DAL</v>
      </c>
      <c r="AT79" s="145">
        <f>IFERROR(INDEX(TableTECalcPts[BYE],MATCH(TableTERanks33[[#This Row],[Player]],TableTECalcPts[PLAYER],0)),"")</f>
        <v>14</v>
      </c>
      <c r="AU79" s="146">
        <f>IFERROR((VLOOKUP(TableTERanks33[[#This Row],[Player]],TE!B:O,4,FALSE)),"")</f>
        <v>6.0276369999999995</v>
      </c>
      <c r="AV79" s="146">
        <f>IFERROR((VLOOKUP(TableTERanks33[[#This Row],[Player]],TE!B:O,5,FALSE)),"")</f>
        <v>4.0565997009999997</v>
      </c>
      <c r="AW79" s="146">
        <f>IFERROR((VLOOKUP(TableTERanks33[[#This Row],[Player]],TE!B:O,6,FALSE)),"")</f>
        <v>34.075437488399999</v>
      </c>
      <c r="AX79" s="146">
        <f>IFERROR((VLOOKUP(TableTERanks33[[#This Row],[Player]],TE!B:O,7,FALSE)),"")</f>
        <v>0</v>
      </c>
      <c r="AY79" s="147">
        <f>IFERROR((IFERROR(INDEX(TableTECalcPts[Custom],MATCH(TableTERanks33[[#This Row],[RK]],TableTECalcPts[RK],0)),"")),"")</f>
        <v>5.4358435993400001</v>
      </c>
      <c r="AZ7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0" spans="1:53" x14ac:dyDescent="0.25">
      <c r="A80" s="145">
        <v>79</v>
      </c>
      <c r="B80" s="145" t="str">
        <f>IFERROR(INDEX(TableQBCalcPts[PLAYER],MATCH(TableQBRanks30[[#This Row],[RK]],TableQBCalcPts[RK],0)),"")</f>
        <v/>
      </c>
      <c r="C80" s="145" t="str">
        <f>IFERROR(INDEX(TableQBCalcPts[TM],MATCH(TableQBRanks30[[#This Row],[Player]],TableQBCalcPts[PLAYER],0)),"")</f>
        <v/>
      </c>
      <c r="D80" s="145" t="str">
        <f>IFERROR(INDEX(TableQBCalcPts[BYE],MATCH(TableQBRanks30[[#This Row],[Player]],TableQBCalcPts[PLAYER],0)),"")</f>
        <v/>
      </c>
      <c r="E80" s="146" t="str">
        <f>IFERROR((VLOOKUP(TableQBRanks30[[#This Row],[Player]],QB!B:O,4,FALSE)),"")</f>
        <v/>
      </c>
      <c r="F80" s="146" t="str">
        <f>IFERROR((VLOOKUP(TableQBRanks30[[#This Row],[Player]],QB!B:O,5,FALSE)),"")</f>
        <v/>
      </c>
      <c r="G80" s="146" t="str">
        <f>IFERROR((VLOOKUP(TableQBRanks30[[#This Row],[Player]],QB!B:O,6,FALSE)),"")</f>
        <v/>
      </c>
      <c r="H80" s="146" t="str">
        <f>IFERROR((VLOOKUP(TableQBRanks30[[#This Row],[Player]],QB!B:O,7,FALSE)),"")</f>
        <v/>
      </c>
      <c r="I80" s="146" t="str">
        <f>IFERROR((VLOOKUP(TableQBRanks30[[#This Row],[Player]],QB!B:O,8,FALSE)),"")</f>
        <v/>
      </c>
      <c r="J80" s="146" t="str">
        <f>IFERROR((VLOOKUP(TableQBRanks30[[#This Row],[Player]],QB!B:O,9,FALSE)),"")</f>
        <v/>
      </c>
      <c r="K80" s="146" t="str">
        <f>IFERROR((VLOOKUP(TableQBRanks30[[#This Row],[Player]],QB!B:O,10,FALSE)),"")</f>
        <v/>
      </c>
      <c r="L80" s="146" t="str">
        <f>IFERROR((VLOOKUP(TableQBRanks30[[#This Row],[Player]],QB!B:O,11,FALSE)),"")</f>
        <v/>
      </c>
      <c r="M80" s="147" t="str">
        <f>IFERROR(INDEX(TableQBCalcPts[Custom],MATCH(TableQBRanks30[[#This Row],[RK]],TableQBCalcPts[RK],0)),"")</f>
        <v/>
      </c>
      <c r="N80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80" s="58">
        <v>79</v>
      </c>
      <c r="Q80" s="58" t="str">
        <f>IFERROR(INDEX(TableRBCalcPts[PLAYER],MATCH(TableRBRanks31[[#This Row],[RK]],TableRBCalcPts[RK],0)),"")</f>
        <v>Isaiah Davis</v>
      </c>
      <c r="R80" s="58" t="str">
        <f>IFERROR(INDEX(TableRBCalcPts[TM],MATCH(TableRBRanks31[[#This Row],[Player]],TableRBCalcPts[PLAYER],0)),"")</f>
        <v>NYJ</v>
      </c>
      <c r="S80" s="58">
        <f>IFERROR(INDEX(TableRBCalcPts[BYE],MATCH(TableRBRanks31[[#This Row],[Player]],TableRBCalcPts[PLAYER],0)),"")</f>
        <v>13</v>
      </c>
      <c r="T80" s="100">
        <f>IFERROR((VLOOKUP(TableRBRanks31[[#This Row],[Player]],RB!B:O,4,FALSE)),"")</f>
        <v>30.098916399999997</v>
      </c>
      <c r="U80" s="100">
        <f>IFERROR((VLOOKUP(TableRBRanks31[[#This Row],[Player]],RB!B:O,5,FALSE)),"")</f>
        <v>129.42534051999999</v>
      </c>
      <c r="V80" s="100">
        <f>IFERROR((VLOOKUP(TableRBRanks31[[#This Row],[Player]],RB!B:O,6,FALSE)),"")</f>
        <v>0.90296749199999982</v>
      </c>
      <c r="W80" s="100">
        <f>IFERROR((VLOOKUP(TableRBRanks31[[#This Row],[Player]],RB!B:O,7,FALSE)),"")</f>
        <v>8.4299596905011391</v>
      </c>
      <c r="X80" s="100">
        <f>IFERROR((VLOOKUP(TableRBRanks31[[#This Row],[Player]],RB!B:O,8,FALSE)),"")</f>
        <v>6.3224697678758544</v>
      </c>
      <c r="Y80" s="100">
        <f>IFERROR((VLOOKUP(TableRBRanks31[[#This Row],[Player]],RB!B:O,9,FALSE)),"")</f>
        <v>52.447136538447616</v>
      </c>
      <c r="Z80" s="100">
        <f>IFERROR((VLOOKUP(TableRBRanks31[[#This Row],[Player]],RB!B:O,10,FALSE)),"")</f>
        <v>0.13400351508017394</v>
      </c>
      <c r="AA80" s="95">
        <f>IFERROR((IFERROR(INDEX(TableRBCalcPts[Custom],MATCH(TableRBRanks31[[#This Row],[RK]],TableRBCalcPts[RK],0)),"")),"")</f>
        <v>27.570308632263728</v>
      </c>
      <c r="AB8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0" s="145">
        <v>79</v>
      </c>
      <c r="AE80" s="145" t="str">
        <f>IFERROR(INDEX(TableWRCalcPts[PLAYER],MATCH(TableWRRanks32[[#This Row],[RK]],TableWRCalcPts[RK],0)),"")</f>
        <v>Jaylin Noel</v>
      </c>
      <c r="AF80" s="145" t="str">
        <f>IFERROR(INDEX(TableWRCalcPts[TM],MATCH(TableWRRanks32[[#This Row],[Player]],TableWRCalcPts[PLAYER],0)),"")</f>
        <v>HOU</v>
      </c>
      <c r="AG80" s="145">
        <f>IFERROR(INDEX(TableWRCalcPts[BYE],MATCH(TableWRRanks32[[#This Row],[Player]],TableWRCalcPts[PLAYER],0)),"")</f>
        <v>8</v>
      </c>
      <c r="AH80" s="146">
        <f>IFERROR((VLOOKUP(TableWRRanks32[[#This Row],[Player]],WR!B:O,4,FALSE)),"")</f>
        <v>24.062199700000004</v>
      </c>
      <c r="AI80" s="146">
        <f>IFERROR((VLOOKUP(TableWRRanks32[[#This Row],[Player]],WR!B:O,5,FALSE)),"")</f>
        <v>5.4686817500000012E-2</v>
      </c>
      <c r="AJ80" s="146">
        <f>IFERROR((VLOOKUP(TableWRRanks32[[#This Row],[Player]],WR!B:O,6,FALSE)),"")</f>
        <v>60.152973299999992</v>
      </c>
      <c r="AK80" s="146">
        <f>IFERROR((VLOOKUP(TableWRRanks32[[#This Row],[Player]],WR!B:O,7,FALSE)),"")</f>
        <v>36.548155833769009</v>
      </c>
      <c r="AL80" s="146">
        <f>IFERROR((VLOOKUP(TableWRRanks32[[#This Row],[Player]],WR!B:O,8,FALSE)),"")</f>
        <v>398.3748985880822</v>
      </c>
      <c r="AM80" s="146">
        <f>IFERROR((VLOOKUP(TableWRRanks32[[#This Row],[Player]],WR!B:O,9,FALSE)),"")</f>
        <v>2.3025338175274475</v>
      </c>
      <c r="AN80" s="147">
        <f>IFERROR((IFERROR(INDEX(TableWRCalcPts[Custom],MATCH(TableWRRanks32[[#This Row],[RK]],TableWRCalcPts[RK],0)),"")),"")</f>
        <v>74.661111555857417</v>
      </c>
      <c r="AO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0" s="145">
        <v>79</v>
      </c>
      <c r="AR80" s="145" t="str">
        <f>IFERROR(INDEX(TableTECalcPts[PLAYER],MATCH(TableTERanks33[[#This Row],[RK]],TableTECalcPts[RK],0)),"")</f>
        <v>Joe Royer</v>
      </c>
      <c r="AS80" s="145" t="str">
        <f>IFERROR(INDEX(TableTECalcPts[TM],MATCH(TableTERanks33[[#This Row],[Player]],TableTECalcPts[PLAYER],0)),"")</f>
        <v>CLE</v>
      </c>
      <c r="AT80" s="145">
        <f>IFERROR(INDEX(TableTECalcPts[BYE],MATCH(TableTERanks33[[#This Row],[Player]],TableTECalcPts[PLAYER],0)),"")</f>
        <v>11</v>
      </c>
      <c r="AU80" s="146">
        <f>IFERROR((VLOOKUP(TableTERanks33[[#This Row],[Player]],TE!B:O,4,FALSE)),"")</f>
        <v>4.9480199999999996</v>
      </c>
      <c r="AV80" s="146">
        <f>IFERROR((VLOOKUP(TableTERanks33[[#This Row],[Player]],TE!B:O,5,FALSE)),"")</f>
        <v>3.0677724</v>
      </c>
      <c r="AW80" s="146">
        <f>IFERROR((VLOOKUP(TableTERanks33[[#This Row],[Player]],TE!B:O,6,FALSE)),"")</f>
        <v>27.141529005660622</v>
      </c>
      <c r="AX80" s="146">
        <f>IFERROR((VLOOKUP(TableTERanks33[[#This Row],[Player]],TE!B:O,7,FALSE)),"")</f>
        <v>0.17793079920000002</v>
      </c>
      <c r="AY80" s="147">
        <f>IFERROR((IFERROR(INDEX(TableTECalcPts[Custom],MATCH(TableTERanks33[[#This Row],[RK]],TableTECalcPts[RK],0)),"")),"")</f>
        <v>5.3156238957660626</v>
      </c>
      <c r="AZ8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1" spans="16:53" x14ac:dyDescent="0.25">
      <c r="P81" s="58">
        <v>80</v>
      </c>
      <c r="Q81" s="58" t="str">
        <f>IFERROR(INDEX(TableRBCalcPts[PLAYER],MATCH(TableRBRanks31[[#This Row],[RK]],TableRBCalcPts[RK],0)),"")</f>
        <v>LeQuint Allen</v>
      </c>
      <c r="R81" s="58" t="str">
        <f>IFERROR(INDEX(TableRBCalcPts[TM],MATCH(TableRBRanks31[[#This Row],[Player]],TableRBCalcPts[PLAYER],0)),"")</f>
        <v>JAX</v>
      </c>
      <c r="S81" s="58">
        <f>IFERROR(INDEX(TableRBCalcPts[BYE],MATCH(TableRBRanks31[[#This Row],[Player]],TableRBCalcPts[PLAYER],0)),"")</f>
        <v>7</v>
      </c>
      <c r="T81" s="100">
        <f>IFERROR((VLOOKUP(TableRBRanks31[[#This Row],[Player]],RB!B:O,4,FALSE)),"")</f>
        <v>19.296116699999999</v>
      </c>
      <c r="U81" s="100">
        <f>IFERROR((VLOOKUP(TableRBRanks31[[#This Row],[Player]],RB!B:O,5,FALSE)),"")</f>
        <v>78.921117302999988</v>
      </c>
      <c r="V81" s="100">
        <f>IFERROR((VLOOKUP(TableRBRanks31[[#This Row],[Player]],RB!B:O,6,FALSE)),"")</f>
        <v>0.57888350099999997</v>
      </c>
      <c r="W81" s="100">
        <f>IFERROR((VLOOKUP(TableRBRanks31[[#This Row],[Player]],RB!B:O,7,FALSE)),"")</f>
        <v>15.111173700000002</v>
      </c>
      <c r="X81" s="100">
        <f>IFERROR((VLOOKUP(TableRBRanks31[[#This Row],[Player]],RB!B:O,8,FALSE)),"")</f>
        <v>10.675567740600004</v>
      </c>
      <c r="Y81" s="100">
        <f>IFERROR((VLOOKUP(TableRBRanks31[[#This Row],[Player]],RB!B:O,9,FALSE)),"")</f>
        <v>74.408707151982028</v>
      </c>
      <c r="Z81" s="100">
        <f>IFERROR((VLOOKUP(TableRBRanks31[[#This Row],[Player]],RB!B:O,10,FALSE)),"")</f>
        <v>0.38432043866160009</v>
      </c>
      <c r="AA81" s="95">
        <f>IFERROR((IFERROR(INDEX(TableRBCalcPts[Custom],MATCH(TableRBRanks31[[#This Row],[RK]],TableRBCalcPts[RK],0)),"")),"")</f>
        <v>26.449989953767805</v>
      </c>
      <c r="AB8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1" s="145">
        <v>80</v>
      </c>
      <c r="AE81" s="145" t="str">
        <f>IFERROR(INDEX(TableWRCalcPts[PLAYER],MATCH(TableWRRanks32[[#This Row],[RK]],TableWRCalcPts[RK],0)),"")</f>
        <v>Zachariah Branch</v>
      </c>
      <c r="AF81" s="145" t="str">
        <f>IFERROR(INDEX(TableWRCalcPts[TM],MATCH(TableWRRanks32[[#This Row],[Player]],TableWRCalcPts[PLAYER],0)),"")</f>
        <v>ATL</v>
      </c>
      <c r="AG81" s="145">
        <f>IFERROR(INDEX(TableWRCalcPts[BYE],MATCH(TableWRRanks32[[#This Row],[Player]],TableWRCalcPts[PLAYER],0)),"")</f>
        <v>11</v>
      </c>
      <c r="AH81" s="146">
        <f>IFERROR((VLOOKUP(TableWRRanks32[[#This Row],[Player]],WR!B:O,4,FALSE)),"")</f>
        <v>15.318138675</v>
      </c>
      <c r="AI81" s="146">
        <f>IFERROR((VLOOKUP(TableWRRanks32[[#This Row],[Player]],WR!B:O,5,FALSE)),"")</f>
        <v>8.0621782500000003E-2</v>
      </c>
      <c r="AJ81" s="146">
        <f>IFERROR((VLOOKUP(TableWRRanks32[[#This Row],[Player]],WR!B:O,6,FALSE)),"")</f>
        <v>59.604001800000013</v>
      </c>
      <c r="AK81" s="146">
        <f>IFERROR((VLOOKUP(TableWRRanks32[[#This Row],[Player]],WR!B:O,7,FALSE)),"")</f>
        <v>33.25903300440001</v>
      </c>
      <c r="AL81" s="146">
        <f>IFERROR((VLOOKUP(TableWRRanks32[[#This Row],[Player]],WR!B:O,8,FALSE)),"")</f>
        <v>403.0994800133281</v>
      </c>
      <c r="AM81" s="146">
        <f>IFERROR((VLOOKUP(TableWRRanks32[[#This Row],[Player]],WR!B:O,9,FALSE)),"")</f>
        <v>2.2616142442992007</v>
      </c>
      <c r="AN81" s="147">
        <f>IFERROR((IFERROR(INDEX(TableWRCalcPts[Custom],MATCH(TableWRRanks32[[#This Row],[RK]],TableWRCalcPts[RK],0)),"")),"")</f>
        <v>72.524694531828018</v>
      </c>
      <c r="AO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1" s="145">
        <v>80</v>
      </c>
      <c r="AR81" s="145" t="str">
        <f>IFERROR(INDEX(TableTECalcPts[PLAYER],MATCH(TableTERanks33[[#This Row],[RK]],TableTECalcPts[RK],0)),"")</f>
        <v>Tyler Conklin</v>
      </c>
      <c r="AS81" s="145" t="str">
        <f>IFERROR(INDEX(TableTECalcPts[TM],MATCH(TableTERanks33[[#This Row],[Player]],TableTECalcPts[PLAYER],0)),"")</f>
        <v>DET</v>
      </c>
      <c r="AT81" s="145">
        <f>IFERROR(INDEX(TableTECalcPts[BYE],MATCH(TableTERanks33[[#This Row],[Player]],TableTECalcPts[PLAYER],0)),"")</f>
        <v>6</v>
      </c>
      <c r="AU81" s="146">
        <f>IFERROR((VLOOKUP(TableTERanks33[[#This Row],[Player]],TE!B:O,4,FALSE)),"")</f>
        <v>2.9270639999999992</v>
      </c>
      <c r="AV81" s="146">
        <f>IFERROR((VLOOKUP(TableTERanks33[[#This Row],[Player]],TE!B:O,5,FALSE)),"")</f>
        <v>1.9815572821333325</v>
      </c>
      <c r="AW81" s="146">
        <f>IFERROR((VLOOKUP(TableTERanks33[[#This Row],[Player]],TE!B:O,6,FALSE)),"")</f>
        <v>20.112806413653324</v>
      </c>
      <c r="AX81" s="146">
        <f>IFERROR((VLOOKUP(TableTERanks33[[#This Row],[Player]],TE!B:O,7,FALSE)),"")</f>
        <v>0.11604182613333328</v>
      </c>
      <c r="AY81" s="147">
        <f>IFERROR((IFERROR(INDEX(TableTECalcPts[Custom],MATCH(TableTERanks33[[#This Row],[RK]],TableTECalcPts[RK],0)),"")),"")</f>
        <v>3.6983102392319984</v>
      </c>
      <c r="AZ8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2" spans="16:53" x14ac:dyDescent="0.25">
      <c r="P82" s="58">
        <v>81</v>
      </c>
      <c r="Q82" s="58" t="str">
        <f>IFERROR(INDEX(TableRBCalcPts[PLAYER],MATCH(TableRBRanks31[[#This Row],[RK]],TableRBCalcPts[RK],0)),"")</f>
        <v>Rasheen Ali</v>
      </c>
      <c r="R82" s="58" t="str">
        <f>IFERROR(INDEX(TableRBCalcPts[TM],MATCH(TableRBRanks31[[#This Row],[Player]],TableRBCalcPts[PLAYER],0)),"")</f>
        <v>BAL</v>
      </c>
      <c r="S82" s="58">
        <f>IFERROR(INDEX(TableRBCalcPts[BYE],MATCH(TableRBRanks31[[#This Row],[Player]],TableRBCalcPts[PLAYER],0)),"")</f>
        <v>13</v>
      </c>
      <c r="T82" s="100">
        <f>IFERROR((VLOOKUP(TableRBRanks31[[#This Row],[Player]],RB!B:O,4,FALSE)),"")</f>
        <v>41.668722506974092</v>
      </c>
      <c r="U82" s="100">
        <f>IFERROR((VLOOKUP(TableRBRanks31[[#This Row],[Player]],RB!B:O,5,FALSE)),"")</f>
        <v>157.28214157398611</v>
      </c>
      <c r="V82" s="100">
        <f>IFERROR((VLOOKUP(TableRBRanks31[[#This Row],[Player]],RB!B:O,6,FALSE)),"")</f>
        <v>1.0486274298979903</v>
      </c>
      <c r="W82" s="100">
        <f>IFERROR((VLOOKUP(TableRBRanks31[[#This Row],[Player]],RB!B:O,7,FALSE)),"")</f>
        <v>2.3498047999999998</v>
      </c>
      <c r="X82" s="100">
        <f>IFERROR((VLOOKUP(TableRBRanks31[[#This Row],[Player]],RB!B:O,8,FALSE)),"")</f>
        <v>1.7623536</v>
      </c>
      <c r="Y82" s="100">
        <f>IFERROR((VLOOKUP(TableRBRanks31[[#This Row],[Player]],RB!B:O,9,FALSE)),"")</f>
        <v>14.977866079500521</v>
      </c>
      <c r="Z82" s="100">
        <f>IFERROR((VLOOKUP(TableRBRanks31[[#This Row],[Player]],RB!B:O,10,FALSE)),"")</f>
        <v>0.105741216</v>
      </c>
      <c r="AA82" s="95">
        <f>IFERROR((IFERROR(INDEX(TableRBCalcPts[Custom],MATCH(TableRBRanks31[[#This Row],[RK]],TableRBCalcPts[RK],0)),"")),"")</f>
        <v>25.033389440736602</v>
      </c>
      <c r="AB8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2" s="145">
        <v>81</v>
      </c>
      <c r="AE82" s="145" t="str">
        <f>IFERROR(INDEX(TableWRCalcPts[PLAYER],MATCH(TableWRRanks32[[#This Row],[RK]],TableWRCalcPts[RK],0)),"")</f>
        <v>Tank Dell</v>
      </c>
      <c r="AF82" s="145" t="str">
        <f>IFERROR(INDEX(TableWRCalcPts[TM],MATCH(TableWRRanks32[[#This Row],[Player]],TableWRCalcPts[PLAYER],0)),"")</f>
        <v>HOU</v>
      </c>
      <c r="AG82" s="145">
        <f>IFERROR(INDEX(TableWRCalcPts[BYE],MATCH(TableWRRanks32[[#This Row],[Player]],TableWRCalcPts[PLAYER],0)),"")</f>
        <v>8</v>
      </c>
      <c r="AH82" s="146">
        <f>IFERROR((VLOOKUP(TableWRRanks32[[#This Row],[Player]],WR!B:O,4,FALSE)),"")</f>
        <v>0</v>
      </c>
      <c r="AI82" s="146">
        <f>IFERROR((VLOOKUP(TableWRRanks32[[#This Row],[Player]],WR!B:O,5,FALSE)),"")</f>
        <v>0</v>
      </c>
      <c r="AJ82" s="146">
        <f>IFERROR((VLOOKUP(TableWRRanks32[[#This Row],[Player]],WR!B:O,6,FALSE)),"")</f>
        <v>51.559691399999998</v>
      </c>
      <c r="AK82" s="146">
        <f>IFERROR((VLOOKUP(TableWRRanks32[[#This Row],[Player]],WR!B:O,7,FALSE)),"")</f>
        <v>32.482605581999998</v>
      </c>
      <c r="AL82" s="146">
        <f>IFERROR((VLOOKUP(TableWRRanks32[[#This Row],[Player]],WR!B:O,8,FALSE)),"")</f>
        <v>367.37826913241997</v>
      </c>
      <c r="AM82" s="146">
        <f>IFERROR((VLOOKUP(TableWRRanks32[[#This Row],[Player]],WR!B:O,9,FALSE)),"")</f>
        <v>2.6960562633060001</v>
      </c>
      <c r="AN82" s="147">
        <f>IFERROR((IFERROR(INDEX(TableWRCalcPts[Custom],MATCH(TableWRRanks32[[#This Row],[RK]],TableWRCalcPts[RK],0)),"")),"")</f>
        <v>69.155467284078</v>
      </c>
      <c r="AO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2" s="145">
        <v>81</v>
      </c>
      <c r="AR82" s="145" t="str">
        <f>IFERROR(INDEX(TableTECalcPts[PLAYER],MATCH(TableTERanks33[[#This Row],[RK]],TableTECalcPts[RK],0)),"")</f>
        <v>Tip Reiman</v>
      </c>
      <c r="AS82" s="145" t="str">
        <f>IFERROR(INDEX(TableTECalcPts[TM],MATCH(TableTERanks33[[#This Row],[Player]],TableTECalcPts[PLAYER],0)),"")</f>
        <v>ARI</v>
      </c>
      <c r="AT82" s="145">
        <f>IFERROR(INDEX(TableTECalcPts[BYE],MATCH(TableTERanks33[[#This Row],[Player]],TableTECalcPts[PLAYER],0)),"")</f>
        <v>14</v>
      </c>
      <c r="AU82" s="146">
        <f>IFERROR((VLOOKUP(TableTERanks33[[#This Row],[Player]],TE!B:O,4,FALSE)),"")</f>
        <v>2.7796720000000001</v>
      </c>
      <c r="AV82" s="146">
        <f>IFERROR((VLOOKUP(TableTERanks33[[#This Row],[Player]],TE!B:O,5,FALSE)),"")</f>
        <v>1.8818379440000002</v>
      </c>
      <c r="AW82" s="146">
        <f>IFERROR((VLOOKUP(TableTERanks33[[#This Row],[Player]],TE!B:O,6,FALSE)),"")</f>
        <v>15.990132189802491</v>
      </c>
      <c r="AX82" s="146">
        <f>IFERROR((VLOOKUP(TableTERanks33[[#This Row],[Player]],TE!B:O,7,FALSE)),"")</f>
        <v>0.10350108692000001</v>
      </c>
      <c r="AY82" s="147">
        <f>IFERROR((IFERROR(INDEX(TableTECalcPts[Custom],MATCH(TableTERanks33[[#This Row],[RK]],TableTECalcPts[RK],0)),"")),"")</f>
        <v>3.1609387125002493</v>
      </c>
      <c r="AZ8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3" spans="16:53" x14ac:dyDescent="0.25">
      <c r="P83" s="58">
        <v>82</v>
      </c>
      <c r="Q83" s="58" t="str">
        <f>IFERROR(INDEX(TableRBCalcPts[PLAYER],MATCH(TableRBRanks31[[#This Row],[RK]],TableRBCalcPts[RK],0)),"")</f>
        <v>Raheim Sanders</v>
      </c>
      <c r="R83" s="58" t="str">
        <f>IFERROR(INDEX(TableRBCalcPts[TM],MATCH(TableRBRanks31[[#This Row],[Player]],TableRBCalcPts[PLAYER],0)),"")</f>
        <v>CLE</v>
      </c>
      <c r="S83" s="58">
        <f>IFERROR(INDEX(TableRBCalcPts[BYE],MATCH(TableRBRanks31[[#This Row],[Player]],TableRBCalcPts[PLAYER],0)),"")</f>
        <v>11</v>
      </c>
      <c r="T83" s="100">
        <f>IFERROR((VLOOKUP(TableRBRanks31[[#This Row],[Player]],RB!B:O,4,FALSE)),"")</f>
        <v>43.412627999999998</v>
      </c>
      <c r="U83" s="100">
        <f>IFERROR((VLOOKUP(TableRBRanks31[[#This Row],[Player]],RB!B:O,5,FALSE)),"")</f>
        <v>151.944198</v>
      </c>
      <c r="V83" s="100">
        <f>IFERROR((VLOOKUP(TableRBRanks31[[#This Row],[Player]],RB!B:O,6,FALSE)),"")</f>
        <v>0.65118941999999991</v>
      </c>
      <c r="W83" s="100">
        <f>IFERROR((VLOOKUP(TableRBRanks31[[#This Row],[Player]],RB!B:O,7,FALSE)),"")</f>
        <v>4.9480199999999996</v>
      </c>
      <c r="X83" s="100">
        <f>IFERROR((VLOOKUP(TableRBRanks31[[#This Row],[Player]],RB!B:O,8,FALSE)),"")</f>
        <v>3.35970558</v>
      </c>
      <c r="Y83" s="100">
        <f>IFERROR((VLOOKUP(TableRBRanks31[[#This Row],[Player]],RB!B:O,9,FALSE)),"")</f>
        <v>29.378401673141351</v>
      </c>
      <c r="Z83" s="100">
        <f>IFERROR((VLOOKUP(TableRBRanks31[[#This Row],[Player]],RB!B:O,10,FALSE)),"")</f>
        <v>0.11544478369386958</v>
      </c>
      <c r="AA83" s="95">
        <f>IFERROR((IFERROR(INDEX(TableRBCalcPts[Custom],MATCH(TableRBRanks31[[#This Row],[RK]],TableRBCalcPts[RK],0)),"")),"")</f>
        <v>24.411917979477352</v>
      </c>
      <c r="AB8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3" s="145">
        <v>82</v>
      </c>
      <c r="AE83" s="145" t="str">
        <f>IFERROR(INDEX(TableWRCalcPts[PLAYER],MATCH(TableWRRanks32[[#This Row],[RK]],TableWRCalcPts[RK],0)),"")</f>
        <v>Nick Westbrook-Ikhine</v>
      </c>
      <c r="AF83" s="145" t="str">
        <f>IFERROR(INDEX(TableWRCalcPts[TM],MATCH(TableWRRanks32[[#This Row],[Player]],TableWRCalcPts[PLAYER],0)),"")</f>
        <v>IND</v>
      </c>
      <c r="AG83" s="145">
        <f>IFERROR(INDEX(TableWRCalcPts[BYE],MATCH(TableWRRanks32[[#This Row],[Player]],TableWRCalcPts[PLAYER],0)),"")</f>
        <v>13</v>
      </c>
      <c r="AH83" s="146">
        <f>IFERROR((VLOOKUP(TableWRRanks32[[#This Row],[Player]],WR!B:O,4,FALSE)),"")</f>
        <v>0</v>
      </c>
      <c r="AI83" s="146">
        <f>IFERROR((VLOOKUP(TableWRRanks32[[#This Row],[Player]],WR!B:O,5,FALSE)),"")</f>
        <v>0</v>
      </c>
      <c r="AJ83" s="146">
        <f>IFERROR((VLOOKUP(TableWRRanks32[[#This Row],[Player]],WR!B:O,6,FALSE)),"")</f>
        <v>53.306668799999997</v>
      </c>
      <c r="AK83" s="146">
        <f>IFERROR((VLOOKUP(TableWRRanks32[[#This Row],[Player]],WR!B:O,7,FALSE)),"")</f>
        <v>31.077787910399998</v>
      </c>
      <c r="AL83" s="146">
        <f>IFERROR((VLOOKUP(TableWRRanks32[[#This Row],[Player]],WR!B:O,8,FALSE)),"")</f>
        <v>366.09634158451195</v>
      </c>
      <c r="AM83" s="146">
        <f>IFERROR((VLOOKUP(TableWRRanks32[[#This Row],[Player]],WR!B:O,9,FALSE)),"")</f>
        <v>2.7659231240255995</v>
      </c>
      <c r="AN83" s="147">
        <f>IFERROR((IFERROR(INDEX(TableWRCalcPts[Custom],MATCH(TableWRRanks32[[#This Row],[RK]],TableWRCalcPts[RK],0)),"")),"")</f>
        <v>68.744066857804796</v>
      </c>
      <c r="AO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3" s="145">
        <v>82</v>
      </c>
      <c r="AR83" s="145" t="str">
        <f>IFERROR(INDEX(TableTECalcPts[PLAYER],MATCH(TableTERanks33[[#This Row],[RK]],TableTECalcPts[RK],0)),"")</f>
        <v>Thomas Fidone</v>
      </c>
      <c r="AS83" s="145" t="str">
        <f>IFERROR(INDEX(TableTECalcPts[TM],MATCH(TableTERanks33[[#This Row],[Player]],TableTECalcPts[PLAYER],0)),"")</f>
        <v>NYG</v>
      </c>
      <c r="AT83" s="145">
        <f>IFERROR(INDEX(TableTECalcPts[BYE],MATCH(TableTERanks33[[#This Row],[Player]],TableTECalcPts[PLAYER],0)),"")</f>
        <v>8</v>
      </c>
      <c r="AU83" s="146">
        <f>IFERROR((VLOOKUP(TableTERanks33[[#This Row],[Player]],TE!B:O,4,FALSE)),"")</f>
        <v>2.4720941000000001</v>
      </c>
      <c r="AV83" s="146">
        <f>IFERROR((VLOOKUP(TableTERanks33[[#This Row],[Player]],TE!B:O,5,FALSE)),"")</f>
        <v>1.5153936833000001</v>
      </c>
      <c r="AW83" s="146">
        <f>IFERROR((VLOOKUP(TableTERanks33[[#This Row],[Player]],TE!B:O,6,FALSE)),"")</f>
        <v>15.729786432654002</v>
      </c>
      <c r="AX83" s="146">
        <f>IFERROR((VLOOKUP(TableTERanks33[[#This Row],[Player]],TE!B:O,7,FALSE)),"")</f>
        <v>9.0923620997999999E-2</v>
      </c>
      <c r="AY83" s="147">
        <f>IFERROR((IFERROR(INDEX(TableTECalcPts[Custom],MATCH(TableTERanks33[[#This Row],[RK]],TableTECalcPts[RK],0)),"")),"")</f>
        <v>2.8762172109034005</v>
      </c>
      <c r="AZ8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4" spans="16:53" x14ac:dyDescent="0.25">
      <c r="P84" s="58">
        <v>83</v>
      </c>
      <c r="Q84" s="58" t="str">
        <f>IFERROR(INDEX(TableRBCalcPts[PLAYER],MATCH(TableRBRanks31[[#This Row],[RK]],TableRBCalcPts[RK],0)),"")</f>
        <v>Isaac Guerendo</v>
      </c>
      <c r="R84" s="58" t="str">
        <f>IFERROR(INDEX(TableRBCalcPts[TM],MATCH(TableRBRanks31[[#This Row],[Player]],TableRBCalcPts[PLAYER],0)),"")</f>
        <v>SF</v>
      </c>
      <c r="S84" s="58">
        <f>IFERROR(INDEX(TableRBCalcPts[BYE],MATCH(TableRBRanks31[[#This Row],[Player]],TableRBCalcPts[PLAYER],0)),"")</f>
        <v>8</v>
      </c>
      <c r="T84" s="100">
        <f>IFERROR((VLOOKUP(TableRBRanks31[[#This Row],[Player]],RB!B:O,4,FALSE)),"")</f>
        <v>32.530668800000001</v>
      </c>
      <c r="U84" s="100">
        <f>IFERROR((VLOOKUP(TableRBRanks31[[#This Row],[Player]],RB!B:O,5,FALSE)),"")</f>
        <v>134.35166214399999</v>
      </c>
      <c r="V84" s="100">
        <f>IFERROR((VLOOKUP(TableRBRanks31[[#This Row],[Player]],RB!B:O,6,FALSE)),"")</f>
        <v>0.97592006399999998</v>
      </c>
      <c r="W84" s="100">
        <f>IFERROR((VLOOKUP(TableRBRanks31[[#This Row],[Player]],RB!B:O,7,FALSE)),"")</f>
        <v>4.2946892800000001</v>
      </c>
      <c r="X84" s="100">
        <f>IFERROR((VLOOKUP(TableRBRanks31[[#This Row],[Player]],RB!B:O,8,FALSE)),"")</f>
        <v>3.0921762816</v>
      </c>
      <c r="Y84" s="100">
        <f>IFERROR((VLOOKUP(TableRBRanks31[[#This Row],[Player]],RB!B:O,9,FALSE)),"")</f>
        <v>21.923529836543999</v>
      </c>
      <c r="Z84" s="100">
        <f>IFERROR((VLOOKUP(TableRBRanks31[[#This Row],[Player]],RB!B:O,10,FALSE)),"")</f>
        <v>8.2634320726884022E-2</v>
      </c>
      <c r="AA84" s="95">
        <f>IFERROR((IFERROR(INDEX(TableRBCalcPts[Custom],MATCH(TableRBRanks31[[#This Row],[RK]],TableRBCalcPts[RK],0)),"")),"")</f>
        <v>23.5249336472157</v>
      </c>
      <c r="AB8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4" s="145">
        <v>83</v>
      </c>
      <c r="AE84" s="145" t="str">
        <f>IFERROR(INDEX(TableWRCalcPts[PLAYER],MATCH(TableWRRanks32[[#This Row],[RK]],TableWRCalcPts[RK],0)),"")</f>
        <v>Elijah Sarratt</v>
      </c>
      <c r="AF84" s="145" t="str">
        <f>IFERROR(INDEX(TableWRCalcPts[TM],MATCH(TableWRRanks32[[#This Row],[Player]],TableWRCalcPts[PLAYER],0)),"")</f>
        <v>BAL</v>
      </c>
      <c r="AG84" s="145">
        <f>IFERROR(INDEX(TableWRCalcPts[BYE],MATCH(TableWRRanks32[[#This Row],[Player]],TableWRCalcPts[PLAYER],0)),"")</f>
        <v>13</v>
      </c>
      <c r="AH84" s="146">
        <f>IFERROR((VLOOKUP(TableWRRanks32[[#This Row],[Player]],WR!B:O,4,FALSE)),"")</f>
        <v>0</v>
      </c>
      <c r="AI84" s="146">
        <f>IFERROR((VLOOKUP(TableWRRanks32[[#This Row],[Player]],WR!B:O,5,FALSE)),"")</f>
        <v>0</v>
      </c>
      <c r="AJ84" s="146">
        <f>IFERROR((VLOOKUP(TableWRRanks32[[#This Row],[Player]],WR!B:O,6,FALSE)),"")</f>
        <v>44.6462912</v>
      </c>
      <c r="AK84" s="146">
        <f>IFERROR((VLOOKUP(TableWRRanks32[[#This Row],[Player]],WR!B:O,7,FALSE)),"")</f>
        <v>26.207184553424476</v>
      </c>
      <c r="AL84" s="146">
        <f>IFERROR((VLOOKUP(TableWRRanks32[[#This Row],[Player]],WR!B:O,8,FALSE)),"")</f>
        <v>361.32337658647765</v>
      </c>
      <c r="AM84" s="146">
        <f>IFERROR((VLOOKUP(TableWRRanks32[[#This Row],[Player]],WR!B:O,9,FALSE)),"")</f>
        <v>2.5158897171287498</v>
      </c>
      <c r="AN84" s="147">
        <f>IFERROR((IFERROR(INDEX(TableWRCalcPts[Custom],MATCH(TableWRRanks32[[#This Row],[RK]],TableWRCalcPts[RK],0)),"")),"")</f>
        <v>64.331268238132509</v>
      </c>
      <c r="AO8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4" s="145">
        <v>83</v>
      </c>
      <c r="AR84" s="145" t="str">
        <f>IFERROR(INDEX(TableTECalcPts[PLAYER],MATCH(TableTERanks33[[#This Row],[RK]],TableTECalcPts[RK],0)),"")</f>
        <v>Ben Yurosek</v>
      </c>
      <c r="AS84" s="145" t="str">
        <f>IFERROR(INDEX(TableTECalcPts[TM],MATCH(TableTERanks33[[#This Row],[Player]],TableTECalcPts[PLAYER],0)),"")</f>
        <v>MIN</v>
      </c>
      <c r="AT84" s="145">
        <f>IFERROR(INDEX(TableTECalcPts[BYE],MATCH(TableTERanks33[[#This Row],[Player]],TableTECalcPts[PLAYER],0)),"")</f>
        <v>6</v>
      </c>
      <c r="AU84" s="146">
        <f>IFERROR((VLOOKUP(TableTERanks33[[#This Row],[Player]],TE!B:O,4,FALSE)),"")</f>
        <v>2.6496063999999997</v>
      </c>
      <c r="AV84" s="146">
        <f>IFERROR((VLOOKUP(TableTERanks33[[#This Row],[Player]],TE!B:O,5,FALSE)),"")</f>
        <v>1.6840456677333331</v>
      </c>
      <c r="AW84" s="146">
        <f>IFERROR((VLOOKUP(TableTERanks33[[#This Row],[Player]],TE!B:O,6,FALSE)),"")</f>
        <v>14.807987767999997</v>
      </c>
      <c r="AX84" s="146">
        <f>IFERROR((VLOOKUP(TableTERanks33[[#This Row],[Player]],TE!B:O,7,FALSE)),"")</f>
        <v>8.420228338666666E-2</v>
      </c>
      <c r="AY84" s="147">
        <f>IFERROR((IFERROR(INDEX(TableTECalcPts[Custom],MATCH(TableTERanks33[[#This Row],[RK]],TableTECalcPts[RK],0)),"")),"")</f>
        <v>2.8280353109866665</v>
      </c>
      <c r="AZ8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5" spans="16:53" x14ac:dyDescent="0.25">
      <c r="P85" s="58">
        <v>84</v>
      </c>
      <c r="Q85" s="58" t="str">
        <f>IFERROR(INDEX(TableRBCalcPts[PLAYER],MATCH(TableRBRanks31[[#This Row],[RK]],TableRBCalcPts[RK],0)),"")</f>
        <v>Kendre Miller</v>
      </c>
      <c r="R85" s="58" t="str">
        <f>IFERROR(INDEX(TableRBCalcPts[TM],MATCH(TableRBRanks31[[#This Row],[Player]],TableRBCalcPts[PLAYER],0)),"")</f>
        <v>NO</v>
      </c>
      <c r="S85" s="58">
        <f>IFERROR(INDEX(TableRBCalcPts[BYE],MATCH(TableRBRanks31[[#This Row],[Player]],TableRBCalcPts[PLAYER],0)),"")</f>
        <v>8</v>
      </c>
      <c r="T85" s="100">
        <f>IFERROR((VLOOKUP(TableRBRanks31[[#This Row],[Player]],RB!B:O,4,FALSE)),"")</f>
        <v>26.769899519999999</v>
      </c>
      <c r="U85" s="100">
        <f>IFERROR((VLOOKUP(TableRBRanks31[[#This Row],[Player]],RB!B:O,5,FALSE)),"")</f>
        <v>107.8826950656</v>
      </c>
      <c r="V85" s="100">
        <f>IFERROR((VLOOKUP(TableRBRanks31[[#This Row],[Player]],RB!B:O,6,FALSE)),"")</f>
        <v>0.53539799040000002</v>
      </c>
      <c r="W85" s="100">
        <f>IFERROR((VLOOKUP(TableRBRanks31[[#This Row],[Player]],RB!B:O,7,FALSE)),"")</f>
        <v>5.0778112000000002</v>
      </c>
      <c r="X85" s="100">
        <f>IFERROR((VLOOKUP(TableRBRanks31[[#This Row],[Player]],RB!B:O,8,FALSE)),"")</f>
        <v>3.8083584000000004</v>
      </c>
      <c r="Y85" s="100">
        <f>IFERROR((VLOOKUP(TableRBRanks31[[#This Row],[Player]],RB!B:O,9,FALSE)),"")</f>
        <v>30.79548781162265</v>
      </c>
      <c r="Z85" s="100">
        <f>IFERROR((VLOOKUP(TableRBRanks31[[#This Row],[Player]],RB!B:O,10,FALSE)),"")</f>
        <v>0.11805911040000001</v>
      </c>
      <c r="AA85" s="95">
        <f>IFERROR((IFERROR(INDEX(TableRBCalcPts[Custom],MATCH(TableRBRanks31[[#This Row],[RK]],TableRBCalcPts[RK],0)),"")),"")</f>
        <v>19.692740092522268</v>
      </c>
      <c r="AB8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5" s="145">
        <v>84</v>
      </c>
      <c r="AE85" s="145" t="str">
        <f>IFERROR(INDEX(TableWRCalcPts[PLAYER],MATCH(TableWRRanks32[[#This Row],[RK]],TableWRCalcPts[RK],0)),"")</f>
        <v>KaVontae Turpin</v>
      </c>
      <c r="AF85" s="145" t="str">
        <f>IFERROR(INDEX(TableWRCalcPts[TM],MATCH(TableWRRanks32[[#This Row],[Player]],TableWRCalcPts[PLAYER],0)),"")</f>
        <v>DAL</v>
      </c>
      <c r="AG85" s="145">
        <f>IFERROR(INDEX(TableWRCalcPts[BYE],MATCH(TableWRRanks32[[#This Row],[Player]],TableWRCalcPts[PLAYER],0)),"")</f>
        <v>14</v>
      </c>
      <c r="AH85" s="146">
        <f>IFERROR((VLOOKUP(TableWRRanks32[[#This Row],[Player]],WR!B:O,4,FALSE)),"")</f>
        <v>85.88473528786632</v>
      </c>
      <c r="AI85" s="146">
        <f>IFERROR((VLOOKUP(TableWRRanks32[[#This Row],[Player]],WR!B:O,5,FALSE)),"")</f>
        <v>0.14827909616178298</v>
      </c>
      <c r="AJ85" s="146">
        <f>IFERROR((VLOOKUP(TableWRRanks32[[#This Row],[Player]],WR!B:O,6,FALSE)),"")</f>
        <v>33.754767199999996</v>
      </c>
      <c r="AK85" s="146">
        <f>IFERROR((VLOOKUP(TableWRRanks32[[#This Row],[Player]],WR!B:O,7,FALSE)),"")</f>
        <v>24.100903780799996</v>
      </c>
      <c r="AL85" s="146">
        <f>IFERROR((VLOOKUP(TableWRRanks32[[#This Row],[Player]],WR!B:O,8,FALSE)),"")</f>
        <v>303.37231656835706</v>
      </c>
      <c r="AM85" s="146">
        <f>IFERROR((VLOOKUP(TableWRRanks32[[#This Row],[Player]],WR!B:O,9,FALSE)),"")</f>
        <v>2.0726777251487993</v>
      </c>
      <c r="AN85" s="147">
        <f>IFERROR((IFERROR(INDEX(TableWRCalcPts[Custom],MATCH(TableWRRanks32[[#This Row],[RK]],TableWRCalcPts[RK],0)),"")),"")</f>
        <v>64.301898003885839</v>
      </c>
      <c r="AO8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5" s="145">
        <v>84</v>
      </c>
      <c r="AR85" s="145" t="str">
        <f>IFERROR(INDEX(TableTECalcPts[PLAYER],MATCH(TableTERanks33[[#This Row],[RK]],TableTECalcPts[RK],0)),"")</f>
        <v>Grant Calcaterra</v>
      </c>
      <c r="AS85" s="145" t="str">
        <f>IFERROR(INDEX(TableTECalcPts[TM],MATCH(TableTERanks33[[#This Row],[Player]],TableTECalcPts[PLAYER],0)),"")</f>
        <v>PHI</v>
      </c>
      <c r="AT85" s="145">
        <f>IFERROR(INDEX(TableTECalcPts[BYE],MATCH(TableTERanks33[[#This Row],[Player]],TableTECalcPts[PLAYER],0)),"")</f>
        <v>10</v>
      </c>
      <c r="AU85" s="146">
        <f>IFERROR((VLOOKUP(TableTERanks33[[#This Row],[Player]],TE!B:O,4,FALSE)),"")</f>
        <v>2.4015683999999999</v>
      </c>
      <c r="AV85" s="146">
        <f>IFERROR((VLOOKUP(TableTERanks33[[#This Row],[Player]],TE!B:O,5,FALSE)),"")</f>
        <v>1.6810978799999998</v>
      </c>
      <c r="AW85" s="146">
        <f>IFERROR((VLOOKUP(TableTERanks33[[#This Row],[Player]],TE!B:O,6,FALSE)),"")</f>
        <v>13.42453165755232</v>
      </c>
      <c r="AX85" s="146">
        <f>IFERROR((VLOOKUP(TableTERanks33[[#This Row],[Player]],TE!B:O,7,FALSE)),"")</f>
        <v>9.4222584263923354E-2</v>
      </c>
      <c r="AY85" s="147">
        <f>IFERROR((IFERROR(INDEX(TableTECalcPts[Custom],MATCH(TableTERanks33[[#This Row],[RK]],TableTECalcPts[RK],0)),"")),"")</f>
        <v>2.7483376113387723</v>
      </c>
      <c r="AZ8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6" spans="16:53" x14ac:dyDescent="0.25">
      <c r="P86" s="58">
        <v>85</v>
      </c>
      <c r="Q86" s="58" t="str">
        <f>IFERROR(INDEX(TableRBCalcPts[PLAYER],MATCH(TableRBRanks31[[#This Row],[RK]],TableRBCalcPts[RK],0)),"")</f>
        <v>DJ Giddens</v>
      </c>
      <c r="R86" s="58" t="str">
        <f>IFERROR(INDEX(TableRBCalcPts[TM],MATCH(TableRBRanks31[[#This Row],[Player]],TableRBCalcPts[PLAYER],0)),"")</f>
        <v>IND</v>
      </c>
      <c r="S86" s="58">
        <f>IFERROR(INDEX(TableRBCalcPts[BYE],MATCH(TableRBRanks31[[#This Row],[Player]],TableRBCalcPts[PLAYER],0)),"")</f>
        <v>13</v>
      </c>
      <c r="T86" s="100">
        <f>IFERROR((VLOOKUP(TableRBRanks31[[#This Row],[Player]],RB!B:O,4,FALSE)),"")</f>
        <v>20.088980799999998</v>
      </c>
      <c r="U86" s="100">
        <f>IFERROR((VLOOKUP(TableRBRanks31[[#This Row],[Player]],RB!B:O,5,FALSE)),"")</f>
        <v>79.644023865033247</v>
      </c>
      <c r="V86" s="100">
        <f>IFERROR((VLOOKUP(TableRBRanks31[[#This Row],[Player]],RB!B:O,6,FALSE)),"")</f>
        <v>0.6026694239999999</v>
      </c>
      <c r="W86" s="100">
        <f>IFERROR((VLOOKUP(TableRBRanks31[[#This Row],[Player]],RB!B:O,7,FALSE)),"")</f>
        <v>7.8392159999999995</v>
      </c>
      <c r="X86" s="100">
        <f>IFERROR((VLOOKUP(TableRBRanks31[[#This Row],[Player]],RB!B:O,8,FALSE)),"")</f>
        <v>5.8794119999999994</v>
      </c>
      <c r="Y86" s="100">
        <f>IFERROR((VLOOKUP(TableRBRanks31[[#This Row],[Player]],RB!B:O,9,FALSE)),"")</f>
        <v>35.857945005048599</v>
      </c>
      <c r="Z86" s="100">
        <f>IFERROR((VLOOKUP(TableRBRanks31[[#This Row],[Player]],RB!B:O,10,FALSE)),"")</f>
        <v>0.11758824</v>
      </c>
      <c r="AA86" s="95">
        <f>IFERROR((IFERROR(INDEX(TableRBCalcPts[Custom],MATCH(TableRBRanks31[[#This Row],[RK]],TableRBCalcPts[RK],0)),"")),"")</f>
        <v>18.811448871008182</v>
      </c>
      <c r="AB8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6" s="145">
        <v>85</v>
      </c>
      <c r="AE86" s="145" t="str">
        <f>IFERROR(INDEX(TableWRCalcPts[PLAYER],MATCH(TableWRRanks32[[#This Row],[RK]],TableWRCalcPts[RK],0)),"")</f>
        <v>Troy Franklin</v>
      </c>
      <c r="AF86" s="145" t="str">
        <f>IFERROR(INDEX(TableWRCalcPts[TM],MATCH(TableWRRanks32[[#This Row],[Player]],TableWRCalcPts[PLAYER],0)),"")</f>
        <v>DEN</v>
      </c>
      <c r="AG86" s="145">
        <f>IFERROR(INDEX(TableWRCalcPts[BYE],MATCH(TableWRRanks32[[#This Row],[Player]],TableWRCalcPts[PLAYER],0)),"")</f>
        <v>10</v>
      </c>
      <c r="AH86" s="146">
        <f>IFERROR((VLOOKUP(TableWRRanks32[[#This Row],[Player]],WR!B:O,4,FALSE)),"")</f>
        <v>0</v>
      </c>
      <c r="AI86" s="146">
        <f>IFERROR((VLOOKUP(TableWRRanks32[[#This Row],[Player]],WR!B:O,5,FALSE)),"")</f>
        <v>0</v>
      </c>
      <c r="AJ86" s="146">
        <f>IFERROR((VLOOKUP(TableWRRanks32[[#This Row],[Player]],WR!B:O,6,FALSE)),"")</f>
        <v>46.22440284000001</v>
      </c>
      <c r="AK86" s="146">
        <f>IFERROR((VLOOKUP(TableWRRanks32[[#This Row],[Player]],WR!B:O,7,FALSE)),"")</f>
        <v>28.890251775000007</v>
      </c>
      <c r="AL86" s="146">
        <f>IFERROR((VLOOKUP(TableWRRanks32[[#This Row],[Player]],WR!B:O,8,FALSE)),"")</f>
        <v>332.44445441089141</v>
      </c>
      <c r="AM86" s="146">
        <f>IFERROR((VLOOKUP(TableWRRanks32[[#This Row],[Player]],WR!B:O,9,FALSE)),"")</f>
        <v>2.5423421562000006</v>
      </c>
      <c r="AN86" s="147">
        <f>IFERROR((IFERROR(INDEX(TableWRCalcPts[Custom],MATCH(TableWRRanks32[[#This Row],[RK]],TableWRCalcPts[RK],0)),"")),"")</f>
        <v>62.943624265789154</v>
      </c>
      <c r="AO8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6" s="145">
        <v>85</v>
      </c>
      <c r="AR86" s="145" t="str">
        <f>IFERROR(INDEX(TableTECalcPts[PLAYER],MATCH(TableTERanks33[[#This Row],[RK]],TableTECalcPts[RK],0)),"")</f>
        <v>Jack Stoll</v>
      </c>
      <c r="AS86" s="145" t="str">
        <f>IFERROR(INDEX(TableTECalcPts[TM],MATCH(TableTERanks33[[#This Row],[Player]],TableTECalcPts[PLAYER],0)),"")</f>
        <v>CLE</v>
      </c>
      <c r="AT86" s="145">
        <f>IFERROR(INDEX(TableTECalcPts[BYE],MATCH(TableTERanks33[[#This Row],[Player]],TableTECalcPts[PLAYER],0)),"")</f>
        <v>11</v>
      </c>
      <c r="AU86" s="146">
        <f>IFERROR((VLOOKUP(TableTERanks33[[#This Row],[Player]],TE!B:O,4,FALSE)),"")</f>
        <v>2.4740099999999998</v>
      </c>
      <c r="AV86" s="146">
        <f>IFERROR((VLOOKUP(TableTERanks33[[#This Row],[Player]],TE!B:O,5,FALSE)),"")</f>
        <v>1.5264641699999999</v>
      </c>
      <c r="AW86" s="146">
        <f>IFERROR((VLOOKUP(TableTERanks33[[#This Row],[Player]],TE!B:O,6,FALSE)),"")</f>
        <v>11.295834857999999</v>
      </c>
      <c r="AX86" s="146">
        <f>IFERROR((VLOOKUP(TableTERanks33[[#This Row],[Player]],TE!B:O,7,FALSE)),"")</f>
        <v>8.7008457689999999E-2</v>
      </c>
      <c r="AY86" s="147">
        <f>IFERROR((IFERROR(INDEX(TableTECalcPts[Custom],MATCH(TableTERanks33[[#This Row],[RK]],TableTECalcPts[RK],0)),"")),"")</f>
        <v>2.41486631694</v>
      </c>
      <c r="AZ8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7" spans="16:53" x14ac:dyDescent="0.25">
      <c r="P87" s="58">
        <v>86</v>
      </c>
      <c r="Q87" s="58" t="str">
        <f>IFERROR(INDEX(TableRBCalcPts[PLAYER],MATCH(TableRBRanks31[[#This Row],[RK]],TableRBCalcPts[RK],0)),"")</f>
        <v>Eli Heidenreich</v>
      </c>
      <c r="R87" s="58" t="str">
        <f>IFERROR(INDEX(TableRBCalcPts[TM],MATCH(TableRBRanks31[[#This Row],[Player]],TableRBCalcPts[PLAYER],0)),"")</f>
        <v>PIT</v>
      </c>
      <c r="S87" s="58">
        <f>IFERROR(INDEX(TableRBCalcPts[BYE],MATCH(TableRBRanks31[[#This Row],[Player]],TableRBCalcPts[PLAYER],0)),"")</f>
        <v>9</v>
      </c>
      <c r="T87" s="100">
        <f>IFERROR((VLOOKUP(TableRBRanks31[[#This Row],[Player]],RB!B:O,4,FALSE)),"")</f>
        <v>11.603591999999997</v>
      </c>
      <c r="U87" s="100">
        <f>IFERROR((VLOOKUP(TableRBRanks31[[#This Row],[Player]],RB!B:O,5,FALSE)),"")</f>
        <v>52.56427175999999</v>
      </c>
      <c r="V87" s="100">
        <f>IFERROR((VLOOKUP(TableRBRanks31[[#This Row],[Player]],RB!B:O,6,FALSE)),"")</f>
        <v>0.32490057599999994</v>
      </c>
      <c r="W87" s="100">
        <f>IFERROR((VLOOKUP(TableRBRanks31[[#This Row],[Player]],RB!B:O,7,FALSE)),"")</f>
        <v>8.5201200000000004</v>
      </c>
      <c r="X87" s="100">
        <f>IFERROR((VLOOKUP(TableRBRanks31[[#This Row],[Player]],RB!B:O,8,FALSE)),"")</f>
        <v>7.1143001999999997</v>
      </c>
      <c r="Y87" s="100">
        <f>IFERROR((VLOOKUP(TableRBRanks31[[#This Row],[Player]],RB!B:O,9,FALSE)),"")</f>
        <v>46.242951300000001</v>
      </c>
      <c r="Z87" s="100">
        <f>IFERROR((VLOOKUP(TableRBRanks31[[#This Row],[Player]],RB!B:O,10,FALSE)),"")</f>
        <v>0.52645821479999999</v>
      </c>
      <c r="AA87" s="95">
        <f>IFERROR((IFERROR(INDEX(TableRBCalcPts[Custom],MATCH(TableRBRanks31[[#This Row],[RK]],TableRBCalcPts[RK],0)),"")),"")</f>
        <v>18.546025150799998</v>
      </c>
      <c r="AB8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7" s="145">
        <v>86</v>
      </c>
      <c r="AE87" s="145" t="str">
        <f>IFERROR(INDEX(TableWRCalcPts[PLAYER],MATCH(TableWRRanks32[[#This Row],[RK]],TableWRCalcPts[RK],0)),"")</f>
        <v>Darius Slayton</v>
      </c>
      <c r="AF87" s="145" t="str">
        <f>IFERROR(INDEX(TableWRCalcPts[TM],MATCH(TableWRRanks32[[#This Row],[Player]],TableWRCalcPts[PLAYER],0)),"")</f>
        <v>NYG</v>
      </c>
      <c r="AG87" s="145">
        <f>IFERROR(INDEX(TableWRCalcPts[BYE],MATCH(TableWRRanks32[[#This Row],[Player]],TableWRCalcPts[PLAYER],0)),"")</f>
        <v>8</v>
      </c>
      <c r="AH87" s="146">
        <f>IFERROR((VLOOKUP(TableWRRanks32[[#This Row],[Player]],WR!B:O,4,FALSE)),"")</f>
        <v>0</v>
      </c>
      <c r="AI87" s="146">
        <f>IFERROR((VLOOKUP(TableWRRanks32[[#This Row],[Player]],WR!B:O,5,FALSE)),"")</f>
        <v>0</v>
      </c>
      <c r="AJ87" s="146">
        <f>IFERROR((VLOOKUP(TableWRRanks32[[#This Row],[Player]],WR!B:O,6,FALSE)),"")</f>
        <v>41.036762060000008</v>
      </c>
      <c r="AK87" s="146">
        <f>IFERROR((VLOOKUP(TableWRRanks32[[#This Row],[Player]],WR!B:O,7,FALSE)),"")</f>
        <v>26.058343908100007</v>
      </c>
      <c r="AL87" s="146">
        <f>IFERROR((VLOOKUP(TableWRRanks32[[#This Row],[Player]],WR!B:O,8,FALSE)),"")</f>
        <v>371.33140069042508</v>
      </c>
      <c r="AM87" s="146">
        <f>IFERROR((VLOOKUP(TableWRRanks32[[#This Row],[Player]],WR!B:O,9,FALSE)),"")</f>
        <v>1.6937923540265005</v>
      </c>
      <c r="AN87" s="147">
        <f>IFERROR((IFERROR(INDEX(TableWRCalcPts[Custom],MATCH(TableWRRanks32[[#This Row],[RK]],TableWRCalcPts[RK],0)),"")),"")</f>
        <v>60.325066147251512</v>
      </c>
      <c r="AO8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7" s="145">
        <v>86</v>
      </c>
      <c r="AR87" s="145" t="str">
        <f>IFERROR(INDEX(TableTECalcPts[PLAYER],MATCH(TableTERanks33[[#This Row],[RK]],TableTECalcPts[RK],0)),"")</f>
        <v>Josh Cuevas</v>
      </c>
      <c r="AS87" s="145" t="str">
        <f>IFERROR(INDEX(TableTECalcPts[TM],MATCH(TableTERanks33[[#This Row],[Player]],TableTECalcPts[PLAYER],0)),"")</f>
        <v>BAL</v>
      </c>
      <c r="AT87" s="145">
        <f>IFERROR(INDEX(TableTECalcPts[BYE],MATCH(TableTERanks33[[#This Row],[Player]],TableTECalcPts[PLAYER],0)),"")</f>
        <v>13</v>
      </c>
      <c r="AU87" s="146">
        <f>IFERROR((VLOOKUP(TableTERanks33[[#This Row],[Player]],TE!B:O,4,FALSE)),"")</f>
        <v>4.6996095999999996</v>
      </c>
      <c r="AV87" s="146">
        <f>IFERROR((VLOOKUP(TableTERanks33[[#This Row],[Player]],TE!B:O,5,FALSE)),"")</f>
        <v>0</v>
      </c>
      <c r="AW87" s="146">
        <f>IFERROR((VLOOKUP(TableTERanks33[[#This Row],[Player]],TE!B:O,6,FALSE)),"")</f>
        <v>0</v>
      </c>
      <c r="AX87" s="146">
        <f>IFERROR((VLOOKUP(TableTERanks33[[#This Row],[Player]],TE!B:O,7,FALSE)),"")</f>
        <v>0</v>
      </c>
      <c r="AY87" s="147">
        <f>IFERROR((IFERROR(INDEX(TableTECalcPts[Custom],MATCH(TableTERanks33[[#This Row],[RK]],TableTECalcPts[RK],0)),"")),"")</f>
        <v>0</v>
      </c>
      <c r="AZ8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8" spans="16:53" x14ac:dyDescent="0.25">
      <c r="P88" s="58">
        <v>87</v>
      </c>
      <c r="Q88" s="58" t="str">
        <f>IFERROR(INDEX(TableRBCalcPts[PLAYER],MATCH(TableRBRanks31[[#This Row],[RK]],TableRBCalcPts[RK],0)),"")</f>
        <v>Jeremy McNichols</v>
      </c>
      <c r="R88" s="58" t="str">
        <f>IFERROR(INDEX(TableRBCalcPts[TM],MATCH(TableRBRanks31[[#This Row],[Player]],TableRBCalcPts[PLAYER],0)),"")</f>
        <v>WSH</v>
      </c>
      <c r="S88" s="58">
        <f>IFERROR(INDEX(TableRBCalcPts[BYE],MATCH(TableRBRanks31[[#This Row],[Player]],TableRBCalcPts[PLAYER],0)),"")</f>
        <v>7</v>
      </c>
      <c r="T88" s="100">
        <f>IFERROR((VLOOKUP(TableRBRanks31[[#This Row],[Player]],RB!B:O,4,FALSE)),"")</f>
        <v>12.495441000000003</v>
      </c>
      <c r="U88" s="100">
        <f>IFERROR((VLOOKUP(TableRBRanks31[[#This Row],[Player]],RB!B:O,5,FALSE)),"")</f>
        <v>49.981764000000013</v>
      </c>
      <c r="V88" s="100">
        <f>IFERROR((VLOOKUP(TableRBRanks31[[#This Row],[Player]],RB!B:O,6,FALSE)),"")</f>
        <v>0.27489970200000008</v>
      </c>
      <c r="W88" s="100">
        <f>IFERROR((VLOOKUP(TableRBRanks31[[#This Row],[Player]],RB!B:O,7,FALSE)),"")</f>
        <v>9.9564471999999977</v>
      </c>
      <c r="X88" s="100">
        <f>IFERROR((VLOOKUP(TableRBRanks31[[#This Row],[Player]],RB!B:O,8,FALSE)),"")</f>
        <v>7.7162465799999982</v>
      </c>
      <c r="Y88" s="100">
        <f>IFERROR((VLOOKUP(TableRBRanks31[[#This Row],[Player]],RB!B:O,9,FALSE)),"")</f>
        <v>57.163071949212657</v>
      </c>
      <c r="Z88" s="100">
        <f>IFERROR((VLOOKUP(TableRBRanks31[[#This Row],[Player]],RB!B:O,10,FALSE)),"")</f>
        <v>0.23148739739999993</v>
      </c>
      <c r="AA88" s="95">
        <f>IFERROR((IFERROR(INDEX(TableRBCalcPts[Custom],MATCH(TableRBRanks31[[#This Row],[RK]],TableRBCalcPts[RK],0)),"")),"")</f>
        <v>17.610929481321268</v>
      </c>
      <c r="AB8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8" s="145">
        <v>87</v>
      </c>
      <c r="AE88" s="145" t="str">
        <f>IFERROR(INDEX(TableWRCalcPts[PLAYER],MATCH(TableWRRanks32[[#This Row],[RK]],TableWRCalcPts[RK],0)),"")</f>
        <v>Malachi Fields</v>
      </c>
      <c r="AF88" s="145" t="str">
        <f>IFERROR(INDEX(TableWRCalcPts[TM],MATCH(TableWRRanks32[[#This Row],[Player]],TableWRCalcPts[PLAYER],0)),"")</f>
        <v>NYG</v>
      </c>
      <c r="AG88" s="145">
        <f>IFERROR(INDEX(TableWRCalcPts[BYE],MATCH(TableWRRanks32[[#This Row],[Player]],TableWRCalcPts[PLAYER],0)),"")</f>
        <v>8</v>
      </c>
      <c r="AH88" s="146">
        <f>IFERROR((VLOOKUP(TableWRRanks32[[#This Row],[Player]],WR!B:O,4,FALSE)),"")</f>
        <v>0</v>
      </c>
      <c r="AI88" s="146">
        <f>IFERROR((VLOOKUP(TableWRRanks32[[#This Row],[Player]],WR!B:O,5,FALSE)),"")</f>
        <v>0</v>
      </c>
      <c r="AJ88" s="146">
        <f>IFERROR((VLOOKUP(TableWRRanks32[[#This Row],[Player]],WR!B:O,6,FALSE)),"")</f>
        <v>43.014437339999994</v>
      </c>
      <c r="AK88" s="146">
        <f>IFERROR((VLOOKUP(TableWRRanks32[[#This Row],[Player]],WR!B:O,7,FALSE)),"")</f>
        <v>26.496893401439994</v>
      </c>
      <c r="AL88" s="146">
        <f>IFERROR((VLOOKUP(TableWRRanks32[[#This Row],[Player]],WR!B:O,8,FALSE)),"")</f>
        <v>338.10035980237433</v>
      </c>
      <c r="AM88" s="146">
        <f>IFERROR((VLOOKUP(TableWRRanks32[[#This Row],[Player]],WR!B:O,9,FALSE)),"")</f>
        <v>2.1727452589180798</v>
      </c>
      <c r="AN88" s="147">
        <f>IFERROR((IFERROR(INDEX(TableWRCalcPts[Custom],MATCH(TableWRRanks32[[#This Row],[RK]],TableWRCalcPts[RK],0)),"")),"")</f>
        <v>60.094954234465909</v>
      </c>
      <c r="AO8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8" s="145">
        <v>87</v>
      </c>
      <c r="AR88" s="145" t="str">
        <f>IFERROR(INDEX(TableTECalcPts[PLAYER],MATCH(TableTERanks33[[#This Row],[RK]],TableTECalcPts[RK],0)),"")</f>
        <v>Drew Sample</v>
      </c>
      <c r="AS88" s="145" t="str">
        <f>IFERROR(INDEX(TableTECalcPts[TM],MATCH(TableTERanks33[[#This Row],[Player]],TableTECalcPts[PLAYER],0)),"")</f>
        <v>CIN</v>
      </c>
      <c r="AT88" s="145">
        <f>IFERROR(INDEX(TableTECalcPts[BYE],MATCH(TableTERanks33[[#This Row],[Player]],TableTECalcPts[PLAYER],0)),"")</f>
        <v>6</v>
      </c>
      <c r="AU88" s="146">
        <f>IFERROR((VLOOKUP(TableTERanks33[[#This Row],[Player]],TE!B:O,4,FALSE)),"")</f>
        <v>6.3271249999999997</v>
      </c>
      <c r="AV88" s="146">
        <f>IFERROR((VLOOKUP(TableTERanks33[[#This Row],[Player]],TE!B:O,5,FALSE)),"")</f>
        <v>0</v>
      </c>
      <c r="AW88" s="146">
        <f>IFERROR((VLOOKUP(TableTERanks33[[#This Row],[Player]],TE!B:O,6,FALSE)),"")</f>
        <v>0</v>
      </c>
      <c r="AX88" s="146">
        <f>IFERROR((VLOOKUP(TableTERanks33[[#This Row],[Player]],TE!B:O,7,FALSE)),"")</f>
        <v>0</v>
      </c>
      <c r="AY88" s="147">
        <f>IFERROR((IFERROR(INDEX(TableTECalcPts[Custom],MATCH(TableTERanks33[[#This Row],[RK]],TableTECalcPts[RK],0)),"")),"")</f>
        <v>0</v>
      </c>
      <c r="AZ8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9" spans="16:53" x14ac:dyDescent="0.25">
      <c r="P89" s="58">
        <v>88</v>
      </c>
      <c r="Q89" s="58" t="str">
        <f>IFERROR(INDEX(TableRBCalcPts[PLAYER],MATCH(TableRBRanks31[[#This Row],[RK]],TableRBCalcPts[RK],0)),"")</f>
        <v>Adam Randall</v>
      </c>
      <c r="R89" s="58" t="str">
        <f>IFERROR(INDEX(TableRBCalcPts[TM],MATCH(TableRBRanks31[[#This Row],[Player]],TableRBCalcPts[PLAYER],0)),"")</f>
        <v>BAL</v>
      </c>
      <c r="S89" s="58">
        <f>IFERROR(INDEX(TableRBCalcPts[BYE],MATCH(TableRBRanks31[[#This Row],[Player]],TableRBCalcPts[PLAYER],0)),"")</f>
        <v>13</v>
      </c>
      <c r="T89" s="100">
        <f>IFERROR((VLOOKUP(TableRBRanks31[[#This Row],[Player]],RB!B:O,4,FALSE)),"")</f>
        <v>21.237269653811889</v>
      </c>
      <c r="U89" s="100">
        <f>IFERROR((VLOOKUP(TableRBRanks31[[#This Row],[Player]],RB!B:O,5,FALSE)),"")</f>
        <v>88.703411982478883</v>
      </c>
      <c r="V89" s="100">
        <f>IFERROR((VLOOKUP(TableRBRanks31[[#This Row],[Player]],RB!B:O,6,FALSE)),"")</f>
        <v>0.46426317935038602</v>
      </c>
      <c r="W89" s="100">
        <f>IFERROR((VLOOKUP(TableRBRanks31[[#This Row],[Player]],RB!B:O,7,FALSE)),"")</f>
        <v>5.1695705599999995</v>
      </c>
      <c r="X89" s="100">
        <f>IFERROR((VLOOKUP(TableRBRanks31[[#This Row],[Player]],RB!B:O,8,FALSE)),"")</f>
        <v>3.8771779199999994</v>
      </c>
      <c r="Y89" s="100">
        <f>IFERROR((VLOOKUP(TableRBRanks31[[#This Row],[Player]],RB!B:O,9,FALSE)),"")</f>
        <v>29.424141265580108</v>
      </c>
      <c r="Z89" s="100">
        <f>IFERROR((VLOOKUP(TableRBRanks31[[#This Row],[Player]],RB!B:O,10,FALSE)),"")</f>
        <v>0.15896429471999998</v>
      </c>
      <c r="AA89" s="95">
        <f>IFERROR((IFERROR(INDEX(TableRBCalcPts[Custom],MATCH(TableRBRanks31[[#This Row],[RK]],TableRBCalcPts[RK],0)),"")),"")</f>
        <v>17.490709129228215</v>
      </c>
      <c r="AB8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9" s="145">
        <v>88</v>
      </c>
      <c r="AE89" s="145" t="str">
        <f>IFERROR(INDEX(TableWRCalcPts[PLAYER],MATCH(TableWRRanks32[[#This Row],[RK]],TableWRCalcPts[RK],0)),"")</f>
        <v>Dont'e Thornton</v>
      </c>
      <c r="AF89" s="145" t="str">
        <f>IFERROR(INDEX(TableWRCalcPts[TM],MATCH(TableWRRanks32[[#This Row],[Player]],TableWRCalcPts[PLAYER],0)),"")</f>
        <v>LV</v>
      </c>
      <c r="AG89" s="145">
        <f>IFERROR(INDEX(TableWRCalcPts[BYE],MATCH(TableWRRanks32[[#This Row],[Player]],TableWRCalcPts[PLAYER],0)),"")</f>
        <v>13</v>
      </c>
      <c r="AH89" s="146">
        <f>IFERROR((VLOOKUP(TableWRRanks32[[#This Row],[Player]],WR!B:O,4,FALSE)),"")</f>
        <v>0</v>
      </c>
      <c r="AI89" s="146">
        <f>IFERROR((VLOOKUP(TableWRRanks32[[#This Row],[Player]],WR!B:O,5,FALSE)),"")</f>
        <v>0</v>
      </c>
      <c r="AJ89" s="146">
        <f>IFERROR((VLOOKUP(TableWRRanks32[[#This Row],[Player]],WR!B:O,6,FALSE)),"")</f>
        <v>47.354086079999995</v>
      </c>
      <c r="AK89" s="146">
        <f>IFERROR((VLOOKUP(TableWRRanks32[[#This Row],[Player]],WR!B:O,7,FALSE)),"")</f>
        <v>26.56564229088</v>
      </c>
      <c r="AL89" s="146">
        <f>IFERROR((VLOOKUP(TableWRRanks32[[#This Row],[Player]],WR!B:O,8,FALSE)),"")</f>
        <v>364.74626865378241</v>
      </c>
      <c r="AM89" s="146">
        <f>IFERROR((VLOOKUP(TableWRRanks32[[#This Row],[Player]],WR!B:O,9,FALSE)),"")</f>
        <v>1.5939385374527999</v>
      </c>
      <c r="AN89" s="147">
        <f>IFERROR((IFERROR(INDEX(TableWRCalcPts[Custom],MATCH(TableWRRanks32[[#This Row],[RK]],TableWRCalcPts[RK],0)),"")),"")</f>
        <v>59.321079235535038</v>
      </c>
      <c r="AO8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9" s="145">
        <v>88</v>
      </c>
      <c r="AR89" s="145" t="str">
        <f>IFERROR(INDEX(TableTECalcPts[PLAYER],MATCH(TableTERanks33[[#This Row],[RK]],TableTECalcPts[RK],0)),"")</f>
        <v/>
      </c>
      <c r="AS89" s="145" t="str">
        <f>IFERROR(INDEX(TableTECalcPts[TM],MATCH(TableTERanks33[[#This Row],[Player]],TableTECalcPts[PLAYER],0)),"")</f>
        <v/>
      </c>
      <c r="AT89" s="145" t="str">
        <f>IFERROR(INDEX(TableTECalcPts[BYE],MATCH(TableTERanks33[[#This Row],[Player]],TableTECalcPts[PLAYER],0)),"")</f>
        <v/>
      </c>
      <c r="AU89" s="146" t="str">
        <f>IFERROR((VLOOKUP(TableTERanks33[[#This Row],[Player]],TE!B:O,4,FALSE)),"")</f>
        <v/>
      </c>
      <c r="AV89" s="146" t="str">
        <f>IFERROR((VLOOKUP(TableTERanks33[[#This Row],[Player]],TE!B:O,5,FALSE)),"")</f>
        <v/>
      </c>
      <c r="AW89" s="146" t="str">
        <f>IFERROR((VLOOKUP(TableTERanks33[[#This Row],[Player]],TE!B:O,6,FALSE)),"")</f>
        <v/>
      </c>
      <c r="AX89" s="146" t="str">
        <f>IFERROR((VLOOKUP(TableTERanks33[[#This Row],[Player]],TE!B:O,7,FALSE)),"")</f>
        <v/>
      </c>
      <c r="AY89" s="147" t="str">
        <f>IFERROR((IFERROR(INDEX(TableTECalcPts[Custom],MATCH(TableTERanks33[[#This Row],[RK]],TableTECalcPts[RK],0)),"")),"")</f>
        <v/>
      </c>
      <c r="AZ8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8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0" spans="16:53" x14ac:dyDescent="0.25">
      <c r="P90" s="58">
        <v>89</v>
      </c>
      <c r="Q90" s="58" t="str">
        <f>IFERROR(INDEX(TableRBCalcPts[PLAYER],MATCH(TableRBRanks31[[#This Row],[RK]],TableRBCalcPts[RK],0)),"")</f>
        <v>Devin Singletary</v>
      </c>
      <c r="R90" s="58" t="str">
        <f>IFERROR(INDEX(TableRBCalcPts[TM],MATCH(TableRBRanks31[[#This Row],[Player]],TableRBCalcPts[PLAYER],0)),"")</f>
        <v>NYG</v>
      </c>
      <c r="S90" s="58">
        <f>IFERROR(INDEX(TableRBCalcPts[BYE],MATCH(TableRBRanks31[[#This Row],[Player]],TableRBCalcPts[PLAYER],0)),"")</f>
        <v>8</v>
      </c>
      <c r="T90" s="100">
        <f>IFERROR((VLOOKUP(TableRBRanks31[[#This Row],[Player]],RB!B:O,4,FALSE)),"")</f>
        <v>24.914580179999998</v>
      </c>
      <c r="U90" s="100">
        <f>IFERROR((VLOOKUP(TableRBRanks31[[#This Row],[Player]],RB!B:O,5,FALSE)),"")</f>
        <v>98.163445909199993</v>
      </c>
      <c r="V90" s="100">
        <f>IFERROR((VLOOKUP(TableRBRanks31[[#This Row],[Player]],RB!B:O,6,FALSE)),"")</f>
        <v>0.69760824503999996</v>
      </c>
      <c r="W90" s="100">
        <f>IFERROR((VLOOKUP(TableRBRanks31[[#This Row],[Player]],RB!B:O,7,FALSE)),"")</f>
        <v>3.4609317399999999</v>
      </c>
      <c r="X90" s="100">
        <f>IFERROR((VLOOKUP(TableRBRanks31[[#This Row],[Player]],RB!B:O,8,FALSE)),"")</f>
        <v>2.5956988050000001</v>
      </c>
      <c r="Y90" s="100">
        <f>IFERROR((VLOOKUP(TableRBRanks31[[#This Row],[Player]],RB!B:O,9,FALSE)),"")</f>
        <v>16.9239562086</v>
      </c>
      <c r="Z90" s="100">
        <f>IFERROR((VLOOKUP(TableRBRanks31[[#This Row],[Player]],RB!B:O,10,FALSE)),"")</f>
        <v>7.7870964149999999E-2</v>
      </c>
      <c r="AA90" s="95">
        <f>IFERROR((IFERROR(INDEX(TableRBCalcPts[Custom],MATCH(TableRBRanks31[[#This Row],[RK]],TableRBCalcPts[RK],0)),"")),"")</f>
        <v>17.45946486942</v>
      </c>
      <c r="AB9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0" s="145">
        <v>89</v>
      </c>
      <c r="AE90" s="145" t="str">
        <f>IFERROR(INDEX(TableWRCalcPts[PLAYER],MATCH(TableWRRanks32[[#This Row],[RK]],TableWRCalcPts[RK],0)),"")</f>
        <v>Jahan Dotson</v>
      </c>
      <c r="AF90" s="145" t="str">
        <f>IFERROR(INDEX(TableWRCalcPts[TM],MATCH(TableWRRanks32[[#This Row],[Player]],TableWRCalcPts[PLAYER],0)),"")</f>
        <v>ATL</v>
      </c>
      <c r="AG90" s="145">
        <f>IFERROR(INDEX(TableWRCalcPts[BYE],MATCH(TableWRRanks32[[#This Row],[Player]],TableWRCalcPts[PLAYER],0)),"")</f>
        <v>11</v>
      </c>
      <c r="AH90" s="146">
        <f>IFERROR((VLOOKUP(TableWRRanks32[[#This Row],[Player]],WR!B:O,4,FALSE)),"")</f>
        <v>0</v>
      </c>
      <c r="AI90" s="146">
        <f>IFERROR((VLOOKUP(TableWRRanks32[[#This Row],[Player]],WR!B:O,5,FALSE)),"")</f>
        <v>0</v>
      </c>
      <c r="AJ90" s="146">
        <f>IFERROR((VLOOKUP(TableWRRanks32[[#This Row],[Player]],WR!B:O,6,FALSE)),"")</f>
        <v>45.412572800000014</v>
      </c>
      <c r="AK90" s="146">
        <f>IFERROR((VLOOKUP(TableWRRanks32[[#This Row],[Player]],WR!B:O,7,FALSE)),"")</f>
        <v>28.046307289249324</v>
      </c>
      <c r="AL90" s="146">
        <f>IFERROR((VLOOKUP(TableWRRanks32[[#This Row],[Player]],WR!B:O,8,FALSE)),"")</f>
        <v>348.89606267826156</v>
      </c>
      <c r="AM90" s="146">
        <f>IFERROR((VLOOKUP(TableWRRanks32[[#This Row],[Player]],WR!B:O,9,FALSE)),"")</f>
        <v>1.7108247446442086</v>
      </c>
      <c r="AN90" s="147">
        <f>IFERROR((IFERROR(INDEX(TableWRCalcPts[Custom],MATCH(TableWRRanks32[[#This Row],[RK]],TableWRCalcPts[RK],0)),"")),"")</f>
        <v>59.177708380316076</v>
      </c>
      <c r="AO9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0" s="145">
        <v>89</v>
      </c>
      <c r="AR90" s="145" t="str">
        <f>IFERROR(INDEX(TableTECalcPts[PLAYER],MATCH(TableTERanks33[[#This Row],[RK]],TableTECalcPts[RK],0)),"")</f>
        <v/>
      </c>
      <c r="AS90" s="145" t="str">
        <f>IFERROR(INDEX(TableTECalcPts[TM],MATCH(TableTERanks33[[#This Row],[Player]],TableTECalcPts[PLAYER],0)),"")</f>
        <v/>
      </c>
      <c r="AT90" s="145" t="str">
        <f>IFERROR(INDEX(TableTECalcPts[BYE],MATCH(TableTERanks33[[#This Row],[Player]],TableTECalcPts[PLAYER],0)),"")</f>
        <v/>
      </c>
      <c r="AU90" s="146" t="str">
        <f>IFERROR((VLOOKUP(TableTERanks33[[#This Row],[Player]],TE!B:O,4,FALSE)),"")</f>
        <v/>
      </c>
      <c r="AV90" s="146" t="str">
        <f>IFERROR((VLOOKUP(TableTERanks33[[#This Row],[Player]],TE!B:O,5,FALSE)),"")</f>
        <v/>
      </c>
      <c r="AW90" s="146" t="str">
        <f>IFERROR((VLOOKUP(TableTERanks33[[#This Row],[Player]],TE!B:O,6,FALSE)),"")</f>
        <v/>
      </c>
      <c r="AX90" s="146" t="str">
        <f>IFERROR((VLOOKUP(TableTERanks33[[#This Row],[Player]],TE!B:O,7,FALSE)),"")</f>
        <v/>
      </c>
      <c r="AY90" s="147" t="str">
        <f>IFERROR((IFERROR(INDEX(TableTECalcPts[Custom],MATCH(TableTERanks33[[#This Row],[RK]],TableTECalcPts[RK],0)),"")),"")</f>
        <v/>
      </c>
      <c r="AZ9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1" spans="16:53" x14ac:dyDescent="0.25">
      <c r="P91" s="58">
        <v>90</v>
      </c>
      <c r="Q91" s="58" t="str">
        <f>IFERROR(INDEX(TableRBCalcPts[PLAYER],MATCH(TableRBRanks31[[#This Row],[RK]],TableRBCalcPts[RK],0)),"")</f>
        <v>Jacob Saylors</v>
      </c>
      <c r="R91" s="58" t="str">
        <f>IFERROR(INDEX(TableRBCalcPts[TM],MATCH(TableRBRanks31[[#This Row],[Player]],TableRBCalcPts[PLAYER],0)),"")</f>
        <v>DET</v>
      </c>
      <c r="S91" s="58">
        <f>IFERROR(INDEX(TableRBCalcPts[BYE],MATCH(TableRBRanks31[[#This Row],[Player]],TableRBCalcPts[PLAYER],0)),"")</f>
        <v>6</v>
      </c>
      <c r="T91" s="100">
        <f>IFERROR((VLOOKUP(TableRBRanks31[[#This Row],[Player]],RB!B:O,4,FALSE)),"")</f>
        <v>19.431596800000001</v>
      </c>
      <c r="U91" s="100">
        <f>IFERROR((VLOOKUP(TableRBRanks31[[#This Row],[Player]],RB!B:O,5,FALSE)),"")</f>
        <v>77.726387200000005</v>
      </c>
      <c r="V91" s="100">
        <f>IFERROR((VLOOKUP(TableRBRanks31[[#This Row],[Player]],RB!B:O,6,FALSE)),"")</f>
        <v>0.93271664640000007</v>
      </c>
      <c r="W91" s="100">
        <f>IFERROR((VLOOKUP(TableRBRanks31[[#This Row],[Player]],RB!B:O,7,FALSE)),"")</f>
        <v>2.9270639999999992</v>
      </c>
      <c r="X91" s="100">
        <f>IFERROR((VLOOKUP(TableRBRanks31[[#This Row],[Player]],RB!B:O,8,FALSE)),"")</f>
        <v>1.8733209599999996</v>
      </c>
      <c r="Y91" s="100">
        <f>IFERROR((VLOOKUP(TableRBRanks31[[#This Row],[Player]],RB!B:O,9,FALSE)),"")</f>
        <v>10.557349928166349</v>
      </c>
      <c r="Z91" s="100">
        <f>IFERROR((VLOOKUP(TableRBRanks31[[#This Row],[Player]],RB!B:O,10,FALSE)),"")</f>
        <v>5.6199628799999984E-2</v>
      </c>
      <c r="AA91" s="95">
        <f>IFERROR((IFERROR(INDEX(TableRBCalcPts[Custom],MATCH(TableRBRanks31[[#This Row],[RK]],TableRBCalcPts[RK],0)),"")),"")</f>
        <v>15.698531844016635</v>
      </c>
      <c r="AB9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1" s="145">
        <v>90</v>
      </c>
      <c r="AE91" s="145" t="str">
        <f>IFERROR(INDEX(TableWRCalcPts[PLAYER],MATCH(TableWRRanks32[[#This Row],[RK]],TableWRCalcPts[RK],0)),"")</f>
        <v>Xavier Legette</v>
      </c>
      <c r="AF91" s="145" t="str">
        <f>IFERROR(INDEX(TableWRCalcPts[TM],MATCH(TableWRRanks32[[#This Row],[Player]],TableWRCalcPts[PLAYER],0)),"")</f>
        <v>CAR</v>
      </c>
      <c r="AG91" s="145">
        <f>IFERROR(INDEX(TableWRCalcPts[BYE],MATCH(TableWRRanks32[[#This Row],[Player]],TableWRCalcPts[PLAYER],0)),"")</f>
        <v>5</v>
      </c>
      <c r="AH91" s="146">
        <f>IFERROR((VLOOKUP(TableWRRanks32[[#This Row],[Player]],WR!B:O,4,FALSE)),"")</f>
        <v>0</v>
      </c>
      <c r="AI91" s="146">
        <f>IFERROR((VLOOKUP(TableWRRanks32[[#This Row],[Player]],WR!B:O,5,FALSE)),"")</f>
        <v>0</v>
      </c>
      <c r="AJ91" s="146">
        <f>IFERROR((VLOOKUP(TableWRRanks32[[#This Row],[Player]],WR!B:O,6,FALSE)),"")</f>
        <v>47.923028999999993</v>
      </c>
      <c r="AK91" s="146">
        <f>IFERROR((VLOOKUP(TableWRRanks32[[#This Row],[Player]],WR!B:O,7,FALSE)),"")</f>
        <v>28.945509515999994</v>
      </c>
      <c r="AL91" s="146">
        <f>IFERROR((VLOOKUP(TableWRRanks32[[#This Row],[Player]],WR!B:O,8,FALSE)),"")</f>
        <v>298.90970693152786</v>
      </c>
      <c r="AM91" s="146">
        <f>IFERROR((VLOOKUP(TableWRRanks32[[#This Row],[Player]],WR!B:O,9,FALSE)),"")</f>
        <v>2.4314227993439999</v>
      </c>
      <c r="AN91" s="147">
        <f>IFERROR((IFERROR(INDEX(TableWRCalcPts[Custom],MATCH(TableWRRanks32[[#This Row],[RK]],TableWRCalcPts[RK],0)),"")),"")</f>
        <v>58.952262247216787</v>
      </c>
      <c r="AO9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1" s="145">
        <v>90</v>
      </c>
      <c r="AR91" s="145" t="str">
        <f>IFERROR(INDEX(TableTECalcPts[PLAYER],MATCH(TableTERanks33[[#This Row],[RK]],TableTECalcPts[RK],0)),"")</f>
        <v/>
      </c>
      <c r="AS91" s="145" t="str">
        <f>IFERROR(INDEX(TableTECalcPts[TM],MATCH(TableTERanks33[[#This Row],[Player]],TableTECalcPts[PLAYER],0)),"")</f>
        <v/>
      </c>
      <c r="AT91" s="145" t="str">
        <f>IFERROR(INDEX(TableTECalcPts[BYE],MATCH(TableTERanks33[[#This Row],[Player]],TableTECalcPts[PLAYER],0)),"")</f>
        <v/>
      </c>
      <c r="AU91" s="146" t="str">
        <f>IFERROR((VLOOKUP(TableTERanks33[[#This Row],[Player]],TE!B:O,4,FALSE)),"")</f>
        <v/>
      </c>
      <c r="AV91" s="146" t="str">
        <f>IFERROR((VLOOKUP(TableTERanks33[[#This Row],[Player]],TE!B:O,5,FALSE)),"")</f>
        <v/>
      </c>
      <c r="AW91" s="146" t="str">
        <f>IFERROR((VLOOKUP(TableTERanks33[[#This Row],[Player]],TE!B:O,6,FALSE)),"")</f>
        <v/>
      </c>
      <c r="AX91" s="146" t="str">
        <f>IFERROR((VLOOKUP(TableTERanks33[[#This Row],[Player]],TE!B:O,7,FALSE)),"")</f>
        <v/>
      </c>
      <c r="AY91" s="147" t="str">
        <f>IFERROR((IFERROR(INDEX(TableTECalcPts[Custom],MATCH(TableTERanks33[[#This Row],[RK]],TableTECalcPts[RK],0)),"")),"")</f>
        <v/>
      </c>
      <c r="AZ9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2" spans="16:53" x14ac:dyDescent="0.25">
      <c r="P92" s="58">
        <v>91</v>
      </c>
      <c r="Q92" s="58" t="str">
        <f>IFERROR(INDEX(TableRBCalcPts[PLAYER],MATCH(TableRBRanks31[[#This Row],[RK]],TableRBCalcPts[RK],0)),"")</f>
        <v>Tyler Goodson</v>
      </c>
      <c r="R92" s="58" t="str">
        <f>IFERROR(INDEX(TableRBCalcPts[TM],MATCH(TableRBRanks31[[#This Row],[Player]],TableRBCalcPts[PLAYER],0)),"")</f>
        <v>ATL</v>
      </c>
      <c r="S92" s="58">
        <f>IFERROR(INDEX(TableRBCalcPts[BYE],MATCH(TableRBRanks31[[#This Row],[Player]],TableRBCalcPts[PLAYER],0)),"")</f>
        <v>11</v>
      </c>
      <c r="T92" s="100">
        <f>IFERROR((VLOOKUP(TableRBRanks31[[#This Row],[Player]],RB!B:O,4,FALSE)),"")</f>
        <v>23.219073360000003</v>
      </c>
      <c r="U92" s="100">
        <f>IFERROR((VLOOKUP(TableRBRanks31[[#This Row],[Player]],RB!B:O,5,FALSE)),"")</f>
        <v>84.981808497600014</v>
      </c>
      <c r="V92" s="100">
        <f>IFERROR((VLOOKUP(TableRBRanks31[[#This Row],[Player]],RB!B:O,6,FALSE)),"")</f>
        <v>0.69657220080000004</v>
      </c>
      <c r="W92" s="100">
        <f>IFERROR((VLOOKUP(TableRBRanks31[[#This Row],[Player]],RB!B:O,7,FALSE)),"")</f>
        <v>2.8382858000000009</v>
      </c>
      <c r="X92" s="100">
        <f>IFERROR((VLOOKUP(TableRBRanks31[[#This Row],[Player]],RB!B:O,8,FALSE)),"")</f>
        <v>2.0151829180000007</v>
      </c>
      <c r="Y92" s="100">
        <f>IFERROR((VLOOKUP(TableRBRanks31[[#This Row],[Player]],RB!B:O,9,FALSE)),"")</f>
        <v>12.171005983571636</v>
      </c>
      <c r="Z92" s="100">
        <f>IFERROR((VLOOKUP(TableRBRanks31[[#This Row],[Player]],RB!B:O,10,FALSE)),"")</f>
        <v>6.0455487540000019E-2</v>
      </c>
      <c r="AA92" s="95">
        <f>IFERROR((IFERROR(INDEX(TableRBCalcPts[Custom],MATCH(TableRBRanks31[[#This Row],[RK]],TableRBCalcPts[RK],0)),"")),"")</f>
        <v>15.265039037157166</v>
      </c>
      <c r="AB9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2" s="145">
        <v>91</v>
      </c>
      <c r="AE92" s="145" t="str">
        <f>IFERROR(INDEX(TableWRCalcPts[PLAYER],MATCH(TableWRRanks32[[#This Row],[RK]],TableWRCalcPts[RK],0)),"")</f>
        <v>Ja'Kobi Lane</v>
      </c>
      <c r="AF92" s="145" t="str">
        <f>IFERROR(INDEX(TableWRCalcPts[TM],MATCH(TableWRRanks32[[#This Row],[Player]],TableWRCalcPts[PLAYER],0)),"")</f>
        <v>BAL</v>
      </c>
      <c r="AG92" s="145">
        <f>IFERROR(INDEX(TableWRCalcPts[BYE],MATCH(TableWRRanks32[[#This Row],[Player]],TableWRCalcPts[PLAYER],0)),"")</f>
        <v>13</v>
      </c>
      <c r="AH92" s="146">
        <f>IFERROR((VLOOKUP(TableWRRanks32[[#This Row],[Player]],WR!B:O,4,FALSE)),"")</f>
        <v>0</v>
      </c>
      <c r="AI92" s="146">
        <f>IFERROR((VLOOKUP(TableWRRanks32[[#This Row],[Player]],WR!B:O,5,FALSE)),"")</f>
        <v>0</v>
      </c>
      <c r="AJ92" s="146">
        <f>IFERROR((VLOOKUP(TableWRRanks32[[#This Row],[Player]],WR!B:O,6,FALSE)),"")</f>
        <v>40.416642559999993</v>
      </c>
      <c r="AK92" s="146">
        <f>IFERROR((VLOOKUP(TableWRRanks32[[#This Row],[Player]],WR!B:O,7,FALSE)),"")</f>
        <v>23.393931829729151</v>
      </c>
      <c r="AL92" s="146">
        <f>IFERROR((VLOOKUP(TableWRRanks32[[#This Row],[Player]],WR!B:O,8,FALSE)),"")</f>
        <v>333.14545725123338</v>
      </c>
      <c r="AM92" s="146">
        <f>IFERROR((VLOOKUP(TableWRRanks32[[#This Row],[Player]],WR!B:O,9,FALSE)),"")</f>
        <v>2.3159992511431859</v>
      </c>
      <c r="AN92" s="147">
        <f>IFERROR((IFERROR(INDEX(TableWRCalcPts[Custom],MATCH(TableWRRanks32[[#This Row],[RK]],TableWRCalcPts[RK],0)),"")),"")</f>
        <v>58.907507146847031</v>
      </c>
      <c r="AO9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2" s="145">
        <v>91</v>
      </c>
      <c r="AR92" s="145" t="str">
        <f>IFERROR(INDEX(TableTECalcPts[PLAYER],MATCH(TableTERanks33[[#This Row],[RK]],TableTECalcPts[RK],0)),"")</f>
        <v/>
      </c>
      <c r="AS92" s="145" t="str">
        <f>IFERROR(INDEX(TableTECalcPts[TM],MATCH(TableTERanks33[[#This Row],[Player]],TableTECalcPts[PLAYER],0)),"")</f>
        <v/>
      </c>
      <c r="AT92" s="145" t="str">
        <f>IFERROR(INDEX(TableTECalcPts[BYE],MATCH(TableTERanks33[[#This Row],[Player]],TableTECalcPts[PLAYER],0)),"")</f>
        <v/>
      </c>
      <c r="AU92" s="146" t="str">
        <f>IFERROR((VLOOKUP(TableTERanks33[[#This Row],[Player]],TE!B:O,4,FALSE)),"")</f>
        <v/>
      </c>
      <c r="AV92" s="146" t="str">
        <f>IFERROR((VLOOKUP(TableTERanks33[[#This Row],[Player]],TE!B:O,5,FALSE)),"")</f>
        <v/>
      </c>
      <c r="AW92" s="146" t="str">
        <f>IFERROR((VLOOKUP(TableTERanks33[[#This Row],[Player]],TE!B:O,6,FALSE)),"")</f>
        <v/>
      </c>
      <c r="AX92" s="146" t="str">
        <f>IFERROR((VLOOKUP(TableTERanks33[[#This Row],[Player]],TE!B:O,7,FALSE)),"")</f>
        <v/>
      </c>
      <c r="AY92" s="147" t="str">
        <f>IFERROR((IFERROR(INDEX(TableTECalcPts[Custom],MATCH(TableTERanks33[[#This Row],[RK]],TableTECalcPts[RK],0)),"")),"")</f>
        <v/>
      </c>
      <c r="AZ92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2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3" spans="16:53" x14ac:dyDescent="0.25">
      <c r="P93" s="58">
        <v>92</v>
      </c>
      <c r="Q93" s="58" t="str">
        <f>IFERROR(INDEX(TableRBCalcPts[PLAYER],MATCH(TableRBRanks31[[#This Row],[RK]],TableRBCalcPts[RK],0)),"")</f>
        <v>Jawhar Jordan</v>
      </c>
      <c r="R93" s="58" t="str">
        <f>IFERROR(INDEX(TableRBCalcPts[TM],MATCH(TableRBRanks31[[#This Row],[Player]],TableRBCalcPts[PLAYER],0)),"")</f>
        <v>HOU</v>
      </c>
      <c r="S93" s="58">
        <f>IFERROR(INDEX(TableRBCalcPts[BYE],MATCH(TableRBRanks31[[#This Row],[Player]],TableRBCalcPts[PLAYER],0)),"")</f>
        <v>8</v>
      </c>
      <c r="T93" s="100">
        <f>IFERROR((VLOOKUP(TableRBRanks31[[#This Row],[Player]],RB!B:O,4,FALSE)),"")</f>
        <v>18.374770680000005</v>
      </c>
      <c r="U93" s="100">
        <f>IFERROR((VLOOKUP(TableRBRanks31[[#This Row],[Player]],RB!B:O,5,FALSE)),"")</f>
        <v>75.336559788000017</v>
      </c>
      <c r="V93" s="100">
        <f>IFERROR((VLOOKUP(TableRBRanks31[[#This Row],[Player]],RB!B:O,6,FALSE)),"")</f>
        <v>0.38587018428000014</v>
      </c>
      <c r="W93" s="100">
        <f>IFERROR((VLOOKUP(TableRBRanks31[[#This Row],[Player]],RB!B:O,7,FALSE)),"")</f>
        <v>5.7288546</v>
      </c>
      <c r="X93" s="100">
        <f>IFERROR((VLOOKUP(TableRBRanks31[[#This Row],[Player]],RB!B:O,8,FALSE)),"")</f>
        <v>4.1820638580000002</v>
      </c>
      <c r="Y93" s="100">
        <f>IFERROR((VLOOKUP(TableRBRanks31[[#This Row],[Player]],RB!B:O,9,FALSE)),"")</f>
        <v>25.385127618060004</v>
      </c>
      <c r="Z93" s="100">
        <f>IFERROR((VLOOKUP(TableRBRanks31[[#This Row],[Player]],RB!B:O,10,FALSE)),"")</f>
        <v>8.3641277160000013E-2</v>
      </c>
      <c r="AA93" s="95">
        <f>IFERROR((IFERROR(INDEX(TableRBCalcPts[Custom],MATCH(TableRBRanks31[[#This Row],[RK]],TableRBCalcPts[RK],0)),"")),"")</f>
        <v>14.980269438246003</v>
      </c>
      <c r="AB9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3" s="145">
        <v>92</v>
      </c>
      <c r="AE93" s="145" t="str">
        <f>IFERROR(INDEX(TableWRCalcPts[PLAYER],MATCH(TableWRRanks32[[#This Row],[RK]],TableWRCalcPts[RK],0)),"")</f>
        <v>Kayshon Boutte</v>
      </c>
      <c r="AF93" s="145" t="str">
        <f>IFERROR(INDEX(TableWRCalcPts[TM],MATCH(TableWRRanks32[[#This Row],[Player]],TableWRCalcPts[PLAYER],0)),"")</f>
        <v>NE</v>
      </c>
      <c r="AG93" s="145">
        <f>IFERROR(INDEX(TableWRCalcPts[BYE],MATCH(TableWRRanks32[[#This Row],[Player]],TableWRCalcPts[PLAYER],0)),"")</f>
        <v>11</v>
      </c>
      <c r="AH93" s="146">
        <f>IFERROR((VLOOKUP(TableWRRanks32[[#This Row],[Player]],WR!B:O,4,FALSE)),"")</f>
        <v>0</v>
      </c>
      <c r="AI93" s="146">
        <f>IFERROR((VLOOKUP(TableWRRanks32[[#This Row],[Player]],WR!B:O,5,FALSE)),"")</f>
        <v>0</v>
      </c>
      <c r="AJ93" s="146">
        <f>IFERROR((VLOOKUP(TableWRRanks32[[#This Row],[Player]],WR!B:O,6,FALSE)),"")</f>
        <v>34.358927399999985</v>
      </c>
      <c r="AK93" s="146">
        <f>IFERROR((VLOOKUP(TableWRRanks32[[#This Row],[Player]],WR!B:O,7,FALSE)),"")</f>
        <v>24.326120599199989</v>
      </c>
      <c r="AL93" s="146">
        <f>IFERROR((VLOOKUP(TableWRRanks32[[#This Row],[Player]],WR!B:O,8,FALSE)),"")</f>
        <v>341.29547200677581</v>
      </c>
      <c r="AM93" s="146">
        <f>IFERROR((VLOOKUP(TableWRRanks32[[#This Row],[Player]],WR!B:O,9,FALSE)),"")</f>
        <v>1.7028284419439994</v>
      </c>
      <c r="AN93" s="147">
        <f>IFERROR((IFERROR(INDEX(TableWRCalcPts[Custom],MATCH(TableWRRanks32[[#This Row],[RK]],TableWRCalcPts[RK],0)),"")),"")</f>
        <v>56.509578151941582</v>
      </c>
      <c r="AO9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3" s="145">
        <v>92</v>
      </c>
      <c r="AR93" s="145" t="str">
        <f>IFERROR(INDEX(TableTECalcPts[PLAYER],MATCH(TableTERanks33[[#This Row],[RK]],TableTECalcPts[RK],0)),"")</f>
        <v/>
      </c>
      <c r="AS93" s="145" t="str">
        <f>IFERROR(INDEX(TableTECalcPts[TM],MATCH(TableTERanks33[[#This Row],[Player]],TableTECalcPts[PLAYER],0)),"")</f>
        <v/>
      </c>
      <c r="AT93" s="145" t="str">
        <f>IFERROR(INDEX(TableTECalcPts[BYE],MATCH(TableTERanks33[[#This Row],[Player]],TableTECalcPts[PLAYER],0)),"")</f>
        <v/>
      </c>
      <c r="AU93" s="146" t="str">
        <f>IFERROR((VLOOKUP(TableTERanks33[[#This Row],[Player]],TE!B:O,4,FALSE)),"")</f>
        <v/>
      </c>
      <c r="AV93" s="146" t="str">
        <f>IFERROR((VLOOKUP(TableTERanks33[[#This Row],[Player]],TE!B:O,5,FALSE)),"")</f>
        <v/>
      </c>
      <c r="AW93" s="146" t="str">
        <f>IFERROR((VLOOKUP(TableTERanks33[[#This Row],[Player]],TE!B:O,6,FALSE)),"")</f>
        <v/>
      </c>
      <c r="AX93" s="146" t="str">
        <f>IFERROR((VLOOKUP(TableTERanks33[[#This Row],[Player]],TE!B:O,7,FALSE)),"")</f>
        <v/>
      </c>
      <c r="AY93" s="147" t="str">
        <f>IFERROR((IFERROR(INDEX(TableTECalcPts[Custom],MATCH(TableTERanks33[[#This Row],[RK]],TableTECalcPts[RK],0)),"")),"")</f>
        <v/>
      </c>
      <c r="AZ93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3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4" spans="16:53" x14ac:dyDescent="0.25">
      <c r="P94" s="58">
        <v>93</v>
      </c>
      <c r="Q94" s="58" t="str">
        <f>IFERROR(INDEX(TableRBCalcPts[PLAYER],MATCH(TableRBRanks31[[#This Row],[RK]],TableRBCalcPts[RK],0)),"")</f>
        <v>Tahj Brooks</v>
      </c>
      <c r="R94" s="58" t="str">
        <f>IFERROR(INDEX(TableRBCalcPts[TM],MATCH(TableRBRanks31[[#This Row],[Player]],TableRBCalcPts[PLAYER],0)),"")</f>
        <v>CIN</v>
      </c>
      <c r="S94" s="58">
        <f>IFERROR(INDEX(TableRBCalcPts[BYE],MATCH(TableRBRanks31[[#This Row],[Player]],TableRBCalcPts[PLAYER],0)),"")</f>
        <v>6</v>
      </c>
      <c r="T94" s="100">
        <f>IFERROR((VLOOKUP(TableRBRanks31[[#This Row],[Player]],RB!B:O,4,FALSE)),"")</f>
        <v>19.361002499999998</v>
      </c>
      <c r="U94" s="100">
        <f>IFERROR((VLOOKUP(TableRBRanks31[[#This Row],[Player]],RB!B:O,5,FALSE)),"")</f>
        <v>78.799280174999993</v>
      </c>
      <c r="V94" s="100">
        <f>IFERROR((VLOOKUP(TableRBRanks31[[#This Row],[Player]],RB!B:O,6,FALSE)),"")</f>
        <v>0.50338606499999994</v>
      </c>
      <c r="W94" s="100">
        <f>IFERROR((VLOOKUP(TableRBRanks31[[#This Row],[Player]],RB!B:O,7,FALSE)),"")</f>
        <v>3.1635624999999998</v>
      </c>
      <c r="X94" s="100">
        <f>IFERROR((VLOOKUP(TableRBRanks31[[#This Row],[Player]],RB!B:O,8,FALSE)),"")</f>
        <v>2.372671875</v>
      </c>
      <c r="Y94" s="100">
        <f>IFERROR((VLOOKUP(TableRBRanks31[[#This Row],[Player]],RB!B:O,9,FALSE)),"")</f>
        <v>13.116142206253409</v>
      </c>
      <c r="Z94" s="100">
        <f>IFERROR((VLOOKUP(TableRBRanks31[[#This Row],[Player]],RB!B:O,10,FALSE)),"")</f>
        <v>0.14066030755591924</v>
      </c>
      <c r="AA94" s="95">
        <f>IFERROR((IFERROR(INDEX(TableRBCalcPts[Custom],MATCH(TableRBRanks31[[#This Row],[RK]],TableRBCalcPts[RK],0)),"")),"")</f>
        <v>14.242156410960854</v>
      </c>
      <c r="AB9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4" s="145">
        <v>93</v>
      </c>
      <c r="AE94" s="145" t="str">
        <f>IFERROR(INDEX(TableWRCalcPts[PLAYER],MATCH(TableWRRanks32[[#This Row],[RK]],TableWRCalcPts[RK],0)),"")</f>
        <v>Isaiah Bond</v>
      </c>
      <c r="AF94" s="145" t="str">
        <f>IFERROR(INDEX(TableWRCalcPts[TM],MATCH(TableWRRanks32[[#This Row],[Player]],TableWRCalcPts[PLAYER],0)),"")</f>
        <v>CLE</v>
      </c>
      <c r="AG94" s="145">
        <f>IFERROR(INDEX(TableWRCalcPts[BYE],MATCH(TableWRRanks32[[#This Row],[Player]],TableWRCalcPts[PLAYER],0)),"")</f>
        <v>11</v>
      </c>
      <c r="AH94" s="146">
        <f>IFERROR((VLOOKUP(TableWRRanks32[[#This Row],[Player]],WR!B:O,4,FALSE)),"")</f>
        <v>75.719700000000003</v>
      </c>
      <c r="AI94" s="146">
        <f>IFERROR((VLOOKUP(TableWRRanks32[[#This Row],[Player]],WR!B:O,5,FALSE)),"")</f>
        <v>0.37859850000000006</v>
      </c>
      <c r="AJ94" s="146">
        <f>IFERROR((VLOOKUP(TableWRRanks32[[#This Row],[Player]],WR!B:O,6,FALSE)),"")</f>
        <v>36.120545999999997</v>
      </c>
      <c r="AK94" s="146">
        <f>IFERROR((VLOOKUP(TableWRRanks32[[#This Row],[Player]],WR!B:O,7,FALSE)),"")</f>
        <v>22.105774151999999</v>
      </c>
      <c r="AL94" s="146">
        <f>IFERROR((VLOOKUP(TableWRRanks32[[#This Row],[Player]],WR!B:O,8,FALSE)),"")</f>
        <v>274.11159948479997</v>
      </c>
      <c r="AM94" s="146">
        <f>IFERROR((VLOOKUP(TableWRRanks32[[#This Row],[Player]],WR!B:O,9,FALSE)),"")</f>
        <v>1.348452223272</v>
      </c>
      <c r="AN94" s="147">
        <f>IFERROR((IFERROR(INDEX(TableWRCalcPts[Custom],MATCH(TableWRRanks32[[#This Row],[RK]],TableWRCalcPts[RK],0)),"")),"")</f>
        <v>56.398321364111993</v>
      </c>
      <c r="AO9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4" s="145">
        <v>93</v>
      </c>
      <c r="AR94" s="145" t="str">
        <f>IFERROR(INDEX(TableTECalcPts[PLAYER],MATCH(TableTERanks33[[#This Row],[RK]],TableTECalcPts[RK],0)),"")</f>
        <v/>
      </c>
      <c r="AS94" s="145" t="str">
        <f>IFERROR(INDEX(TableTECalcPts[TM],MATCH(TableTERanks33[[#This Row],[Player]],TableTECalcPts[PLAYER],0)),"")</f>
        <v/>
      </c>
      <c r="AT94" s="145" t="str">
        <f>IFERROR(INDEX(TableTECalcPts[BYE],MATCH(TableTERanks33[[#This Row],[Player]],TableTECalcPts[PLAYER],0)),"")</f>
        <v/>
      </c>
      <c r="AU94" s="146" t="str">
        <f>IFERROR((VLOOKUP(TableTERanks33[[#This Row],[Player]],TE!B:O,4,FALSE)),"")</f>
        <v/>
      </c>
      <c r="AV94" s="146" t="str">
        <f>IFERROR((VLOOKUP(TableTERanks33[[#This Row],[Player]],TE!B:O,5,FALSE)),"")</f>
        <v/>
      </c>
      <c r="AW94" s="146" t="str">
        <f>IFERROR((VLOOKUP(TableTERanks33[[#This Row],[Player]],TE!B:O,6,FALSE)),"")</f>
        <v/>
      </c>
      <c r="AX94" s="146" t="str">
        <f>IFERROR((VLOOKUP(TableTERanks33[[#This Row],[Player]],TE!B:O,7,FALSE)),"")</f>
        <v/>
      </c>
      <c r="AY94" s="147" t="str">
        <f>IFERROR((IFERROR(INDEX(TableTECalcPts[Custom],MATCH(TableTERanks33[[#This Row],[RK]],TableTECalcPts[RK],0)),"")),"")</f>
        <v/>
      </c>
      <c r="AZ94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4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5" spans="16:53" x14ac:dyDescent="0.25">
      <c r="P95" s="58">
        <v>94</v>
      </c>
      <c r="Q95" s="58" t="str">
        <f>IFERROR(INDEX(TableRBCalcPts[PLAYER],MATCH(TableRBRanks31[[#This Row],[RK]],TableRBCalcPts[RK],0)),"")</f>
        <v>Trevor Etienne</v>
      </c>
      <c r="R95" s="58" t="str">
        <f>IFERROR(INDEX(TableRBCalcPts[TM],MATCH(TableRBRanks31[[#This Row],[Player]],TableRBCalcPts[PLAYER],0)),"")</f>
        <v>CAR</v>
      </c>
      <c r="S95" s="58">
        <f>IFERROR(INDEX(TableRBCalcPts[BYE],MATCH(TableRBRanks31[[#This Row],[Player]],TableRBCalcPts[PLAYER],0)),"")</f>
        <v>5</v>
      </c>
      <c r="T95" s="100">
        <f>IFERROR((VLOOKUP(TableRBRanks31[[#This Row],[Player]],RB!B:O,4,FALSE)),"")</f>
        <v>15.974342999999999</v>
      </c>
      <c r="U95" s="100">
        <f>IFERROR((VLOOKUP(TableRBRanks31[[#This Row],[Player]],RB!B:O,5,FALSE)),"")</f>
        <v>70.606596060000001</v>
      </c>
      <c r="V95" s="100">
        <f>IFERROR((VLOOKUP(TableRBRanks31[[#This Row],[Player]],RB!B:O,6,FALSE)),"")</f>
        <v>0.31948685999999998</v>
      </c>
      <c r="W95" s="100">
        <f>IFERROR((VLOOKUP(TableRBRanks31[[#This Row],[Player]],RB!B:O,7,FALSE)),"")</f>
        <v>5.3846099999999995</v>
      </c>
      <c r="X95" s="100">
        <f>IFERROR((VLOOKUP(TableRBRanks31[[#This Row],[Player]],RB!B:O,8,FALSE)),"")</f>
        <v>3.9361499099999997</v>
      </c>
      <c r="Y95" s="100">
        <f>IFERROR((VLOOKUP(TableRBRanks31[[#This Row],[Player]],RB!B:O,9,FALSE)),"")</f>
        <v>25.112636425799998</v>
      </c>
      <c r="Z95" s="100">
        <f>IFERROR((VLOOKUP(TableRBRanks31[[#This Row],[Player]],RB!B:O,10,FALSE)),"")</f>
        <v>7.5833732973701953E-2</v>
      </c>
      <c r="AA95" s="95">
        <f>IFERROR((IFERROR(INDEX(TableRBCalcPts[Custom],MATCH(TableRBRanks31[[#This Row],[RK]],TableRBCalcPts[RK],0)),"")),"")</f>
        <v>13.911921761422212</v>
      </c>
      <c r="AB9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5" s="145">
        <v>94</v>
      </c>
      <c r="AE95" s="145" t="str">
        <f>IFERROR(INDEX(TableWRCalcPts[PLAYER],MATCH(TableWRRanks32[[#This Row],[RK]],TableWRCalcPts[RK],0)),"")</f>
        <v>Olamide Zaccheaus</v>
      </c>
      <c r="AF95" s="145" t="str">
        <f>IFERROR(INDEX(TableWRCalcPts[TM],MATCH(TableWRRanks32[[#This Row],[Player]],TableWRCalcPts[PLAYER],0)),"")</f>
        <v>ATL</v>
      </c>
      <c r="AG95" s="145">
        <f>IFERROR(INDEX(TableWRCalcPts[BYE],MATCH(TableWRRanks32[[#This Row],[Player]],TableWRCalcPts[PLAYER],0)),"")</f>
        <v>11</v>
      </c>
      <c r="AH95" s="146">
        <f>IFERROR((VLOOKUP(TableWRRanks32[[#This Row],[Player]],WR!B:O,4,FALSE)),"")</f>
        <v>0</v>
      </c>
      <c r="AI95" s="146">
        <f>IFERROR((VLOOKUP(TableWRRanks32[[#This Row],[Player]],WR!B:O,5,FALSE)),"")</f>
        <v>0</v>
      </c>
      <c r="AJ95" s="146">
        <f>IFERROR((VLOOKUP(TableWRRanks32[[#This Row],[Player]],WR!B:O,6,FALSE)),"")</f>
        <v>46.547887120000013</v>
      </c>
      <c r="AK95" s="146">
        <f>IFERROR((VLOOKUP(TableWRRanks32[[#This Row],[Player]],WR!B:O,7,FALSE)),"")</f>
        <v>30.19048217180514</v>
      </c>
      <c r="AL95" s="146">
        <f>IFERROR((VLOOKUP(TableWRRanks32[[#This Row],[Player]],WR!B:O,8,FALSE)),"")</f>
        <v>304.01815547007777</v>
      </c>
      <c r="AM95" s="146">
        <f>IFERROR((VLOOKUP(TableWRRanks32[[#This Row],[Player]],WR!B:O,9,FALSE)),"")</f>
        <v>1.5614429057625647</v>
      </c>
      <c r="AN95" s="147">
        <f>IFERROR((IFERROR(INDEX(TableWRCalcPts[Custom],MATCH(TableWRRanks32[[#This Row],[RK]],TableWRCalcPts[RK],0)),"")),"")</f>
        <v>54.86571406748574</v>
      </c>
      <c r="AO9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5" s="145">
        <v>94</v>
      </c>
      <c r="AR95" s="145" t="str">
        <f>IFERROR(INDEX(TableTECalcPts[PLAYER],MATCH(TableTERanks33[[#This Row],[RK]],TableTECalcPts[RK],0)),"")</f>
        <v/>
      </c>
      <c r="AS95" s="145" t="str">
        <f>IFERROR(INDEX(TableTECalcPts[TM],MATCH(TableTERanks33[[#This Row],[Player]],TableTECalcPts[PLAYER],0)),"")</f>
        <v/>
      </c>
      <c r="AT95" s="145" t="str">
        <f>IFERROR(INDEX(TableTECalcPts[BYE],MATCH(TableTERanks33[[#This Row],[Player]],TableTECalcPts[PLAYER],0)),"")</f>
        <v/>
      </c>
      <c r="AU95" s="146" t="str">
        <f>IFERROR((VLOOKUP(TableTERanks33[[#This Row],[Player]],TE!B:O,4,FALSE)),"")</f>
        <v/>
      </c>
      <c r="AV95" s="146" t="str">
        <f>IFERROR((VLOOKUP(TableTERanks33[[#This Row],[Player]],TE!B:O,5,FALSE)),"")</f>
        <v/>
      </c>
      <c r="AW95" s="146" t="str">
        <f>IFERROR((VLOOKUP(TableTERanks33[[#This Row],[Player]],TE!B:O,6,FALSE)),"")</f>
        <v/>
      </c>
      <c r="AX95" s="146" t="str">
        <f>IFERROR((VLOOKUP(TableTERanks33[[#This Row],[Player]],TE!B:O,7,FALSE)),"")</f>
        <v/>
      </c>
      <c r="AY95" s="147" t="str">
        <f>IFERROR((IFERROR(INDEX(TableTECalcPts[Custom],MATCH(TableTERanks33[[#This Row],[RK]],TableTECalcPts[RK],0)),"")),"")</f>
        <v/>
      </c>
      <c r="AZ95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5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6" spans="16:53" x14ac:dyDescent="0.25">
      <c r="P96" s="58">
        <v>95</v>
      </c>
      <c r="Q96" s="58" t="str">
        <f>IFERROR(INDEX(TableRBCalcPts[PLAYER],MATCH(TableRBRanks31[[#This Row],[RK]],TableRBCalcPts[RK],0)),"")</f>
        <v>Jam Miller</v>
      </c>
      <c r="R96" s="58" t="str">
        <f>IFERROR(INDEX(TableRBCalcPts[TM],MATCH(TableRBRanks31[[#This Row],[Player]],TableRBCalcPts[PLAYER],0)),"")</f>
        <v>NE</v>
      </c>
      <c r="S96" s="58">
        <f>IFERROR(INDEX(TableRBCalcPts[BYE],MATCH(TableRBRanks31[[#This Row],[Player]],TableRBCalcPts[PLAYER],0)),"")</f>
        <v>11</v>
      </c>
      <c r="T96" s="100">
        <f>IFERROR((VLOOKUP(TableRBRanks31[[#This Row],[Player]],RB!B:O,4,FALSE)),"")</f>
        <v>19.110068599999998</v>
      </c>
      <c r="U96" s="100">
        <f>IFERROR((VLOOKUP(TableRBRanks31[[#This Row],[Player]],RB!B:O,5,FALSE)),"")</f>
        <v>74.147066167999995</v>
      </c>
      <c r="V96" s="100">
        <f>IFERROR((VLOOKUP(TableRBRanks31[[#This Row],[Player]],RB!B:O,6,FALSE)),"")</f>
        <v>0.57330205799999989</v>
      </c>
      <c r="W96" s="100">
        <f>IFERROR((VLOOKUP(TableRBRanks31[[#This Row],[Player]],RB!B:O,7,FALSE)),"")</f>
        <v>2.7268989999999986</v>
      </c>
      <c r="X96" s="100">
        <f>IFERROR((VLOOKUP(TableRBRanks31[[#This Row],[Player]],RB!B:O,8,FALSE)),"")</f>
        <v>2.0451742499999988</v>
      </c>
      <c r="Y96" s="100">
        <f>IFERROR((VLOOKUP(TableRBRanks31[[#This Row],[Player]],RB!B:O,9,FALSE)),"")</f>
        <v>16.202407896459672</v>
      </c>
      <c r="Z96" s="100">
        <f>IFERROR((VLOOKUP(TableRBRanks31[[#This Row],[Player]],RB!B:O,10,FALSE)),"")</f>
        <v>6.1355227499999963E-2</v>
      </c>
      <c r="AA96" s="95">
        <f>IFERROR((IFERROR(INDEX(TableRBCalcPts[Custom],MATCH(TableRBRanks31[[#This Row],[RK]],TableRBCalcPts[RK],0)),"")),"")</f>
        <v>13.865478244445967</v>
      </c>
      <c r="AB9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6" s="145">
        <v>95</v>
      </c>
      <c r="AE96" s="145" t="str">
        <f>IFERROR(INDEX(TableWRCalcPts[PLAYER],MATCH(TableWRRanks32[[#This Row],[RK]],TableWRCalcPts[RK],0)),"")</f>
        <v>Tre' Harris</v>
      </c>
      <c r="AF96" s="145" t="str">
        <f>IFERROR(INDEX(TableWRCalcPts[TM],MATCH(TableWRRanks32[[#This Row],[Player]],TableWRCalcPts[PLAYER],0)),"")</f>
        <v>LAC</v>
      </c>
      <c r="AG96" s="145">
        <f>IFERROR(INDEX(TableWRCalcPts[BYE],MATCH(TableWRRanks32[[#This Row],[Player]],TableWRCalcPts[PLAYER],0)),"")</f>
        <v>7</v>
      </c>
      <c r="AH96" s="146">
        <f>IFERROR((VLOOKUP(TableWRRanks32[[#This Row],[Player]],WR!B:O,4,FALSE)),"")</f>
        <v>0</v>
      </c>
      <c r="AI96" s="146">
        <f>IFERROR((VLOOKUP(TableWRRanks32[[#This Row],[Player]],WR!B:O,5,FALSE)),"")</f>
        <v>0</v>
      </c>
      <c r="AJ96" s="146">
        <f>IFERROR((VLOOKUP(TableWRRanks32[[#This Row],[Player]],WR!B:O,6,FALSE)),"")</f>
        <v>44.130366279999997</v>
      </c>
      <c r="AK96" s="146">
        <f>IFERROR((VLOOKUP(TableWRRanks32[[#This Row],[Player]],WR!B:O,7,FALSE)),"")</f>
        <v>26.64474945207547</v>
      </c>
      <c r="AL96" s="146">
        <f>IFERROR((VLOOKUP(TableWRRanks32[[#This Row],[Player]],WR!B:O,8,FALSE)),"")</f>
        <v>319.2915265200038</v>
      </c>
      <c r="AM96" s="146">
        <f>IFERROR((VLOOKUP(TableWRRanks32[[#This Row],[Player]],WR!B:O,9,FALSE)),"")</f>
        <v>1.5720402176724526</v>
      </c>
      <c r="AN96" s="147">
        <f>IFERROR((IFERROR(INDEX(TableWRCalcPts[Custom],MATCH(TableWRRanks32[[#This Row],[RK]],TableWRCalcPts[RK],0)),"")),"")</f>
        <v>54.683768684072831</v>
      </c>
      <c r="AO9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6" s="145">
        <v>95</v>
      </c>
      <c r="AR96" s="145" t="str">
        <f>IFERROR(INDEX(TableTECalcPts[PLAYER],MATCH(TableTERanks33[[#This Row],[RK]],TableTECalcPts[RK],0)),"")</f>
        <v/>
      </c>
      <c r="AS96" s="145" t="str">
        <f>IFERROR(INDEX(TableTECalcPts[TM],MATCH(TableTERanks33[[#This Row],[Player]],TableTECalcPts[PLAYER],0)),"")</f>
        <v/>
      </c>
      <c r="AT96" s="145" t="str">
        <f>IFERROR(INDEX(TableTECalcPts[BYE],MATCH(TableTERanks33[[#This Row],[Player]],TableTECalcPts[PLAYER],0)),"")</f>
        <v/>
      </c>
      <c r="AU96" s="146" t="str">
        <f>IFERROR((VLOOKUP(TableTERanks33[[#This Row],[Player]],TE!B:O,4,FALSE)),"")</f>
        <v/>
      </c>
      <c r="AV96" s="146" t="str">
        <f>IFERROR((VLOOKUP(TableTERanks33[[#This Row],[Player]],TE!B:O,5,FALSE)),"")</f>
        <v/>
      </c>
      <c r="AW96" s="146" t="str">
        <f>IFERROR((VLOOKUP(TableTERanks33[[#This Row],[Player]],TE!B:O,6,FALSE)),"")</f>
        <v/>
      </c>
      <c r="AX96" s="146" t="str">
        <f>IFERROR((VLOOKUP(TableTERanks33[[#This Row],[Player]],TE!B:O,7,FALSE)),"")</f>
        <v/>
      </c>
      <c r="AY96" s="147" t="str">
        <f>IFERROR((IFERROR(INDEX(TableTECalcPts[Custom],MATCH(TableTERanks33[[#This Row],[RK]],TableTECalcPts[RK],0)),"")),"")</f>
        <v/>
      </c>
      <c r="AZ96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6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7" spans="16:53" x14ac:dyDescent="0.25">
      <c r="P97" s="58">
        <v>96</v>
      </c>
      <c r="Q97" s="58" t="str">
        <f>IFERROR(INDEX(TableRBCalcPts[PLAYER],MATCH(TableRBRanks31[[#This Row],[RK]],TableRBCalcPts[RK],0)),"")</f>
        <v>James Conner</v>
      </c>
      <c r="R97" s="58" t="str">
        <f>IFERROR(INDEX(TableRBCalcPts[TM],MATCH(TableRBRanks31[[#This Row],[Player]],TableRBCalcPts[PLAYER],0)),"")</f>
        <v>ARI</v>
      </c>
      <c r="S97" s="58">
        <f>IFERROR(INDEX(TableRBCalcPts[BYE],MATCH(TableRBRanks31[[#This Row],[Player]],TableRBCalcPts[PLAYER],0)),"")</f>
        <v>14</v>
      </c>
      <c r="T97" s="100">
        <f>IFERROR((VLOOKUP(TableRBRanks31[[#This Row],[Player]],RB!B:O,4,FALSE)),"")</f>
        <v>8.7361119999999985</v>
      </c>
      <c r="U97" s="100">
        <f>IFERROR((VLOOKUP(TableRBRanks31[[#This Row],[Player]],RB!B:O,5,FALSE)),"")</f>
        <v>33.273701584484463</v>
      </c>
      <c r="V97" s="100">
        <f>IFERROR((VLOOKUP(TableRBRanks31[[#This Row],[Player]],RB!B:O,6,FALSE)),"")</f>
        <v>0.1954207190461914</v>
      </c>
      <c r="W97" s="100">
        <f>IFERROR((VLOOKUP(TableRBRanks31[[#This Row],[Player]],RB!B:O,7,FALSE)),"")</f>
        <v>8.8949504000000008</v>
      </c>
      <c r="X97" s="100">
        <f>IFERROR((VLOOKUP(TableRBRanks31[[#This Row],[Player]],RB!B:O,8,FALSE)),"")</f>
        <v>6.6712128000000011</v>
      </c>
      <c r="Y97" s="100">
        <f>IFERROR((VLOOKUP(TableRBRanks31[[#This Row],[Player]],RB!B:O,9,FALSE)),"")</f>
        <v>43.362883200000006</v>
      </c>
      <c r="Z97" s="100">
        <f>IFERROR((VLOOKUP(TableRBRanks31[[#This Row],[Player]],RB!B:O,10,FALSE)),"")</f>
        <v>0.26684851200000004</v>
      </c>
      <c r="AA97" s="95">
        <f>IFERROR((IFERROR(INDEX(TableRBCalcPts[Custom],MATCH(TableRBRanks31[[#This Row],[RK]],TableRBCalcPts[RK],0)),"")),"")</f>
        <v>13.772880264725597</v>
      </c>
      <c r="AB9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7" s="145">
        <v>96</v>
      </c>
      <c r="AE97" s="145" t="str">
        <f>IFERROR(INDEX(TableWRCalcPts[PLAYER],MATCH(TableWRRanks32[[#This Row],[RK]],TableWRCalcPts[RK],0)),"")</f>
        <v>Kendrick Bourne</v>
      </c>
      <c r="AF97" s="145" t="str">
        <f>IFERROR(INDEX(TableWRCalcPts[TM],MATCH(TableWRRanks32[[#This Row],[Player]],TableWRCalcPts[PLAYER],0)),"")</f>
        <v>ARI</v>
      </c>
      <c r="AG97" s="145">
        <f>IFERROR(INDEX(TableWRCalcPts[BYE],MATCH(TableWRRanks32[[#This Row],[Player]],TableWRCalcPts[PLAYER],0)),"")</f>
        <v>14</v>
      </c>
      <c r="AH97" s="146">
        <f>IFERROR((VLOOKUP(TableWRRanks32[[#This Row],[Player]],WR!B:O,4,FALSE)),"")</f>
        <v>0</v>
      </c>
      <c r="AI97" s="146">
        <f>IFERROR((VLOOKUP(TableWRRanks32[[#This Row],[Player]],WR!B:O,5,FALSE)),"")</f>
        <v>0</v>
      </c>
      <c r="AJ97" s="146">
        <f>IFERROR((VLOOKUP(TableWRRanks32[[#This Row],[Player]],WR!B:O,6,FALSE)),"")</f>
        <v>44.474752000000002</v>
      </c>
      <c r="AK97" s="146">
        <f>IFERROR((VLOOKUP(TableWRRanks32[[#This Row],[Player]],WR!B:O,7,FALSE)),"")</f>
        <v>27.529871488000001</v>
      </c>
      <c r="AL97" s="146">
        <f>IFERROR((VLOOKUP(TableWRRanks32[[#This Row],[Player]],WR!B:O,8,FALSE)),"")</f>
        <v>296.77201464064001</v>
      </c>
      <c r="AM97" s="146">
        <f>IFERROR((VLOOKUP(TableWRRanks32[[#This Row],[Player]],WR!B:O,9,FALSE)),"")</f>
        <v>1.6517922892800001</v>
      </c>
      <c r="AN97" s="147">
        <f>IFERROR((IFERROR(INDEX(TableWRCalcPts[Custom],MATCH(TableWRRanks32[[#This Row],[RK]],TableWRCalcPts[RK],0)),"")),"")</f>
        <v>53.352890943744001</v>
      </c>
      <c r="AO9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7" s="145">
        <v>96</v>
      </c>
      <c r="AR97" s="145" t="str">
        <f>IFERROR(INDEX(TableTECalcPts[PLAYER],MATCH(TableTERanks33[[#This Row],[RK]],TableTECalcPts[RK],0)),"")</f>
        <v/>
      </c>
      <c r="AS97" s="145" t="str">
        <f>IFERROR(INDEX(TableTECalcPts[TM],MATCH(TableTERanks33[[#This Row],[Player]],TableTECalcPts[PLAYER],0)),"")</f>
        <v/>
      </c>
      <c r="AT97" s="145" t="str">
        <f>IFERROR(INDEX(TableTECalcPts[BYE],MATCH(TableTERanks33[[#This Row],[Player]],TableTECalcPts[PLAYER],0)),"")</f>
        <v/>
      </c>
      <c r="AU97" s="146" t="str">
        <f>IFERROR((VLOOKUP(TableTERanks33[[#This Row],[Player]],TE!B:O,4,FALSE)),"")</f>
        <v/>
      </c>
      <c r="AV97" s="146" t="str">
        <f>IFERROR((VLOOKUP(TableTERanks33[[#This Row],[Player]],TE!B:O,5,FALSE)),"")</f>
        <v/>
      </c>
      <c r="AW97" s="146" t="str">
        <f>IFERROR((VLOOKUP(TableTERanks33[[#This Row],[Player]],TE!B:O,6,FALSE)),"")</f>
        <v/>
      </c>
      <c r="AX97" s="146" t="str">
        <f>IFERROR((VLOOKUP(TableTERanks33[[#This Row],[Player]],TE!B:O,7,FALSE)),"")</f>
        <v/>
      </c>
      <c r="AY97" s="147" t="str">
        <f>IFERROR((IFERROR(INDEX(TableTECalcPts[Custom],MATCH(TableTERanks33[[#This Row],[RK]],TableTECalcPts[RK],0)),"")),"")</f>
        <v/>
      </c>
      <c r="AZ97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7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8" spans="16:53" x14ac:dyDescent="0.25">
      <c r="P98" s="58">
        <v>97</v>
      </c>
      <c r="Q98" s="58" t="str">
        <f>IFERROR(INDEX(TableRBCalcPts[PLAYER],MATCH(TableRBRanks31[[#This Row],[RK]],TableRBCalcPts[RK],0)),"")</f>
        <v>Will Shipley</v>
      </c>
      <c r="R98" s="58" t="str">
        <f>IFERROR(INDEX(TableRBCalcPts[TM],MATCH(TableRBRanks31[[#This Row],[Player]],TableRBCalcPts[PLAYER],0)),"")</f>
        <v>PHI</v>
      </c>
      <c r="S98" s="58">
        <f>IFERROR(INDEX(TableRBCalcPts[BYE],MATCH(TableRBRanks31[[#This Row],[Player]],TableRBCalcPts[PLAYER],0)),"")</f>
        <v>10</v>
      </c>
      <c r="T98" s="100">
        <f>IFERROR((VLOOKUP(TableRBRanks31[[#This Row],[Player]],RB!B:O,4,FALSE)),"")</f>
        <v>13.325158000000004</v>
      </c>
      <c r="U98" s="100">
        <f>IFERROR((VLOOKUP(TableRBRanks31[[#This Row],[Player]],RB!B:O,5,FALSE)),"")</f>
        <v>53.567135160000007</v>
      </c>
      <c r="V98" s="100">
        <f>IFERROR((VLOOKUP(TableRBRanks31[[#This Row],[Player]],RB!B:O,6,FALSE)),"")</f>
        <v>0.19987737000000005</v>
      </c>
      <c r="W98" s="100">
        <f>IFERROR((VLOOKUP(TableRBRanks31[[#This Row],[Player]],RB!B:O,7,FALSE)),"")</f>
        <v>7.2047051999999994</v>
      </c>
      <c r="X98" s="100">
        <f>IFERROR((VLOOKUP(TableRBRanks31[[#This Row],[Player]],RB!B:O,8,FALSE)),"")</f>
        <v>5.3675053739999994</v>
      </c>
      <c r="Y98" s="100">
        <f>IFERROR((VLOOKUP(TableRBRanks31[[#This Row],[Player]],RB!B:O,9,FALSE)),"")</f>
        <v>36.499036543199992</v>
      </c>
      <c r="Z98" s="100">
        <f>IFERROR((VLOOKUP(TableRBRanks31[[#This Row],[Player]],RB!B:O,10,FALSE)),"")</f>
        <v>0.12345262360199999</v>
      </c>
      <c r="AA98" s="95">
        <f>IFERROR((IFERROR(INDEX(TableRBCalcPts[Custom],MATCH(TableRBRanks31[[#This Row],[RK]],TableRBCalcPts[RK],0)),"")),"")</f>
        <v>13.630349818932</v>
      </c>
      <c r="AB9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8" s="145">
        <v>97</v>
      </c>
      <c r="AE98" s="145" t="str">
        <f>IFERROR(INDEX(TableWRCalcPts[PLAYER],MATCH(TableWRRanks32[[#This Row],[RK]],TableWRCalcPts[RK],0)),"")</f>
        <v>Chris Bell</v>
      </c>
      <c r="AF98" s="145" t="str">
        <f>IFERROR(INDEX(TableWRCalcPts[TM],MATCH(TableWRRanks32[[#This Row],[Player]],TableWRCalcPts[PLAYER],0)),"")</f>
        <v>MIA</v>
      </c>
      <c r="AG98" s="145">
        <f>IFERROR(INDEX(TableWRCalcPts[BYE],MATCH(TableWRRanks32[[#This Row],[Player]],TableWRCalcPts[PLAYER],0)),"")</f>
        <v>6</v>
      </c>
      <c r="AH98" s="146">
        <f>IFERROR((VLOOKUP(TableWRRanks32[[#This Row],[Player]],WR!B:O,4,FALSE)),"")</f>
        <v>0</v>
      </c>
      <c r="AI98" s="146">
        <f>IFERROR((VLOOKUP(TableWRRanks32[[#This Row],[Player]],WR!B:O,5,FALSE)),"")</f>
        <v>0</v>
      </c>
      <c r="AJ98" s="146">
        <f>IFERROR((VLOOKUP(TableWRRanks32[[#This Row],[Player]],WR!B:O,6,FALSE)),"")</f>
        <v>40.873105979999998</v>
      </c>
      <c r="AK98" s="146">
        <f>IFERROR((VLOOKUP(TableWRRanks32[[#This Row],[Player]],WR!B:O,7,FALSE)),"")</f>
        <v>23.788147680359998</v>
      </c>
      <c r="AL98" s="146">
        <f>IFERROR((VLOOKUP(TableWRRanks32[[#This Row],[Player]],WR!B:O,8,FALSE)),"")</f>
        <v>319.95058630084196</v>
      </c>
      <c r="AM98" s="146">
        <f>IFERROR((VLOOKUP(TableWRRanks32[[#This Row],[Player]],WR!B:O,9,FALSE)),"")</f>
        <v>1.52244145154304</v>
      </c>
      <c r="AN98" s="147">
        <f>IFERROR((IFERROR(INDEX(TableWRCalcPts[Custom],MATCH(TableWRRanks32[[#This Row],[RK]],TableWRCalcPts[RK],0)),"")),"")</f>
        <v>53.023781179522445</v>
      </c>
      <c r="AO9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8" s="145">
        <v>97</v>
      </c>
      <c r="AR98" s="145" t="str">
        <f>IFERROR(INDEX(TableTECalcPts[PLAYER],MATCH(TableTERanks33[[#This Row],[RK]],TableTECalcPts[RK],0)),"")</f>
        <v/>
      </c>
      <c r="AS98" s="145" t="str">
        <f>IFERROR(INDEX(TableTECalcPts[TM],MATCH(TableTERanks33[[#This Row],[Player]],TableTECalcPts[PLAYER],0)),"")</f>
        <v/>
      </c>
      <c r="AT98" s="145" t="str">
        <f>IFERROR(INDEX(TableTECalcPts[BYE],MATCH(TableTERanks33[[#This Row],[Player]],TableTECalcPts[PLAYER],0)),"")</f>
        <v/>
      </c>
      <c r="AU98" s="146" t="str">
        <f>IFERROR((VLOOKUP(TableTERanks33[[#This Row],[Player]],TE!B:O,4,FALSE)),"")</f>
        <v/>
      </c>
      <c r="AV98" s="146" t="str">
        <f>IFERROR((VLOOKUP(TableTERanks33[[#This Row],[Player]],TE!B:O,5,FALSE)),"")</f>
        <v/>
      </c>
      <c r="AW98" s="146" t="str">
        <f>IFERROR((VLOOKUP(TableTERanks33[[#This Row],[Player]],TE!B:O,6,FALSE)),"")</f>
        <v/>
      </c>
      <c r="AX98" s="146" t="str">
        <f>IFERROR((VLOOKUP(TableTERanks33[[#This Row],[Player]],TE!B:O,7,FALSE)),"")</f>
        <v/>
      </c>
      <c r="AY98" s="147" t="str">
        <f>IFERROR((IFERROR(INDEX(TableTECalcPts[Custom],MATCH(TableTERanks33[[#This Row],[RK]],TableTECalcPts[RK],0)),"")),"")</f>
        <v/>
      </c>
      <c r="AZ98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8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9" spans="16:53" x14ac:dyDescent="0.25">
      <c r="P99" s="58">
        <v>98</v>
      </c>
      <c r="Q99" s="58" t="str">
        <f>IFERROR(INDEX(TableRBCalcPts[PLAYER],MATCH(TableRBRanks31[[#This Row],[RK]],TableRBCalcPts[RK],0)),"")</f>
        <v>George Holani</v>
      </c>
      <c r="R99" s="58" t="str">
        <f>IFERROR(INDEX(TableRBCalcPts[TM],MATCH(TableRBRanks31[[#This Row],[Player]],TableRBCalcPts[PLAYER],0)),"")</f>
        <v>SEA</v>
      </c>
      <c r="S99" s="58">
        <f>IFERROR(INDEX(TableRBCalcPts[BYE],MATCH(TableRBRanks31[[#This Row],[Player]],TableRBCalcPts[PLAYER],0)),"")</f>
        <v>11</v>
      </c>
      <c r="T99" s="100">
        <f>IFERROR((VLOOKUP(TableRBRanks31[[#This Row],[Player]],RB!B:O,4,FALSE)),"")</f>
        <v>11.932588786121544</v>
      </c>
      <c r="U99" s="100">
        <f>IFERROR((VLOOKUP(TableRBRanks31[[#This Row],[Player]],RB!B:O,5,FALSE)),"")</f>
        <v>45.450569134410458</v>
      </c>
      <c r="V99" s="100">
        <f>IFERROR((VLOOKUP(TableRBRanks31[[#This Row],[Player]],RB!B:O,6,FALSE)),"")</f>
        <v>0.39377542994201098</v>
      </c>
      <c r="W99" s="100">
        <f>IFERROR((VLOOKUP(TableRBRanks31[[#This Row],[Player]],RB!B:O,7,FALSE)),"")</f>
        <v>5.0472744</v>
      </c>
      <c r="X99" s="100">
        <f>IFERROR((VLOOKUP(TableRBRanks31[[#This Row],[Player]],RB!B:O,8,FALSE)),"")</f>
        <v>3.684510312</v>
      </c>
      <c r="Y99" s="100">
        <f>IFERROR((VLOOKUP(TableRBRanks31[[#This Row],[Player]],RB!B:O,9,FALSE)),"")</f>
        <v>28.29703919616</v>
      </c>
      <c r="Z99" s="100">
        <f>IFERROR((VLOOKUP(TableRBRanks31[[#This Row],[Player]],RB!B:O,10,FALSE)),"")</f>
        <v>9.21127578E-2</v>
      </c>
      <c r="AA99" s="95">
        <f>IFERROR((IFERROR(INDEX(TableRBCalcPts[Custom],MATCH(TableRBRanks31[[#This Row],[RK]],TableRBCalcPts[RK],0)),"")),"")</f>
        <v>12.132345115509112</v>
      </c>
      <c r="AB9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9" s="145">
        <v>98</v>
      </c>
      <c r="AE99" s="145" t="str">
        <f>IFERROR(INDEX(TableWRCalcPts[PLAYER],MATCH(TableWRRanks32[[#This Row],[RK]],TableWRCalcPts[RK],0)),"")</f>
        <v>Dontayvion Wicks</v>
      </c>
      <c r="AF99" s="145" t="str">
        <f>IFERROR(INDEX(TableWRCalcPts[TM],MATCH(TableWRRanks32[[#This Row],[Player]],TableWRCalcPts[PLAYER],0)),"")</f>
        <v>PHI</v>
      </c>
      <c r="AG99" s="145">
        <f>IFERROR(INDEX(TableWRCalcPts[BYE],MATCH(TableWRRanks32[[#This Row],[Player]],TableWRCalcPts[PLAYER],0)),"")</f>
        <v>10</v>
      </c>
      <c r="AH99" s="146">
        <f>IFERROR((VLOOKUP(TableWRRanks32[[#This Row],[Player]],WR!B:O,4,FALSE)),"")</f>
        <v>0</v>
      </c>
      <c r="AI99" s="146">
        <f>IFERROR((VLOOKUP(TableWRRanks32[[#This Row],[Player]],WR!B:O,5,FALSE)),"")</f>
        <v>0</v>
      </c>
      <c r="AJ99" s="146">
        <f>IFERROR((VLOOKUP(TableWRRanks32[[#This Row],[Player]],WR!B:O,6,FALSE)),"")</f>
        <v>41.306976479999996</v>
      </c>
      <c r="AK99" s="146">
        <f>IFERROR((VLOOKUP(TableWRRanks32[[#This Row],[Player]],WR!B:O,7,FALSE)),"")</f>
        <v>23.710204499519996</v>
      </c>
      <c r="AL99" s="146">
        <f>IFERROR((VLOOKUP(TableWRRanks32[[#This Row],[Player]],WR!B:O,8,FALSE)),"")</f>
        <v>288.31608671416313</v>
      </c>
      <c r="AM99" s="146">
        <f>IFERROR((VLOOKUP(TableWRRanks32[[#This Row],[Player]],WR!B:O,9,FALSE)),"")</f>
        <v>1.8968163599615997</v>
      </c>
      <c r="AN99" s="147">
        <f>IFERROR((IFERROR(INDEX(TableWRCalcPts[Custom],MATCH(TableWRRanks32[[#This Row],[RK]],TableWRCalcPts[RK],0)),"")),"")</f>
        <v>52.067609080945914</v>
      </c>
      <c r="AO9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9" s="145">
        <v>98</v>
      </c>
      <c r="AR99" s="145" t="str">
        <f>IFERROR(INDEX(TableTECalcPts[PLAYER],MATCH(TableTERanks33[[#This Row],[RK]],TableTECalcPts[RK],0)),"")</f>
        <v/>
      </c>
      <c r="AS99" s="145" t="str">
        <f>IFERROR(INDEX(TableTECalcPts[TM],MATCH(TableTERanks33[[#This Row],[Player]],TableTECalcPts[PLAYER],0)),"")</f>
        <v/>
      </c>
      <c r="AT99" s="145" t="str">
        <f>IFERROR(INDEX(TableTECalcPts[BYE],MATCH(TableTERanks33[[#This Row],[Player]],TableTECalcPts[PLAYER],0)),"")</f>
        <v/>
      </c>
      <c r="AU99" s="146" t="str">
        <f>IFERROR((VLOOKUP(TableTERanks33[[#This Row],[Player]],TE!B:O,4,FALSE)),"")</f>
        <v/>
      </c>
      <c r="AV99" s="146" t="str">
        <f>IFERROR((VLOOKUP(TableTERanks33[[#This Row],[Player]],TE!B:O,5,FALSE)),"")</f>
        <v/>
      </c>
      <c r="AW99" s="146" t="str">
        <f>IFERROR((VLOOKUP(TableTERanks33[[#This Row],[Player]],TE!B:O,6,FALSE)),"")</f>
        <v/>
      </c>
      <c r="AX99" s="146" t="str">
        <f>IFERROR((VLOOKUP(TableTERanks33[[#This Row],[Player]],TE!B:O,7,FALSE)),"")</f>
        <v/>
      </c>
      <c r="AY99" s="147" t="str">
        <f>IFERROR((IFERROR(INDEX(TableTECalcPts[Custom],MATCH(TableTERanks33[[#This Row],[RK]],TableTECalcPts[RK],0)),"")),"")</f>
        <v/>
      </c>
      <c r="AZ9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0" spans="16:53" x14ac:dyDescent="0.25">
      <c r="P100" s="58">
        <v>99</v>
      </c>
      <c r="Q100" s="58" t="str">
        <f>IFERROR(INDEX(TableRBCalcPts[PLAYER],MATCH(TableRBRanks31[[#This Row],[RK]],TableRBCalcPts[RK],0)),"")</f>
        <v>Roschon Johnson</v>
      </c>
      <c r="R100" s="58" t="str">
        <f>IFERROR(INDEX(TableRBCalcPts[TM],MATCH(TableRBRanks31[[#This Row],[Player]],TableRBCalcPts[PLAYER],0)),"")</f>
        <v>CHI</v>
      </c>
      <c r="S100" s="58">
        <f>IFERROR(INDEX(TableRBCalcPts[BYE],MATCH(TableRBRanks31[[#This Row],[Player]],TableRBCalcPts[PLAYER],0)),"")</f>
        <v>10</v>
      </c>
      <c r="T100" s="100">
        <f>IFERROR((VLOOKUP(TableRBRanks31[[#This Row],[Player]],RB!B:O,4,FALSE)),"")</f>
        <v>16.3458708</v>
      </c>
      <c r="U100" s="100">
        <f>IFERROR((VLOOKUP(TableRBRanks31[[#This Row],[Player]],RB!B:O,5,FALSE)),"")</f>
        <v>65.383483200000001</v>
      </c>
      <c r="V100" s="100">
        <f>IFERROR((VLOOKUP(TableRBRanks31[[#This Row],[Player]],RB!B:O,6,FALSE)),"")</f>
        <v>0.53941373640000001</v>
      </c>
      <c r="W100" s="100">
        <f>IFERROR((VLOOKUP(TableRBRanks31[[#This Row],[Player]],RB!B:O,7,FALSE)),"")</f>
        <v>2.8196756000000001</v>
      </c>
      <c r="X100" s="100">
        <f>IFERROR((VLOOKUP(TableRBRanks31[[#This Row],[Player]],RB!B:O,8,FALSE)),"")</f>
        <v>1.9314777860000001</v>
      </c>
      <c r="Y100" s="100">
        <f>IFERROR((VLOOKUP(TableRBRanks31[[#This Row],[Player]],RB!B:O,9,FALSE)),"")</f>
        <v>10.90322426852293</v>
      </c>
      <c r="Z100" s="100">
        <f>IFERROR((VLOOKUP(TableRBRanks31[[#This Row],[Player]],RB!B:O,10,FALSE)),"")</f>
        <v>5.0218422435999999E-2</v>
      </c>
      <c r="AA100" s="95">
        <f>IFERROR((IFERROR(INDEX(TableRBCalcPts[Custom],MATCH(TableRBRanks31[[#This Row],[RK]],TableRBCalcPts[RK],0)),"")),"")</f>
        <v>12.132202592868293</v>
      </c>
      <c r="AB10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0" s="145">
        <v>99</v>
      </c>
      <c r="AE100" s="145" t="str">
        <f>IFERROR(INDEX(TableWRCalcPts[PLAYER],MATCH(TableWRRanks32[[#This Row],[RK]],TableWRCalcPts[RK],0)),"")</f>
        <v>Pat Bryant</v>
      </c>
      <c r="AF100" s="145" t="str">
        <f>IFERROR(INDEX(TableWRCalcPts[TM],MATCH(TableWRRanks32[[#This Row],[Player]],TableWRCalcPts[PLAYER],0)),"")</f>
        <v>DEN</v>
      </c>
      <c r="AG100" s="145">
        <f>IFERROR(INDEX(TableWRCalcPts[BYE],MATCH(TableWRRanks32[[#This Row],[Player]],TableWRCalcPts[PLAYER],0)),"")</f>
        <v>10</v>
      </c>
      <c r="AH100" s="146">
        <f>IFERROR((VLOOKUP(TableWRRanks32[[#This Row],[Player]],WR!B:O,4,FALSE)),"")</f>
        <v>0</v>
      </c>
      <c r="AI100" s="146">
        <f>IFERROR((VLOOKUP(TableWRRanks32[[#This Row],[Player]],WR!B:O,5,FALSE)),"")</f>
        <v>0</v>
      </c>
      <c r="AJ100" s="146">
        <f>IFERROR((VLOOKUP(TableWRRanks32[[#This Row],[Player]],WR!B:O,6,FALSE)),"")</f>
        <v>43.941716280000009</v>
      </c>
      <c r="AK100" s="146">
        <f>IFERROR((VLOOKUP(TableWRRanks32[[#This Row],[Player]],WR!B:O,7,FALSE)),"")</f>
        <v>25.235181978160007</v>
      </c>
      <c r="AL100" s="146">
        <f>IFERROR((VLOOKUP(TableWRRanks32[[#This Row],[Player]],WR!B:O,8,FALSE)),"")</f>
        <v>296.52501987416008</v>
      </c>
      <c r="AM100" s="146">
        <f>IFERROR((VLOOKUP(TableWRRanks32[[#This Row],[Player]],WR!B:O,9,FALSE)),"")</f>
        <v>1.5141109186896005</v>
      </c>
      <c r="AN100" s="147">
        <f>IFERROR((IFERROR(INDEX(TableWRCalcPts[Custom],MATCH(TableWRRanks32[[#This Row],[RK]],TableWRCalcPts[RK],0)),"")),"")</f>
        <v>51.354758488633621</v>
      </c>
      <c r="AO10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0" s="145">
        <v>99</v>
      </c>
      <c r="AR100" s="145" t="str">
        <f>IFERROR(INDEX(TableTECalcPts[PLAYER],MATCH(TableTERanks33[[#This Row],[RK]],TableTECalcPts[RK],0)),"")</f>
        <v/>
      </c>
      <c r="AS100" s="145" t="str">
        <f>IFERROR(INDEX(TableTECalcPts[TM],MATCH(TableTERanks33[[#This Row],[Player]],TableTECalcPts[PLAYER],0)),"")</f>
        <v/>
      </c>
      <c r="AT100" s="145" t="str">
        <f>IFERROR(INDEX(TableTECalcPts[BYE],MATCH(TableTERanks33[[#This Row],[Player]],TableTECalcPts[PLAYER],0)),"")</f>
        <v/>
      </c>
      <c r="AU100" s="146" t="str">
        <f>IFERROR((VLOOKUP(TableTERanks33[[#This Row],[Player]],TE!B:O,4,FALSE)),"")</f>
        <v/>
      </c>
      <c r="AV100" s="146" t="str">
        <f>IFERROR((VLOOKUP(TableTERanks33[[#This Row],[Player]],TE!B:O,5,FALSE)),"")</f>
        <v/>
      </c>
      <c r="AW100" s="146" t="str">
        <f>IFERROR((VLOOKUP(TableTERanks33[[#This Row],[Player]],TE!B:O,6,FALSE)),"")</f>
        <v/>
      </c>
      <c r="AX100" s="146" t="str">
        <f>IFERROR((VLOOKUP(TableTERanks33[[#This Row],[Player]],TE!B:O,7,FALSE)),"")</f>
        <v/>
      </c>
      <c r="AY100" s="147" t="str">
        <f>IFERROR((IFERROR(INDEX(TableTECalcPts[Custom],MATCH(TableTERanks33[[#This Row],[RK]],TableTECalcPts[RK],0)),"")),"")</f>
        <v/>
      </c>
      <c r="AZ10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1" spans="16:53" x14ac:dyDescent="0.25">
      <c r="P101" s="58">
        <v>100</v>
      </c>
      <c r="Q101" s="58" t="str">
        <f>IFERROR(INDEX(TableRBCalcPts[PLAYER],MATCH(TableRBRanks31[[#This Row],[RK]],TableRBCalcPts[RK],0)),"")</f>
        <v>AJ Dillon</v>
      </c>
      <c r="R101" s="58" t="str">
        <f>IFERROR(INDEX(TableRBCalcPts[TM],MATCH(TableRBRanks31[[#This Row],[Player]],TableRBCalcPts[PLAYER],0)),"")</f>
        <v>CAR</v>
      </c>
      <c r="S101" s="58">
        <f>IFERROR(INDEX(TableRBCalcPts[BYE],MATCH(TableRBRanks31[[#This Row],[Player]],TableRBCalcPts[PLAYER],0)),"")</f>
        <v>5</v>
      </c>
      <c r="T101" s="100">
        <f>IFERROR((VLOOKUP(TableRBRanks31[[#This Row],[Player]],RB!B:O,4,FALSE)),"")</f>
        <v>17.269559999999998</v>
      </c>
      <c r="U101" s="100">
        <f>IFERROR((VLOOKUP(TableRBRanks31[[#This Row],[Player]],RB!B:O,5,FALSE)),"")</f>
        <v>71.545320000000004</v>
      </c>
      <c r="V101" s="100">
        <f>IFERROR((VLOOKUP(TableRBRanks31[[#This Row],[Player]],RB!B:O,6,FALSE)),"")</f>
        <v>0.41446943999999997</v>
      </c>
      <c r="W101" s="100">
        <f>IFERROR((VLOOKUP(TableRBRanks31[[#This Row],[Player]],RB!B:O,7,FALSE)),"")</f>
        <v>2.6923049999999997</v>
      </c>
      <c r="X101" s="100">
        <f>IFERROR((VLOOKUP(TableRBRanks31[[#This Row],[Player]],RB!B:O,8,FALSE)),"")</f>
        <v>1.9384595999999998</v>
      </c>
      <c r="Y101" s="100">
        <f>IFERROR((VLOOKUP(TableRBRanks31[[#This Row],[Player]],RB!B:O,9,FALSE)),"")</f>
        <v>11.824603559999998</v>
      </c>
      <c r="Z101" s="100">
        <f>IFERROR((VLOOKUP(TableRBRanks31[[#This Row],[Player]],RB!B:O,10,FALSE)),"")</f>
        <v>2.9076893999999995E-2</v>
      </c>
      <c r="AA101" s="95">
        <f>IFERROR((IFERROR(INDEX(TableRBCalcPts[Custom],MATCH(TableRBRanks31[[#This Row],[RK]],TableRBCalcPts[RK],0)),"")),"")</f>
        <v>11.967500160000002</v>
      </c>
      <c r="AB10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1" s="145">
        <v>100</v>
      </c>
      <c r="AE101" s="145" t="str">
        <f>IFERROR(INDEX(TableWRCalcPts[PLAYER],MATCH(TableWRRanks32[[#This Row],[RK]],TableWRCalcPts[RK],0)),"")</f>
        <v>Devaughn Vele</v>
      </c>
      <c r="AF101" s="145" t="str">
        <f>IFERROR(INDEX(TableWRCalcPts[TM],MATCH(TableWRRanks32[[#This Row],[Player]],TableWRCalcPts[PLAYER],0)),"")</f>
        <v>NO</v>
      </c>
      <c r="AG101" s="145">
        <f>IFERROR(INDEX(TableWRCalcPts[BYE],MATCH(TableWRRanks32[[#This Row],[Player]],TableWRCalcPts[PLAYER],0)),"")</f>
        <v>8</v>
      </c>
      <c r="AH101" s="146">
        <f>IFERROR((VLOOKUP(TableWRRanks32[[#This Row],[Player]],WR!B:O,4,FALSE)),"")</f>
        <v>0</v>
      </c>
      <c r="AI101" s="146">
        <f>IFERROR((VLOOKUP(TableWRRanks32[[#This Row],[Player]],WR!B:O,5,FALSE)),"")</f>
        <v>0</v>
      </c>
      <c r="AJ101" s="146">
        <f>IFERROR((VLOOKUP(TableWRRanks32[[#This Row],[Player]],WR!B:O,6,FALSE)),"")</f>
        <v>37.575802879999998</v>
      </c>
      <c r="AK101" s="146">
        <f>IFERROR((VLOOKUP(TableWRRanks32[[#This Row],[Player]],WR!B:O,7,FALSE)),"")</f>
        <v>24.992278194604651</v>
      </c>
      <c r="AL101" s="146">
        <f>IFERROR((VLOOKUP(TableWRRanks32[[#This Row],[Player]],WR!B:O,8,FALSE)),"")</f>
        <v>292.88095448198948</v>
      </c>
      <c r="AM101" s="146">
        <f>IFERROR((VLOOKUP(TableWRRanks32[[#This Row],[Player]],WR!B:O,9,FALSE)),"")</f>
        <v>1.5816791444837208</v>
      </c>
      <c r="AN101" s="147">
        <f>IFERROR((IFERROR(INDEX(TableWRCalcPts[Custom],MATCH(TableWRRanks32[[#This Row],[RK]],TableWRCalcPts[RK],0)),"")),"")</f>
        <v>51.274309412403603</v>
      </c>
      <c r="AO10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1" s="145">
        <v>100</v>
      </c>
      <c r="AR101" s="145" t="str">
        <f>IFERROR(INDEX(TableTECalcPts[PLAYER],MATCH(TableTERanks33[[#This Row],[RK]],TableTECalcPts[RK],0)),"")</f>
        <v/>
      </c>
      <c r="AS101" s="145" t="str">
        <f>IFERROR(INDEX(TableTECalcPts[TM],MATCH(TableTERanks33[[#This Row],[Player]],TableTECalcPts[PLAYER],0)),"")</f>
        <v/>
      </c>
      <c r="AT101" s="145" t="str">
        <f>IFERROR(INDEX(TableTECalcPts[BYE],MATCH(TableTERanks33[[#This Row],[Player]],TableTECalcPts[PLAYER],0)),"")</f>
        <v/>
      </c>
      <c r="AU101" s="146" t="str">
        <f>IFERROR((VLOOKUP(TableTERanks33[[#This Row],[Player]],TE!B:O,4,FALSE)),"")</f>
        <v/>
      </c>
      <c r="AV101" s="146" t="str">
        <f>IFERROR((VLOOKUP(TableTERanks33[[#This Row],[Player]],TE!B:O,5,FALSE)),"")</f>
        <v/>
      </c>
      <c r="AW101" s="146" t="str">
        <f>IFERROR((VLOOKUP(TableTERanks33[[#This Row],[Player]],TE!B:O,6,FALSE)),"")</f>
        <v/>
      </c>
      <c r="AX101" s="146" t="str">
        <f>IFERROR((VLOOKUP(TableTERanks33[[#This Row],[Player]],TE!B:O,7,FALSE)),"")</f>
        <v/>
      </c>
      <c r="AY101" s="147" t="str">
        <f>IFERROR((IFERROR(INDEX(TableTECalcPts[Custom],MATCH(TableTERanks33[[#This Row],[RK]],TableTECalcPts[RK],0)),"")),"")</f>
        <v/>
      </c>
      <c r="AZ10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2" spans="16:53" x14ac:dyDescent="0.25">
      <c r="P102" s="58">
        <v>101</v>
      </c>
      <c r="Q102" s="58" t="str">
        <f>IFERROR(INDEX(TableRBCalcPts[PLAYER],MATCH(TableRBRanks31[[#This Row],[RK]],TableRBCalcPts[RK],0)),"")</f>
        <v>Brashard Smith</v>
      </c>
      <c r="R102" s="58" t="str">
        <f>IFERROR(INDEX(TableRBCalcPts[TM],MATCH(TableRBRanks31[[#This Row],[Player]],TableRBCalcPts[PLAYER],0)),"")</f>
        <v>KC</v>
      </c>
      <c r="S102" s="58">
        <f>IFERROR(INDEX(TableRBCalcPts[BYE],MATCH(TableRBRanks31[[#This Row],[Player]],TableRBCalcPts[PLAYER],0)),"")</f>
        <v>5</v>
      </c>
      <c r="T102" s="100">
        <f>IFERROR((VLOOKUP(TableRBRanks31[[#This Row],[Player]],RB!B:O,4,FALSE)),"")</f>
        <v>8.6548700000000007</v>
      </c>
      <c r="U102" s="100">
        <f>IFERROR((VLOOKUP(TableRBRanks31[[#This Row],[Player]],RB!B:O,5,FALSE)),"")</f>
        <v>33.927090400000004</v>
      </c>
      <c r="V102" s="100">
        <f>IFERROR((VLOOKUP(TableRBRanks31[[#This Row],[Player]],RB!B:O,6,FALSE)),"")</f>
        <v>0.26830097000000003</v>
      </c>
      <c r="W102" s="100">
        <f>IFERROR((VLOOKUP(TableRBRanks31[[#This Row],[Player]],RB!B:O,7,FALSE)),"")</f>
        <v>5.8547649999999996</v>
      </c>
      <c r="X102" s="100">
        <f>IFERROR((VLOOKUP(TableRBRanks31[[#This Row],[Player]],RB!B:O,8,FALSE)),"")</f>
        <v>4.2447046249999998</v>
      </c>
      <c r="Y102" s="100">
        <f>IFERROR((VLOOKUP(TableRBRanks31[[#This Row],[Player]],RB!B:O,9,FALSE)),"")</f>
        <v>30.610117723046152</v>
      </c>
      <c r="Z102" s="100">
        <f>IFERROR((VLOOKUP(TableRBRanks31[[#This Row],[Player]],RB!B:O,10,FALSE)),"")</f>
        <v>0.17827759425</v>
      </c>
      <c r="AA102" s="95">
        <f>IFERROR((IFERROR(INDEX(TableRBCalcPts[Custom],MATCH(TableRBRanks31[[#This Row],[RK]],TableRBCalcPts[RK],0)),"")),"")</f>
        <v>11.255544510304615</v>
      </c>
      <c r="AB10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2" s="145">
        <v>101</v>
      </c>
      <c r="AE102" s="145" t="str">
        <f>IFERROR(INDEX(TableWRCalcPts[PLAYER],MATCH(TableWRRanks32[[#This Row],[RK]],TableWRCalcPts[RK],0)),"")</f>
        <v>Savion Williams</v>
      </c>
      <c r="AF102" s="145" t="str">
        <f>IFERROR(INDEX(TableWRCalcPts[TM],MATCH(TableWRRanks32[[#This Row],[Player]],TableWRCalcPts[PLAYER],0)),"")</f>
        <v>GB</v>
      </c>
      <c r="AG102" s="145">
        <f>IFERROR(INDEX(TableWRCalcPts[BYE],MATCH(TableWRRanks32[[#This Row],[Player]],TableWRCalcPts[PLAYER],0)),"")</f>
        <v>11</v>
      </c>
      <c r="AH102" s="146">
        <f>IFERROR((VLOOKUP(TableWRRanks32[[#This Row],[Player]],WR!B:O,4,FALSE)),"")</f>
        <v>53.064177325634297</v>
      </c>
      <c r="AI102" s="146">
        <f>IFERROR((VLOOKUP(TableWRRanks32[[#This Row],[Player]],WR!B:O,5,FALSE)),"")</f>
        <v>0.35370845999999995</v>
      </c>
      <c r="AJ102" s="146">
        <f>IFERROR((VLOOKUP(TableWRRanks32[[#This Row],[Player]],WR!B:O,6,FALSE)),"")</f>
        <v>38.089765386934666</v>
      </c>
      <c r="AK102" s="146">
        <f>IFERROR((VLOOKUP(TableWRRanks32[[#This Row],[Player]],WR!B:O,7,FALSE)),"")</f>
        <v>23.176769482008243</v>
      </c>
      <c r="AL102" s="146">
        <f>IFERROR((VLOOKUP(TableWRRanks32[[#This Row],[Player]],WR!B:O,8,FALSE)),"")</f>
        <v>211.022985283228</v>
      </c>
      <c r="AM102" s="146">
        <f>IFERROR((VLOOKUP(TableWRRanks32[[#This Row],[Player]],WR!B:O,9,FALSE)),"")</f>
        <v>1.6899727747297675</v>
      </c>
      <c r="AN102" s="147">
        <f>IFERROR((IFERROR(INDEX(TableWRCalcPts[Custom],MATCH(TableWRRanks32[[#This Row],[RK]],TableWRCalcPts[RK],0)),"")),"")</f>
        <v>50.259188410268962</v>
      </c>
      <c r="AO10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3" spans="16:53" x14ac:dyDescent="0.25">
      <c r="P103" s="58">
        <v>102</v>
      </c>
      <c r="Q103" s="58" t="str">
        <f>IFERROR(INDEX(TableRBCalcPts[PLAYER],MATCH(TableRBRanks31[[#This Row],[RK]],TableRBCalcPts[RK],0)),"")</f>
        <v>Kaleb Johnson</v>
      </c>
      <c r="R103" s="58" t="str">
        <f>IFERROR(INDEX(TableRBCalcPts[TM],MATCH(TableRBRanks31[[#This Row],[Player]],TableRBCalcPts[PLAYER],0)),"")</f>
        <v>PIT</v>
      </c>
      <c r="S103" s="58">
        <f>IFERROR(INDEX(TableRBCalcPts[BYE],MATCH(TableRBRanks31[[#This Row],[Player]],TableRBCalcPts[PLAYER],0)),"")</f>
        <v>9</v>
      </c>
      <c r="T103" s="100">
        <f>IFERROR((VLOOKUP(TableRBRanks31[[#This Row],[Player]],RB!B:O,4,FALSE)),"")</f>
        <v>15.173927999999998</v>
      </c>
      <c r="U103" s="100">
        <f>IFERROR((VLOOKUP(TableRBRanks31[[#This Row],[Player]],RB!B:O,5,FALSE)),"")</f>
        <v>54.626140799999995</v>
      </c>
      <c r="V103" s="100">
        <f>IFERROR((VLOOKUP(TableRBRanks31[[#This Row],[Player]],RB!B:O,6,FALSE)),"")</f>
        <v>0.30347855999999995</v>
      </c>
      <c r="W103" s="100">
        <f>IFERROR((VLOOKUP(TableRBRanks31[[#This Row],[Player]],RB!B:O,7,FALSE)),"")</f>
        <v>2.8400400000000001</v>
      </c>
      <c r="X103" s="100">
        <f>IFERROR((VLOOKUP(TableRBRanks31[[#This Row],[Player]],RB!B:O,8,FALSE)),"")</f>
        <v>2.1300300000000001</v>
      </c>
      <c r="Y103" s="100">
        <f>IFERROR((VLOOKUP(TableRBRanks31[[#This Row],[Player]],RB!B:O,9,FALSE)),"")</f>
        <v>12.797088531439316</v>
      </c>
      <c r="Z103" s="100">
        <f>IFERROR((VLOOKUP(TableRBRanks31[[#This Row],[Player]],RB!B:O,10,FALSE)),"")</f>
        <v>4.2600600000000002E-2</v>
      </c>
      <c r="AA103" s="95">
        <f>IFERROR((IFERROR(INDEX(TableRBCalcPts[Custom],MATCH(TableRBRanks31[[#This Row],[RK]],TableRBCalcPts[RK],0)),"")),"")</f>
        <v>9.8838128931439329</v>
      </c>
      <c r="AB10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3" s="145">
        <v>102</v>
      </c>
      <c r="AE103" s="145" t="str">
        <f>IFERROR(INDEX(TableWRCalcPts[PLAYER],MATCH(TableWRRanks32[[#This Row],[RK]],TableWRCalcPts[RK],0)),"")</f>
        <v>Dyami Brown</v>
      </c>
      <c r="AF103" s="145" t="str">
        <f>IFERROR(INDEX(TableWRCalcPts[TM],MATCH(TableWRRanks32[[#This Row],[Player]],TableWRCalcPts[PLAYER],0)),"")</f>
        <v>WSH</v>
      </c>
      <c r="AG103" s="145">
        <f>IFERROR(INDEX(TableWRCalcPts[BYE],MATCH(TableWRRanks32[[#This Row],[Player]],TableWRCalcPts[PLAYER],0)),"")</f>
        <v>7</v>
      </c>
      <c r="AH103" s="146">
        <f>IFERROR((VLOOKUP(TableWRRanks32[[#This Row],[Player]],WR!B:O,4,FALSE)),"")</f>
        <v>0</v>
      </c>
      <c r="AI103" s="146">
        <f>IFERROR((VLOOKUP(TableWRRanks32[[#This Row],[Player]],WR!B:O,5,FALSE)),"")</f>
        <v>0</v>
      </c>
      <c r="AJ103" s="146">
        <f>IFERROR((VLOOKUP(TableWRRanks32[[#This Row],[Player]],WR!B:O,6,FALSE)),"")</f>
        <v>42.812722959999988</v>
      </c>
      <c r="AK103" s="146">
        <f>IFERROR((VLOOKUP(TableWRRanks32[[#This Row],[Player]],WR!B:O,7,FALSE)),"")</f>
        <v>22.348241385119994</v>
      </c>
      <c r="AL103" s="146">
        <f>IFERROR((VLOOKUP(TableWRRanks32[[#This Row],[Player]],WR!B:O,8,FALSE)),"")</f>
        <v>281.14087662480955</v>
      </c>
      <c r="AM103" s="146">
        <f>IFERROR((VLOOKUP(TableWRRanks32[[#This Row],[Player]],WR!B:O,9,FALSE)),"")</f>
        <v>1.7878593108095995</v>
      </c>
      <c r="AN103" s="147">
        <f>IFERROR((IFERROR(INDEX(TableWRCalcPts[Custom],MATCH(TableWRRanks32[[#This Row],[RK]],TableWRCalcPts[RK],0)),"")),"")</f>
        <v>50.015364219898544</v>
      </c>
      <c r="AO10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4" spans="16:53" x14ac:dyDescent="0.25">
      <c r="P104" s="58">
        <v>103</v>
      </c>
      <c r="Q104" s="58" t="str">
        <f>IFERROR(INDEX(TableRBCalcPts[PLAYER],MATCH(TableRBRanks31[[#This Row],[RK]],TableRBCalcPts[RK],0)),"")</f>
        <v>Phil Mafah</v>
      </c>
      <c r="R104" s="58" t="str">
        <f>IFERROR(INDEX(TableRBCalcPts[TM],MATCH(TableRBRanks31[[#This Row],[Player]],TableRBCalcPts[PLAYER],0)),"")</f>
        <v>DAL</v>
      </c>
      <c r="S104" s="58">
        <f>IFERROR(INDEX(TableRBCalcPts[BYE],MATCH(TableRBRanks31[[#This Row],[Player]],TableRBCalcPts[PLAYER],0)),"")</f>
        <v>14</v>
      </c>
      <c r="T104" s="100">
        <f>IFERROR((VLOOKUP(TableRBRanks31[[#This Row],[Player]],RB!B:O,4,FALSE)),"")</f>
        <v>10.778407500000002</v>
      </c>
      <c r="U104" s="100">
        <f>IFERROR((VLOOKUP(TableRBRanks31[[#This Row],[Player]],RB!B:O,5,FALSE)),"")</f>
        <v>45.377095575000006</v>
      </c>
      <c r="V104" s="100">
        <f>IFERROR((VLOOKUP(TableRBRanks31[[#This Row],[Player]],RB!B:O,6,FALSE)),"")</f>
        <v>0.32335222500000005</v>
      </c>
      <c r="W104" s="100">
        <f>IFERROR((VLOOKUP(TableRBRanks31[[#This Row],[Player]],RB!B:O,7,FALSE)),"")</f>
        <v>3.0138184999999997</v>
      </c>
      <c r="X104" s="100">
        <f>IFERROR((VLOOKUP(TableRBRanks31[[#This Row],[Player]],RB!B:O,8,FALSE)),"")</f>
        <v>2.0554242170000001</v>
      </c>
      <c r="Y104" s="100">
        <f>IFERROR((VLOOKUP(TableRBRanks31[[#This Row],[Player]],RB!B:O,9,FALSE)),"")</f>
        <v>12.68196741889</v>
      </c>
      <c r="Z104" s="100">
        <f>IFERROR((VLOOKUP(TableRBRanks31[[#This Row],[Player]],RB!B:O,10,FALSE)),"")</f>
        <v>5.5496453859000004E-2</v>
      </c>
      <c r="AA104" s="95">
        <f>IFERROR((IFERROR(INDEX(TableRBCalcPts[Custom],MATCH(TableRBRanks31[[#This Row],[RK]],TableRBCalcPts[RK],0)),"")),"")</f>
        <v>9.1067104810430006</v>
      </c>
      <c r="AB10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4" s="145">
        <v>103</v>
      </c>
      <c r="AE104" s="145" t="str">
        <f>IFERROR(INDEX(TableWRCalcPts[PLAYER],MATCH(TableWRRanks32[[#This Row],[RK]],TableWRCalcPts[RK],0)),"")</f>
        <v>Keon Coleman</v>
      </c>
      <c r="AF104" s="145" t="str">
        <f>IFERROR(INDEX(TableWRCalcPts[TM],MATCH(TableWRRanks32[[#This Row],[Player]],TableWRCalcPts[PLAYER],0)),"")</f>
        <v>BUF</v>
      </c>
      <c r="AG104" s="145">
        <f>IFERROR(INDEX(TableWRCalcPts[BYE],MATCH(TableWRRanks32[[#This Row],[Player]],TableWRCalcPts[PLAYER],0)),"")</f>
        <v>7</v>
      </c>
      <c r="AH104" s="146">
        <f>IFERROR((VLOOKUP(TableWRRanks32[[#This Row],[Player]],WR!B:O,4,FALSE)),"")</f>
        <v>0</v>
      </c>
      <c r="AI104" s="146">
        <f>IFERROR((VLOOKUP(TableWRRanks32[[#This Row],[Player]],WR!B:O,5,FALSE)),"")</f>
        <v>0</v>
      </c>
      <c r="AJ104" s="146">
        <f>IFERROR((VLOOKUP(TableWRRanks32[[#This Row],[Player]],WR!B:O,6,FALSE)),"")</f>
        <v>36.774460799999986</v>
      </c>
      <c r="AK104" s="146">
        <f>IFERROR((VLOOKUP(TableWRRanks32[[#This Row],[Player]],WR!B:O,7,FALSE)),"")</f>
        <v>19.637562067199994</v>
      </c>
      <c r="AL104" s="146">
        <f>IFERROR((VLOOKUP(TableWRRanks32[[#This Row],[Player]],WR!B:O,8,FALSE)),"")</f>
        <v>281.01351318163194</v>
      </c>
      <c r="AM104" s="146">
        <f>IFERROR((VLOOKUP(TableWRRanks32[[#This Row],[Player]],WR!B:O,9,FALSE)),"")</f>
        <v>1.9833937687871994</v>
      </c>
      <c r="AN104" s="147">
        <f>IFERROR((IFERROR(INDEX(TableWRCalcPts[Custom],MATCH(TableWRRanks32[[#This Row],[RK]],TableWRCalcPts[RK],0)),"")),"")</f>
        <v>49.820494964486386</v>
      </c>
      <c r="AO10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5" spans="16:53" x14ac:dyDescent="0.25">
      <c r="P105" s="58">
        <v>104</v>
      </c>
      <c r="Q105" s="58" t="str">
        <f>IFERROR(INDEX(TableRBCalcPts[PLAYER],MATCH(TableRBRanks31[[#This Row],[RK]],TableRBCalcPts[RK],0)),"")</f>
        <v>Jaleel McLaughlin</v>
      </c>
      <c r="R105" s="58" t="str">
        <f>IFERROR(INDEX(TableRBCalcPts[TM],MATCH(TableRBRanks31[[#This Row],[Player]],TableRBCalcPts[PLAYER],0)),"")</f>
        <v>DEN</v>
      </c>
      <c r="S105" s="58">
        <f>IFERROR(INDEX(TableRBCalcPts[BYE],MATCH(TableRBRanks31[[#This Row],[Player]],TableRBCalcPts[PLAYER],0)),"")</f>
        <v>10</v>
      </c>
      <c r="T105" s="100">
        <f>IFERROR((VLOOKUP(TableRBRanks31[[#This Row],[Player]],RB!B:O,4,FALSE)),"")</f>
        <v>4.4656835999999993</v>
      </c>
      <c r="U105" s="100">
        <f>IFERROR((VLOOKUP(TableRBRanks31[[#This Row],[Player]],RB!B:O,5,FALSE)),"")</f>
        <v>21.926506475999997</v>
      </c>
      <c r="V105" s="100">
        <f>IFERROR((VLOOKUP(TableRBRanks31[[#This Row],[Player]],RB!B:O,6,FALSE)),"")</f>
        <v>0.12503914079999998</v>
      </c>
      <c r="W105" s="100">
        <f>IFERROR((VLOOKUP(TableRBRanks31[[#This Row],[Player]],RB!B:O,7,FALSE)),"")</f>
        <v>5.7067164000000004</v>
      </c>
      <c r="X105" s="100">
        <f>IFERROR((VLOOKUP(TableRBRanks31[[#This Row],[Player]],RB!B:O,8,FALSE)),"")</f>
        <v>4.1430761064000006</v>
      </c>
      <c r="Y105" s="100">
        <f>IFERROR((VLOOKUP(TableRBRanks31[[#This Row],[Player]],RB!B:O,9,FALSE)),"")</f>
        <v>30.688224578722757</v>
      </c>
      <c r="Z105" s="100">
        <f>IFERROR((VLOOKUP(TableRBRanks31[[#This Row],[Player]],RB!B:O,10,FALSE)),"")</f>
        <v>0.1424148438568355</v>
      </c>
      <c r="AA105" s="95">
        <f>IFERROR((IFERROR(INDEX(TableRBCalcPts[Custom],MATCH(TableRBRanks31[[#This Row],[RK]],TableRBCalcPts[RK],0)),"")),"")</f>
        <v>8.9377350666132891</v>
      </c>
      <c r="AB10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5" s="145">
        <v>104</v>
      </c>
      <c r="AE105" s="145" t="str">
        <f>IFERROR(INDEX(TableWRCalcPts[PLAYER],MATCH(TableWRRanks32[[#This Row],[RK]],TableWRCalcPts[RK],0)),"")</f>
        <v>Ted Hurst</v>
      </c>
      <c r="AF105" s="145" t="str">
        <f>IFERROR(INDEX(TableWRCalcPts[TM],MATCH(TableWRRanks32[[#This Row],[Player]],TableWRCalcPts[PLAYER],0)),"")</f>
        <v>TB</v>
      </c>
      <c r="AG105" s="145">
        <f>IFERROR(INDEX(TableWRCalcPts[BYE],MATCH(TableWRRanks32[[#This Row],[Player]],TableWRCalcPts[PLAYER],0)),"")</f>
        <v>10</v>
      </c>
      <c r="AH105" s="146">
        <f>IFERROR((VLOOKUP(TableWRRanks32[[#This Row],[Player]],WR!B:O,4,FALSE)),"")</f>
        <v>0</v>
      </c>
      <c r="AI105" s="146">
        <f>IFERROR((VLOOKUP(TableWRRanks32[[#This Row],[Player]],WR!B:O,5,FALSE)),"")</f>
        <v>0</v>
      </c>
      <c r="AJ105" s="146">
        <f>IFERROR((VLOOKUP(TableWRRanks32[[#This Row],[Player]],WR!B:O,6,FALSE)),"")</f>
        <v>34.213409159999983</v>
      </c>
      <c r="AK105" s="146">
        <f>IFERROR((VLOOKUP(TableWRRanks32[[#This Row],[Player]],WR!B:O,7,FALSE)),"")</f>
        <v>20.596472314319989</v>
      </c>
      <c r="AL105" s="146">
        <f>IFERROR((VLOOKUP(TableWRRanks32[[#This Row],[Player]],WR!B:O,8,FALSE)),"")</f>
        <v>261.98712783815029</v>
      </c>
      <c r="AM105" s="146">
        <f>IFERROR((VLOOKUP(TableWRRanks32[[#This Row],[Player]],WR!B:O,9,FALSE)),"")</f>
        <v>1.8536825082887989</v>
      </c>
      <c r="AN105" s="147">
        <f>IFERROR((IFERROR(INDEX(TableWRCalcPts[Custom],MATCH(TableWRRanks32[[#This Row],[RK]],TableWRCalcPts[RK],0)),"")),"")</f>
        <v>47.619043990707816</v>
      </c>
      <c r="AO10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6" spans="16:53" x14ac:dyDescent="0.25">
      <c r="P106" s="58">
        <v>105</v>
      </c>
      <c r="Q106" s="58" t="str">
        <f>IFERROR(INDEX(TableRBCalcPts[PLAYER],MATCH(TableRBRanks31[[#This Row],[RK]],TableRBCalcPts[RK],0)),"")</f>
        <v>Jarquez Hunter</v>
      </c>
      <c r="R106" s="58" t="str">
        <f>IFERROR(INDEX(TableRBCalcPts[TM],MATCH(TableRBRanks31[[#This Row],[Player]],TableRBCalcPts[PLAYER],0)),"")</f>
        <v>LAR</v>
      </c>
      <c r="S106" s="58">
        <f>IFERROR(INDEX(TableRBCalcPts[BYE],MATCH(TableRBRanks31[[#This Row],[Player]],TableRBCalcPts[PLAYER],0)),"")</f>
        <v>11</v>
      </c>
      <c r="T106" s="100">
        <f>IFERROR((VLOOKUP(TableRBRanks31[[#This Row],[Player]],RB!B:O,4,FALSE)),"")</f>
        <v>8.8827199999999991</v>
      </c>
      <c r="U106" s="100">
        <f>IFERROR((VLOOKUP(TableRBRanks31[[#This Row],[Player]],RB!B:O,5,FALSE)),"")</f>
        <v>37.751559999999998</v>
      </c>
      <c r="V106" s="100">
        <f>IFERROR((VLOOKUP(TableRBRanks31[[#This Row],[Player]],RB!B:O,6,FALSE)),"")</f>
        <v>0.33310199999999995</v>
      </c>
      <c r="W106" s="100">
        <f>IFERROR((VLOOKUP(TableRBRanks31[[#This Row],[Player]],RB!B:O,7,FALSE)),"")</f>
        <v>2.7449426488618451</v>
      </c>
      <c r="X106" s="100">
        <f>IFERROR((VLOOKUP(TableRBRanks31[[#This Row],[Player]],RB!B:O,8,FALSE)),"")</f>
        <v>1.9489092806919099</v>
      </c>
      <c r="Y106" s="100">
        <f>IFERROR((VLOOKUP(TableRBRanks31[[#This Row],[Player]],RB!B:O,9,FALSE)),"")</f>
        <v>13.252583108704988</v>
      </c>
      <c r="Z106" s="100">
        <f>IFERROR((VLOOKUP(TableRBRanks31[[#This Row],[Player]],RB!B:O,10,FALSE)),"")</f>
        <v>5.8467278420757295E-2</v>
      </c>
      <c r="AA106" s="95">
        <f>IFERROR((IFERROR(INDEX(TableRBCalcPts[Custom],MATCH(TableRBRanks31[[#This Row],[RK]],TableRBCalcPts[RK],0)),"")),"")</f>
        <v>8.4242846217409966</v>
      </c>
      <c r="AB10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6" s="145">
        <v>105</v>
      </c>
      <c r="AE106" s="145" t="str">
        <f>IFERROR(INDEX(TableWRCalcPts[PLAYER],MATCH(TableWRRanks32[[#This Row],[RK]],TableWRCalcPts[RK],0)),"")</f>
        <v>Travis Hunter</v>
      </c>
      <c r="AF106" s="145" t="str">
        <f>IFERROR(INDEX(TableWRCalcPts[TM],MATCH(TableWRRanks32[[#This Row],[Player]],TableWRCalcPts[PLAYER],0)),"")</f>
        <v>JAX</v>
      </c>
      <c r="AG106" s="145">
        <f>IFERROR(INDEX(TableWRCalcPts[BYE],MATCH(TableWRRanks32[[#This Row],[Player]],TableWRCalcPts[PLAYER],0)),"")</f>
        <v>7</v>
      </c>
      <c r="AH106" s="146">
        <f>IFERROR((VLOOKUP(TableWRRanks32[[#This Row],[Player]],WR!B:O,4,FALSE)),"")</f>
        <v>0</v>
      </c>
      <c r="AI106" s="146">
        <f>IFERROR((VLOOKUP(TableWRRanks32[[#This Row],[Player]],WR!B:O,5,FALSE)),"")</f>
        <v>0</v>
      </c>
      <c r="AJ106" s="146">
        <f>IFERROR((VLOOKUP(TableWRRanks32[[#This Row],[Player]],WR!B:O,6,FALSE)),"")</f>
        <v>35.819078400000002</v>
      </c>
      <c r="AK106" s="146">
        <f>IFERROR((VLOOKUP(TableWRRanks32[[#This Row],[Player]],WR!B:O,7,FALSE)),"")</f>
        <v>22.351104921600001</v>
      </c>
      <c r="AL106" s="146">
        <f>IFERROR((VLOOKUP(TableWRRanks32[[#This Row],[Player]],WR!B:O,8,FALSE)),"")</f>
        <v>244.29757679308801</v>
      </c>
      <c r="AM106" s="146">
        <f>IFERROR((VLOOKUP(TableWRRanks32[[#This Row],[Player]],WR!B:O,9,FALSE)),"")</f>
        <v>1.6316306592768</v>
      </c>
      <c r="AN106" s="147">
        <f>IFERROR((IFERROR(INDEX(TableWRCalcPts[Custom],MATCH(TableWRRanks32[[#This Row],[RK]],TableWRCalcPts[RK],0)),"")),"")</f>
        <v>45.395094095769608</v>
      </c>
      <c r="AO10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7" spans="16:53" x14ac:dyDescent="0.25">
      <c r="P107" s="58">
        <v>106</v>
      </c>
      <c r="Q107" s="58" t="str">
        <f>IFERROR(INDEX(TableRBCalcPts[PLAYER],MATCH(TableRBRanks31[[#This Row],[RK]],TableRBCalcPts[RK],0)),"")</f>
        <v>Devin Neal</v>
      </c>
      <c r="R107" s="58" t="str">
        <f>IFERROR(INDEX(TableRBCalcPts[TM],MATCH(TableRBRanks31[[#This Row],[Player]],TableRBCalcPts[PLAYER],0)),"")</f>
        <v>NO</v>
      </c>
      <c r="S107" s="58">
        <f>IFERROR(INDEX(TableRBCalcPts[BYE],MATCH(TableRBRanks31[[#This Row],[Player]],TableRBCalcPts[PLAYER],0)),"")</f>
        <v>8</v>
      </c>
      <c r="T107" s="100">
        <f>IFERROR((VLOOKUP(TableRBRanks31[[#This Row],[Player]],RB!B:O,4,FALSE)),"")</f>
        <v>9.914777599999999</v>
      </c>
      <c r="U107" s="100">
        <f>IFERROR((VLOOKUP(TableRBRanks31[[#This Row],[Player]],RB!B:O,5,FALSE)),"")</f>
        <v>37.676154879999991</v>
      </c>
      <c r="V107" s="100">
        <f>IFERROR((VLOOKUP(TableRBRanks31[[#This Row],[Player]],RB!B:O,6,FALSE)),"")</f>
        <v>0.24786944</v>
      </c>
      <c r="W107" s="100">
        <f>IFERROR((VLOOKUP(TableRBRanks31[[#This Row],[Player]],RB!B:O,7,FALSE)),"")</f>
        <v>2.5389056000000001</v>
      </c>
      <c r="X107" s="100">
        <f>IFERROR((VLOOKUP(TableRBRanks31[[#This Row],[Player]],RB!B:O,8,FALSE)),"")</f>
        <v>1.7848506367999999</v>
      </c>
      <c r="Y107" s="100">
        <f>IFERROR((VLOOKUP(TableRBRanks31[[#This Row],[Player]],RB!B:O,9,FALSE)),"")</f>
        <v>12.690288027648</v>
      </c>
      <c r="Z107" s="100">
        <f>IFERROR((VLOOKUP(TableRBRanks31[[#This Row],[Player]],RB!B:O,10,FALSE)),"")</f>
        <v>4.462126592E-2</v>
      </c>
      <c r="AA107" s="95">
        <f>IFERROR((IFERROR(INDEX(TableRBCalcPts[Custom],MATCH(TableRBRanks31[[#This Row],[RK]],TableRBCalcPts[RK],0)),"")),"")</f>
        <v>7.6840138446847996</v>
      </c>
      <c r="AB10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7" s="145">
        <v>106</v>
      </c>
      <c r="AE107" s="145" t="str">
        <f>IFERROR(INDEX(TableWRCalcPts[PLAYER],MATCH(TableWRRanks32[[#This Row],[RK]],TableWRCalcPts[RK],0)),"")</f>
        <v>De'Zhaun Stribling</v>
      </c>
      <c r="AF107" s="145" t="str">
        <f>IFERROR(INDEX(TableWRCalcPts[TM],MATCH(TableWRRanks32[[#This Row],[Player]],TableWRCalcPts[PLAYER],0)),"")</f>
        <v>SF</v>
      </c>
      <c r="AG107" s="145">
        <f>IFERROR(INDEX(TableWRCalcPts[BYE],MATCH(TableWRRanks32[[#This Row],[Player]],TableWRCalcPts[PLAYER],0)),"")</f>
        <v>8</v>
      </c>
      <c r="AH107" s="146">
        <f>IFERROR((VLOOKUP(TableWRRanks32[[#This Row],[Player]],WR!B:O,4,FALSE)),"")</f>
        <v>20.9125728</v>
      </c>
      <c r="AI107" s="146">
        <f>IFERROR((VLOOKUP(TableWRRanks32[[#This Row],[Player]],WR!B:O,5,FALSE)),"")</f>
        <v>0.17427144</v>
      </c>
      <c r="AJ107" s="146">
        <f>IFERROR((VLOOKUP(TableWRRanks32[[#This Row],[Player]],WR!B:O,6,FALSE)),"")</f>
        <v>33.82067808</v>
      </c>
      <c r="AK107" s="146">
        <f>IFERROR((VLOOKUP(TableWRRanks32[[#This Row],[Player]],WR!B:O,7,FALSE)),"")</f>
        <v>17.958780060480002</v>
      </c>
      <c r="AL107" s="146">
        <f>IFERROR((VLOOKUP(TableWRRanks32[[#This Row],[Player]],WR!B:O,8,FALSE)),"")</f>
        <v>253.93715005518723</v>
      </c>
      <c r="AM107" s="146">
        <f>IFERROR((VLOOKUP(TableWRRanks32[[#This Row],[Player]],WR!B:O,9,FALSE)),"")</f>
        <v>1.27507338429408</v>
      </c>
      <c r="AN107" s="147">
        <f>IFERROR((IFERROR(INDEX(TableWRCalcPts[Custom],MATCH(TableWRRanks32[[#This Row],[RK]],TableWRCalcPts[RK],0)),"")),"")</f>
        <v>45.1604312615232</v>
      </c>
      <c r="AO10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8" spans="16:53" x14ac:dyDescent="0.25">
      <c r="P108" s="58">
        <v>107</v>
      </c>
      <c r="Q108" s="58" t="str">
        <f>IFERROR(INDEX(TableRBCalcPts[PLAYER],MATCH(TableRBRanks31[[#This Row],[RK]],TableRBCalcPts[RK],0)),"")</f>
        <v>Dylan Laube</v>
      </c>
      <c r="R108" s="58" t="str">
        <f>IFERROR(INDEX(TableRBCalcPts[TM],MATCH(TableRBRanks31[[#This Row],[Player]],TableRBCalcPts[PLAYER],0)),"")</f>
        <v>LV</v>
      </c>
      <c r="S108" s="58">
        <f>IFERROR(INDEX(TableRBCalcPts[BYE],MATCH(TableRBRanks31[[#This Row],[Player]],TableRBCalcPts[PLAYER],0)),"")</f>
        <v>13</v>
      </c>
      <c r="T108" s="100">
        <f>IFERROR((VLOOKUP(TableRBRanks31[[#This Row],[Player]],RB!B:O,4,FALSE)),"")</f>
        <v>5.7660220799999991</v>
      </c>
      <c r="U108" s="100">
        <f>IFERROR((VLOOKUP(TableRBRanks31[[#This Row],[Player]],RB!B:O,5,FALSE)),"")</f>
        <v>21.737903241599998</v>
      </c>
      <c r="V108" s="100">
        <f>IFERROR((VLOOKUP(TableRBRanks31[[#This Row],[Player]],RB!B:O,6,FALSE)),"")</f>
        <v>0.11532044159999999</v>
      </c>
      <c r="W108" s="100">
        <f>IFERROR((VLOOKUP(TableRBRanks31[[#This Row],[Player]],RB!B:O,7,FALSE)),"")</f>
        <v>5.4429983999999996</v>
      </c>
      <c r="X108" s="100">
        <f>IFERROR((VLOOKUP(TableRBRanks31[[#This Row],[Player]],RB!B:O,8,FALSE)),"")</f>
        <v>3.7611118943999995</v>
      </c>
      <c r="Y108" s="100">
        <f>IFERROR((VLOOKUP(TableRBRanks31[[#This Row],[Player]],RB!B:O,9,FALSE)),"")</f>
        <v>23.896193281555075</v>
      </c>
      <c r="Z108" s="100">
        <f>IFERROR((VLOOKUP(TableRBRanks31[[#This Row],[Player]],RB!B:O,10,FALSE)),"")</f>
        <v>9.0259464708423331E-2</v>
      </c>
      <c r="AA108" s="95">
        <f>IFERROR((IFERROR(INDEX(TableRBCalcPts[Custom],MATCH(TableRBRanks31[[#This Row],[RK]],TableRBCalcPts[RK],0)),"")),"")</f>
        <v>7.6774450373660468</v>
      </c>
      <c r="AB10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8" s="145">
        <v>107</v>
      </c>
      <c r="AE108" s="145" t="str">
        <f>IFERROR(INDEX(TableWRCalcPts[PLAYER],MATCH(TableWRRanks32[[#This Row],[RK]],TableWRCalcPts[RK],0)),"")</f>
        <v>John Metchie</v>
      </c>
      <c r="AF108" s="145" t="str">
        <f>IFERROR(INDEX(TableWRCalcPts[TM],MATCH(TableWRRanks32[[#This Row],[Player]],TableWRCalcPts[PLAYER],0)),"")</f>
        <v>CAR</v>
      </c>
      <c r="AG108" s="145">
        <f>IFERROR(INDEX(TableWRCalcPts[BYE],MATCH(TableWRRanks32[[#This Row],[Player]],TableWRCalcPts[PLAYER],0)),"")</f>
        <v>5</v>
      </c>
      <c r="AH108" s="146">
        <f>IFERROR((VLOOKUP(TableWRRanks32[[#This Row],[Player]],WR!B:O,4,FALSE)),"")</f>
        <v>0</v>
      </c>
      <c r="AI108" s="146">
        <f>IFERROR((VLOOKUP(TableWRRanks32[[#This Row],[Player]],WR!B:O,5,FALSE)),"")</f>
        <v>0</v>
      </c>
      <c r="AJ108" s="146">
        <f>IFERROR((VLOOKUP(TableWRRanks32[[#This Row],[Player]],WR!B:O,6,FALSE)),"")</f>
        <v>33.384581999999995</v>
      </c>
      <c r="AK108" s="146">
        <f>IFERROR((VLOOKUP(TableWRRanks32[[#This Row],[Player]],WR!B:O,7,FALSE)),"")</f>
        <v>21.633209135999998</v>
      </c>
      <c r="AL108" s="146">
        <f>IFERROR((VLOOKUP(TableWRRanks32[[#This Row],[Player]],WR!B:O,8,FALSE)),"")</f>
        <v>229.15304067903736</v>
      </c>
      <c r="AM108" s="146">
        <f>IFERROR((VLOOKUP(TableWRRanks32[[#This Row],[Player]],WR!B:O,9,FALSE)),"")</f>
        <v>1.7306567308799998</v>
      </c>
      <c r="AN108" s="147">
        <f>IFERROR((IFERROR(INDEX(TableWRCalcPts[Custom],MATCH(TableWRRanks32[[#This Row],[RK]],TableWRCalcPts[RK],0)),"")),"")</f>
        <v>44.115849021183735</v>
      </c>
      <c r="AO10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9" spans="16:53" x14ac:dyDescent="0.25">
      <c r="P109" s="58">
        <v>108</v>
      </c>
      <c r="Q109" s="58" t="str">
        <f>IFERROR(INDEX(TableRBCalcPts[PLAYER],MATCH(TableRBRanks31[[#This Row],[RK]],TableRBCalcPts[RK],0)),"")</f>
        <v>Pierre Strong</v>
      </c>
      <c r="R109" s="58" t="str">
        <f>IFERROR(INDEX(TableRBCalcPts[TM],MATCH(TableRBRanks31[[#This Row],[Player]],TableRBCalcPts[PLAYER],0)),"")</f>
        <v>GB</v>
      </c>
      <c r="S109" s="58">
        <f>IFERROR(INDEX(TableRBCalcPts[BYE],MATCH(TableRBRanks31[[#This Row],[Player]],TableRBCalcPts[PLAYER],0)),"")</f>
        <v>11</v>
      </c>
      <c r="T109" s="100">
        <f>IFERROR((VLOOKUP(TableRBRanks31[[#This Row],[Player]],RB!B:O,4,FALSE)),"")</f>
        <v>6.1309466399999994</v>
      </c>
      <c r="U109" s="100">
        <f>IFERROR((VLOOKUP(TableRBRanks31[[#This Row],[Player]],RB!B:O,5,FALSE)),"")</f>
        <v>23.537363195570531</v>
      </c>
      <c r="V109" s="100">
        <f>IFERROR((VLOOKUP(TableRBRanks31[[#This Row],[Player]],RB!B:O,6,FALSE)),"")</f>
        <v>0.153273666</v>
      </c>
      <c r="W109" s="100">
        <f>IFERROR((VLOOKUP(TableRBRanks31[[#This Row],[Player]],RB!B:O,7,FALSE)),"")</f>
        <v>5.2177760804020092</v>
      </c>
      <c r="X109" s="100">
        <f>IFERROR((VLOOKUP(TableRBRanks31[[#This Row],[Player]],RB!B:O,8,FALSE)),"")</f>
        <v>0</v>
      </c>
      <c r="Y109" s="100">
        <f>IFERROR((VLOOKUP(TableRBRanks31[[#This Row],[Player]],RB!B:O,9,FALSE)),"")</f>
        <v>0</v>
      </c>
      <c r="Z109" s="100">
        <f>IFERROR((VLOOKUP(TableRBRanks31[[#This Row],[Player]],RB!B:O,10,FALSE)),"")</f>
        <v>0</v>
      </c>
      <c r="AA109" s="95">
        <f>IFERROR((IFERROR(INDEX(TableRBCalcPts[Custom],MATCH(TableRBRanks31[[#This Row],[RK]],TableRBCalcPts[RK],0)),"")),"")</f>
        <v>3.2733783155570535</v>
      </c>
      <c r="AB10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9" s="145">
        <v>108</v>
      </c>
      <c r="AE109" s="145" t="str">
        <f>IFERROR(INDEX(TableWRCalcPts[PLAYER],MATCH(TableWRRanks32[[#This Row],[RK]],TableWRCalcPts[RK],0)),"")</f>
        <v>Mack Hollins</v>
      </c>
      <c r="AF109" s="145" t="str">
        <f>IFERROR(INDEX(TableWRCalcPts[TM],MATCH(TableWRRanks32[[#This Row],[Player]],TableWRCalcPts[PLAYER],0)),"")</f>
        <v>NE</v>
      </c>
      <c r="AG109" s="145">
        <f>IFERROR(INDEX(TableWRCalcPts[BYE],MATCH(TableWRRanks32[[#This Row],[Player]],TableWRCalcPts[PLAYER],0)),"")</f>
        <v>11</v>
      </c>
      <c r="AH109" s="146">
        <f>IFERROR((VLOOKUP(TableWRRanks32[[#This Row],[Player]],WR!B:O,4,FALSE)),"")</f>
        <v>6.6663029999999992</v>
      </c>
      <c r="AI109" s="146">
        <f>IFERROR((VLOOKUP(TableWRRanks32[[#This Row],[Player]],WR!B:O,5,FALSE)),"")</f>
        <v>1.5554706999999999E-2</v>
      </c>
      <c r="AJ109" s="146">
        <f>IFERROR((VLOOKUP(TableWRRanks32[[#This Row],[Player]],WR!B:O,6,FALSE)),"")</f>
        <v>27.814369799999984</v>
      </c>
      <c r="AK109" s="146">
        <f>IFERROR((VLOOKUP(TableWRRanks32[[#This Row],[Player]],WR!B:O,7,FALSE)),"")</f>
        <v>19.887274406999989</v>
      </c>
      <c r="AL109" s="146">
        <f>IFERROR((VLOOKUP(TableWRRanks32[[#This Row],[Player]],WR!B:O,8,FALSE)),"")</f>
        <v>232.33389638627654</v>
      </c>
      <c r="AM109" s="146">
        <f>IFERROR((VLOOKUP(TableWRRanks32[[#This Row],[Player]],WR!B:O,9,FALSE)),"")</f>
        <v>1.4119964828969991</v>
      </c>
      <c r="AN109" s="147">
        <f>IFERROR((IFERROR(INDEX(TableWRCalcPts[Custom],MATCH(TableWRRanks32[[#This Row],[RK]],TableWRCalcPts[RK],0)),"")),"")</f>
        <v>42.408964281509647</v>
      </c>
      <c r="AO10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0" spans="16:53" x14ac:dyDescent="0.25">
      <c r="P110" s="58">
        <v>109</v>
      </c>
      <c r="Q110" s="58" t="str">
        <f>IFERROR(INDEX(TableRBCalcPts[PLAYER],MATCH(TableRBRanks31[[#This Row],[RK]],TableRBCalcPts[RK],0)),"")</f>
        <v/>
      </c>
      <c r="R110" s="58" t="str">
        <f>IFERROR(INDEX(TableRBCalcPts[TM],MATCH(TableRBRanks31[[#This Row],[Player]],TableRBCalcPts[PLAYER],0)),"")</f>
        <v/>
      </c>
      <c r="S110" s="58" t="str">
        <f>IFERROR(INDEX(TableRBCalcPts[BYE],MATCH(TableRBRanks31[[#This Row],[Player]],TableRBCalcPts[PLAYER],0)),"")</f>
        <v/>
      </c>
      <c r="T110" s="100" t="str">
        <f>IFERROR((VLOOKUP(TableRBRanks31[[#This Row],[Player]],RB!B:O,4,FALSE)),"")</f>
        <v/>
      </c>
      <c r="U110" s="100" t="str">
        <f>IFERROR((VLOOKUP(TableRBRanks31[[#This Row],[Player]],RB!B:O,5,FALSE)),"")</f>
        <v/>
      </c>
      <c r="V110" s="100" t="str">
        <f>IFERROR((VLOOKUP(TableRBRanks31[[#This Row],[Player]],RB!B:O,6,FALSE)),"")</f>
        <v/>
      </c>
      <c r="W110" s="100" t="str">
        <f>IFERROR((VLOOKUP(TableRBRanks31[[#This Row],[Player]],RB!B:O,7,FALSE)),"")</f>
        <v/>
      </c>
      <c r="X110" s="100" t="str">
        <f>IFERROR((VLOOKUP(TableRBRanks31[[#This Row],[Player]],RB!B:O,8,FALSE)),"")</f>
        <v/>
      </c>
      <c r="Y110" s="100" t="str">
        <f>IFERROR((VLOOKUP(TableRBRanks31[[#This Row],[Player]],RB!B:O,9,FALSE)),"")</f>
        <v/>
      </c>
      <c r="Z110" s="100" t="str">
        <f>IFERROR((VLOOKUP(TableRBRanks31[[#This Row],[Player]],RB!B:O,10,FALSE)),"")</f>
        <v/>
      </c>
      <c r="AA110" s="95" t="str">
        <f>IFERROR((IFERROR(INDEX(TableRBCalcPts[Custom],MATCH(TableRBRanks31[[#This Row],[RK]],TableRBCalcPts[RK],0)),"")),"")</f>
        <v/>
      </c>
      <c r="AB11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0" s="145">
        <v>109</v>
      </c>
      <c r="AE110" s="145" t="str">
        <f>IFERROR(INDEX(TableWRCalcPts[PLAYER],MATCH(TableWRRanks32[[#This Row],[RK]],TableWRCalcPts[RK],0)),"")</f>
        <v>Elic Ayomanor</v>
      </c>
      <c r="AF110" s="145" t="str">
        <f>IFERROR(INDEX(TableWRCalcPts[TM],MATCH(TableWRRanks32[[#This Row],[Player]],TableWRCalcPts[PLAYER],0)),"")</f>
        <v>TEN</v>
      </c>
      <c r="AG110" s="145">
        <f>IFERROR(INDEX(TableWRCalcPts[BYE],MATCH(TableWRRanks32[[#This Row],[Player]],TableWRCalcPts[PLAYER],0)),"")</f>
        <v>9</v>
      </c>
      <c r="AH110" s="146">
        <f>IFERROR((VLOOKUP(TableWRRanks32[[#This Row],[Player]],WR!B:O,4,FALSE)),"")</f>
        <v>0</v>
      </c>
      <c r="AI110" s="146">
        <f>IFERROR((VLOOKUP(TableWRRanks32[[#This Row],[Player]],WR!B:O,5,FALSE)),"")</f>
        <v>0</v>
      </c>
      <c r="AJ110" s="146">
        <f>IFERROR((VLOOKUP(TableWRRanks32[[#This Row],[Player]],WR!B:O,6,FALSE)),"")</f>
        <v>29.658908160000006</v>
      </c>
      <c r="AK110" s="146">
        <f>IFERROR((VLOOKUP(TableWRRanks32[[#This Row],[Player]],WR!B:O,7,FALSE)),"")</f>
        <v>17.943639436800002</v>
      </c>
      <c r="AL110" s="146">
        <f>IFERROR((VLOOKUP(TableWRRanks32[[#This Row],[Player]],WR!B:O,8,FALSE)),"")</f>
        <v>239.54758648128001</v>
      </c>
      <c r="AM110" s="146">
        <f>IFERROR((VLOOKUP(TableWRRanks32[[#This Row],[Player]],WR!B:O,9,FALSE)),"")</f>
        <v>1.5610966310016001</v>
      </c>
      <c r="AN110" s="147">
        <f>IFERROR((IFERROR(INDEX(TableWRCalcPts[Custom],MATCH(TableWRRanks32[[#This Row],[RK]],TableWRCalcPts[RK],0)),"")),"")</f>
        <v>42.293158152537607</v>
      </c>
      <c r="AO1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1" spans="16:53" x14ac:dyDescent="0.25">
      <c r="P111" s="58">
        <v>110</v>
      </c>
      <c r="Q111" s="58" t="str">
        <f>IFERROR(INDEX(TableRBCalcPts[PLAYER],MATCH(TableRBRanks31[[#This Row],[RK]],TableRBCalcPts[RK],0)),"")</f>
        <v/>
      </c>
      <c r="R111" s="58" t="str">
        <f>IFERROR(INDEX(TableRBCalcPts[TM],MATCH(TableRBRanks31[[#This Row],[Player]],TableRBCalcPts[PLAYER],0)),"")</f>
        <v/>
      </c>
      <c r="S111" s="58" t="str">
        <f>IFERROR(INDEX(TableRBCalcPts[BYE],MATCH(TableRBRanks31[[#This Row],[Player]],TableRBCalcPts[PLAYER],0)),"")</f>
        <v/>
      </c>
      <c r="T111" s="100" t="str">
        <f>IFERROR((VLOOKUP(TableRBRanks31[[#This Row],[Player]],RB!B:O,4,FALSE)),"")</f>
        <v/>
      </c>
      <c r="U111" s="100" t="str">
        <f>IFERROR((VLOOKUP(TableRBRanks31[[#This Row],[Player]],RB!B:O,5,FALSE)),"")</f>
        <v/>
      </c>
      <c r="V111" s="100" t="str">
        <f>IFERROR((VLOOKUP(TableRBRanks31[[#This Row],[Player]],RB!B:O,6,FALSE)),"")</f>
        <v/>
      </c>
      <c r="W111" s="100" t="str">
        <f>IFERROR((VLOOKUP(TableRBRanks31[[#This Row],[Player]],RB!B:O,7,FALSE)),"")</f>
        <v/>
      </c>
      <c r="X111" s="100" t="str">
        <f>IFERROR((VLOOKUP(TableRBRanks31[[#This Row],[Player]],RB!B:O,8,FALSE)),"")</f>
        <v/>
      </c>
      <c r="Y111" s="100" t="str">
        <f>IFERROR((VLOOKUP(TableRBRanks31[[#This Row],[Player]],RB!B:O,9,FALSE)),"")</f>
        <v/>
      </c>
      <c r="Z111" s="100" t="str">
        <f>IFERROR((VLOOKUP(TableRBRanks31[[#This Row],[Player]],RB!B:O,10,FALSE)),"")</f>
        <v/>
      </c>
      <c r="AA111" s="95" t="str">
        <f>IFERROR((IFERROR(INDEX(TableRBCalcPts[Custom],MATCH(TableRBRanks31[[#This Row],[RK]],TableRBCalcPts[RK],0)),"")),"")</f>
        <v/>
      </c>
      <c r="AB11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1" s="145">
        <v>110</v>
      </c>
      <c r="AE111" s="145" t="str">
        <f>IFERROR(INDEX(TableWRCalcPts[PLAYER],MATCH(TableWRRanks32[[#This Row],[RK]],TableWRCalcPts[RK],0)),"")</f>
        <v>Kalif Raymond</v>
      </c>
      <c r="AF111" s="145" t="str">
        <f>IFERROR(INDEX(TableWRCalcPts[TM],MATCH(TableWRRanks32[[#This Row],[Player]],TableWRCalcPts[PLAYER],0)),"")</f>
        <v>CHI</v>
      </c>
      <c r="AG111" s="145">
        <f>IFERROR(INDEX(TableWRCalcPts[BYE],MATCH(TableWRRanks32[[#This Row],[Player]],TableWRCalcPts[PLAYER],0)),"")</f>
        <v>10</v>
      </c>
      <c r="AH111" s="146">
        <f>IFERROR((VLOOKUP(TableWRRanks32[[#This Row],[Player]],WR!B:O,4,FALSE)),"")</f>
        <v>14.529662933333332</v>
      </c>
      <c r="AI111" s="146">
        <f>IFERROR((VLOOKUP(TableWRRanks32[[#This Row],[Player]],WR!B:O,5,FALSE)),"")</f>
        <v>2.5945826666666665E-2</v>
      </c>
      <c r="AJ111" s="146">
        <f>IFERROR((VLOOKUP(TableWRRanks32[[#This Row],[Player]],WR!B:O,6,FALSE)),"")</f>
        <v>36.091847680000001</v>
      </c>
      <c r="AK111" s="146">
        <f>IFERROR((VLOOKUP(TableWRRanks32[[#This Row],[Player]],WR!B:O,7,FALSE)),"")</f>
        <v>20.283618396160001</v>
      </c>
      <c r="AL111" s="146">
        <f>IFERROR((VLOOKUP(TableWRRanks32[[#This Row],[Player]],WR!B:O,8,FALSE)),"")</f>
        <v>224.53965564549122</v>
      </c>
      <c r="AM111" s="146">
        <f>IFERROR((VLOOKUP(TableWRRanks32[[#This Row],[Player]],WR!B:O,9,FALSE)),"")</f>
        <v>1.25758434056192</v>
      </c>
      <c r="AN111" s="147">
        <f>IFERROR((IFERROR(INDEX(TableWRCalcPts[Custom],MATCH(TableWRRanks32[[#This Row],[RK]],TableWRCalcPts[RK],0)),"")),"")</f>
        <v>41.749922059333976</v>
      </c>
      <c r="AO1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2" spans="16:53" x14ac:dyDescent="0.25">
      <c r="P112" s="58">
        <v>111</v>
      </c>
      <c r="Q112" s="58" t="str">
        <f>IFERROR(INDEX(TableRBCalcPts[PLAYER],MATCH(TableRBRanks31[[#This Row],[RK]],TableRBCalcPts[RK],0)),"")</f>
        <v/>
      </c>
      <c r="R112" s="58" t="str">
        <f>IFERROR(INDEX(TableRBCalcPts[TM],MATCH(TableRBRanks31[[#This Row],[Player]],TableRBCalcPts[PLAYER],0)),"")</f>
        <v/>
      </c>
      <c r="S112" s="58" t="str">
        <f>IFERROR(INDEX(TableRBCalcPts[BYE],MATCH(TableRBRanks31[[#This Row],[Player]],TableRBCalcPts[PLAYER],0)),"")</f>
        <v/>
      </c>
      <c r="T112" s="100" t="str">
        <f>IFERROR((VLOOKUP(TableRBRanks31[[#This Row],[Player]],RB!B:O,4,FALSE)),"")</f>
        <v/>
      </c>
      <c r="U112" s="100" t="str">
        <f>IFERROR((VLOOKUP(TableRBRanks31[[#This Row],[Player]],RB!B:O,5,FALSE)),"")</f>
        <v/>
      </c>
      <c r="V112" s="100" t="str">
        <f>IFERROR((VLOOKUP(TableRBRanks31[[#This Row],[Player]],RB!B:O,6,FALSE)),"")</f>
        <v/>
      </c>
      <c r="W112" s="100" t="str">
        <f>IFERROR((VLOOKUP(TableRBRanks31[[#This Row],[Player]],RB!B:O,7,FALSE)),"")</f>
        <v/>
      </c>
      <c r="X112" s="100" t="str">
        <f>IFERROR((VLOOKUP(TableRBRanks31[[#This Row],[Player]],RB!B:O,8,FALSE)),"")</f>
        <v/>
      </c>
      <c r="Y112" s="100" t="str">
        <f>IFERROR((VLOOKUP(TableRBRanks31[[#This Row],[Player]],RB!B:O,9,FALSE)),"")</f>
        <v/>
      </c>
      <c r="Z112" s="100" t="str">
        <f>IFERROR((VLOOKUP(TableRBRanks31[[#This Row],[Player]],RB!B:O,10,FALSE)),"")</f>
        <v/>
      </c>
      <c r="AA112" s="95" t="str">
        <f>IFERROR((IFERROR(INDEX(TableRBCalcPts[Custom],MATCH(TableRBRanks31[[#This Row],[RK]],TableRBCalcPts[RK],0)),"")),"")</f>
        <v/>
      </c>
      <c r="AB11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2" s="145">
        <v>111</v>
      </c>
      <c r="AE112" s="145" t="str">
        <f>IFERROR(INDEX(TableWRCalcPts[PLAYER],MATCH(TableWRRanks32[[#This Row],[RK]],TableWRCalcPts[RK],0)),"")</f>
        <v>Devontez Walker</v>
      </c>
      <c r="AF112" s="145" t="str">
        <f>IFERROR(INDEX(TableWRCalcPts[TM],MATCH(TableWRRanks32[[#This Row],[Player]],TableWRCalcPts[PLAYER],0)),"")</f>
        <v>BAL</v>
      </c>
      <c r="AG112" s="145">
        <f>IFERROR(INDEX(TableWRCalcPts[BYE],MATCH(TableWRRanks32[[#This Row],[Player]],TableWRCalcPts[PLAYER],0)),"")</f>
        <v>13</v>
      </c>
      <c r="AH112" s="146">
        <f>IFERROR((VLOOKUP(TableWRRanks32[[#This Row],[Player]],WR!B:O,4,FALSE)),"")</f>
        <v>0</v>
      </c>
      <c r="AI112" s="146">
        <f>IFERROR((VLOOKUP(TableWRRanks32[[#This Row],[Player]],WR!B:O,5,FALSE)),"")</f>
        <v>0</v>
      </c>
      <c r="AJ112" s="146">
        <f>IFERROR((VLOOKUP(TableWRRanks32[[#This Row],[Player]],WR!B:O,6,FALSE)),"")</f>
        <v>22.558126079999997</v>
      </c>
      <c r="AK112" s="146">
        <f>IFERROR((VLOOKUP(TableWRRanks32[[#This Row],[Player]],WR!B:O,7,FALSE)),"")</f>
        <v>15.22556542338844</v>
      </c>
      <c r="AL112" s="146">
        <f>IFERROR((VLOOKUP(TableWRRanks32[[#This Row],[Player]],WR!B:O,8,FALSE)),"")</f>
        <v>230.46852058953951</v>
      </c>
      <c r="AM112" s="146">
        <f>IFERROR((VLOOKUP(TableWRRanks32[[#This Row],[Player]],WR!B:O,9,FALSE)),"")</f>
        <v>1.6748121965727285</v>
      </c>
      <c r="AN112" s="147">
        <f>IFERROR((IFERROR(INDEX(TableWRCalcPts[Custom],MATCH(TableWRRanks32[[#This Row],[RK]],TableWRCalcPts[RK],0)),"")),"")</f>
        <v>40.708507950084538</v>
      </c>
      <c r="AO1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3" spans="16:41" x14ac:dyDescent="0.25">
      <c r="P113" s="58">
        <v>112</v>
      </c>
      <c r="Q113" s="58" t="str">
        <f>IFERROR(INDEX(TableRBCalcPts[PLAYER],MATCH(TableRBRanks31[[#This Row],[RK]],TableRBCalcPts[RK],0)),"")</f>
        <v/>
      </c>
      <c r="R113" s="58" t="str">
        <f>IFERROR(INDEX(TableRBCalcPts[TM],MATCH(TableRBRanks31[[#This Row],[Player]],TableRBCalcPts[PLAYER],0)),"")</f>
        <v/>
      </c>
      <c r="S113" s="58" t="str">
        <f>IFERROR(INDEX(TableRBCalcPts[BYE],MATCH(TableRBRanks31[[#This Row],[Player]],TableRBCalcPts[PLAYER],0)),"")</f>
        <v/>
      </c>
      <c r="T113" s="100" t="str">
        <f>IFERROR((VLOOKUP(TableRBRanks31[[#This Row],[Player]],RB!B:O,4,FALSE)),"")</f>
        <v/>
      </c>
      <c r="U113" s="100" t="str">
        <f>IFERROR((VLOOKUP(TableRBRanks31[[#This Row],[Player]],RB!B:O,5,FALSE)),"")</f>
        <v/>
      </c>
      <c r="V113" s="100" t="str">
        <f>IFERROR((VLOOKUP(TableRBRanks31[[#This Row],[Player]],RB!B:O,6,FALSE)),"")</f>
        <v/>
      </c>
      <c r="W113" s="100" t="str">
        <f>IFERROR((VLOOKUP(TableRBRanks31[[#This Row],[Player]],RB!B:O,7,FALSE)),"")</f>
        <v/>
      </c>
      <c r="X113" s="100" t="str">
        <f>IFERROR((VLOOKUP(TableRBRanks31[[#This Row],[Player]],RB!B:O,8,FALSE)),"")</f>
        <v/>
      </c>
      <c r="Y113" s="100" t="str">
        <f>IFERROR((VLOOKUP(TableRBRanks31[[#This Row],[Player]],RB!B:O,9,FALSE)),"")</f>
        <v/>
      </c>
      <c r="Z113" s="100" t="str">
        <f>IFERROR((VLOOKUP(TableRBRanks31[[#This Row],[Player]],RB!B:O,10,FALSE)),"")</f>
        <v/>
      </c>
      <c r="AA113" s="95" t="str">
        <f>IFERROR((IFERROR(INDEX(TableRBCalcPts[Custom],MATCH(TableRBRanks31[[#This Row],[RK]],TableRBCalcPts[RK],0)),"")),"")</f>
        <v/>
      </c>
      <c r="AB11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3" s="145">
        <v>112</v>
      </c>
      <c r="AE113" s="145" t="str">
        <f>IFERROR(INDEX(TableWRCalcPts[PLAYER],MATCH(TableWRRanks32[[#This Row],[RK]],TableWRCalcPts[RK],0)),"")</f>
        <v>Tory Horton</v>
      </c>
      <c r="AF113" s="145" t="str">
        <f>IFERROR(INDEX(TableWRCalcPts[TM],MATCH(TableWRRanks32[[#This Row],[Player]],TableWRCalcPts[PLAYER],0)),"")</f>
        <v>SEA</v>
      </c>
      <c r="AG113" s="145">
        <f>IFERROR(INDEX(TableWRCalcPts[BYE],MATCH(TableWRRanks32[[#This Row],[Player]],TableWRCalcPts[PLAYER],0)),"")</f>
        <v>11</v>
      </c>
      <c r="AH113" s="146">
        <f>IFERROR((VLOOKUP(TableWRRanks32[[#This Row],[Player]],WR!B:O,4,FALSE)),"")</f>
        <v>0</v>
      </c>
      <c r="AI113" s="146">
        <f>IFERROR((VLOOKUP(TableWRRanks32[[#This Row],[Player]],WR!B:O,5,FALSE)),"")</f>
        <v>0</v>
      </c>
      <c r="AJ113" s="146">
        <f>IFERROR((VLOOKUP(TableWRRanks32[[#This Row],[Player]],WR!B:O,6,FALSE)),"")</f>
        <v>31.293101280000002</v>
      </c>
      <c r="AK113" s="146">
        <f>IFERROR((VLOOKUP(TableWRRanks32[[#This Row],[Player]],WR!B:O,7,FALSE)),"")</f>
        <v>16.522757475840002</v>
      </c>
      <c r="AL113" s="146">
        <f>IFERROR((VLOOKUP(TableWRRanks32[[#This Row],[Player]],WR!B:O,8,FALSE)),"")</f>
        <v>212.48266113930242</v>
      </c>
      <c r="AM113" s="146">
        <f>IFERROR((VLOOKUP(TableWRRanks32[[#This Row],[Player]],WR!B:O,9,FALSE)),"")</f>
        <v>1.7018440200115201</v>
      </c>
      <c r="AN113" s="147">
        <f>IFERROR((IFERROR(INDEX(TableWRCalcPts[Custom],MATCH(TableWRRanks32[[#This Row],[RK]],TableWRCalcPts[RK],0)),"")),"")</f>
        <v>39.720708971919365</v>
      </c>
      <c r="AO1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4" spans="16:41" x14ac:dyDescent="0.25">
      <c r="P114" s="58">
        <v>113</v>
      </c>
      <c r="Q114" s="58" t="str">
        <f>IFERROR(INDEX(TableRBCalcPts[PLAYER],MATCH(TableRBRanks31[[#This Row],[RK]],TableRBCalcPts[RK],0)),"")</f>
        <v/>
      </c>
      <c r="R114" s="58" t="str">
        <f>IFERROR(INDEX(TableRBCalcPts[TM],MATCH(TableRBRanks31[[#This Row],[Player]],TableRBCalcPts[PLAYER],0)),"")</f>
        <v/>
      </c>
      <c r="S114" s="58" t="str">
        <f>IFERROR(INDEX(TableRBCalcPts[BYE],MATCH(TableRBRanks31[[#This Row],[Player]],TableRBCalcPts[PLAYER],0)),"")</f>
        <v/>
      </c>
      <c r="T114" s="100" t="str">
        <f>IFERROR((VLOOKUP(TableRBRanks31[[#This Row],[Player]],RB!B:O,4,FALSE)),"")</f>
        <v/>
      </c>
      <c r="U114" s="100" t="str">
        <f>IFERROR((VLOOKUP(TableRBRanks31[[#This Row],[Player]],RB!B:O,5,FALSE)),"")</f>
        <v/>
      </c>
      <c r="V114" s="100" t="str">
        <f>IFERROR((VLOOKUP(TableRBRanks31[[#This Row],[Player]],RB!B:O,6,FALSE)),"")</f>
        <v/>
      </c>
      <c r="W114" s="100" t="str">
        <f>IFERROR((VLOOKUP(TableRBRanks31[[#This Row],[Player]],RB!B:O,7,FALSE)),"")</f>
        <v/>
      </c>
      <c r="X114" s="100" t="str">
        <f>IFERROR((VLOOKUP(TableRBRanks31[[#This Row],[Player]],RB!B:O,8,FALSE)),"")</f>
        <v/>
      </c>
      <c r="Y114" s="100" t="str">
        <f>IFERROR((VLOOKUP(TableRBRanks31[[#This Row],[Player]],RB!B:O,9,FALSE)),"")</f>
        <v/>
      </c>
      <c r="Z114" s="100" t="str">
        <f>IFERROR((VLOOKUP(TableRBRanks31[[#This Row],[Player]],RB!B:O,10,FALSE)),"")</f>
        <v/>
      </c>
      <c r="AA114" s="95" t="str">
        <f>IFERROR((IFERROR(INDEX(TableRBCalcPts[Custom],MATCH(TableRBRanks31[[#This Row],[RK]],TableRBCalcPts[RK],0)),"")),"")</f>
        <v/>
      </c>
      <c r="AB11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4" s="145">
        <v>113</v>
      </c>
      <c r="AE114" s="145" t="str">
        <f>IFERROR(INDEX(TableWRCalcPts[PLAYER],MATCH(TableWRRanks32[[#This Row],[RK]],TableWRCalcPts[RK],0)),"")</f>
        <v>Konata Mumpfield</v>
      </c>
      <c r="AF114" s="145" t="str">
        <f>IFERROR(INDEX(TableWRCalcPts[TM],MATCH(TableWRRanks32[[#This Row],[Player]],TableWRCalcPts[PLAYER],0)),"")</f>
        <v>LAR</v>
      </c>
      <c r="AG114" s="145">
        <f>IFERROR(INDEX(TableWRCalcPts[BYE],MATCH(TableWRRanks32[[#This Row],[Player]],TableWRCalcPts[PLAYER],0)),"")</f>
        <v>11</v>
      </c>
      <c r="AH114" s="146">
        <f>IFERROR((VLOOKUP(TableWRRanks32[[#This Row],[Player]],WR!B:O,4,FALSE)),"")</f>
        <v>0</v>
      </c>
      <c r="AI114" s="146">
        <f>IFERROR((VLOOKUP(TableWRRanks32[[#This Row],[Player]],WR!B:O,5,FALSE)),"")</f>
        <v>0</v>
      </c>
      <c r="AJ114" s="146">
        <f>IFERROR((VLOOKUP(TableWRRanks32[[#This Row],[Player]],WR!B:O,6,FALSE)),"")</f>
        <v>29.403825654608088</v>
      </c>
      <c r="AK114" s="146">
        <f>IFERROR((VLOOKUP(TableWRRanks32[[#This Row],[Player]],WR!B:O,7,FALSE)),"")</f>
        <v>19.847582316860461</v>
      </c>
      <c r="AL114" s="146">
        <f>IFERROR((VLOOKUP(TableWRRanks32[[#This Row],[Player]],WR!B:O,8,FALSE)),"")</f>
        <v>214.10706797559692</v>
      </c>
      <c r="AM114" s="146">
        <f>IFERROR((VLOOKUP(TableWRRanks32[[#This Row],[Player]],WR!B:O,9,FALSE)),"")</f>
        <v>1.3893307621802324</v>
      </c>
      <c r="AN114" s="147">
        <f>IFERROR((IFERROR(INDEX(TableWRCalcPts[Custom],MATCH(TableWRRanks32[[#This Row],[RK]],TableWRCalcPts[RK],0)),"")),"")</f>
        <v>39.670482529071322</v>
      </c>
      <c r="AO1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5" spans="16:41" x14ac:dyDescent="0.25">
      <c r="P115" s="58">
        <v>114</v>
      </c>
      <c r="Q115" s="58" t="str">
        <f>IFERROR(INDEX(TableRBCalcPts[PLAYER],MATCH(TableRBRanks31[[#This Row],[RK]],TableRBCalcPts[RK],0)),"")</f>
        <v/>
      </c>
      <c r="R115" s="58" t="str">
        <f>IFERROR(INDEX(TableRBCalcPts[TM],MATCH(TableRBRanks31[[#This Row],[Player]],TableRBCalcPts[PLAYER],0)),"")</f>
        <v/>
      </c>
      <c r="S115" s="58" t="str">
        <f>IFERROR(INDEX(TableRBCalcPts[BYE],MATCH(TableRBRanks31[[#This Row],[Player]],TableRBCalcPts[PLAYER],0)),"")</f>
        <v/>
      </c>
      <c r="T115" s="100" t="str">
        <f>IFERROR((VLOOKUP(TableRBRanks31[[#This Row],[Player]],RB!B:O,4,FALSE)),"")</f>
        <v/>
      </c>
      <c r="U115" s="100" t="str">
        <f>IFERROR((VLOOKUP(TableRBRanks31[[#This Row],[Player]],RB!B:O,5,FALSE)),"")</f>
        <v/>
      </c>
      <c r="V115" s="100" t="str">
        <f>IFERROR((VLOOKUP(TableRBRanks31[[#This Row],[Player]],RB!B:O,6,FALSE)),"")</f>
        <v/>
      </c>
      <c r="W115" s="100" t="str">
        <f>IFERROR((VLOOKUP(TableRBRanks31[[#This Row],[Player]],RB!B:O,7,FALSE)),"")</f>
        <v/>
      </c>
      <c r="X115" s="100" t="str">
        <f>IFERROR((VLOOKUP(TableRBRanks31[[#This Row],[Player]],RB!B:O,8,FALSE)),"")</f>
        <v/>
      </c>
      <c r="Y115" s="100" t="str">
        <f>IFERROR((VLOOKUP(TableRBRanks31[[#This Row],[Player]],RB!B:O,9,FALSE)),"")</f>
        <v/>
      </c>
      <c r="Z115" s="100" t="str">
        <f>IFERROR((VLOOKUP(TableRBRanks31[[#This Row],[Player]],RB!B:O,10,FALSE)),"")</f>
        <v/>
      </c>
      <c r="AA115" s="95" t="str">
        <f>IFERROR((IFERROR(INDEX(TableRBCalcPts[Custom],MATCH(TableRBRanks31[[#This Row],[RK]],TableRBCalcPts[RK],0)),"")),"")</f>
        <v/>
      </c>
      <c r="AB11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5" s="145">
        <v>114</v>
      </c>
      <c r="AE115" s="145" t="str">
        <f>IFERROR(INDEX(TableWRCalcPts[PLAYER],MATCH(TableWRRanks32[[#This Row],[RK]],TableWRCalcPts[RK],0)),"")</f>
        <v>Treylon Burks</v>
      </c>
      <c r="AF115" s="145" t="str">
        <f>IFERROR(INDEX(TableWRCalcPts[TM],MATCH(TableWRRanks32[[#This Row],[Player]],TableWRCalcPts[PLAYER],0)),"")</f>
        <v>WSH</v>
      </c>
      <c r="AG115" s="145">
        <f>IFERROR(INDEX(TableWRCalcPts[BYE],MATCH(TableWRRanks32[[#This Row],[Player]],TableWRCalcPts[PLAYER],0)),"")</f>
        <v>7</v>
      </c>
      <c r="AH115" s="146">
        <f>IFERROR((VLOOKUP(TableWRRanks32[[#This Row],[Player]],WR!B:O,4,FALSE)),"")</f>
        <v>0</v>
      </c>
      <c r="AI115" s="146">
        <f>IFERROR((VLOOKUP(TableWRRanks32[[#This Row],[Player]],WR!B:O,5,FALSE)),"")</f>
        <v>0</v>
      </c>
      <c r="AJ115" s="146">
        <f>IFERROR((VLOOKUP(TableWRRanks32[[#This Row],[Player]],WR!B:O,6,FALSE)),"")</f>
        <v>29.371519239999994</v>
      </c>
      <c r="AK115" s="146">
        <f>IFERROR((VLOOKUP(TableWRRanks32[[#This Row],[Player]],WR!B:O,7,FALSE)),"")</f>
        <v>18.063484332599995</v>
      </c>
      <c r="AL115" s="146">
        <f>IFERROR((VLOOKUP(TableWRRanks32[[#This Row],[Player]],WR!B:O,8,FALSE)),"")</f>
        <v>229.76752071067193</v>
      </c>
      <c r="AM115" s="146">
        <f>IFERROR((VLOOKUP(TableWRRanks32[[#This Row],[Player]],WR!B:O,9,FALSE)),"")</f>
        <v>1.2473787627294641</v>
      </c>
      <c r="AN115" s="147">
        <f>IFERROR((IFERROR(INDEX(TableWRCalcPts[Custom],MATCH(TableWRRanks32[[#This Row],[RK]],TableWRCalcPts[RK],0)),"")),"")</f>
        <v>39.492766813743984</v>
      </c>
      <c r="AO1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6" spans="16:41" x14ac:dyDescent="0.25">
      <c r="P116" s="58">
        <v>115</v>
      </c>
      <c r="Q116" s="58" t="str">
        <f>IFERROR(INDEX(TableRBCalcPts[PLAYER],MATCH(TableRBRanks31[[#This Row],[RK]],TableRBCalcPts[RK],0)),"")</f>
        <v/>
      </c>
      <c r="R116" s="58" t="str">
        <f>IFERROR(INDEX(TableRBCalcPts[TM],MATCH(TableRBRanks31[[#This Row],[Player]],TableRBCalcPts[PLAYER],0)),"")</f>
        <v/>
      </c>
      <c r="S116" s="58" t="str">
        <f>IFERROR(INDEX(TableRBCalcPts[BYE],MATCH(TableRBRanks31[[#This Row],[Player]],TableRBCalcPts[PLAYER],0)),"")</f>
        <v/>
      </c>
      <c r="T116" s="100" t="str">
        <f>IFERROR((VLOOKUP(TableRBRanks31[[#This Row],[Player]],RB!B:O,4,FALSE)),"")</f>
        <v/>
      </c>
      <c r="U116" s="100" t="str">
        <f>IFERROR((VLOOKUP(TableRBRanks31[[#This Row],[Player]],RB!B:O,5,FALSE)),"")</f>
        <v/>
      </c>
      <c r="V116" s="100" t="str">
        <f>IFERROR((VLOOKUP(TableRBRanks31[[#This Row],[Player]],RB!B:O,6,FALSE)),"")</f>
        <v/>
      </c>
      <c r="W116" s="100" t="str">
        <f>IFERROR((VLOOKUP(TableRBRanks31[[#This Row],[Player]],RB!B:O,7,FALSE)),"")</f>
        <v/>
      </c>
      <c r="X116" s="100" t="str">
        <f>IFERROR((VLOOKUP(TableRBRanks31[[#This Row],[Player]],RB!B:O,8,FALSE)),"")</f>
        <v/>
      </c>
      <c r="Y116" s="100" t="str">
        <f>IFERROR((VLOOKUP(TableRBRanks31[[#This Row],[Player]],RB!B:O,9,FALSE)),"")</f>
        <v/>
      </c>
      <c r="Z116" s="100" t="str">
        <f>IFERROR((VLOOKUP(TableRBRanks31[[#This Row],[Player]],RB!B:O,10,FALSE)),"")</f>
        <v/>
      </c>
      <c r="AA116" s="95" t="str">
        <f>IFERROR((IFERROR(INDEX(TableRBCalcPts[Custom],MATCH(TableRBRanks31[[#This Row],[RK]],TableRBCalcPts[RK],0)),"")),"")</f>
        <v/>
      </c>
      <c r="AB11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6" s="145">
        <v>115</v>
      </c>
      <c r="AE116" s="145" t="str">
        <f>IFERROR(INDEX(TableWRCalcPts[PLAYER],MATCH(TableWRRanks32[[#This Row],[RK]],TableWRCalcPts[RK],0)),"")</f>
        <v>DeMario Douglas</v>
      </c>
      <c r="AF116" s="145" t="str">
        <f>IFERROR(INDEX(TableWRCalcPts[TM],MATCH(TableWRRanks32[[#This Row],[Player]],TableWRCalcPts[PLAYER],0)),"")</f>
        <v>NE</v>
      </c>
      <c r="AG116" s="145">
        <f>IFERROR(INDEX(TableWRCalcPts[BYE],MATCH(TableWRRanks32[[#This Row],[Player]],TableWRCalcPts[PLAYER],0)),"")</f>
        <v>11</v>
      </c>
      <c r="AH116" s="146">
        <f>IFERROR((VLOOKUP(TableWRRanks32[[#This Row],[Player]],WR!B:O,4,FALSE)),"")</f>
        <v>0</v>
      </c>
      <c r="AI116" s="146">
        <f>IFERROR((VLOOKUP(TableWRRanks32[[#This Row],[Player]],WR!B:O,5,FALSE)),"")</f>
        <v>0</v>
      </c>
      <c r="AJ116" s="146">
        <f>IFERROR((VLOOKUP(TableWRRanks32[[#This Row],[Player]],WR!B:O,6,FALSE)),"")</f>
        <v>23.996711199999989</v>
      </c>
      <c r="AK116" s="146">
        <f>IFERROR((VLOOKUP(TableWRRanks32[[#This Row],[Player]],WR!B:O,7,FALSE)),"")</f>
        <v>18.069523533599991</v>
      </c>
      <c r="AL116" s="146">
        <f>IFERROR((VLOOKUP(TableWRRanks32[[#This Row],[Player]],WR!B:O,8,FALSE)),"")</f>
        <v>226.50154011703694</v>
      </c>
      <c r="AM116" s="146">
        <f>IFERROR((VLOOKUP(TableWRRanks32[[#This Row],[Player]],WR!B:O,9,FALSE)),"")</f>
        <v>1.3010056944191992</v>
      </c>
      <c r="AN116" s="147">
        <f>IFERROR((IFERROR(INDEX(TableWRCalcPts[Custom],MATCH(TableWRRanks32[[#This Row],[RK]],TableWRCalcPts[RK],0)),"")),"")</f>
        <v>39.490949945018883</v>
      </c>
      <c r="AO1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7" spans="16:41" x14ac:dyDescent="0.25">
      <c r="P117" s="58">
        <v>116</v>
      </c>
      <c r="Q117" s="58" t="str">
        <f>IFERROR(INDEX(TableRBCalcPts[PLAYER],MATCH(TableRBRanks31[[#This Row],[RK]],TableRBCalcPts[RK],0)),"")</f>
        <v/>
      </c>
      <c r="R117" s="58" t="str">
        <f>IFERROR(INDEX(TableRBCalcPts[TM],MATCH(TableRBRanks31[[#This Row],[Player]],TableRBCalcPts[PLAYER],0)),"")</f>
        <v/>
      </c>
      <c r="S117" s="58" t="str">
        <f>IFERROR(INDEX(TableRBCalcPts[BYE],MATCH(TableRBRanks31[[#This Row],[Player]],TableRBCalcPts[PLAYER],0)),"")</f>
        <v/>
      </c>
      <c r="T117" s="100" t="str">
        <f>IFERROR((VLOOKUP(TableRBRanks31[[#This Row],[Player]],RB!B:O,4,FALSE)),"")</f>
        <v/>
      </c>
      <c r="U117" s="100" t="str">
        <f>IFERROR((VLOOKUP(TableRBRanks31[[#This Row],[Player]],RB!B:O,5,FALSE)),"")</f>
        <v/>
      </c>
      <c r="V117" s="100" t="str">
        <f>IFERROR((VLOOKUP(TableRBRanks31[[#This Row],[Player]],RB!B:O,6,FALSE)),"")</f>
        <v/>
      </c>
      <c r="W117" s="100" t="str">
        <f>IFERROR((VLOOKUP(TableRBRanks31[[#This Row],[Player]],RB!B:O,7,FALSE)),"")</f>
        <v/>
      </c>
      <c r="X117" s="100" t="str">
        <f>IFERROR((VLOOKUP(TableRBRanks31[[#This Row],[Player]],RB!B:O,8,FALSE)),"")</f>
        <v/>
      </c>
      <c r="Y117" s="100" t="str">
        <f>IFERROR((VLOOKUP(TableRBRanks31[[#This Row],[Player]],RB!B:O,9,FALSE)),"")</f>
        <v/>
      </c>
      <c r="Z117" s="100" t="str">
        <f>IFERROR((VLOOKUP(TableRBRanks31[[#This Row],[Player]],RB!B:O,10,FALSE)),"")</f>
        <v/>
      </c>
      <c r="AA117" s="95" t="str">
        <f>IFERROR((IFERROR(INDEX(TableRBCalcPts[Custom],MATCH(TableRBRanks31[[#This Row],[RK]],TableRBCalcPts[RK],0)),"")),"")</f>
        <v/>
      </c>
      <c r="AB11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7" s="145">
        <v>116</v>
      </c>
      <c r="AE117" s="145" t="str">
        <f>IFERROR(INDEX(TableWRCalcPts[PLAYER],MATCH(TableWRRanks32[[#This Row],[RK]],TableWRCalcPts[RK],0)),"")</f>
        <v>Christian Kirk</v>
      </c>
      <c r="AF117" s="145" t="str">
        <f>IFERROR(INDEX(TableWRCalcPts[TM],MATCH(TableWRRanks32[[#This Row],[Player]],TableWRCalcPts[PLAYER],0)),"")</f>
        <v>SF</v>
      </c>
      <c r="AG117" s="145">
        <f>IFERROR(INDEX(TableWRCalcPts[BYE],MATCH(TableWRRanks32[[#This Row],[Player]],TableWRCalcPts[PLAYER],0)),"")</f>
        <v>8</v>
      </c>
      <c r="AH117" s="146">
        <f>IFERROR((VLOOKUP(TableWRRanks32[[#This Row],[Player]],WR!B:O,4,FALSE)),"")</f>
        <v>0</v>
      </c>
      <c r="AI117" s="146">
        <f>IFERROR((VLOOKUP(TableWRRanks32[[#This Row],[Player]],WR!B:O,5,FALSE)),"")</f>
        <v>0</v>
      </c>
      <c r="AJ117" s="146">
        <f>IFERROR((VLOOKUP(TableWRRanks32[[#This Row],[Player]],WR!B:O,6,FALSE)),"")</f>
        <v>28.989152640000004</v>
      </c>
      <c r="AK117" s="146">
        <f>IFERROR((VLOOKUP(TableWRRanks32[[#This Row],[Player]],WR!B:O,7,FALSE)),"")</f>
        <v>18.611035994880002</v>
      </c>
      <c r="AL117" s="146">
        <f>IFERROR((VLOOKUP(TableWRRanks32[[#This Row],[Player]],WR!B:O,8,FALSE)),"")</f>
        <v>217.72554363189559</v>
      </c>
      <c r="AM117" s="146">
        <f>IFERROR((VLOOKUP(TableWRRanks32[[#This Row],[Player]],WR!B:O,9,FALSE)),"")</f>
        <v>1.2655504476518402</v>
      </c>
      <c r="AN117" s="147">
        <f>IFERROR((IFERROR(INDEX(TableWRCalcPts[Custom],MATCH(TableWRRanks32[[#This Row],[RK]],TableWRCalcPts[RK],0)),"")),"")</f>
        <v>38.671375046540604</v>
      </c>
      <c r="AO1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8" spans="16:41" x14ac:dyDescent="0.25">
      <c r="P118" s="58">
        <v>117</v>
      </c>
      <c r="Q118" s="58" t="str">
        <f>IFERROR(INDEX(TableRBCalcPts[PLAYER],MATCH(TableRBRanks31[[#This Row],[RK]],TableRBCalcPts[RK],0)),"")</f>
        <v/>
      </c>
      <c r="R118" s="58" t="str">
        <f>IFERROR(INDEX(TableRBCalcPts[TM],MATCH(TableRBRanks31[[#This Row],[Player]],TableRBCalcPts[PLAYER],0)),"")</f>
        <v/>
      </c>
      <c r="S118" s="58" t="str">
        <f>IFERROR(INDEX(TableRBCalcPts[BYE],MATCH(TableRBRanks31[[#This Row],[Player]],TableRBCalcPts[PLAYER],0)),"")</f>
        <v/>
      </c>
      <c r="T118" s="100" t="str">
        <f>IFERROR((VLOOKUP(TableRBRanks31[[#This Row],[Player]],RB!B:O,4,FALSE)),"")</f>
        <v/>
      </c>
      <c r="U118" s="100" t="str">
        <f>IFERROR((VLOOKUP(TableRBRanks31[[#This Row],[Player]],RB!B:O,5,FALSE)),"")</f>
        <v/>
      </c>
      <c r="V118" s="100" t="str">
        <f>IFERROR((VLOOKUP(TableRBRanks31[[#This Row],[Player]],RB!B:O,6,FALSE)),"")</f>
        <v/>
      </c>
      <c r="W118" s="100" t="str">
        <f>IFERROR((VLOOKUP(TableRBRanks31[[#This Row],[Player]],RB!B:O,7,FALSE)),"")</f>
        <v/>
      </c>
      <c r="X118" s="100" t="str">
        <f>IFERROR((VLOOKUP(TableRBRanks31[[#This Row],[Player]],RB!B:O,8,FALSE)),"")</f>
        <v/>
      </c>
      <c r="Y118" s="100" t="str">
        <f>IFERROR((VLOOKUP(TableRBRanks31[[#This Row],[Player]],RB!B:O,9,FALSE)),"")</f>
        <v/>
      </c>
      <c r="Z118" s="100" t="str">
        <f>IFERROR((VLOOKUP(TableRBRanks31[[#This Row],[Player]],RB!B:O,10,FALSE)),"")</f>
        <v/>
      </c>
      <c r="AA118" s="95" t="str">
        <f>IFERROR((IFERROR(INDEX(TableRBCalcPts[Custom],MATCH(TableRBRanks31[[#This Row],[RK]],TableRBCalcPts[RK],0)),"")),"")</f>
        <v/>
      </c>
      <c r="AB11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8" s="145">
        <v>117</v>
      </c>
      <c r="AE118" s="145" t="str">
        <f>IFERROR(INDEX(TableWRCalcPts[PLAYER],MATCH(TableWRRanks32[[#This Row],[RK]],TableWRCalcPts[RK],0)),"")</f>
        <v>Joshua Palmer</v>
      </c>
      <c r="AF118" s="145" t="str">
        <f>IFERROR(INDEX(TableWRCalcPts[TM],MATCH(TableWRRanks32[[#This Row],[Player]],TableWRCalcPts[PLAYER],0)),"")</f>
        <v>BUF</v>
      </c>
      <c r="AG118" s="145">
        <f>IFERROR(INDEX(TableWRCalcPts[BYE],MATCH(TableWRRanks32[[#This Row],[Player]],TableWRCalcPts[PLAYER],0)),"")</f>
        <v>7</v>
      </c>
      <c r="AH118" s="146">
        <f>IFERROR((VLOOKUP(TableWRRanks32[[#This Row],[Player]],WR!B:O,4,FALSE)),"")</f>
        <v>0</v>
      </c>
      <c r="AI118" s="146">
        <f>IFERROR((VLOOKUP(TableWRRanks32[[#This Row],[Player]],WR!B:O,5,FALSE)),"")</f>
        <v>0</v>
      </c>
      <c r="AJ118" s="146">
        <f>IFERROR((VLOOKUP(TableWRRanks32[[#This Row],[Player]],WR!B:O,6,FALSE)),"")</f>
        <v>24.005550799999988</v>
      </c>
      <c r="AK118" s="146">
        <f>IFERROR((VLOOKUP(TableWRRanks32[[#This Row],[Player]],WR!B:O,7,FALSE)),"")</f>
        <v>16.251757891599993</v>
      </c>
      <c r="AL118" s="146">
        <f>IFERROR((VLOOKUP(TableWRRanks32[[#This Row],[Player]],WR!B:O,8,FALSE)),"")</f>
        <v>228.66223353481192</v>
      </c>
      <c r="AM118" s="146">
        <f>IFERROR((VLOOKUP(TableWRRanks32[[#This Row],[Player]],WR!B:O,9,FALSE)),"")</f>
        <v>1.0092661199777342</v>
      </c>
      <c r="AN118" s="147">
        <f>IFERROR((IFERROR(INDEX(TableWRCalcPts[Custom],MATCH(TableWRRanks32[[#This Row],[RK]],TableWRCalcPts[RK],0)),"")),"")</f>
        <v>37.047699019147593</v>
      </c>
      <c r="AO1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9" spans="16:41" x14ac:dyDescent="0.25">
      <c r="P119" s="58">
        <v>118</v>
      </c>
      <c r="Q119" s="58" t="str">
        <f>IFERROR(INDEX(TableRBCalcPts[PLAYER],MATCH(TableRBRanks31[[#This Row],[RK]],TableRBCalcPts[RK],0)),"")</f>
        <v/>
      </c>
      <c r="R119" s="58" t="str">
        <f>IFERROR(INDEX(TableRBCalcPts[TM],MATCH(TableRBRanks31[[#This Row],[Player]],TableRBCalcPts[PLAYER],0)),"")</f>
        <v/>
      </c>
      <c r="S119" s="58" t="str">
        <f>IFERROR(INDEX(TableRBCalcPts[BYE],MATCH(TableRBRanks31[[#This Row],[Player]],TableRBCalcPts[PLAYER],0)),"")</f>
        <v/>
      </c>
      <c r="T119" s="100" t="str">
        <f>IFERROR((VLOOKUP(TableRBRanks31[[#This Row],[Player]],RB!B:O,4,FALSE)),"")</f>
        <v/>
      </c>
      <c r="U119" s="100" t="str">
        <f>IFERROR((VLOOKUP(TableRBRanks31[[#This Row],[Player]],RB!B:O,5,FALSE)),"")</f>
        <v/>
      </c>
      <c r="V119" s="100" t="str">
        <f>IFERROR((VLOOKUP(TableRBRanks31[[#This Row],[Player]],RB!B:O,6,FALSE)),"")</f>
        <v/>
      </c>
      <c r="W119" s="100" t="str">
        <f>IFERROR((VLOOKUP(TableRBRanks31[[#This Row],[Player]],RB!B:O,7,FALSE)),"")</f>
        <v/>
      </c>
      <c r="X119" s="100" t="str">
        <f>IFERROR((VLOOKUP(TableRBRanks31[[#This Row],[Player]],RB!B:O,8,FALSE)),"")</f>
        <v/>
      </c>
      <c r="Y119" s="100" t="str">
        <f>IFERROR((VLOOKUP(TableRBRanks31[[#This Row],[Player]],RB!B:O,9,FALSE)),"")</f>
        <v/>
      </c>
      <c r="Z119" s="100" t="str">
        <f>IFERROR((VLOOKUP(TableRBRanks31[[#This Row],[Player]],RB!B:O,10,FALSE)),"")</f>
        <v/>
      </c>
      <c r="AA119" s="95" t="str">
        <f>IFERROR((IFERROR(INDEX(TableRBCalcPts[Custom],MATCH(TableRBRanks31[[#This Row],[RK]],TableRBCalcPts[RK],0)),"")),"")</f>
        <v/>
      </c>
      <c r="AB11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9" s="145">
        <v>118</v>
      </c>
      <c r="AE119" s="145" t="str">
        <f>IFERROR(INDEX(TableWRCalcPts[PLAYER],MATCH(TableWRRanks32[[#This Row],[RK]],TableWRCalcPts[RK],0)),"")</f>
        <v>Jaylin Lane</v>
      </c>
      <c r="AF119" s="145" t="str">
        <f>IFERROR(INDEX(TableWRCalcPts[TM],MATCH(TableWRRanks32[[#This Row],[Player]],TableWRCalcPts[PLAYER],0)),"")</f>
        <v>WSH</v>
      </c>
      <c r="AG119" s="145">
        <f>IFERROR(INDEX(TableWRCalcPts[BYE],MATCH(TableWRRanks32[[#This Row],[Player]],TableWRCalcPts[PLAYER],0)),"")</f>
        <v>7</v>
      </c>
      <c r="AH119" s="146">
        <f>IFERROR((VLOOKUP(TableWRRanks32[[#This Row],[Player]],WR!B:O,4,FALSE)),"")</f>
        <v>29.989058400000005</v>
      </c>
      <c r="AI119" s="146">
        <f>IFERROR((VLOOKUP(TableWRRanks32[[#This Row],[Player]],WR!B:O,5,FALSE)),"")</f>
        <v>3.498723480000001E-2</v>
      </c>
      <c r="AJ119" s="146">
        <f>IFERROR((VLOOKUP(TableWRRanks32[[#This Row],[Player]],WR!B:O,6,FALSE)),"")</f>
        <v>25.886762719999993</v>
      </c>
      <c r="AK119" s="146">
        <f>IFERROR((VLOOKUP(TableWRRanks32[[#This Row],[Player]],WR!B:O,7,FALSE)),"")</f>
        <v>13.279909275359996</v>
      </c>
      <c r="AL119" s="146">
        <f>IFERROR((VLOOKUP(TableWRRanks32[[#This Row],[Player]],WR!B:O,8,FALSE)),"")</f>
        <v>175.29480243475194</v>
      </c>
      <c r="AM119" s="146">
        <f>IFERROR((VLOOKUP(TableWRRanks32[[#This Row],[Player]],WR!B:O,9,FALSE)),"")</f>
        <v>1.0889525605795198</v>
      </c>
      <c r="AN119" s="147">
        <f>IFERROR((IFERROR(INDEX(TableWRCalcPts[Custom],MATCH(TableWRRanks32[[#This Row],[RK]],TableWRCalcPts[RK],0)),"")),"")</f>
        <v>33.911979493432312</v>
      </c>
      <c r="AO1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0" spans="16:41" x14ac:dyDescent="0.25">
      <c r="P120" s="58">
        <v>119</v>
      </c>
      <c r="Q120" s="58" t="str">
        <f>IFERROR(INDEX(TableRBCalcPts[PLAYER],MATCH(TableRBRanks31[[#This Row],[RK]],TableRBCalcPts[RK],0)),"")</f>
        <v/>
      </c>
      <c r="R120" s="58" t="str">
        <f>IFERROR(INDEX(TableRBCalcPts[TM],MATCH(TableRBRanks31[[#This Row],[Player]],TableRBCalcPts[PLAYER],0)),"")</f>
        <v/>
      </c>
      <c r="S120" s="58" t="str">
        <f>IFERROR(INDEX(TableRBCalcPts[BYE],MATCH(TableRBRanks31[[#This Row],[Player]],TableRBCalcPts[PLAYER],0)),"")</f>
        <v/>
      </c>
      <c r="T120" s="100" t="str">
        <f>IFERROR((VLOOKUP(TableRBRanks31[[#This Row],[Player]],RB!B:O,4,FALSE)),"")</f>
        <v/>
      </c>
      <c r="U120" s="100" t="str">
        <f>IFERROR((VLOOKUP(TableRBRanks31[[#This Row],[Player]],RB!B:O,5,FALSE)),"")</f>
        <v/>
      </c>
      <c r="V120" s="100" t="str">
        <f>IFERROR((VLOOKUP(TableRBRanks31[[#This Row],[Player]],RB!B:O,6,FALSE)),"")</f>
        <v/>
      </c>
      <c r="W120" s="100" t="str">
        <f>IFERROR((VLOOKUP(TableRBRanks31[[#This Row],[Player]],RB!B:O,7,FALSE)),"")</f>
        <v/>
      </c>
      <c r="X120" s="100" t="str">
        <f>IFERROR((VLOOKUP(TableRBRanks31[[#This Row],[Player]],RB!B:O,8,FALSE)),"")</f>
        <v/>
      </c>
      <c r="Y120" s="100" t="str">
        <f>IFERROR((VLOOKUP(TableRBRanks31[[#This Row],[Player]],RB!B:O,9,FALSE)),"")</f>
        <v/>
      </c>
      <c r="Z120" s="100" t="str">
        <f>IFERROR((VLOOKUP(TableRBRanks31[[#This Row],[Player]],RB!B:O,10,FALSE)),"")</f>
        <v/>
      </c>
      <c r="AA120" s="95" t="str">
        <f>IFERROR((IFERROR(INDEX(TableRBCalcPts[Custom],MATCH(TableRBRanks31[[#This Row],[RK]],TableRBCalcPts[RK],0)),"")),"")</f>
        <v/>
      </c>
      <c r="AB12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0" s="145">
        <v>119</v>
      </c>
      <c r="AE120" s="145" t="str">
        <f>IFERROR(INDEX(TableWRCalcPts[PLAYER],MATCH(TableWRRanks32[[#This Row],[RK]],TableWRCalcPts[RK],0)),"")</f>
        <v>Marvin Mims</v>
      </c>
      <c r="AF120" s="145" t="str">
        <f>IFERROR(INDEX(TableWRCalcPts[TM],MATCH(TableWRRanks32[[#This Row],[Player]],TableWRCalcPts[PLAYER],0)),"")</f>
        <v>DEN</v>
      </c>
      <c r="AG120" s="145">
        <f>IFERROR(INDEX(TableWRCalcPts[BYE],MATCH(TableWRRanks32[[#This Row],[Player]],TableWRCalcPts[PLAYER],0)),"")</f>
        <v>10</v>
      </c>
      <c r="AH120" s="146">
        <f>IFERROR((VLOOKUP(TableWRRanks32[[#This Row],[Player]],WR!B:O,4,FALSE)),"")</f>
        <v>40.606619846057285</v>
      </c>
      <c r="AI120" s="146">
        <f>IFERROR((VLOOKUP(TableWRRanks32[[#This Row],[Player]],WR!B:O,5,FALSE)),"")</f>
        <v>0.3122830212152084</v>
      </c>
      <c r="AJ120" s="146">
        <f>IFERROR((VLOOKUP(TableWRRanks32[[#This Row],[Player]],WR!B:O,6,FALSE)),"")</f>
        <v>22.256193960000001</v>
      </c>
      <c r="AK120" s="146">
        <f>IFERROR((VLOOKUP(TableWRRanks32[[#This Row],[Player]],WR!B:O,7,FALSE)),"")</f>
        <v>15.089699504880002</v>
      </c>
      <c r="AL120" s="146">
        <f>IFERROR((VLOOKUP(TableWRRanks32[[#This Row],[Player]],WR!B:O,8,FALSE)),"")</f>
        <v>154.7447262544562</v>
      </c>
      <c r="AM120" s="146">
        <f>IFERROR((VLOOKUP(TableWRRanks32[[#This Row],[Player]],WR!B:O,9,FALSE)),"")</f>
        <v>0.78466437425376012</v>
      </c>
      <c r="AN120" s="147">
        <f>IFERROR((IFERROR(INDEX(TableWRCalcPts[Custom],MATCH(TableWRRanks32[[#This Row],[RK]],TableWRCalcPts[RK],0)),"")),"")</f>
        <v>33.661668735305163</v>
      </c>
      <c r="AO1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1" spans="16:41" x14ac:dyDescent="0.25">
      <c r="P121" s="58">
        <v>120</v>
      </c>
      <c r="Q121" s="58" t="str">
        <f>IFERROR(INDEX(TableRBCalcPts[PLAYER],MATCH(TableRBRanks31[[#This Row],[RK]],TableRBCalcPts[RK],0)),"")</f>
        <v/>
      </c>
      <c r="R121" s="58" t="str">
        <f>IFERROR(INDEX(TableRBCalcPts[TM],MATCH(TableRBRanks31[[#This Row],[Player]],TableRBCalcPts[PLAYER],0)),"")</f>
        <v/>
      </c>
      <c r="S121" s="58" t="str">
        <f>IFERROR(INDEX(TableRBCalcPts[BYE],MATCH(TableRBRanks31[[#This Row],[Player]],TableRBCalcPts[PLAYER],0)),"")</f>
        <v/>
      </c>
      <c r="T121" s="100" t="str">
        <f>IFERROR((VLOOKUP(TableRBRanks31[[#This Row],[Player]],RB!B:O,4,FALSE)),"")</f>
        <v/>
      </c>
      <c r="U121" s="100" t="str">
        <f>IFERROR((VLOOKUP(TableRBRanks31[[#This Row],[Player]],RB!B:O,5,FALSE)),"")</f>
        <v/>
      </c>
      <c r="V121" s="100" t="str">
        <f>IFERROR((VLOOKUP(TableRBRanks31[[#This Row],[Player]],RB!B:O,6,FALSE)),"")</f>
        <v/>
      </c>
      <c r="W121" s="100" t="str">
        <f>IFERROR((VLOOKUP(TableRBRanks31[[#This Row],[Player]],RB!B:O,7,FALSE)),"")</f>
        <v/>
      </c>
      <c r="X121" s="100" t="str">
        <f>IFERROR((VLOOKUP(TableRBRanks31[[#This Row],[Player]],RB!B:O,8,FALSE)),"")</f>
        <v/>
      </c>
      <c r="Y121" s="100" t="str">
        <f>IFERROR((VLOOKUP(TableRBRanks31[[#This Row],[Player]],RB!B:O,9,FALSE)),"")</f>
        <v/>
      </c>
      <c r="Z121" s="100" t="str">
        <f>IFERROR((VLOOKUP(TableRBRanks31[[#This Row],[Player]],RB!B:O,10,FALSE)),"")</f>
        <v/>
      </c>
      <c r="AA121" s="95" t="str">
        <f>IFERROR((IFERROR(INDEX(TableRBCalcPts[Custom],MATCH(TableRBRanks31[[#This Row],[RK]],TableRBCalcPts[RK],0)),"")),"")</f>
        <v/>
      </c>
      <c r="AB12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1" s="145">
        <v>120</v>
      </c>
      <c r="AE121" s="145" t="str">
        <f>IFERROR(INDEX(TableWRCalcPts[PLAYER],MATCH(TableWRRanks32[[#This Row],[RK]],TableWRCalcPts[RK],0)),"")</f>
        <v>Jalen Royals</v>
      </c>
      <c r="AF121" s="145" t="str">
        <f>IFERROR(INDEX(TableWRCalcPts[TM],MATCH(TableWRRanks32[[#This Row],[Player]],TableWRCalcPts[PLAYER],0)),"")</f>
        <v>KC</v>
      </c>
      <c r="AG121" s="145">
        <f>IFERROR(INDEX(TableWRCalcPts[BYE],MATCH(TableWRRanks32[[#This Row],[Player]],TableWRCalcPts[PLAYER],0)),"")</f>
        <v>5</v>
      </c>
      <c r="AH121" s="146">
        <f>IFERROR((VLOOKUP(TableWRRanks32[[#This Row],[Player]],WR!B:O,4,FALSE)),"")</f>
        <v>0</v>
      </c>
      <c r="AI121" s="146">
        <f>IFERROR((VLOOKUP(TableWRRanks32[[#This Row],[Player]],WR!B:O,5,FALSE)),"")</f>
        <v>0</v>
      </c>
      <c r="AJ121" s="146">
        <f>IFERROR((VLOOKUP(TableWRRanks32[[#This Row],[Player]],WR!B:O,6,FALSE)),"")</f>
        <v>26.346442499999998</v>
      </c>
      <c r="AK121" s="146">
        <f>IFERROR((VLOOKUP(TableWRRanks32[[#This Row],[Player]],WR!B:O,7,FALSE)),"")</f>
        <v>16.545565889999999</v>
      </c>
      <c r="AL121" s="146">
        <f>IFERROR((VLOOKUP(TableWRRanks32[[#This Row],[Player]],WR!B:O,8,FALSE)),"")</f>
        <v>173.51816124730254</v>
      </c>
      <c r="AM121" s="146">
        <f>IFERROR((VLOOKUP(TableWRRanks32[[#This Row],[Player]],WR!B:O,9,FALSE)),"")</f>
        <v>1.24091744175</v>
      </c>
      <c r="AN121" s="147">
        <f>IFERROR((IFERROR(INDEX(TableWRCalcPts[Custom],MATCH(TableWRRanks32[[#This Row],[RK]],TableWRCalcPts[RK],0)),"")),"")</f>
        <v>33.070103720230257</v>
      </c>
      <c r="AO1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2" spans="16:41" x14ac:dyDescent="0.25">
      <c r="P122" s="58">
        <v>121</v>
      </c>
      <c r="Q122" s="58" t="str">
        <f>IFERROR(INDEX(TableRBCalcPts[PLAYER],MATCH(TableRBRanks31[[#This Row],[RK]],TableRBCalcPts[RK],0)),"")</f>
        <v/>
      </c>
      <c r="R122" s="58" t="str">
        <f>IFERROR(INDEX(TableRBCalcPts[TM],MATCH(TableRBRanks31[[#This Row],[Player]],TableRBCalcPts[PLAYER],0)),"")</f>
        <v/>
      </c>
      <c r="S122" s="58" t="str">
        <f>IFERROR(INDEX(TableRBCalcPts[BYE],MATCH(TableRBRanks31[[#This Row],[Player]],TableRBCalcPts[PLAYER],0)),"")</f>
        <v/>
      </c>
      <c r="T122" s="100" t="str">
        <f>IFERROR((VLOOKUP(TableRBRanks31[[#This Row],[Player]],RB!B:O,4,FALSE)),"")</f>
        <v/>
      </c>
      <c r="U122" s="100" t="str">
        <f>IFERROR((VLOOKUP(TableRBRanks31[[#This Row],[Player]],RB!B:O,5,FALSE)),"")</f>
        <v/>
      </c>
      <c r="V122" s="100" t="str">
        <f>IFERROR((VLOOKUP(TableRBRanks31[[#This Row],[Player]],RB!B:O,6,FALSE)),"")</f>
        <v/>
      </c>
      <c r="W122" s="100" t="str">
        <f>IFERROR((VLOOKUP(TableRBRanks31[[#This Row],[Player]],RB!B:O,7,FALSE)),"")</f>
        <v/>
      </c>
      <c r="X122" s="100" t="str">
        <f>IFERROR((VLOOKUP(TableRBRanks31[[#This Row],[Player]],RB!B:O,8,FALSE)),"")</f>
        <v/>
      </c>
      <c r="Y122" s="100" t="str">
        <f>IFERROR((VLOOKUP(TableRBRanks31[[#This Row],[Player]],RB!B:O,9,FALSE)),"")</f>
        <v/>
      </c>
      <c r="Z122" s="100" t="str">
        <f>IFERROR((VLOOKUP(TableRBRanks31[[#This Row],[Player]],RB!B:O,10,FALSE)),"")</f>
        <v/>
      </c>
      <c r="AA122" s="95" t="str">
        <f>IFERROR((IFERROR(INDEX(TableRBCalcPts[Custom],MATCH(TableRBRanks31[[#This Row],[RK]],TableRBCalcPts[RK],0)),"")),"")</f>
        <v/>
      </c>
      <c r="AB12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2" s="145">
        <v>121</v>
      </c>
      <c r="AE122" s="145" t="str">
        <f>IFERROR(INDEX(TableWRCalcPts[PLAYER],MATCH(TableWRRanks32[[#This Row],[RK]],TableWRCalcPts[RK],0)),"")</f>
        <v>Tutu Atwell</v>
      </c>
      <c r="AF122" s="145" t="str">
        <f>IFERROR(INDEX(TableWRCalcPts[TM],MATCH(TableWRRanks32[[#This Row],[Player]],TableWRCalcPts[PLAYER],0)),"")</f>
        <v>MIA</v>
      </c>
      <c r="AG122" s="145">
        <f>IFERROR(INDEX(TableWRCalcPts[BYE],MATCH(TableWRRanks32[[#This Row],[Player]],TableWRCalcPts[PLAYER],0)),"")</f>
        <v>6</v>
      </c>
      <c r="AH122" s="146">
        <f>IFERROR((VLOOKUP(TableWRRanks32[[#This Row],[Player]],WR!B:O,4,FALSE)),"")</f>
        <v>0</v>
      </c>
      <c r="AI122" s="146">
        <f>IFERROR((VLOOKUP(TableWRRanks32[[#This Row],[Player]],WR!B:O,5,FALSE)),"")</f>
        <v>0</v>
      </c>
      <c r="AJ122" s="146">
        <f>IFERROR((VLOOKUP(TableWRRanks32[[#This Row],[Player]],WR!B:O,6,FALSE)),"")</f>
        <v>22.652564759999997</v>
      </c>
      <c r="AK122" s="146">
        <f>IFERROR((VLOOKUP(TableWRRanks32[[#This Row],[Player]],WR!B:O,7,FALSE)),"")</f>
        <v>15.902100461519996</v>
      </c>
      <c r="AL122" s="146">
        <f>IFERROR((VLOOKUP(TableWRRanks32[[#This Row],[Player]],WR!B:O,8,FALSE)),"")</f>
        <v>202.43373887514957</v>
      </c>
      <c r="AM122" s="146">
        <f>IFERROR((VLOOKUP(TableWRRanks32[[#This Row],[Player]],WR!B:O,9,FALSE)),"")</f>
        <v>0.69969242030687984</v>
      </c>
      <c r="AN122" s="147">
        <f>IFERROR((IFERROR(INDEX(TableWRCalcPts[Custom],MATCH(TableWRRanks32[[#This Row],[RK]],TableWRCalcPts[RK],0)),"")),"")</f>
        <v>32.392578640116241</v>
      </c>
      <c r="AO1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3" spans="16:41" x14ac:dyDescent="0.25">
      <c r="P123" s="58">
        <v>122</v>
      </c>
      <c r="Q123" s="58" t="str">
        <f>IFERROR(INDEX(TableRBCalcPts[PLAYER],MATCH(TableRBRanks31[[#This Row],[RK]],TableRBCalcPts[RK],0)),"")</f>
        <v/>
      </c>
      <c r="R123" s="58" t="str">
        <f>IFERROR(INDEX(TableRBCalcPts[TM],MATCH(TableRBRanks31[[#This Row],[Player]],TableRBCalcPts[PLAYER],0)),"")</f>
        <v/>
      </c>
      <c r="S123" s="58" t="str">
        <f>IFERROR(INDEX(TableRBCalcPts[BYE],MATCH(TableRBRanks31[[#This Row],[Player]],TableRBCalcPts[PLAYER],0)),"")</f>
        <v/>
      </c>
      <c r="T123" s="100" t="str">
        <f>IFERROR((VLOOKUP(TableRBRanks31[[#This Row],[Player]],RB!B:O,4,FALSE)),"")</f>
        <v/>
      </c>
      <c r="U123" s="100" t="str">
        <f>IFERROR((VLOOKUP(TableRBRanks31[[#This Row],[Player]],RB!B:O,5,FALSE)),"")</f>
        <v/>
      </c>
      <c r="V123" s="100" t="str">
        <f>IFERROR((VLOOKUP(TableRBRanks31[[#This Row],[Player]],RB!B:O,6,FALSE)),"")</f>
        <v/>
      </c>
      <c r="W123" s="100" t="str">
        <f>IFERROR((VLOOKUP(TableRBRanks31[[#This Row],[Player]],RB!B:O,7,FALSE)),"")</f>
        <v/>
      </c>
      <c r="X123" s="100" t="str">
        <f>IFERROR((VLOOKUP(TableRBRanks31[[#This Row],[Player]],RB!B:O,8,FALSE)),"")</f>
        <v/>
      </c>
      <c r="Y123" s="100" t="str">
        <f>IFERROR((VLOOKUP(TableRBRanks31[[#This Row],[Player]],RB!B:O,9,FALSE)),"")</f>
        <v/>
      </c>
      <c r="Z123" s="100" t="str">
        <f>IFERROR((VLOOKUP(TableRBRanks31[[#This Row],[Player]],RB!B:O,10,FALSE)),"")</f>
        <v/>
      </c>
      <c r="AA123" s="95" t="str">
        <f>IFERROR((IFERROR(INDEX(TableRBCalcPts[Custom],MATCH(TableRBRanks31[[#This Row],[RK]],TableRBCalcPts[RK],0)),"")),"")</f>
        <v/>
      </c>
      <c r="AB12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3" s="145">
        <v>122</v>
      </c>
      <c r="AE123" s="145" t="str">
        <f>IFERROR(INDEX(TableWRCalcPts[PLAYER],MATCH(TableWRRanks32[[#This Row],[RK]],TableWRCalcPts[RK],0)),"")</f>
        <v>Skyler Bell</v>
      </c>
      <c r="AF123" s="145" t="str">
        <f>IFERROR(INDEX(TableWRCalcPts[TM],MATCH(TableWRRanks32[[#This Row],[Player]],TableWRCalcPts[PLAYER],0)),"")</f>
        <v>BUF</v>
      </c>
      <c r="AG123" s="145">
        <f>IFERROR(INDEX(TableWRCalcPts[BYE],MATCH(TableWRRanks32[[#This Row],[Player]],TableWRCalcPts[PLAYER],0)),"")</f>
        <v>7</v>
      </c>
      <c r="AH123" s="146">
        <f>IFERROR((VLOOKUP(TableWRRanks32[[#This Row],[Player]],WR!B:O,4,FALSE)),"")</f>
        <v>0</v>
      </c>
      <c r="AI123" s="146">
        <f>IFERROR((VLOOKUP(TableWRRanks32[[#This Row],[Player]],WR!B:O,5,FALSE)),"")</f>
        <v>0</v>
      </c>
      <c r="AJ123" s="146">
        <f>IFERROR((VLOOKUP(TableWRRanks32[[#This Row],[Player]],WR!B:O,6,FALSE)),"")</f>
        <v>20.430255999999993</v>
      </c>
      <c r="AK123" s="146">
        <f>IFERROR((VLOOKUP(TableWRRanks32[[#This Row],[Player]],WR!B:O,7,FALSE)),"")</f>
        <v>12.728049487999996</v>
      </c>
      <c r="AL123" s="146">
        <f>IFERROR((VLOOKUP(TableWRRanks32[[#This Row],[Player]],WR!B:O,8,FALSE)),"")</f>
        <v>161.05822684422731</v>
      </c>
      <c r="AM123" s="146">
        <f>IFERROR((VLOOKUP(TableWRRanks32[[#This Row],[Player]],WR!B:O,9,FALSE)),"")</f>
        <v>0.99498567446310282</v>
      </c>
      <c r="AN123" s="147">
        <f>IFERROR((IFERROR(INDEX(TableWRCalcPts[Custom],MATCH(TableWRRanks32[[#This Row],[RK]],TableWRCalcPts[RK],0)),"")),"")</f>
        <v>28.439761475201344</v>
      </c>
      <c r="AO1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4" spans="16:41" x14ac:dyDescent="0.25">
      <c r="P124" s="58">
        <v>123</v>
      </c>
      <c r="Q124" s="58" t="str">
        <f>IFERROR(INDEX(TableRBCalcPts[PLAYER],MATCH(TableRBRanks31[[#This Row],[RK]],TableRBCalcPts[RK],0)),"")</f>
        <v/>
      </c>
      <c r="R124" s="58" t="str">
        <f>IFERROR(INDEX(TableRBCalcPts[TM],MATCH(TableRBRanks31[[#This Row],[Player]],TableRBCalcPts[PLAYER],0)),"")</f>
        <v/>
      </c>
      <c r="S124" s="58" t="str">
        <f>IFERROR(INDEX(TableRBCalcPts[BYE],MATCH(TableRBRanks31[[#This Row],[Player]],TableRBCalcPts[PLAYER],0)),"")</f>
        <v/>
      </c>
      <c r="T124" s="100" t="str">
        <f>IFERROR((VLOOKUP(TableRBRanks31[[#This Row],[Player]],RB!B:O,4,FALSE)),"")</f>
        <v/>
      </c>
      <c r="U124" s="100" t="str">
        <f>IFERROR((VLOOKUP(TableRBRanks31[[#This Row],[Player]],RB!B:O,5,FALSE)),"")</f>
        <v/>
      </c>
      <c r="V124" s="100" t="str">
        <f>IFERROR((VLOOKUP(TableRBRanks31[[#This Row],[Player]],RB!B:O,6,FALSE)),"")</f>
        <v/>
      </c>
      <c r="W124" s="100" t="str">
        <f>IFERROR((VLOOKUP(TableRBRanks31[[#This Row],[Player]],RB!B:O,7,FALSE)),"")</f>
        <v/>
      </c>
      <c r="X124" s="100" t="str">
        <f>IFERROR((VLOOKUP(TableRBRanks31[[#This Row],[Player]],RB!B:O,8,FALSE)),"")</f>
        <v/>
      </c>
      <c r="Y124" s="100" t="str">
        <f>IFERROR((VLOOKUP(TableRBRanks31[[#This Row],[Player]],RB!B:O,9,FALSE)),"")</f>
        <v/>
      </c>
      <c r="Z124" s="100" t="str">
        <f>IFERROR((VLOOKUP(TableRBRanks31[[#This Row],[Player]],RB!B:O,10,FALSE)),"")</f>
        <v/>
      </c>
      <c r="AA124" s="95" t="str">
        <f>IFERROR((IFERROR(INDEX(TableRBCalcPts[Custom],MATCH(TableRBRanks31[[#This Row],[RK]],TableRBCalcPts[RK],0)),"")),"")</f>
        <v/>
      </c>
      <c r="AB12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4" s="145">
        <v>123</v>
      </c>
      <c r="AE124" s="145" t="str">
        <f>IFERROR(INDEX(TableWRCalcPts[PLAYER],MATCH(TableWRRanks32[[#This Row],[RK]],TableWRCalcPts[RK],0)),"")</f>
        <v>Hollywood Brown</v>
      </c>
      <c r="AF124" s="145" t="str">
        <f>IFERROR(INDEX(TableWRCalcPts[TM],MATCH(TableWRRanks32[[#This Row],[Player]],TableWRCalcPts[PLAYER],0)),"")</f>
        <v>PHI</v>
      </c>
      <c r="AG124" s="145">
        <f>IFERROR(INDEX(TableWRCalcPts[BYE],MATCH(TableWRRanks32[[#This Row],[Player]],TableWRCalcPts[PLAYER],0)),"")</f>
        <v>10</v>
      </c>
      <c r="AH124" s="146">
        <f>IFERROR((VLOOKUP(TableWRRanks32[[#This Row],[Player]],WR!B:O,4,FALSE)),"")</f>
        <v>0</v>
      </c>
      <c r="AI124" s="146">
        <f>IFERROR((VLOOKUP(TableWRRanks32[[#This Row],[Player]],WR!B:O,5,FALSE)),"")</f>
        <v>0</v>
      </c>
      <c r="AJ124" s="146">
        <f>IFERROR((VLOOKUP(TableWRRanks32[[#This Row],[Player]],WR!B:O,6,FALSE)),"")</f>
        <v>23.535370319999998</v>
      </c>
      <c r="AK124" s="146">
        <f>IFERROR((VLOOKUP(TableWRRanks32[[#This Row],[Player]],WR!B:O,7,FALSE)),"")</f>
        <v>12.920918305680001</v>
      </c>
      <c r="AL124" s="146">
        <f>IFERROR((VLOOKUP(TableWRRanks32[[#This Row],[Player]],WR!B:O,8,FALSE)),"")</f>
        <v>148.92933417916109</v>
      </c>
      <c r="AM124" s="146">
        <f>IFERROR((VLOOKUP(TableWRRanks32[[#This Row],[Player]],WR!B:O,9,FALSE)),"")</f>
        <v>1.0078316278430401</v>
      </c>
      <c r="AN124" s="147">
        <f>IFERROR((IFERROR(INDEX(TableWRCalcPts[Custom],MATCH(TableWRRanks32[[#This Row],[RK]],TableWRCalcPts[RK],0)),"")),"")</f>
        <v>27.400382337814349</v>
      </c>
      <c r="AO1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5" spans="16:41" x14ac:dyDescent="0.25">
      <c r="P125" s="58">
        <v>124</v>
      </c>
      <c r="Q125" s="58" t="str">
        <f>IFERROR(INDEX(TableRBCalcPts[PLAYER],MATCH(TableRBRanks31[[#This Row],[RK]],TableRBCalcPts[RK],0)),"")</f>
        <v/>
      </c>
      <c r="R125" s="58" t="str">
        <f>IFERROR(INDEX(TableRBCalcPts[TM],MATCH(TableRBRanks31[[#This Row],[Player]],TableRBCalcPts[PLAYER],0)),"")</f>
        <v/>
      </c>
      <c r="S125" s="58" t="str">
        <f>IFERROR(INDEX(TableRBCalcPts[BYE],MATCH(TableRBRanks31[[#This Row],[Player]],TableRBCalcPts[PLAYER],0)),"")</f>
        <v/>
      </c>
      <c r="T125" s="100" t="str">
        <f>IFERROR((VLOOKUP(TableRBRanks31[[#This Row],[Player]],RB!B:O,4,FALSE)),"")</f>
        <v/>
      </c>
      <c r="U125" s="100" t="str">
        <f>IFERROR((VLOOKUP(TableRBRanks31[[#This Row],[Player]],RB!B:O,5,FALSE)),"")</f>
        <v/>
      </c>
      <c r="V125" s="100" t="str">
        <f>IFERROR((VLOOKUP(TableRBRanks31[[#This Row],[Player]],RB!B:O,6,FALSE)),"")</f>
        <v/>
      </c>
      <c r="W125" s="100" t="str">
        <f>IFERROR((VLOOKUP(TableRBRanks31[[#This Row],[Player]],RB!B:O,7,FALSE)),"")</f>
        <v/>
      </c>
      <c r="X125" s="100" t="str">
        <f>IFERROR((VLOOKUP(TableRBRanks31[[#This Row],[Player]],RB!B:O,8,FALSE)),"")</f>
        <v/>
      </c>
      <c r="Y125" s="100" t="str">
        <f>IFERROR((VLOOKUP(TableRBRanks31[[#This Row],[Player]],RB!B:O,9,FALSE)),"")</f>
        <v/>
      </c>
      <c r="Z125" s="100" t="str">
        <f>IFERROR((VLOOKUP(TableRBRanks31[[#This Row],[Player]],RB!B:O,10,FALSE)),"")</f>
        <v/>
      </c>
      <c r="AA125" s="95" t="str">
        <f>IFERROR((IFERROR(INDEX(TableRBCalcPts[Custom],MATCH(TableRBRanks31[[#This Row],[RK]],TableRBCalcPts[RK],0)),"")),"")</f>
        <v/>
      </c>
      <c r="AB12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5" s="145">
        <v>124</v>
      </c>
      <c r="AE125" s="145" t="str">
        <f>IFERROR(INDEX(TableWRCalcPts[PLAYER],MATCH(TableWRRanks32[[#This Row],[RK]],TableWRCalcPts[RK],0)),"")</f>
        <v>Brenen Thompson</v>
      </c>
      <c r="AF125" s="145" t="str">
        <f>IFERROR(INDEX(TableWRCalcPts[TM],MATCH(TableWRRanks32[[#This Row],[Player]],TableWRCalcPts[PLAYER],0)),"")</f>
        <v>LAC</v>
      </c>
      <c r="AG125" s="145">
        <f>IFERROR(INDEX(TableWRCalcPts[BYE],MATCH(TableWRRanks32[[#This Row],[Player]],TableWRCalcPts[PLAYER],0)),"")</f>
        <v>7</v>
      </c>
      <c r="AH125" s="146">
        <f>IFERROR((VLOOKUP(TableWRRanks32[[#This Row],[Player]],WR!B:O,4,FALSE)),"")</f>
        <v>0</v>
      </c>
      <c r="AI125" s="146">
        <f>IFERROR((VLOOKUP(TableWRRanks32[[#This Row],[Player]],WR!B:O,5,FALSE)),"")</f>
        <v>0</v>
      </c>
      <c r="AJ125" s="146">
        <f>IFERROR((VLOOKUP(TableWRRanks32[[#This Row],[Player]],WR!B:O,6,FALSE)),"")</f>
        <v>18.609190599999998</v>
      </c>
      <c r="AK125" s="146">
        <f>IFERROR((VLOOKUP(TableWRRanks32[[#This Row],[Player]],WR!B:O,7,FALSE)),"")</f>
        <v>12.375111749</v>
      </c>
      <c r="AL125" s="146">
        <f>IFERROR((VLOOKUP(TableWRRanks32[[#This Row],[Player]],WR!B:O,8,FALSE)),"")</f>
        <v>150.11010551537001</v>
      </c>
      <c r="AM125" s="146">
        <f>IFERROR((VLOOKUP(TableWRRanks32[[#This Row],[Player]],WR!B:O,9,FALSE)),"")</f>
        <v>0.8786329341789999</v>
      </c>
      <c r="AN125" s="147">
        <f>IFERROR((IFERROR(INDEX(TableWRCalcPts[Custom],MATCH(TableWRRanks32[[#This Row],[RK]],TableWRCalcPts[RK],0)),"")),"")</f>
        <v>26.470364031111</v>
      </c>
      <c r="AO1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6" spans="16:41" x14ac:dyDescent="0.25">
      <c r="P126" s="58">
        <v>125</v>
      </c>
      <c r="Q126" s="58" t="str">
        <f>IFERROR(INDEX(TableRBCalcPts[PLAYER],MATCH(TableRBRanks31[[#This Row],[RK]],TableRBCalcPts[RK],0)),"")</f>
        <v/>
      </c>
      <c r="R126" s="58" t="str">
        <f>IFERROR(INDEX(TableRBCalcPts[TM],MATCH(TableRBRanks31[[#This Row],[Player]],TableRBCalcPts[PLAYER],0)),"")</f>
        <v/>
      </c>
      <c r="S126" s="58" t="str">
        <f>IFERROR(INDEX(TableRBCalcPts[BYE],MATCH(TableRBRanks31[[#This Row],[Player]],TableRBCalcPts[PLAYER],0)),"")</f>
        <v/>
      </c>
      <c r="T126" s="100" t="str">
        <f>IFERROR((VLOOKUP(TableRBRanks31[[#This Row],[Player]],RB!B:O,4,FALSE)),"")</f>
        <v/>
      </c>
      <c r="U126" s="100" t="str">
        <f>IFERROR((VLOOKUP(TableRBRanks31[[#This Row],[Player]],RB!B:O,5,FALSE)),"")</f>
        <v/>
      </c>
      <c r="V126" s="100" t="str">
        <f>IFERROR((VLOOKUP(TableRBRanks31[[#This Row],[Player]],RB!B:O,6,FALSE)),"")</f>
        <v/>
      </c>
      <c r="W126" s="100" t="str">
        <f>IFERROR((VLOOKUP(TableRBRanks31[[#This Row],[Player]],RB!B:O,7,FALSE)),"")</f>
        <v/>
      </c>
      <c r="X126" s="100" t="str">
        <f>IFERROR((VLOOKUP(TableRBRanks31[[#This Row],[Player]],RB!B:O,8,FALSE)),"")</f>
        <v/>
      </c>
      <c r="Y126" s="100" t="str">
        <f>IFERROR((VLOOKUP(TableRBRanks31[[#This Row],[Player]],RB!B:O,9,FALSE)),"")</f>
        <v/>
      </c>
      <c r="Z126" s="100" t="str">
        <f>IFERROR((VLOOKUP(TableRBRanks31[[#This Row],[Player]],RB!B:O,10,FALSE)),"")</f>
        <v/>
      </c>
      <c r="AA126" s="95" t="str">
        <f>IFERROR((IFERROR(INDEX(TableRBCalcPts[Custom],MATCH(TableRBRanks31[[#This Row],[RK]],TableRBCalcPts[RK],0)),"")),"")</f>
        <v/>
      </c>
      <c r="AB12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6" s="145">
        <v>125</v>
      </c>
      <c r="AE126" s="145" t="str">
        <f>IFERROR(INDEX(TableWRCalcPts[PLAYER],MATCH(TableWRRanks32[[#This Row],[RK]],TableWRCalcPts[RK],0)),"")</f>
        <v>Greg Dortch</v>
      </c>
      <c r="AF126" s="145" t="str">
        <f>IFERROR(INDEX(TableWRCalcPts[TM],MATCH(TableWRRanks32[[#This Row],[Player]],TableWRCalcPts[PLAYER],0)),"")</f>
        <v>DET</v>
      </c>
      <c r="AG126" s="145">
        <f>IFERROR(INDEX(TableWRCalcPts[BYE],MATCH(TableWRRanks32[[#This Row],[Player]],TableWRCalcPts[PLAYER],0)),"")</f>
        <v>6</v>
      </c>
      <c r="AH126" s="146">
        <f>IFERROR((VLOOKUP(TableWRRanks32[[#This Row],[Player]],WR!B:O,4,FALSE)),"")</f>
        <v>18.003401359944398</v>
      </c>
      <c r="AI126" s="146">
        <f>IFERROR((VLOOKUP(TableWRRanks32[[#This Row],[Player]],WR!B:O,5,FALSE)),"")</f>
        <v>0.1096284380895641</v>
      </c>
      <c r="AJ126" s="146">
        <f>IFERROR((VLOOKUP(TableWRRanks32[[#This Row],[Player]],WR!B:O,6,FALSE)),"")</f>
        <v>15.806145599999997</v>
      </c>
      <c r="AK126" s="146">
        <f>IFERROR((VLOOKUP(TableWRRanks32[[#This Row],[Player]],WR!B:O,7,FALSE)),"")</f>
        <v>10.827209735999999</v>
      </c>
      <c r="AL126" s="146">
        <f>IFERROR((VLOOKUP(TableWRRanks32[[#This Row],[Player]],WR!B:O,8,FALSE)),"")</f>
        <v>105.56529492599999</v>
      </c>
      <c r="AM126" s="146">
        <f>IFERROR((VLOOKUP(TableWRRanks32[[#This Row],[Player]],WR!B:O,9,FALSE)),"")</f>
        <v>0.64963258415999992</v>
      </c>
      <c r="AN126" s="147">
        <f>IFERROR((IFERROR(INDEX(TableWRCalcPts[Custom],MATCH(TableWRRanks32[[#This Row],[RK]],TableWRCalcPts[RK],0)),"")),"")</f>
        <v>22.326040630091825</v>
      </c>
      <c r="AO1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7" spans="16:41" x14ac:dyDescent="0.25">
      <c r="P127" s="58">
        <v>126</v>
      </c>
      <c r="Q127" s="58" t="str">
        <f>IFERROR(INDEX(TableRBCalcPts[PLAYER],MATCH(TableRBRanks31[[#This Row],[RK]],TableRBCalcPts[RK],0)),"")</f>
        <v/>
      </c>
      <c r="R127" s="58" t="str">
        <f>IFERROR(INDEX(TableRBCalcPts[TM],MATCH(TableRBRanks31[[#This Row],[Player]],TableRBCalcPts[PLAYER],0)),"")</f>
        <v/>
      </c>
      <c r="S127" s="58" t="str">
        <f>IFERROR(INDEX(TableRBCalcPts[BYE],MATCH(TableRBRanks31[[#This Row],[Player]],TableRBCalcPts[PLAYER],0)),"")</f>
        <v/>
      </c>
      <c r="T127" s="100" t="str">
        <f>IFERROR((VLOOKUP(TableRBRanks31[[#This Row],[Player]],RB!B:O,4,FALSE)),"")</f>
        <v/>
      </c>
      <c r="U127" s="100" t="str">
        <f>IFERROR((VLOOKUP(TableRBRanks31[[#This Row],[Player]],RB!B:O,5,FALSE)),"")</f>
        <v/>
      </c>
      <c r="V127" s="100" t="str">
        <f>IFERROR((VLOOKUP(TableRBRanks31[[#This Row],[Player]],RB!B:O,6,FALSE)),"")</f>
        <v/>
      </c>
      <c r="W127" s="100" t="str">
        <f>IFERROR((VLOOKUP(TableRBRanks31[[#This Row],[Player]],RB!B:O,7,FALSE)),"")</f>
        <v/>
      </c>
      <c r="X127" s="100" t="str">
        <f>IFERROR((VLOOKUP(TableRBRanks31[[#This Row],[Player]],RB!B:O,8,FALSE)),"")</f>
        <v/>
      </c>
      <c r="Y127" s="100" t="str">
        <f>IFERROR((VLOOKUP(TableRBRanks31[[#This Row],[Player]],RB!B:O,9,FALSE)),"")</f>
        <v/>
      </c>
      <c r="Z127" s="100" t="str">
        <f>IFERROR((VLOOKUP(TableRBRanks31[[#This Row],[Player]],RB!B:O,10,FALSE)),"")</f>
        <v/>
      </c>
      <c r="AA127" s="95" t="str">
        <f>IFERROR((IFERROR(INDEX(TableRBCalcPts[Custom],MATCH(TableRBRanks31[[#This Row],[RK]],TableRBCalcPts[RK],0)),"")),"")</f>
        <v/>
      </c>
      <c r="AB12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7" s="145">
        <v>126</v>
      </c>
      <c r="AE127" s="145" t="str">
        <f>IFERROR(INDEX(TableWRCalcPts[PLAYER],MATCH(TableWRRanks32[[#This Row],[RK]],TableWRCalcPts[RK],0)),"")</f>
        <v>Kevin Coleman</v>
      </c>
      <c r="AF127" s="145" t="str">
        <f>IFERROR(INDEX(TableWRCalcPts[TM],MATCH(TableWRRanks32[[#This Row],[Player]],TableWRCalcPts[PLAYER],0)),"")</f>
        <v>MIA</v>
      </c>
      <c r="AG127" s="145">
        <f>IFERROR(INDEX(TableWRCalcPts[BYE],MATCH(TableWRRanks32[[#This Row],[Player]],TableWRCalcPts[PLAYER],0)),"")</f>
        <v>6</v>
      </c>
      <c r="AH127" s="146">
        <f>IFERROR((VLOOKUP(TableWRRanks32[[#This Row],[Player]],WR!B:O,4,FALSE)),"")</f>
        <v>0</v>
      </c>
      <c r="AI127" s="146">
        <f>IFERROR((VLOOKUP(TableWRRanks32[[#This Row],[Player]],WR!B:O,5,FALSE)),"")</f>
        <v>0</v>
      </c>
      <c r="AJ127" s="146">
        <f>IFERROR((VLOOKUP(TableWRRanks32[[#This Row],[Player]],WR!B:O,6,FALSE)),"")</f>
        <v>18.220541219999998</v>
      </c>
      <c r="AK127" s="146">
        <f>IFERROR((VLOOKUP(TableWRRanks32[[#This Row],[Player]],WR!B:O,7,FALSE)),"")</f>
        <v>10.586134448819998</v>
      </c>
      <c r="AL127" s="146">
        <f>IFERROR((VLOOKUP(TableWRRanks32[[#This Row],[Player]],WR!B:O,8,FALSE)),"")</f>
        <v>127.13947473032817</v>
      </c>
      <c r="AM127" s="146">
        <f>IFERROR((VLOOKUP(TableWRRanks32[[#This Row],[Player]],WR!B:O,9,FALSE)),"")</f>
        <v>0.52930672244099986</v>
      </c>
      <c r="AN127" s="147">
        <f>IFERROR((IFERROR(INDEX(TableWRCalcPts[Custom],MATCH(TableWRRanks32[[#This Row],[RK]],TableWRCalcPts[RK],0)),"")),"")</f>
        <v>21.182855032088817</v>
      </c>
      <c r="AO1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8" spans="16:41" x14ac:dyDescent="0.25">
      <c r="P128" s="58">
        <v>127</v>
      </c>
      <c r="Q128" s="58" t="str">
        <f>IFERROR(INDEX(TableRBCalcPts[PLAYER],MATCH(TableRBRanks31[[#This Row],[RK]],TableRBCalcPts[RK],0)),"")</f>
        <v/>
      </c>
      <c r="R128" s="58" t="str">
        <f>IFERROR(INDEX(TableRBCalcPts[TM],MATCH(TableRBRanks31[[#This Row],[Player]],TableRBCalcPts[PLAYER],0)),"")</f>
        <v/>
      </c>
      <c r="S128" s="58" t="str">
        <f>IFERROR(INDEX(TableRBCalcPts[BYE],MATCH(TableRBRanks31[[#This Row],[Player]],TableRBCalcPts[PLAYER],0)),"")</f>
        <v/>
      </c>
      <c r="T128" s="100" t="str">
        <f>IFERROR((VLOOKUP(TableRBRanks31[[#This Row],[Player]],RB!B:O,4,FALSE)),"")</f>
        <v/>
      </c>
      <c r="U128" s="100" t="str">
        <f>IFERROR((VLOOKUP(TableRBRanks31[[#This Row],[Player]],RB!B:O,5,FALSE)),"")</f>
        <v/>
      </c>
      <c r="V128" s="100" t="str">
        <f>IFERROR((VLOOKUP(TableRBRanks31[[#This Row],[Player]],RB!B:O,6,FALSE)),"")</f>
        <v/>
      </c>
      <c r="W128" s="100" t="str">
        <f>IFERROR((VLOOKUP(TableRBRanks31[[#This Row],[Player]],RB!B:O,7,FALSE)),"")</f>
        <v/>
      </c>
      <c r="X128" s="100" t="str">
        <f>IFERROR((VLOOKUP(TableRBRanks31[[#This Row],[Player]],RB!B:O,8,FALSE)),"")</f>
        <v/>
      </c>
      <c r="Y128" s="100" t="str">
        <f>IFERROR((VLOOKUP(TableRBRanks31[[#This Row],[Player]],RB!B:O,9,FALSE)),"")</f>
        <v/>
      </c>
      <c r="Z128" s="100" t="str">
        <f>IFERROR((VLOOKUP(TableRBRanks31[[#This Row],[Player]],RB!B:O,10,FALSE)),"")</f>
        <v/>
      </c>
      <c r="AA128" s="95" t="str">
        <f>IFERROR((IFERROR(INDEX(TableRBCalcPts[Custom],MATCH(TableRBRanks31[[#This Row],[RK]],TableRBCalcPts[RK],0)),"")),"")</f>
        <v/>
      </c>
      <c r="AB12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8" s="145">
        <v>127</v>
      </c>
      <c r="AE128" s="145" t="str">
        <f>IFERROR(INDEX(TableWRCalcPts[PLAYER],MATCH(TableWRRanks32[[#This Row],[RK]],TableWRCalcPts[RK],0)),"")</f>
        <v>Deion Burks</v>
      </c>
      <c r="AF128" s="145" t="str">
        <f>IFERROR(INDEX(TableWRCalcPts[TM],MATCH(TableWRRanks32[[#This Row],[Player]],TableWRCalcPts[PLAYER],0)),"")</f>
        <v>IND</v>
      </c>
      <c r="AG128" s="145">
        <f>IFERROR(INDEX(TableWRCalcPts[BYE],MATCH(TableWRRanks32[[#This Row],[Player]],TableWRCalcPts[PLAYER],0)),"")</f>
        <v>13</v>
      </c>
      <c r="AH128" s="146">
        <f>IFERROR((VLOOKUP(TableWRRanks32[[#This Row],[Player]],WR!B:O,4,FALSE)),"")</f>
        <v>0</v>
      </c>
      <c r="AI128" s="146">
        <f>IFERROR((VLOOKUP(TableWRRanks32[[#This Row],[Player]],WR!B:O,5,FALSE)),"")</f>
        <v>0</v>
      </c>
      <c r="AJ128" s="146">
        <f>IFERROR((VLOOKUP(TableWRRanks32[[#This Row],[Player]],WR!B:O,6,FALSE)),"")</f>
        <v>18.291504</v>
      </c>
      <c r="AK128" s="146">
        <f>IFERROR((VLOOKUP(TableWRRanks32[[#This Row],[Player]],WR!B:O,7,FALSE)),"")</f>
        <v>10.279825248000002</v>
      </c>
      <c r="AL128" s="146">
        <f>IFERROR((VLOOKUP(TableWRRanks32[[#This Row],[Player]],WR!B:O,8,FALSE)),"")</f>
        <v>115.64803404000001</v>
      </c>
      <c r="AM128" s="146">
        <f>IFERROR((VLOOKUP(TableWRRanks32[[#This Row],[Player]],WR!B:O,9,FALSE)),"")</f>
        <v>0.63734916537600006</v>
      </c>
      <c r="AN128" s="147">
        <f>IFERROR((IFERROR(INDEX(TableWRCalcPts[Custom],MATCH(TableWRRanks32[[#This Row],[RK]],TableWRCalcPts[RK],0)),"")),"")</f>
        <v>20.528811020256004</v>
      </c>
      <c r="AO1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9" spans="16:41" x14ac:dyDescent="0.25">
      <c r="P129" s="58">
        <v>128</v>
      </c>
      <c r="Q129" s="58" t="str">
        <f>IFERROR(INDEX(TableRBCalcPts[PLAYER],MATCH(TableRBRanks31[[#This Row],[RK]],TableRBCalcPts[RK],0)),"")</f>
        <v/>
      </c>
      <c r="R129" s="58" t="str">
        <f>IFERROR(INDEX(TableRBCalcPts[TM],MATCH(TableRBRanks31[[#This Row],[Player]],TableRBCalcPts[PLAYER],0)),"")</f>
        <v/>
      </c>
      <c r="S129" s="58" t="str">
        <f>IFERROR(INDEX(TableRBCalcPts[BYE],MATCH(TableRBRanks31[[#This Row],[Player]],TableRBCalcPts[PLAYER],0)),"")</f>
        <v/>
      </c>
      <c r="T129" s="100" t="str">
        <f>IFERROR((VLOOKUP(TableRBRanks31[[#This Row],[Player]],RB!B:O,4,FALSE)),"")</f>
        <v/>
      </c>
      <c r="U129" s="100" t="str">
        <f>IFERROR((VLOOKUP(TableRBRanks31[[#This Row],[Player]],RB!B:O,5,FALSE)),"")</f>
        <v/>
      </c>
      <c r="V129" s="100" t="str">
        <f>IFERROR((VLOOKUP(TableRBRanks31[[#This Row],[Player]],RB!B:O,6,FALSE)),"")</f>
        <v/>
      </c>
      <c r="W129" s="100" t="str">
        <f>IFERROR((VLOOKUP(TableRBRanks31[[#This Row],[Player]],RB!B:O,7,FALSE)),"")</f>
        <v/>
      </c>
      <c r="X129" s="100" t="str">
        <f>IFERROR((VLOOKUP(TableRBRanks31[[#This Row],[Player]],RB!B:O,8,FALSE)),"")</f>
        <v/>
      </c>
      <c r="Y129" s="100" t="str">
        <f>IFERROR((VLOOKUP(TableRBRanks31[[#This Row],[Player]],RB!B:O,9,FALSE)),"")</f>
        <v/>
      </c>
      <c r="Z129" s="100" t="str">
        <f>IFERROR((VLOOKUP(TableRBRanks31[[#This Row],[Player]],RB!B:O,10,FALSE)),"")</f>
        <v/>
      </c>
      <c r="AA129" s="95" t="str">
        <f>IFERROR((IFERROR(INDEX(TableRBCalcPts[Custom],MATCH(TableRBRanks31[[#This Row],[RK]],TableRBCalcPts[RK],0)),"")),"")</f>
        <v/>
      </c>
      <c r="AB12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9" s="145">
        <v>128</v>
      </c>
      <c r="AE129" s="145" t="str">
        <f>IFERROR(INDEX(TableWRCalcPts[PLAYER],MATCH(TableWRRanks32[[#This Row],[RK]],TableWRCalcPts[RK],0)),"")</f>
        <v>Jordan Whittington</v>
      </c>
      <c r="AF129" s="145" t="str">
        <f>IFERROR(INDEX(TableWRCalcPts[TM],MATCH(TableWRRanks32[[#This Row],[Player]],TableWRCalcPts[PLAYER],0)),"")</f>
        <v>LAR</v>
      </c>
      <c r="AG129" s="145">
        <f>IFERROR(INDEX(TableWRCalcPts[BYE],MATCH(TableWRRanks32[[#This Row],[Player]],TableWRCalcPts[PLAYER],0)),"")</f>
        <v>11</v>
      </c>
      <c r="AH129" s="146">
        <f>IFERROR((VLOOKUP(TableWRRanks32[[#This Row],[Player]],WR!B:O,4,FALSE)),"")</f>
        <v>0</v>
      </c>
      <c r="AI129" s="146">
        <f>IFERROR((VLOOKUP(TableWRRanks32[[#This Row],[Player]],WR!B:O,5,FALSE)),"")</f>
        <v>0</v>
      </c>
      <c r="AJ129" s="146">
        <f>IFERROR((VLOOKUP(TableWRRanks32[[#This Row],[Player]],WR!B:O,6,FALSE)),"")</f>
        <v>15.267371012969585</v>
      </c>
      <c r="AK129" s="146">
        <f>IFERROR((VLOOKUP(TableWRRanks32[[#This Row],[Player]],WR!B:O,7,FALSE)),"")</f>
        <v>10.732961822117618</v>
      </c>
      <c r="AL129" s="146">
        <f>IFERROR((VLOOKUP(TableWRRanks32[[#This Row],[Player]],WR!B:O,8,FALSE)),"")</f>
        <v>111.12923962094875</v>
      </c>
      <c r="AM129" s="146">
        <f>IFERROR((VLOOKUP(TableWRRanks32[[#This Row],[Player]],WR!B:O,9,FALSE)),"")</f>
        <v>0.66544363297129228</v>
      </c>
      <c r="AN129" s="147">
        <f>IFERROR((IFERROR(INDEX(TableWRCalcPts[Custom],MATCH(TableWRRanks32[[#This Row],[RK]],TableWRCalcPts[RK],0)),"")),"")</f>
        <v>20.472066670981437</v>
      </c>
      <c r="AO1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0" spans="16:41" x14ac:dyDescent="0.25">
      <c r="P130" s="58">
        <v>129</v>
      </c>
      <c r="Q130" s="58" t="str">
        <f>IFERROR(INDEX(TableRBCalcPts[PLAYER],MATCH(TableRBRanks31[[#This Row],[RK]],TableRBCalcPts[RK],0)),"")</f>
        <v/>
      </c>
      <c r="R130" s="58" t="str">
        <f>IFERROR(INDEX(TableRBCalcPts[TM],MATCH(TableRBRanks31[[#This Row],[Player]],TableRBCalcPts[PLAYER],0)),"")</f>
        <v/>
      </c>
      <c r="S130" s="58" t="str">
        <f>IFERROR(INDEX(TableRBCalcPts[BYE],MATCH(TableRBRanks31[[#This Row],[Player]],TableRBCalcPts[PLAYER],0)),"")</f>
        <v/>
      </c>
      <c r="T130" s="100" t="str">
        <f>IFERROR((VLOOKUP(TableRBRanks31[[#This Row],[Player]],RB!B:O,4,FALSE)),"")</f>
        <v/>
      </c>
      <c r="U130" s="100" t="str">
        <f>IFERROR((VLOOKUP(TableRBRanks31[[#This Row],[Player]],RB!B:O,5,FALSE)),"")</f>
        <v/>
      </c>
      <c r="V130" s="100" t="str">
        <f>IFERROR((VLOOKUP(TableRBRanks31[[#This Row],[Player]],RB!B:O,6,FALSE)),"")</f>
        <v/>
      </c>
      <c r="W130" s="100" t="str">
        <f>IFERROR((VLOOKUP(TableRBRanks31[[#This Row],[Player]],RB!B:O,7,FALSE)),"")</f>
        <v/>
      </c>
      <c r="X130" s="100" t="str">
        <f>IFERROR((VLOOKUP(TableRBRanks31[[#This Row],[Player]],RB!B:O,8,FALSE)),"")</f>
        <v/>
      </c>
      <c r="Y130" s="100" t="str">
        <f>IFERROR((VLOOKUP(TableRBRanks31[[#This Row],[Player]],RB!B:O,9,FALSE)),"")</f>
        <v/>
      </c>
      <c r="Z130" s="100" t="str">
        <f>IFERROR((VLOOKUP(TableRBRanks31[[#This Row],[Player]],RB!B:O,10,FALSE)),"")</f>
        <v/>
      </c>
      <c r="AA130" s="95" t="str">
        <f>IFERROR((IFERROR(INDEX(TableRBCalcPts[Custom],MATCH(TableRBRanks31[[#This Row],[RK]],TableRBCalcPts[RK],0)),"")),"")</f>
        <v/>
      </c>
      <c r="AB13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0" s="145">
        <v>129</v>
      </c>
      <c r="AE130" s="145" t="str">
        <f>IFERROR(INDEX(TableWRCalcPts[PLAYER],MATCH(TableWRRanks32[[#This Row],[RK]],TableWRCalcPts[RK],0)),"")</f>
        <v>Bryce Lance</v>
      </c>
      <c r="AF130" s="145" t="str">
        <f>IFERROR(INDEX(TableWRCalcPts[TM],MATCH(TableWRRanks32[[#This Row],[Player]],TableWRCalcPts[PLAYER],0)),"")</f>
        <v>NO</v>
      </c>
      <c r="AG130" s="145">
        <f>IFERROR(INDEX(TableWRCalcPts[BYE],MATCH(TableWRRanks32[[#This Row],[Player]],TableWRCalcPts[PLAYER],0)),"")</f>
        <v>8</v>
      </c>
      <c r="AH130" s="146">
        <f>IFERROR((VLOOKUP(TableWRRanks32[[#This Row],[Player]],WR!B:O,4,FALSE)),"")</f>
        <v>0</v>
      </c>
      <c r="AI130" s="146">
        <f>IFERROR((VLOOKUP(TableWRRanks32[[#This Row],[Player]],WR!B:O,5,FALSE)),"")</f>
        <v>0</v>
      </c>
      <c r="AJ130" s="146">
        <f>IFERROR((VLOOKUP(TableWRRanks32[[#This Row],[Player]],WR!B:O,6,FALSE)),"")</f>
        <v>16.75677696</v>
      </c>
      <c r="AK130" s="146">
        <f>IFERROR((VLOOKUP(TableWRRanks32[[#This Row],[Player]],WR!B:O,7,FALSE)),"")</f>
        <v>9.8194712985599999</v>
      </c>
      <c r="AL130" s="146">
        <f>IFERROR((VLOOKUP(TableWRRanks32[[#This Row],[Player]],WR!B:O,8,FALSE)),"")</f>
        <v>118.11705771894272</v>
      </c>
      <c r="AM130" s="146">
        <f>IFERROR((VLOOKUP(TableWRRanks32[[#This Row],[Player]],WR!B:O,9,FALSE)),"")</f>
        <v>0.59898774921216003</v>
      </c>
      <c r="AN130" s="147">
        <f>IFERROR((IFERROR(INDEX(TableWRCalcPts[Custom],MATCH(TableWRRanks32[[#This Row],[RK]],TableWRCalcPts[RK],0)),"")),"")</f>
        <v>20.315367916447233</v>
      </c>
      <c r="AO1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1" spans="16:41" x14ac:dyDescent="0.25">
      <c r="P131" s="58">
        <v>130</v>
      </c>
      <c r="Q131" s="58" t="str">
        <f>IFERROR(INDEX(TableRBCalcPts[PLAYER],MATCH(TableRBRanks31[[#This Row],[RK]],TableRBCalcPts[RK],0)),"")</f>
        <v/>
      </c>
      <c r="R131" s="58" t="str">
        <f>IFERROR(INDEX(TableRBCalcPts[TM],MATCH(TableRBRanks31[[#This Row],[Player]],TableRBCalcPts[PLAYER],0)),"")</f>
        <v/>
      </c>
      <c r="S131" s="58" t="str">
        <f>IFERROR(INDEX(TableRBCalcPts[BYE],MATCH(TableRBRanks31[[#This Row],[Player]],TableRBCalcPts[PLAYER],0)),"")</f>
        <v/>
      </c>
      <c r="T131" s="100" t="str">
        <f>IFERROR((VLOOKUP(TableRBRanks31[[#This Row],[Player]],RB!B:O,4,FALSE)),"")</f>
        <v/>
      </c>
      <c r="U131" s="100" t="str">
        <f>IFERROR((VLOOKUP(TableRBRanks31[[#This Row],[Player]],RB!B:O,5,FALSE)),"")</f>
        <v/>
      </c>
      <c r="V131" s="100" t="str">
        <f>IFERROR((VLOOKUP(TableRBRanks31[[#This Row],[Player]],RB!B:O,6,FALSE)),"")</f>
        <v/>
      </c>
      <c r="W131" s="100" t="str">
        <f>IFERROR((VLOOKUP(TableRBRanks31[[#This Row],[Player]],RB!B:O,7,FALSE)),"")</f>
        <v/>
      </c>
      <c r="X131" s="100" t="str">
        <f>IFERROR((VLOOKUP(TableRBRanks31[[#This Row],[Player]],RB!B:O,8,FALSE)),"")</f>
        <v/>
      </c>
      <c r="Y131" s="100" t="str">
        <f>IFERROR((VLOOKUP(TableRBRanks31[[#This Row],[Player]],RB!B:O,9,FALSE)),"")</f>
        <v/>
      </c>
      <c r="Z131" s="100" t="str">
        <f>IFERROR((VLOOKUP(TableRBRanks31[[#This Row],[Player]],RB!B:O,10,FALSE)),"")</f>
        <v/>
      </c>
      <c r="AA131" s="95" t="str">
        <f>IFERROR((IFERROR(INDEX(TableRBCalcPts[Custom],MATCH(TableRBRanks31[[#This Row],[RK]],TableRBCalcPts[RK],0)),"")),"")</f>
        <v/>
      </c>
      <c r="AB13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1" s="145">
        <v>130</v>
      </c>
      <c r="AE131" s="145" t="str">
        <f>IFERROR(INDEX(TableWRCalcPts[PLAYER],MATCH(TableWRRanks32[[#This Row],[RK]],TableWRCalcPts[RK],0)),"")</f>
        <v>Chimere Dike</v>
      </c>
      <c r="AF131" s="145" t="str">
        <f>IFERROR(INDEX(TableWRCalcPts[TM],MATCH(TableWRRanks32[[#This Row],[Player]],TableWRCalcPts[PLAYER],0)),"")</f>
        <v>TEN</v>
      </c>
      <c r="AG131" s="145">
        <f>IFERROR(INDEX(TableWRCalcPts[BYE],MATCH(TableWRRanks32[[#This Row],[Player]],TableWRCalcPts[PLAYER],0)),"")</f>
        <v>9</v>
      </c>
      <c r="AH131" s="146">
        <f>IFERROR((VLOOKUP(TableWRRanks32[[#This Row],[Player]],WR!B:O,4,FALSE)),"")</f>
        <v>18.365849940778077</v>
      </c>
      <c r="AI131" s="146">
        <f>IFERROR((VLOOKUP(TableWRRanks32[[#This Row],[Player]],WR!B:O,5,FALSE)),"")</f>
        <v>0.24117726801997885</v>
      </c>
      <c r="AJ131" s="146">
        <f>IFERROR((VLOOKUP(TableWRRanks32[[#This Row],[Player]],WR!B:O,6,FALSE)),"")</f>
        <v>13.730976000000004</v>
      </c>
      <c r="AK131" s="146">
        <f>IFERROR((VLOOKUP(TableWRRanks32[[#This Row],[Player]],WR!B:O,7,FALSE)),"")</f>
        <v>9.0761751360000034</v>
      </c>
      <c r="AL131" s="146">
        <f>IFERROR((VLOOKUP(TableWRRanks32[[#This Row],[Player]],WR!B:O,8,FALSE)),"")</f>
        <v>85.924693191770871</v>
      </c>
      <c r="AM131" s="146">
        <f>IFERROR((VLOOKUP(TableWRRanks32[[#This Row],[Player]],WR!B:O,9,FALSE)),"")</f>
        <v>0.58995138384000023</v>
      </c>
      <c r="AN131" s="147">
        <f>IFERROR((IFERROR(INDEX(TableWRCalcPts[Custom],MATCH(TableWRRanks32[[#This Row],[RK]],TableWRCalcPts[RK],0)),"")),"")</f>
        <v>19.953913792414774</v>
      </c>
      <c r="AO1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2" spans="16:41" x14ac:dyDescent="0.25">
      <c r="P132" s="58">
        <v>131</v>
      </c>
      <c r="Q132" s="58" t="str">
        <f>IFERROR(INDEX(TableRBCalcPts[PLAYER],MATCH(TableRBRanks31[[#This Row],[RK]],TableRBCalcPts[RK],0)),"")</f>
        <v/>
      </c>
      <c r="R132" s="58" t="str">
        <f>IFERROR(INDEX(TableRBCalcPts[TM],MATCH(TableRBRanks31[[#This Row],[Player]],TableRBCalcPts[PLAYER],0)),"")</f>
        <v/>
      </c>
      <c r="S132" s="58" t="str">
        <f>IFERROR(INDEX(TableRBCalcPts[BYE],MATCH(TableRBRanks31[[#This Row],[Player]],TableRBCalcPts[PLAYER],0)),"")</f>
        <v/>
      </c>
      <c r="T132" s="100" t="str">
        <f>IFERROR((VLOOKUP(TableRBRanks31[[#This Row],[Player]],RB!B:O,4,FALSE)),"")</f>
        <v/>
      </c>
      <c r="U132" s="100" t="str">
        <f>IFERROR((VLOOKUP(TableRBRanks31[[#This Row],[Player]],RB!B:O,5,FALSE)),"")</f>
        <v/>
      </c>
      <c r="V132" s="100" t="str">
        <f>IFERROR((VLOOKUP(TableRBRanks31[[#This Row],[Player]],RB!B:O,6,FALSE)),"")</f>
        <v/>
      </c>
      <c r="W132" s="100" t="str">
        <f>IFERROR((VLOOKUP(TableRBRanks31[[#This Row],[Player]],RB!B:O,7,FALSE)),"")</f>
        <v/>
      </c>
      <c r="X132" s="100" t="str">
        <f>IFERROR((VLOOKUP(TableRBRanks31[[#This Row],[Player]],RB!B:O,8,FALSE)),"")</f>
        <v/>
      </c>
      <c r="Y132" s="100" t="str">
        <f>IFERROR((VLOOKUP(TableRBRanks31[[#This Row],[Player]],RB!B:O,9,FALSE)),"")</f>
        <v/>
      </c>
      <c r="Z132" s="100" t="str">
        <f>IFERROR((VLOOKUP(TableRBRanks31[[#This Row],[Player]],RB!B:O,10,FALSE)),"")</f>
        <v/>
      </c>
      <c r="AA132" s="95" t="str">
        <f>IFERROR((IFERROR(INDEX(TableRBCalcPts[Custom],MATCH(TableRBRanks31[[#This Row],[RK]],TableRBCalcPts[RK],0)),"")),"")</f>
        <v/>
      </c>
      <c r="AB13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2" s="145">
        <v>131</v>
      </c>
      <c r="AE132" s="145" t="str">
        <f>IFERROR(INDEX(TableWRCalcPts[PLAYER],MATCH(TableWRRanks32[[#This Row],[RK]],TableWRCalcPts[RK],0)),"")</f>
        <v>Xavier Hutchinson</v>
      </c>
      <c r="AF132" s="145" t="str">
        <f>IFERROR(INDEX(TableWRCalcPts[TM],MATCH(TableWRRanks32[[#This Row],[Player]],TableWRCalcPts[PLAYER],0)),"")</f>
        <v>HOU</v>
      </c>
      <c r="AG132" s="145">
        <f>IFERROR(INDEX(TableWRCalcPts[BYE],MATCH(TableWRRanks32[[#This Row],[Player]],TableWRCalcPts[PLAYER],0)),"")</f>
        <v>8</v>
      </c>
      <c r="AH132" s="146">
        <f>IFERROR((VLOOKUP(TableWRRanks32[[#This Row],[Player]],WR!B:O,4,FALSE)),"")</f>
        <v>0</v>
      </c>
      <c r="AI132" s="146">
        <f>IFERROR((VLOOKUP(TableWRRanks32[[#This Row],[Player]],WR!B:O,5,FALSE)),"")</f>
        <v>0</v>
      </c>
      <c r="AJ132" s="146">
        <f>IFERROR((VLOOKUP(TableWRRanks32[[#This Row],[Player]],WR!B:O,6,FALSE)),"")</f>
        <v>14.322136500000001</v>
      </c>
      <c r="AK132" s="146">
        <f>IFERROR((VLOOKUP(TableWRRanks32[[#This Row],[Player]],WR!B:O,7,FALSE)),"")</f>
        <v>9.4812543630000015</v>
      </c>
      <c r="AL132" s="146">
        <f>IFERROR((VLOOKUP(TableWRRanks32[[#This Row],[Player]],WR!B:O,8,FALSE)),"")</f>
        <v>109.03442517450002</v>
      </c>
      <c r="AM132" s="146">
        <f>IFERROR((VLOOKUP(TableWRRanks32[[#This Row],[Player]],WR!B:O,9,FALSE)),"")</f>
        <v>0.61628153359500015</v>
      </c>
      <c r="AN132" s="147">
        <f>IFERROR((IFERROR(INDEX(TableWRCalcPts[Custom],MATCH(TableWRRanks32[[#This Row],[RK]],TableWRCalcPts[RK],0)),"")),"")</f>
        <v>19.341758900520006</v>
      </c>
      <c r="AO1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3" spans="16:41" x14ac:dyDescent="0.25">
      <c r="P133" s="58">
        <v>132</v>
      </c>
      <c r="Q133" s="58" t="str">
        <f>IFERROR(INDEX(TableRBCalcPts[PLAYER],MATCH(TableRBRanks31[[#This Row],[RK]],TableRBCalcPts[RK],0)),"")</f>
        <v/>
      </c>
      <c r="R133" s="58" t="str">
        <f>IFERROR(INDEX(TableRBCalcPts[TM],MATCH(TableRBRanks31[[#This Row],[Player]],TableRBCalcPts[PLAYER],0)),"")</f>
        <v/>
      </c>
      <c r="S133" s="58" t="str">
        <f>IFERROR(INDEX(TableRBCalcPts[BYE],MATCH(TableRBRanks31[[#This Row],[Player]],TableRBCalcPts[PLAYER],0)),"")</f>
        <v/>
      </c>
      <c r="T133" s="100" t="str">
        <f>IFERROR((VLOOKUP(TableRBRanks31[[#This Row],[Player]],RB!B:O,4,FALSE)),"")</f>
        <v/>
      </c>
      <c r="U133" s="100" t="str">
        <f>IFERROR((VLOOKUP(TableRBRanks31[[#This Row],[Player]],RB!B:O,5,FALSE)),"")</f>
        <v/>
      </c>
      <c r="V133" s="100" t="str">
        <f>IFERROR((VLOOKUP(TableRBRanks31[[#This Row],[Player]],RB!B:O,6,FALSE)),"")</f>
        <v/>
      </c>
      <c r="W133" s="100" t="str">
        <f>IFERROR((VLOOKUP(TableRBRanks31[[#This Row],[Player]],RB!B:O,7,FALSE)),"")</f>
        <v/>
      </c>
      <c r="X133" s="100" t="str">
        <f>IFERROR((VLOOKUP(TableRBRanks31[[#This Row],[Player]],RB!B:O,8,FALSE)),"")</f>
        <v/>
      </c>
      <c r="Y133" s="100" t="str">
        <f>IFERROR((VLOOKUP(TableRBRanks31[[#This Row],[Player]],RB!B:O,9,FALSE)),"")</f>
        <v/>
      </c>
      <c r="Z133" s="100" t="str">
        <f>IFERROR((VLOOKUP(TableRBRanks31[[#This Row],[Player]],RB!B:O,10,FALSE)),"")</f>
        <v/>
      </c>
      <c r="AA133" s="95" t="str">
        <f>IFERROR((IFERROR(INDEX(TableRBCalcPts[Custom],MATCH(TableRBRanks31[[#This Row],[RK]],TableRBCalcPts[RK],0)),"")),"")</f>
        <v/>
      </c>
      <c r="AB13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3" s="145">
        <v>132</v>
      </c>
      <c r="AE133" s="145" t="str">
        <f>IFERROR(INDEX(TableWRCalcPts[PLAYER],MATCH(TableWRRanks32[[#This Row],[RK]],TableWRCalcPts[RK],0)),"")</f>
        <v>Mitchell Tinsley</v>
      </c>
      <c r="AF133" s="145" t="str">
        <f>IFERROR(INDEX(TableWRCalcPts[TM],MATCH(TableWRRanks32[[#This Row],[Player]],TableWRCalcPts[PLAYER],0)),"")</f>
        <v>CIN</v>
      </c>
      <c r="AG133" s="145">
        <f>IFERROR(INDEX(TableWRCalcPts[BYE],MATCH(TableWRRanks32[[#This Row],[Player]],TableWRCalcPts[PLAYER],0)),"")</f>
        <v>6</v>
      </c>
      <c r="AH133" s="146">
        <f>IFERROR((VLOOKUP(TableWRRanks32[[#This Row],[Player]],WR!B:O,4,FALSE)),"")</f>
        <v>0</v>
      </c>
      <c r="AI133" s="146">
        <f>IFERROR((VLOOKUP(TableWRRanks32[[#This Row],[Player]],WR!B:O,5,FALSE)),"")</f>
        <v>0</v>
      </c>
      <c r="AJ133" s="146">
        <f>IFERROR((VLOOKUP(TableWRRanks32[[#This Row],[Player]],WR!B:O,6,FALSE)),"")</f>
        <v>13.286962500000001</v>
      </c>
      <c r="AK133" s="146">
        <f>IFERROR((VLOOKUP(TableWRRanks32[[#This Row],[Player]],WR!B:O,7,FALSE)),"")</f>
        <v>8.3707863750000016</v>
      </c>
      <c r="AL133" s="146">
        <f>IFERROR((VLOOKUP(TableWRRanks32[[#This Row],[Player]],WR!B:O,8,FALSE)),"")</f>
        <v>95.435880176789198</v>
      </c>
      <c r="AM133" s="146">
        <f>IFERROR((VLOOKUP(TableWRRanks32[[#This Row],[Player]],WR!B:O,9,FALSE)),"")</f>
        <v>0.73662920100000007</v>
      </c>
      <c r="AN133" s="147">
        <f>IFERROR((IFERROR(INDEX(TableWRCalcPts[Custom],MATCH(TableWRRanks32[[#This Row],[RK]],TableWRCalcPts[RK],0)),"")),"")</f>
        <v>18.148756411178923</v>
      </c>
      <c r="AO1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4" spans="16:41" x14ac:dyDescent="0.25">
      <c r="P134" s="58">
        <v>133</v>
      </c>
      <c r="Q134" s="58" t="str">
        <f>IFERROR(INDEX(TableRBCalcPts[PLAYER],MATCH(TableRBRanks31[[#This Row],[RK]],TableRBCalcPts[RK],0)),"")</f>
        <v/>
      </c>
      <c r="R134" s="58" t="str">
        <f>IFERROR(INDEX(TableRBCalcPts[TM],MATCH(TableRBRanks31[[#This Row],[Player]],TableRBCalcPts[PLAYER],0)),"")</f>
        <v/>
      </c>
      <c r="S134" s="58" t="str">
        <f>IFERROR(INDEX(TableRBCalcPts[BYE],MATCH(TableRBRanks31[[#This Row],[Player]],TableRBCalcPts[PLAYER],0)),"")</f>
        <v/>
      </c>
      <c r="T134" s="100" t="str">
        <f>IFERROR((VLOOKUP(TableRBRanks31[[#This Row],[Player]],RB!B:O,4,FALSE)),"")</f>
        <v/>
      </c>
      <c r="U134" s="100" t="str">
        <f>IFERROR((VLOOKUP(TableRBRanks31[[#This Row],[Player]],RB!B:O,5,FALSE)),"")</f>
        <v/>
      </c>
      <c r="V134" s="100" t="str">
        <f>IFERROR((VLOOKUP(TableRBRanks31[[#This Row],[Player]],RB!B:O,6,FALSE)),"")</f>
        <v/>
      </c>
      <c r="W134" s="100" t="str">
        <f>IFERROR((VLOOKUP(TableRBRanks31[[#This Row],[Player]],RB!B:O,7,FALSE)),"")</f>
        <v/>
      </c>
      <c r="X134" s="100" t="str">
        <f>IFERROR((VLOOKUP(TableRBRanks31[[#This Row],[Player]],RB!B:O,8,FALSE)),"")</f>
        <v/>
      </c>
      <c r="Y134" s="100" t="str">
        <f>IFERROR((VLOOKUP(TableRBRanks31[[#This Row],[Player]],RB!B:O,9,FALSE)),"")</f>
        <v/>
      </c>
      <c r="Z134" s="100" t="str">
        <f>IFERROR((VLOOKUP(TableRBRanks31[[#This Row],[Player]],RB!B:O,10,FALSE)),"")</f>
        <v/>
      </c>
      <c r="AA134" s="95" t="str">
        <f>IFERROR((IFERROR(INDEX(TableRBCalcPts[Custom],MATCH(TableRBRanks31[[#This Row],[RK]],TableRBCalcPts[RK],0)),"")),"")</f>
        <v/>
      </c>
      <c r="AB13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4" s="145">
        <v>133</v>
      </c>
      <c r="AE134" s="145" t="str">
        <f>IFERROR(INDEX(TableWRCalcPts[PLAYER],MATCH(TableWRRanks32[[#This Row],[RK]],TableWRCalcPts[RK],0)),"")</f>
        <v>Tim Patrick</v>
      </c>
      <c r="AF134" s="145" t="str">
        <f>IFERROR(INDEX(TableWRCalcPts[TM],MATCH(TableWRRanks32[[#This Row],[Player]],TableWRCalcPts[PLAYER],0)),"")</f>
        <v>NYJ</v>
      </c>
      <c r="AG134" s="145">
        <f>IFERROR(INDEX(TableWRCalcPts[BYE],MATCH(TableWRRanks32[[#This Row],[Player]],TableWRCalcPts[PLAYER],0)),"")</f>
        <v>13</v>
      </c>
      <c r="AH134" s="146">
        <f>IFERROR((VLOOKUP(TableWRRanks32[[#This Row],[Player]],WR!B:O,4,FALSE)),"")</f>
        <v>0</v>
      </c>
      <c r="AI134" s="146">
        <f>IFERROR((VLOOKUP(TableWRRanks32[[#This Row],[Player]],WR!B:O,5,FALSE)),"")</f>
        <v>0</v>
      </c>
      <c r="AJ134" s="146">
        <f>IFERROR((VLOOKUP(TableWRRanks32[[#This Row],[Player]],WR!B:O,6,FALSE)),"")</f>
        <v>14.049932817501903</v>
      </c>
      <c r="AK134" s="146">
        <f>IFERROR((VLOOKUP(TableWRRanks32[[#This Row],[Player]],WR!B:O,7,FALSE)),"")</f>
        <v>8.9498072047487121</v>
      </c>
      <c r="AL134" s="146">
        <f>IFERROR((VLOOKUP(TableWRRanks32[[#This Row],[Player]],WR!B:O,8,FALSE)),"")</f>
        <v>99.163863828615732</v>
      </c>
      <c r="AM134" s="146">
        <f>IFERROR((VLOOKUP(TableWRRanks32[[#This Row],[Player]],WR!B:O,9,FALSE)),"")</f>
        <v>0.60858688992291243</v>
      </c>
      <c r="AN134" s="147">
        <f>IFERROR((IFERROR(INDEX(TableWRCalcPts[Custom],MATCH(TableWRRanks32[[#This Row],[RK]],TableWRCalcPts[RK],0)),"")),"")</f>
        <v>18.042811324773403</v>
      </c>
      <c r="AO1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5" spans="16:41" x14ac:dyDescent="0.25">
      <c r="P135" s="58">
        <v>134</v>
      </c>
      <c r="Q135" s="58" t="str">
        <f>IFERROR(INDEX(TableRBCalcPts[PLAYER],MATCH(TableRBRanks31[[#This Row],[RK]],TableRBCalcPts[RK],0)),"")</f>
        <v/>
      </c>
      <c r="R135" s="58" t="str">
        <f>IFERROR(INDEX(TableRBCalcPts[TM],MATCH(TableRBRanks31[[#This Row],[Player]],TableRBCalcPts[PLAYER],0)),"")</f>
        <v/>
      </c>
      <c r="S135" s="58" t="str">
        <f>IFERROR(INDEX(TableRBCalcPts[BYE],MATCH(TableRBRanks31[[#This Row],[Player]],TableRBCalcPts[PLAYER],0)),"")</f>
        <v/>
      </c>
      <c r="T135" s="100" t="str">
        <f>IFERROR((VLOOKUP(TableRBRanks31[[#This Row],[Player]],RB!B:O,4,FALSE)),"")</f>
        <v/>
      </c>
      <c r="U135" s="100" t="str">
        <f>IFERROR((VLOOKUP(TableRBRanks31[[#This Row],[Player]],RB!B:O,5,FALSE)),"")</f>
        <v/>
      </c>
      <c r="V135" s="100" t="str">
        <f>IFERROR((VLOOKUP(TableRBRanks31[[#This Row],[Player]],RB!B:O,6,FALSE)),"")</f>
        <v/>
      </c>
      <c r="W135" s="100" t="str">
        <f>IFERROR((VLOOKUP(TableRBRanks31[[#This Row],[Player]],RB!B:O,7,FALSE)),"")</f>
        <v/>
      </c>
      <c r="X135" s="100" t="str">
        <f>IFERROR((VLOOKUP(TableRBRanks31[[#This Row],[Player]],RB!B:O,8,FALSE)),"")</f>
        <v/>
      </c>
      <c r="Y135" s="100" t="str">
        <f>IFERROR((VLOOKUP(TableRBRanks31[[#This Row],[Player]],RB!B:O,9,FALSE)),"")</f>
        <v/>
      </c>
      <c r="Z135" s="100" t="str">
        <f>IFERROR((VLOOKUP(TableRBRanks31[[#This Row],[Player]],RB!B:O,10,FALSE)),"")</f>
        <v/>
      </c>
      <c r="AA135" s="95" t="str">
        <f>IFERROR((IFERROR(INDEX(TableRBCalcPts[Custom],MATCH(TableRBRanks31[[#This Row],[RK]],TableRBCalcPts[RK],0)),"")),"")</f>
        <v/>
      </c>
      <c r="AB13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5" s="145">
        <v>134</v>
      </c>
      <c r="AE135" s="145" t="str">
        <f>IFERROR(INDEX(TableWRCalcPts[PLAYER],MATCH(TableWRRanks32[[#This Row],[RK]],TableWRCalcPts[RK],0)),"")</f>
        <v>Luke McCaffrey</v>
      </c>
      <c r="AF135" s="145" t="str">
        <f>IFERROR(INDEX(TableWRCalcPts[TM],MATCH(TableWRRanks32[[#This Row],[Player]],TableWRCalcPts[PLAYER],0)),"")</f>
        <v>WSH</v>
      </c>
      <c r="AG135" s="145">
        <f>IFERROR(INDEX(TableWRCalcPts[BYE],MATCH(TableWRRanks32[[#This Row],[Player]],TableWRCalcPts[PLAYER],0)),"")</f>
        <v>7</v>
      </c>
      <c r="AH135" s="146">
        <f>IFERROR((VLOOKUP(TableWRRanks32[[#This Row],[Player]],WR!B:O,4,FALSE)),"")</f>
        <v>0</v>
      </c>
      <c r="AI135" s="146">
        <f>IFERROR((VLOOKUP(TableWRRanks32[[#This Row],[Player]],WR!B:O,5,FALSE)),"")</f>
        <v>0</v>
      </c>
      <c r="AJ135" s="146">
        <f>IFERROR((VLOOKUP(TableWRRanks32[[#This Row],[Player]],WR!B:O,6,FALSE)),"")</f>
        <v>12.445558999999998</v>
      </c>
      <c r="AK135" s="146">
        <f>IFERROR((VLOOKUP(TableWRRanks32[[#This Row],[Player]],WR!B:O,7,FALSE)),"")</f>
        <v>7.9651577599999985</v>
      </c>
      <c r="AL135" s="146">
        <f>IFERROR((VLOOKUP(TableWRRanks32[[#This Row],[Player]],WR!B:O,8,FALSE)),"")</f>
        <v>94.307467878399976</v>
      </c>
      <c r="AM135" s="146">
        <f>IFERROR((VLOOKUP(TableWRRanks32[[#This Row],[Player]],WR!B:O,9,FALSE)),"")</f>
        <v>0.59738683199999987</v>
      </c>
      <c r="AN135" s="147">
        <f>IFERROR((IFERROR(INDEX(TableWRCalcPts[Custom],MATCH(TableWRRanks32[[#This Row],[RK]],TableWRCalcPts[RK],0)),"")),"")</f>
        <v>16.997646659839997</v>
      </c>
      <c r="AO1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6" spans="16:41" x14ac:dyDescent="0.25">
      <c r="P136" s="58">
        <v>135</v>
      </c>
      <c r="Q136" s="58" t="str">
        <f>IFERROR(INDEX(TableRBCalcPts[PLAYER],MATCH(TableRBRanks31[[#This Row],[RK]],TableRBCalcPts[RK],0)),"")</f>
        <v/>
      </c>
      <c r="R136" s="58" t="str">
        <f>IFERROR(INDEX(TableRBCalcPts[TM],MATCH(TableRBRanks31[[#This Row],[Player]],TableRBCalcPts[PLAYER],0)),"")</f>
        <v/>
      </c>
      <c r="S136" s="58" t="str">
        <f>IFERROR(INDEX(TableRBCalcPts[BYE],MATCH(TableRBRanks31[[#This Row],[Player]],TableRBCalcPts[PLAYER],0)),"")</f>
        <v/>
      </c>
      <c r="T136" s="100" t="str">
        <f>IFERROR((VLOOKUP(TableRBRanks31[[#This Row],[Player]],RB!B:O,4,FALSE)),"")</f>
        <v/>
      </c>
      <c r="U136" s="100" t="str">
        <f>IFERROR((VLOOKUP(TableRBRanks31[[#This Row],[Player]],RB!B:O,5,FALSE)),"")</f>
        <v/>
      </c>
      <c r="V136" s="100" t="str">
        <f>IFERROR((VLOOKUP(TableRBRanks31[[#This Row],[Player]],RB!B:O,6,FALSE)),"")</f>
        <v/>
      </c>
      <c r="W136" s="100" t="str">
        <f>IFERROR((VLOOKUP(TableRBRanks31[[#This Row],[Player]],RB!B:O,7,FALSE)),"")</f>
        <v/>
      </c>
      <c r="X136" s="100" t="str">
        <f>IFERROR((VLOOKUP(TableRBRanks31[[#This Row],[Player]],RB!B:O,8,FALSE)),"")</f>
        <v/>
      </c>
      <c r="Y136" s="100" t="str">
        <f>IFERROR((VLOOKUP(TableRBRanks31[[#This Row],[Player]],RB!B:O,9,FALSE)),"")</f>
        <v/>
      </c>
      <c r="Z136" s="100" t="str">
        <f>IFERROR((VLOOKUP(TableRBRanks31[[#This Row],[Player]],RB!B:O,10,FALSE)),"")</f>
        <v/>
      </c>
      <c r="AA136" s="95" t="str">
        <f>IFERROR((IFERROR(INDEX(TableRBCalcPts[Custom],MATCH(TableRBRanks31[[#This Row],[RK]],TableRBCalcPts[RK],0)),"")),"")</f>
        <v/>
      </c>
      <c r="AB13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6" s="145">
        <v>135</v>
      </c>
      <c r="AE136" s="145" t="str">
        <f>IFERROR(INDEX(TableWRCalcPts[PLAYER],MATCH(TableWRRanks32[[#This Row],[RK]],TableWRCalcPts[RK],0)),"")</f>
        <v>Xavier Smith</v>
      </c>
      <c r="AF136" s="145" t="str">
        <f>IFERROR(INDEX(TableWRCalcPts[TM],MATCH(TableWRRanks32[[#This Row],[Player]],TableWRCalcPts[PLAYER],0)),"")</f>
        <v>LAR</v>
      </c>
      <c r="AG136" s="145">
        <f>IFERROR(INDEX(TableWRCalcPts[BYE],MATCH(TableWRRanks32[[#This Row],[Player]],TableWRCalcPts[PLAYER],0)),"")</f>
        <v>11</v>
      </c>
      <c r="AH136" s="146">
        <f>IFERROR((VLOOKUP(TableWRRanks32[[#This Row],[Player]],WR!B:O,4,FALSE)),"")</f>
        <v>0</v>
      </c>
      <c r="AI136" s="146">
        <f>IFERROR((VLOOKUP(TableWRRanks32[[#This Row],[Player]],WR!B:O,5,FALSE)),"")</f>
        <v>0</v>
      </c>
      <c r="AJ136" s="146">
        <f>IFERROR((VLOOKUP(TableWRRanks32[[#This Row],[Player]],WR!B:O,6,FALSE)),"")</f>
        <v>10.974696764303459</v>
      </c>
      <c r="AK136" s="146">
        <f>IFERROR((VLOOKUP(TableWRRanks32[[#This Row],[Player]],WR!B:O,7,FALSE)),"")</f>
        <v>7.144527593561552</v>
      </c>
      <c r="AL136" s="146">
        <f>IFERROR((VLOOKUP(TableWRRanks32[[#This Row],[Player]],WR!B:O,8,FALSE)),"")</f>
        <v>101.66662765638088</v>
      </c>
      <c r="AM136" s="146">
        <f>IFERROR((VLOOKUP(TableWRRanks32[[#This Row],[Player]],WR!B:O,9,FALSE)),"")</f>
        <v>0.48582787636218555</v>
      </c>
      <c r="AN136" s="147">
        <f>IFERROR((IFERROR(INDEX(TableWRCalcPts[Custom],MATCH(TableWRRanks32[[#This Row],[RK]],TableWRCalcPts[RK],0)),"")),"")</f>
        <v>16.653893820591978</v>
      </c>
      <c r="AO1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7" spans="16:41" x14ac:dyDescent="0.25">
      <c r="P137" s="58">
        <v>136</v>
      </c>
      <c r="Q137" s="58" t="str">
        <f>IFERROR(INDEX(TableRBCalcPts[PLAYER],MATCH(TableRBRanks31[[#This Row],[RK]],TableRBCalcPts[RK],0)),"")</f>
        <v/>
      </c>
      <c r="R137" s="58" t="str">
        <f>IFERROR(INDEX(TableRBCalcPts[TM],MATCH(TableRBRanks31[[#This Row],[Player]],TableRBCalcPts[PLAYER],0)),"")</f>
        <v/>
      </c>
      <c r="S137" s="58" t="str">
        <f>IFERROR(INDEX(TableRBCalcPts[BYE],MATCH(TableRBRanks31[[#This Row],[Player]],TableRBCalcPts[PLAYER],0)),"")</f>
        <v/>
      </c>
      <c r="T137" s="100" t="str">
        <f>IFERROR((VLOOKUP(TableRBRanks31[[#This Row],[Player]],RB!B:O,4,FALSE)),"")</f>
        <v/>
      </c>
      <c r="U137" s="100" t="str">
        <f>IFERROR((VLOOKUP(TableRBRanks31[[#This Row],[Player]],RB!B:O,5,FALSE)),"")</f>
        <v/>
      </c>
      <c r="V137" s="100" t="str">
        <f>IFERROR((VLOOKUP(TableRBRanks31[[#This Row],[Player]],RB!B:O,6,FALSE)),"")</f>
        <v/>
      </c>
      <c r="W137" s="100" t="str">
        <f>IFERROR((VLOOKUP(TableRBRanks31[[#This Row],[Player]],RB!B:O,7,FALSE)),"")</f>
        <v/>
      </c>
      <c r="X137" s="100" t="str">
        <f>IFERROR((VLOOKUP(TableRBRanks31[[#This Row],[Player]],RB!B:O,8,FALSE)),"")</f>
        <v/>
      </c>
      <c r="Y137" s="100" t="str">
        <f>IFERROR((VLOOKUP(TableRBRanks31[[#This Row],[Player]],RB!B:O,9,FALSE)),"")</f>
        <v/>
      </c>
      <c r="Z137" s="100" t="str">
        <f>IFERROR((VLOOKUP(TableRBRanks31[[#This Row],[Player]],RB!B:O,10,FALSE)),"")</f>
        <v/>
      </c>
      <c r="AA137" s="95" t="str">
        <f>IFERROR((IFERROR(INDEX(TableRBCalcPts[Custom],MATCH(TableRBRanks31[[#This Row],[RK]],TableRBCalcPts[RK],0)),"")),"")</f>
        <v/>
      </c>
      <c r="AB13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7" s="145">
        <v>136</v>
      </c>
      <c r="AE137" s="145" t="str">
        <f>IFERROR(INDEX(TableWRCalcPts[PLAYER],MATCH(TableWRRanks32[[#This Row],[RK]],TableWRCalcPts[RK],0)),"")</f>
        <v>Ashton Dulin</v>
      </c>
      <c r="AF137" s="145" t="str">
        <f>IFERROR(INDEX(TableWRCalcPts[TM],MATCH(TableWRRanks32[[#This Row],[Player]],TableWRCalcPts[PLAYER],0)),"")</f>
        <v>IND</v>
      </c>
      <c r="AG137" s="145">
        <f>IFERROR(INDEX(TableWRCalcPts[BYE],MATCH(TableWRRanks32[[#This Row],[Player]],TableWRCalcPts[PLAYER],0)),"")</f>
        <v>13</v>
      </c>
      <c r="AH137" s="146">
        <f>IFERROR((VLOOKUP(TableWRRanks32[[#This Row],[Player]],WR!B:O,4,FALSE)),"")</f>
        <v>18.683084143056195</v>
      </c>
      <c r="AI137" s="146">
        <f>IFERROR((VLOOKUP(TableWRRanks32[[#This Row],[Player]],WR!B:O,5,FALSE)),"")</f>
        <v>1.8082737265830619E-2</v>
      </c>
      <c r="AJ137" s="146">
        <f>IFERROR((VLOOKUP(TableWRRanks32[[#This Row],[Player]],WR!B:O,6,FALSE)),"")</f>
        <v>10.452287999999999</v>
      </c>
      <c r="AK137" s="146">
        <f>IFERROR((VLOOKUP(TableWRRanks32[[#This Row],[Player]],WR!B:O,7,FALSE)),"")</f>
        <v>7.1598172800000004</v>
      </c>
      <c r="AL137" s="146">
        <f>IFERROR((VLOOKUP(TableWRRanks32[[#This Row],[Player]],WR!B:O,8,FALSE)),"")</f>
        <v>77.606120878894956</v>
      </c>
      <c r="AM137" s="146">
        <f>IFERROR((VLOOKUP(TableWRRanks32[[#This Row],[Player]],WR!B:O,9,FALSE)),"")</f>
        <v>0.42958903679999999</v>
      </c>
      <c r="AN137" s="147">
        <f>IFERROR((IFERROR(INDEX(TableWRCalcPts[Custom],MATCH(TableWRRanks32[[#This Row],[RK]],TableWRCalcPts[RK],0)),"")),"")</f>
        <v>15.8948597865901</v>
      </c>
      <c r="AO1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8" spans="16:41" x14ac:dyDescent="0.25">
      <c r="P138" s="58">
        <v>137</v>
      </c>
      <c r="Q138" s="58" t="str">
        <f>IFERROR(INDEX(TableRBCalcPts[PLAYER],MATCH(TableRBRanks31[[#This Row],[RK]],TableRBCalcPts[RK],0)),"")</f>
        <v/>
      </c>
      <c r="R138" s="58" t="str">
        <f>IFERROR(INDEX(TableRBCalcPts[TM],MATCH(TableRBRanks31[[#This Row],[Player]],TableRBCalcPts[PLAYER],0)),"")</f>
        <v/>
      </c>
      <c r="S138" s="58" t="str">
        <f>IFERROR(INDEX(TableRBCalcPts[BYE],MATCH(TableRBRanks31[[#This Row],[Player]],TableRBCalcPts[PLAYER],0)),"")</f>
        <v/>
      </c>
      <c r="T138" s="100" t="str">
        <f>IFERROR((VLOOKUP(TableRBRanks31[[#This Row],[Player]],RB!B:O,4,FALSE)),"")</f>
        <v/>
      </c>
      <c r="U138" s="100" t="str">
        <f>IFERROR((VLOOKUP(TableRBRanks31[[#This Row],[Player]],RB!B:O,5,FALSE)),"")</f>
        <v/>
      </c>
      <c r="V138" s="100" t="str">
        <f>IFERROR((VLOOKUP(TableRBRanks31[[#This Row],[Player]],RB!B:O,6,FALSE)),"")</f>
        <v/>
      </c>
      <c r="W138" s="100" t="str">
        <f>IFERROR((VLOOKUP(TableRBRanks31[[#This Row],[Player]],RB!B:O,7,FALSE)),"")</f>
        <v/>
      </c>
      <c r="X138" s="100" t="str">
        <f>IFERROR((VLOOKUP(TableRBRanks31[[#This Row],[Player]],RB!B:O,8,FALSE)),"")</f>
        <v/>
      </c>
      <c r="Y138" s="100" t="str">
        <f>IFERROR((VLOOKUP(TableRBRanks31[[#This Row],[Player]],RB!B:O,9,FALSE)),"")</f>
        <v/>
      </c>
      <c r="Z138" s="100" t="str">
        <f>IFERROR((VLOOKUP(TableRBRanks31[[#This Row],[Player]],RB!B:O,10,FALSE)),"")</f>
        <v/>
      </c>
      <c r="AA138" s="95" t="str">
        <f>IFERROR((IFERROR(INDEX(TableRBCalcPts[Custom],MATCH(TableRBRanks31[[#This Row],[RK]],TableRBCalcPts[RK],0)),"")),"")</f>
        <v/>
      </c>
      <c r="AB13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8" s="145">
        <v>137</v>
      </c>
      <c r="AE138" s="145" t="str">
        <f>IFERROR(INDEX(TableWRCalcPts[PLAYER],MATCH(TableWRRanks32[[#This Row],[RK]],TableWRCalcPts[RK],0)),"")</f>
        <v>Ben Skowronek</v>
      </c>
      <c r="AF138" s="145" t="str">
        <f>IFERROR(INDEX(TableWRCalcPts[TM],MATCH(TableWRRanks32[[#This Row],[Player]],TableWRCalcPts[PLAYER],0)),"")</f>
        <v>PIT</v>
      </c>
      <c r="AG138" s="145">
        <f>IFERROR(INDEX(TableWRCalcPts[BYE],MATCH(TableWRRanks32[[#This Row],[Player]],TableWRCalcPts[PLAYER],0)),"")</f>
        <v>9</v>
      </c>
      <c r="AH138" s="146">
        <f>IFERROR((VLOOKUP(TableWRRanks32[[#This Row],[Player]],WR!B:O,4,FALSE)),"")</f>
        <v>0</v>
      </c>
      <c r="AI138" s="146">
        <f>IFERROR((VLOOKUP(TableWRRanks32[[#This Row],[Player]],WR!B:O,5,FALSE)),"")</f>
        <v>0</v>
      </c>
      <c r="AJ138" s="146">
        <f>IFERROR((VLOOKUP(TableWRRanks32[[#This Row],[Player]],WR!B:O,6,FALSE)),"")</f>
        <v>12.496176</v>
      </c>
      <c r="AK138" s="146">
        <f>IFERROR((VLOOKUP(TableWRRanks32[[#This Row],[Player]],WR!B:O,7,FALSE)),"")</f>
        <v>7.8101099999999999</v>
      </c>
      <c r="AL138" s="146">
        <f>IFERROR((VLOOKUP(TableWRRanks32[[#This Row],[Player]],WR!B:O,8,FALSE)),"")</f>
        <v>80.600335200000004</v>
      </c>
      <c r="AM138" s="146">
        <f>IFERROR((VLOOKUP(TableWRRanks32[[#This Row],[Player]],WR!B:O,9,FALSE)),"")</f>
        <v>0.42955605000000002</v>
      </c>
      <c r="AN138" s="147">
        <f>IFERROR((IFERROR(INDEX(TableWRCalcPts[Custom],MATCH(TableWRRanks32[[#This Row],[RK]],TableWRCalcPts[RK],0)),"")),"")</f>
        <v>14.542424820000003</v>
      </c>
      <c r="AO1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9" spans="16:41" x14ac:dyDescent="0.25">
      <c r="P139" s="58">
        <v>138</v>
      </c>
      <c r="Q139" s="58" t="str">
        <f>IFERROR(INDEX(TableRBCalcPts[PLAYER],MATCH(TableRBRanks31[[#This Row],[RK]],TableRBCalcPts[RK],0)),"")</f>
        <v/>
      </c>
      <c r="R139" s="58" t="str">
        <f>IFERROR(INDEX(TableRBCalcPts[TM],MATCH(TableRBRanks31[[#This Row],[Player]],TableRBCalcPts[PLAYER],0)),"")</f>
        <v/>
      </c>
      <c r="S139" s="58" t="str">
        <f>IFERROR(INDEX(TableRBCalcPts[BYE],MATCH(TableRBRanks31[[#This Row],[Player]],TableRBCalcPts[PLAYER],0)),"")</f>
        <v/>
      </c>
      <c r="T139" s="100" t="str">
        <f>IFERROR((VLOOKUP(TableRBRanks31[[#This Row],[Player]],RB!B:O,4,FALSE)),"")</f>
        <v/>
      </c>
      <c r="U139" s="100" t="str">
        <f>IFERROR((VLOOKUP(TableRBRanks31[[#This Row],[Player]],RB!B:O,5,FALSE)),"")</f>
        <v/>
      </c>
      <c r="V139" s="100" t="str">
        <f>IFERROR((VLOOKUP(TableRBRanks31[[#This Row],[Player]],RB!B:O,6,FALSE)),"")</f>
        <v/>
      </c>
      <c r="W139" s="100" t="str">
        <f>IFERROR((VLOOKUP(TableRBRanks31[[#This Row],[Player]],RB!B:O,7,FALSE)),"")</f>
        <v/>
      </c>
      <c r="X139" s="100" t="str">
        <f>IFERROR((VLOOKUP(TableRBRanks31[[#This Row],[Player]],RB!B:O,8,FALSE)),"")</f>
        <v/>
      </c>
      <c r="Y139" s="100" t="str">
        <f>IFERROR((VLOOKUP(TableRBRanks31[[#This Row],[Player]],RB!B:O,9,FALSE)),"")</f>
        <v/>
      </c>
      <c r="Z139" s="100" t="str">
        <f>IFERROR((VLOOKUP(TableRBRanks31[[#This Row],[Player]],RB!B:O,10,FALSE)),"")</f>
        <v/>
      </c>
      <c r="AA139" s="95" t="str">
        <f>IFERROR((IFERROR(INDEX(TableRBCalcPts[Custom],MATCH(TableRBRanks31[[#This Row],[RK]],TableRBCalcPts[RK],0)),"")),"")</f>
        <v/>
      </c>
      <c r="AB13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9" s="145">
        <v>138</v>
      </c>
      <c r="AE139" s="145" t="str">
        <f>IFERROR(INDEX(TableWRCalcPts[PLAYER],MATCH(TableWRRanks32[[#This Row],[RK]],TableWRCalcPts[RK],0)),"")</f>
        <v>Elijah Moore</v>
      </c>
      <c r="AF139" s="145" t="str">
        <f>IFERROR(INDEX(TableWRCalcPts[TM],MATCH(TableWRRanks32[[#This Row],[Player]],TableWRCalcPts[PLAYER],0)),"")</f>
        <v>PHI</v>
      </c>
      <c r="AG139" s="145">
        <f>IFERROR(INDEX(TableWRCalcPts[BYE],MATCH(TableWRRanks32[[#This Row],[Player]],TableWRCalcPts[PLAYER],0)),"")</f>
        <v>10</v>
      </c>
      <c r="AH139" s="146">
        <f>IFERROR((VLOOKUP(TableWRRanks32[[#This Row],[Player]],WR!B:O,4,FALSE)),"")</f>
        <v>0</v>
      </c>
      <c r="AI139" s="146">
        <f>IFERROR((VLOOKUP(TableWRRanks32[[#This Row],[Player]],WR!B:O,5,FALSE)),"")</f>
        <v>0</v>
      </c>
      <c r="AJ139" s="146">
        <f>IFERROR((VLOOKUP(TableWRRanks32[[#This Row],[Player]],WR!B:O,6,FALSE)),"")</f>
        <v>12.007842</v>
      </c>
      <c r="AK139" s="146">
        <f>IFERROR((VLOOKUP(TableWRRanks32[[#This Row],[Player]],WR!B:O,7,FALSE)),"")</f>
        <v>7.2407287259999995</v>
      </c>
      <c r="AL139" s="146">
        <f>IFERROR((VLOOKUP(TableWRRanks32[[#This Row],[Player]],WR!B:O,8,FALSE)),"")</f>
        <v>74.579505877800003</v>
      </c>
      <c r="AM139" s="146">
        <f>IFERROR((VLOOKUP(TableWRRanks32[[#This Row],[Player]],WR!B:O,9,FALSE)),"")</f>
        <v>0.50685101082000006</v>
      </c>
      <c r="AN139" s="147">
        <f>IFERROR((IFERROR(INDEX(TableWRCalcPts[Custom],MATCH(TableWRRanks32[[#This Row],[RK]],TableWRCalcPts[RK],0)),"")),"")</f>
        <v>14.119421015700002</v>
      </c>
      <c r="AO1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0" spans="16:41" x14ac:dyDescent="0.25">
      <c r="P140" s="58">
        <v>139</v>
      </c>
      <c r="Q140" s="58" t="str">
        <f>IFERROR(INDEX(TableRBCalcPts[PLAYER],MATCH(TableRBRanks31[[#This Row],[RK]],TableRBCalcPts[RK],0)),"")</f>
        <v/>
      </c>
      <c r="R140" s="58" t="str">
        <f>IFERROR(INDEX(TableRBCalcPts[TM],MATCH(TableRBRanks31[[#This Row],[Player]],TableRBCalcPts[PLAYER],0)),"")</f>
        <v/>
      </c>
      <c r="S140" s="58" t="str">
        <f>IFERROR(INDEX(TableRBCalcPts[BYE],MATCH(TableRBRanks31[[#This Row],[Player]],TableRBCalcPts[PLAYER],0)),"")</f>
        <v/>
      </c>
      <c r="T140" s="100" t="str">
        <f>IFERROR((VLOOKUP(TableRBRanks31[[#This Row],[Player]],RB!B:O,4,FALSE)),"")</f>
        <v/>
      </c>
      <c r="U140" s="100" t="str">
        <f>IFERROR((VLOOKUP(TableRBRanks31[[#This Row],[Player]],RB!B:O,5,FALSE)),"")</f>
        <v/>
      </c>
      <c r="V140" s="100" t="str">
        <f>IFERROR((VLOOKUP(TableRBRanks31[[#This Row],[Player]],RB!B:O,6,FALSE)),"")</f>
        <v/>
      </c>
      <c r="W140" s="100" t="str">
        <f>IFERROR((VLOOKUP(TableRBRanks31[[#This Row],[Player]],RB!B:O,7,FALSE)),"")</f>
        <v/>
      </c>
      <c r="X140" s="100" t="str">
        <f>IFERROR((VLOOKUP(TableRBRanks31[[#This Row],[Player]],RB!B:O,8,FALSE)),"")</f>
        <v/>
      </c>
      <c r="Y140" s="100" t="str">
        <f>IFERROR((VLOOKUP(TableRBRanks31[[#This Row],[Player]],RB!B:O,9,FALSE)),"")</f>
        <v/>
      </c>
      <c r="Z140" s="100" t="str">
        <f>IFERROR((VLOOKUP(TableRBRanks31[[#This Row],[Player]],RB!B:O,10,FALSE)),"")</f>
        <v/>
      </c>
      <c r="AA140" s="95" t="str">
        <f>IFERROR((IFERROR(INDEX(TableRBCalcPts[Custom],MATCH(TableRBRanks31[[#This Row],[RK]],TableRBCalcPts[RK],0)),"")),"")</f>
        <v/>
      </c>
      <c r="AB14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0" s="145">
        <v>139</v>
      </c>
      <c r="AE140" s="145" t="str">
        <f>IFERROR(INDEX(TableWRCalcPts[PLAYER],MATCH(TableWRRanks32[[#This Row],[RK]],TableWRCalcPts[RK],0)),"")</f>
        <v>Zavion Thomas</v>
      </c>
      <c r="AF140" s="145" t="str">
        <f>IFERROR(INDEX(TableWRCalcPts[TM],MATCH(TableWRRanks32[[#This Row],[Player]],TableWRCalcPts[PLAYER],0)),"")</f>
        <v>CHI</v>
      </c>
      <c r="AG140" s="145">
        <f>IFERROR(INDEX(TableWRCalcPts[BYE],MATCH(TableWRRanks32[[#This Row],[Player]],TableWRCalcPts[PLAYER],0)),"")</f>
        <v>10</v>
      </c>
      <c r="AH140" s="146">
        <f>IFERROR((VLOOKUP(TableWRRanks32[[#This Row],[Player]],WR!B:O,4,FALSE)),"")</f>
        <v>0</v>
      </c>
      <c r="AI140" s="146">
        <f>IFERROR((VLOOKUP(TableWRRanks32[[#This Row],[Player]],WR!B:O,5,FALSE)),"")</f>
        <v>0</v>
      </c>
      <c r="AJ140" s="146">
        <f>IFERROR((VLOOKUP(TableWRRanks32[[#This Row],[Player]],WR!B:O,6,FALSE)),"")</f>
        <v>11.2787024</v>
      </c>
      <c r="AK140" s="146">
        <f>IFERROR((VLOOKUP(TableWRRanks32[[#This Row],[Player]],WR!B:O,7,FALSE)),"")</f>
        <v>6.8800084640000003</v>
      </c>
      <c r="AL140" s="146">
        <f>IFERROR((VLOOKUP(TableWRRanks32[[#This Row],[Player]],WR!B:O,8,FALSE)),"")</f>
        <v>66.116881339040006</v>
      </c>
      <c r="AM140" s="146">
        <f>IFERROR((VLOOKUP(TableWRRanks32[[#This Row],[Player]],WR!B:O,9,FALSE)),"")</f>
        <v>0.5652210025082155</v>
      </c>
      <c r="AN140" s="147">
        <f>IFERROR((IFERROR(INDEX(TableWRCalcPts[Custom],MATCH(TableWRRanks32[[#This Row],[RK]],TableWRCalcPts[RK],0)),"")),"")</f>
        <v>13.443018380953294</v>
      </c>
      <c r="AO1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1" spans="16:41" x14ac:dyDescent="0.25">
      <c r="P141" s="58">
        <v>140</v>
      </c>
      <c r="Q141" s="58" t="str">
        <f>IFERROR(INDEX(TableRBCalcPts[PLAYER],MATCH(TableRBRanks31[[#This Row],[RK]],TableRBCalcPts[RK],0)),"")</f>
        <v/>
      </c>
      <c r="R141" s="58" t="str">
        <f>IFERROR(INDEX(TableRBCalcPts[TM],MATCH(TableRBRanks31[[#This Row],[Player]],TableRBCalcPts[PLAYER],0)),"")</f>
        <v/>
      </c>
      <c r="S141" s="58" t="str">
        <f>IFERROR(INDEX(TableRBCalcPts[BYE],MATCH(TableRBRanks31[[#This Row],[Player]],TableRBCalcPts[PLAYER],0)),"")</f>
        <v/>
      </c>
      <c r="T141" s="100" t="str">
        <f>IFERROR((VLOOKUP(TableRBRanks31[[#This Row],[Player]],RB!B:O,4,FALSE)),"")</f>
        <v/>
      </c>
      <c r="U141" s="100" t="str">
        <f>IFERROR((VLOOKUP(TableRBRanks31[[#This Row],[Player]],RB!B:O,5,FALSE)),"")</f>
        <v/>
      </c>
      <c r="V141" s="100" t="str">
        <f>IFERROR((VLOOKUP(TableRBRanks31[[#This Row],[Player]],RB!B:O,6,FALSE)),"")</f>
        <v/>
      </c>
      <c r="W141" s="100" t="str">
        <f>IFERROR((VLOOKUP(TableRBRanks31[[#This Row],[Player]],RB!B:O,7,FALSE)),"")</f>
        <v/>
      </c>
      <c r="X141" s="100" t="str">
        <f>IFERROR((VLOOKUP(TableRBRanks31[[#This Row],[Player]],RB!B:O,8,FALSE)),"")</f>
        <v/>
      </c>
      <c r="Y141" s="100" t="str">
        <f>IFERROR((VLOOKUP(TableRBRanks31[[#This Row],[Player]],RB!B:O,9,FALSE)),"")</f>
        <v/>
      </c>
      <c r="Z141" s="100" t="str">
        <f>IFERROR((VLOOKUP(TableRBRanks31[[#This Row],[Player]],RB!B:O,10,FALSE)),"")</f>
        <v/>
      </c>
      <c r="AA141" s="95" t="str">
        <f>IFERROR((IFERROR(INDEX(TableRBCalcPts[Custom],MATCH(TableRBRanks31[[#This Row],[RK]],TableRBCalcPts[RK],0)),"")),"")</f>
        <v/>
      </c>
      <c r="AB14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1" s="145">
        <v>140</v>
      </c>
      <c r="AE141" s="145" t="str">
        <f>IFERROR(INDEX(TableWRCalcPts[PLAYER],MATCH(TableWRRanks32[[#This Row],[RK]],TableWRCalcPts[RK],0)),"")</f>
        <v>Dermarcus Robinson</v>
      </c>
      <c r="AF141" s="145" t="str">
        <f>IFERROR(INDEX(TableWRCalcPts[TM],MATCH(TableWRRanks32[[#This Row],[Player]],TableWRCalcPts[PLAYER],0)),"")</f>
        <v>SF</v>
      </c>
      <c r="AG141" s="145">
        <f>IFERROR(INDEX(TableWRCalcPts[BYE],MATCH(TableWRRanks32[[#This Row],[Player]],TableWRCalcPts[PLAYER],0)),"")</f>
        <v>8</v>
      </c>
      <c r="AH141" s="146">
        <f>IFERROR((VLOOKUP(TableWRRanks32[[#This Row],[Player]],WR!B:O,4,FALSE)),"")</f>
        <v>0</v>
      </c>
      <c r="AI141" s="146">
        <f>IFERROR((VLOOKUP(TableWRRanks32[[#This Row],[Player]],WR!B:O,5,FALSE)),"")</f>
        <v>0</v>
      </c>
      <c r="AJ141" s="146">
        <f>IFERROR((VLOOKUP(TableWRRanks32[[#This Row],[Player]],WR!B:O,6,FALSE)),"")</f>
        <v>10.7367232</v>
      </c>
      <c r="AK141" s="146">
        <f>IFERROR((VLOOKUP(TableWRRanks32[[#This Row],[Player]],WR!B:O,7,FALSE)),"")</f>
        <v>6.1414056703999993</v>
      </c>
      <c r="AL141" s="146">
        <f>IFERROR((VLOOKUP(TableWRRanks32[[#This Row],[Player]],WR!B:O,8,FALSE)),"")</f>
        <v>78.609992581119997</v>
      </c>
      <c r="AM141" s="146">
        <f>IFERROR((VLOOKUP(TableWRRanks32[[#This Row],[Player]],WR!B:O,9,FALSE)),"")</f>
        <v>0.36848434022399995</v>
      </c>
      <c r="AN141" s="147">
        <f>IFERROR((IFERROR(INDEX(TableWRCalcPts[Custom],MATCH(TableWRRanks32[[#This Row],[RK]],TableWRCalcPts[RK],0)),"")),"")</f>
        <v>13.142608134655999</v>
      </c>
      <c r="AO1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2" spans="16:41" x14ac:dyDescent="0.25">
      <c r="P142" s="58">
        <v>141</v>
      </c>
      <c r="Q142" s="58" t="str">
        <f>IFERROR(INDEX(TableRBCalcPts[PLAYER],MATCH(TableRBRanks31[[#This Row],[RK]],TableRBCalcPts[RK],0)),"")</f>
        <v/>
      </c>
      <c r="R142" s="58" t="str">
        <f>IFERROR(INDEX(TableRBCalcPts[TM],MATCH(TableRBRanks31[[#This Row],[Player]],TableRBCalcPts[PLAYER],0)),"")</f>
        <v/>
      </c>
      <c r="S142" s="58" t="str">
        <f>IFERROR(INDEX(TableRBCalcPts[BYE],MATCH(TableRBRanks31[[#This Row],[Player]],TableRBCalcPts[PLAYER],0)),"")</f>
        <v/>
      </c>
      <c r="T142" s="100" t="str">
        <f>IFERROR((VLOOKUP(TableRBRanks31[[#This Row],[Player]],RB!B:O,4,FALSE)),"")</f>
        <v/>
      </c>
      <c r="U142" s="100" t="str">
        <f>IFERROR((VLOOKUP(TableRBRanks31[[#This Row],[Player]],RB!B:O,5,FALSE)),"")</f>
        <v/>
      </c>
      <c r="V142" s="100" t="str">
        <f>IFERROR((VLOOKUP(TableRBRanks31[[#This Row],[Player]],RB!B:O,6,FALSE)),"")</f>
        <v/>
      </c>
      <c r="W142" s="100" t="str">
        <f>IFERROR((VLOOKUP(TableRBRanks31[[#This Row],[Player]],RB!B:O,7,FALSE)),"")</f>
        <v/>
      </c>
      <c r="X142" s="100" t="str">
        <f>IFERROR((VLOOKUP(TableRBRanks31[[#This Row],[Player]],RB!B:O,8,FALSE)),"")</f>
        <v/>
      </c>
      <c r="Y142" s="100" t="str">
        <f>IFERROR((VLOOKUP(TableRBRanks31[[#This Row],[Player]],RB!B:O,9,FALSE)),"")</f>
        <v/>
      </c>
      <c r="Z142" s="100" t="str">
        <f>IFERROR((VLOOKUP(TableRBRanks31[[#This Row],[Player]],RB!B:O,10,FALSE)),"")</f>
        <v/>
      </c>
      <c r="AA142" s="95" t="str">
        <f>IFERROR((IFERROR(INDEX(TableRBCalcPts[Custom],MATCH(TableRBRanks31[[#This Row],[RK]],TableRBCalcPts[RK],0)),"")),"")</f>
        <v/>
      </c>
      <c r="AB14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2" s="145">
        <v>141</v>
      </c>
      <c r="AE142" s="145" t="str">
        <f>IFERROR(INDEX(TableWRCalcPts[PLAYER],MATCH(TableWRRanks32[[#This Row],[RK]],TableWRCalcPts[RK],0)),"")</f>
        <v>KeAndre Lambert-Smith</v>
      </c>
      <c r="AF142" s="145" t="str">
        <f>IFERROR(INDEX(TableWRCalcPts[TM],MATCH(TableWRRanks32[[#This Row],[Player]],TableWRCalcPts[PLAYER],0)),"")</f>
        <v>LAC</v>
      </c>
      <c r="AG142" s="145">
        <f>IFERROR(INDEX(TableWRCalcPts[BYE],MATCH(TableWRRanks32[[#This Row],[Player]],TableWRCalcPts[PLAYER],0)),"")</f>
        <v>7</v>
      </c>
      <c r="AH142" s="146">
        <f>IFERROR((VLOOKUP(TableWRRanks32[[#This Row],[Player]],WR!B:O,4,FALSE)),"")</f>
        <v>0</v>
      </c>
      <c r="AI142" s="146">
        <f>IFERROR((VLOOKUP(TableWRRanks32[[#This Row],[Player]],WR!B:O,5,FALSE)),"")</f>
        <v>0</v>
      </c>
      <c r="AJ142" s="146">
        <f>IFERROR((VLOOKUP(TableWRRanks32[[#This Row],[Player]],WR!B:O,6,FALSE)),"")</f>
        <v>10.633823199999998</v>
      </c>
      <c r="AK142" s="146">
        <f>IFERROR((VLOOKUP(TableWRRanks32[[#This Row],[Player]],WR!B:O,7,FALSE)),"")</f>
        <v>6.0719130471999989</v>
      </c>
      <c r="AL142" s="146">
        <f>IFERROR((VLOOKUP(TableWRRanks32[[#This Row],[Player]],WR!B:O,8,FALSE)),"")</f>
        <v>69.668355165736983</v>
      </c>
      <c r="AM142" s="146">
        <f>IFERROR((VLOOKUP(TableWRRanks32[[#This Row],[Player]],WR!B:O,9,FALSE)),"")</f>
        <v>0.44324965244559988</v>
      </c>
      <c r="AN142" s="147">
        <f>IFERROR((IFERROR(INDEX(TableWRCalcPts[Custom],MATCH(TableWRRanks32[[#This Row],[RK]],TableWRCalcPts[RK],0)),"")),"")</f>
        <v>12.662289954847298</v>
      </c>
      <c r="AO1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3" spans="16:41" x14ac:dyDescent="0.25">
      <c r="P143" s="58">
        <v>142</v>
      </c>
      <c r="Q143" s="58" t="str">
        <f>IFERROR(INDEX(TableRBCalcPts[PLAYER],MATCH(TableRBRanks31[[#This Row],[RK]],TableRBCalcPts[RK],0)),"")</f>
        <v/>
      </c>
      <c r="R143" s="58" t="str">
        <f>IFERROR(INDEX(TableRBCalcPts[TM],MATCH(TableRBRanks31[[#This Row],[Player]],TableRBCalcPts[PLAYER],0)),"")</f>
        <v/>
      </c>
      <c r="S143" s="58" t="str">
        <f>IFERROR(INDEX(TableRBCalcPts[BYE],MATCH(TableRBRanks31[[#This Row],[Player]],TableRBCalcPts[PLAYER],0)),"")</f>
        <v/>
      </c>
      <c r="T143" s="100" t="str">
        <f>IFERROR((VLOOKUP(TableRBRanks31[[#This Row],[Player]],RB!B:O,4,FALSE)),"")</f>
        <v/>
      </c>
      <c r="U143" s="100" t="str">
        <f>IFERROR((VLOOKUP(TableRBRanks31[[#This Row],[Player]],RB!B:O,5,FALSE)),"")</f>
        <v/>
      </c>
      <c r="V143" s="100" t="str">
        <f>IFERROR((VLOOKUP(TableRBRanks31[[#This Row],[Player]],RB!B:O,6,FALSE)),"")</f>
        <v/>
      </c>
      <c r="W143" s="100" t="str">
        <f>IFERROR((VLOOKUP(TableRBRanks31[[#This Row],[Player]],RB!B:O,7,FALSE)),"")</f>
        <v/>
      </c>
      <c r="X143" s="100" t="str">
        <f>IFERROR((VLOOKUP(TableRBRanks31[[#This Row],[Player]],RB!B:O,8,FALSE)),"")</f>
        <v/>
      </c>
      <c r="Y143" s="100" t="str">
        <f>IFERROR((VLOOKUP(TableRBRanks31[[#This Row],[Player]],RB!B:O,9,FALSE)),"")</f>
        <v/>
      </c>
      <c r="Z143" s="100" t="str">
        <f>IFERROR((VLOOKUP(TableRBRanks31[[#This Row],[Player]],RB!B:O,10,FALSE)),"")</f>
        <v/>
      </c>
      <c r="AA143" s="95" t="str">
        <f>IFERROR((IFERROR(INDEX(TableRBCalcPts[Custom],MATCH(TableRBRanks31[[#This Row],[RK]],TableRBCalcPts[RK],0)),"")),"")</f>
        <v/>
      </c>
      <c r="AB14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3" s="145">
        <v>142</v>
      </c>
      <c r="AE143" s="145" t="str">
        <f>IFERROR(INDEX(TableWRCalcPts[PLAYER],MATCH(TableWRRanks32[[#This Row],[RK]],TableWRCalcPts[RK],0)),"")</f>
        <v>Calvin Austin</v>
      </c>
      <c r="AF143" s="145" t="str">
        <f>IFERROR(INDEX(TableWRCalcPts[TM],MATCH(TableWRRanks32[[#This Row],[Player]],TableWRCalcPts[PLAYER],0)),"")</f>
        <v>NYG</v>
      </c>
      <c r="AG143" s="145">
        <f>IFERROR(INDEX(TableWRCalcPts[BYE],MATCH(TableWRRanks32[[#This Row],[Player]],TableWRCalcPts[PLAYER],0)),"")</f>
        <v>8</v>
      </c>
      <c r="AH143" s="146">
        <f>IFERROR((VLOOKUP(TableWRRanks32[[#This Row],[Player]],WR!B:O,4,FALSE)),"")</f>
        <v>0</v>
      </c>
      <c r="AI143" s="146">
        <f>IFERROR((VLOOKUP(TableWRRanks32[[#This Row],[Player]],WR!B:O,5,FALSE)),"")</f>
        <v>0</v>
      </c>
      <c r="AJ143" s="146">
        <f>IFERROR((VLOOKUP(TableWRRanks32[[#This Row],[Player]],WR!B:O,6,FALSE)),"")</f>
        <v>9.8883764000000003</v>
      </c>
      <c r="AK143" s="146">
        <f>IFERROR((VLOOKUP(TableWRRanks32[[#This Row],[Player]],WR!B:O,7,FALSE)),"")</f>
        <v>5.8440304524000002</v>
      </c>
      <c r="AL143" s="146">
        <f>IFERROR((VLOOKUP(TableWRRanks32[[#This Row],[Player]],WR!B:O,8,FALSE)),"")</f>
        <v>69.19300865781895</v>
      </c>
      <c r="AM143" s="146">
        <f>IFERROR((VLOOKUP(TableWRRanks32[[#This Row],[Player]],WR!B:O,9,FALSE)),"")</f>
        <v>0.37376978615680478</v>
      </c>
      <c r="AN143" s="147">
        <f>IFERROR((IFERROR(INDEX(TableWRCalcPts[Custom],MATCH(TableWRRanks32[[#This Row],[RK]],TableWRCalcPts[RK],0)),"")),"")</f>
        <v>12.083934808922724</v>
      </c>
      <c r="AO1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4" spans="16:41" x14ac:dyDescent="0.25">
      <c r="P144" s="58">
        <v>143</v>
      </c>
      <c r="Q144" s="58" t="str">
        <f>IFERROR(INDEX(TableRBCalcPts[PLAYER],MATCH(TableRBRanks31[[#This Row],[RK]],TableRBCalcPts[RK],0)),"")</f>
        <v/>
      </c>
      <c r="R144" s="58" t="str">
        <f>IFERROR(INDEX(TableRBCalcPts[TM],MATCH(TableRBRanks31[[#This Row],[Player]],TableRBCalcPts[PLAYER],0)),"")</f>
        <v/>
      </c>
      <c r="S144" s="58" t="str">
        <f>IFERROR(INDEX(TableRBCalcPts[BYE],MATCH(TableRBRanks31[[#This Row],[Player]],TableRBCalcPts[PLAYER],0)),"")</f>
        <v/>
      </c>
      <c r="T144" s="100" t="str">
        <f>IFERROR((VLOOKUP(TableRBRanks31[[#This Row],[Player]],RB!B:O,4,FALSE)),"")</f>
        <v/>
      </c>
      <c r="U144" s="100" t="str">
        <f>IFERROR((VLOOKUP(TableRBRanks31[[#This Row],[Player]],RB!B:O,5,FALSE)),"")</f>
        <v/>
      </c>
      <c r="V144" s="100" t="str">
        <f>IFERROR((VLOOKUP(TableRBRanks31[[#This Row],[Player]],RB!B:O,6,FALSE)),"")</f>
        <v/>
      </c>
      <c r="W144" s="100" t="str">
        <f>IFERROR((VLOOKUP(TableRBRanks31[[#This Row],[Player]],RB!B:O,7,FALSE)),"")</f>
        <v/>
      </c>
      <c r="X144" s="100" t="str">
        <f>IFERROR((VLOOKUP(TableRBRanks31[[#This Row],[Player]],RB!B:O,8,FALSE)),"")</f>
        <v/>
      </c>
      <c r="Y144" s="100" t="str">
        <f>IFERROR((VLOOKUP(TableRBRanks31[[#This Row],[Player]],RB!B:O,9,FALSE)),"")</f>
        <v/>
      </c>
      <c r="Z144" s="100" t="str">
        <f>IFERROR((VLOOKUP(TableRBRanks31[[#This Row],[Player]],RB!B:O,10,FALSE)),"")</f>
        <v/>
      </c>
      <c r="AA144" s="95" t="str">
        <f>IFERROR((IFERROR(INDEX(TableRBCalcPts[Custom],MATCH(TableRBRanks31[[#This Row],[RK]],TableRBCalcPts[RK],0)),"")),"")</f>
        <v/>
      </c>
      <c r="AB14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4" s="145">
        <v>143</v>
      </c>
      <c r="AE144" s="145" t="str">
        <f>IFERROR(INDEX(TableWRCalcPts[PLAYER],MATCH(TableWRRanks32[[#This Row],[RK]],TableWRCalcPts[RK],0)),"")</f>
        <v>Tez Johnson</v>
      </c>
      <c r="AF144" s="145" t="str">
        <f>IFERROR(INDEX(TableWRCalcPts[TM],MATCH(TableWRRanks32[[#This Row],[Player]],TableWRCalcPts[PLAYER],0)),"")</f>
        <v>TB</v>
      </c>
      <c r="AG144" s="145">
        <f>IFERROR(INDEX(TableWRCalcPts[BYE],MATCH(TableWRRanks32[[#This Row],[Player]],TableWRCalcPts[PLAYER],0)),"")</f>
        <v>10</v>
      </c>
      <c r="AH144" s="146">
        <f>IFERROR((VLOOKUP(TableWRRanks32[[#This Row],[Player]],WR!B:O,4,FALSE)),"")</f>
        <v>0</v>
      </c>
      <c r="AI144" s="146">
        <f>IFERROR((VLOOKUP(TableWRRanks32[[#This Row],[Player]],WR!B:O,5,FALSE)),"")</f>
        <v>0</v>
      </c>
      <c r="AJ144" s="146">
        <f>IFERROR((VLOOKUP(TableWRRanks32[[#This Row],[Player]],WR!B:O,6,FALSE)),"")</f>
        <v>8.2774376999999966</v>
      </c>
      <c r="AK144" s="146">
        <f>IFERROR((VLOOKUP(TableWRRanks32[[#This Row],[Player]],WR!B:O,7,FALSE)),"")</f>
        <v>5.1733985624999974</v>
      </c>
      <c r="AL144" s="146">
        <f>IFERROR((VLOOKUP(TableWRRanks32[[#This Row],[Player]],WR!B:O,8,FALSE)),"")</f>
        <v>57.528192014999966</v>
      </c>
      <c r="AM144" s="146">
        <f>IFERROR((VLOOKUP(TableWRRanks32[[#This Row],[Player]],WR!B:O,9,FALSE)),"")</f>
        <v>0.54320684906249972</v>
      </c>
      <c r="AN144" s="147">
        <f>IFERROR((IFERROR(INDEX(TableWRCalcPts[Custom],MATCH(TableWRRanks32[[#This Row],[RK]],TableWRCalcPts[RK],0)),"")),"")</f>
        <v>11.598759577124993</v>
      </c>
      <c r="AO1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5" spans="16:41" x14ac:dyDescent="0.25">
      <c r="P145" s="58">
        <v>144</v>
      </c>
      <c r="Q145" s="58" t="str">
        <f>IFERROR(INDEX(TableRBCalcPts[PLAYER],MATCH(TableRBRanks31[[#This Row],[RK]],TableRBCalcPts[RK],0)),"")</f>
        <v/>
      </c>
      <c r="R145" s="58" t="str">
        <f>IFERROR(INDEX(TableRBCalcPts[TM],MATCH(TableRBRanks31[[#This Row],[Player]],TableRBCalcPts[PLAYER],0)),"")</f>
        <v/>
      </c>
      <c r="S145" s="58" t="str">
        <f>IFERROR(INDEX(TableRBCalcPts[BYE],MATCH(TableRBRanks31[[#This Row],[Player]],TableRBCalcPts[PLAYER],0)),"")</f>
        <v/>
      </c>
      <c r="T145" s="100" t="str">
        <f>IFERROR((VLOOKUP(TableRBRanks31[[#This Row],[Player]],RB!B:O,4,FALSE)),"")</f>
        <v/>
      </c>
      <c r="U145" s="100" t="str">
        <f>IFERROR((VLOOKUP(TableRBRanks31[[#This Row],[Player]],RB!B:O,5,FALSE)),"")</f>
        <v/>
      </c>
      <c r="V145" s="100" t="str">
        <f>IFERROR((VLOOKUP(TableRBRanks31[[#This Row],[Player]],RB!B:O,6,FALSE)),"")</f>
        <v/>
      </c>
      <c r="W145" s="100" t="str">
        <f>IFERROR((VLOOKUP(TableRBRanks31[[#This Row],[Player]],RB!B:O,7,FALSE)),"")</f>
        <v/>
      </c>
      <c r="X145" s="100" t="str">
        <f>IFERROR((VLOOKUP(TableRBRanks31[[#This Row],[Player]],RB!B:O,8,FALSE)),"")</f>
        <v/>
      </c>
      <c r="Y145" s="100" t="str">
        <f>IFERROR((VLOOKUP(TableRBRanks31[[#This Row],[Player]],RB!B:O,9,FALSE)),"")</f>
        <v/>
      </c>
      <c r="Z145" s="100" t="str">
        <f>IFERROR((VLOOKUP(TableRBRanks31[[#This Row],[Player]],RB!B:O,10,FALSE)),"")</f>
        <v/>
      </c>
      <c r="AA145" s="95" t="str">
        <f>IFERROR((IFERROR(INDEX(TableRBCalcPts[Custom],MATCH(TableRBRanks31[[#This Row],[RK]],TableRBCalcPts[RK],0)),"")),"")</f>
        <v/>
      </c>
      <c r="AB14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5" s="145">
        <v>144</v>
      </c>
      <c r="AE145" s="145" t="str">
        <f>IFERROR(INDEX(TableWRCalcPts[PLAYER],MATCH(TableWRRanks32[[#This Row],[RK]],TableWRCalcPts[RK],0)),"")</f>
        <v>Charlie Jones</v>
      </c>
      <c r="AF145" s="145" t="str">
        <f>IFERROR(INDEX(TableWRCalcPts[TM],MATCH(TableWRRanks32[[#This Row],[Player]],TableWRCalcPts[PLAYER],0)),"")</f>
        <v>CIN</v>
      </c>
      <c r="AG145" s="145">
        <f>IFERROR(INDEX(TableWRCalcPts[BYE],MATCH(TableWRRanks32[[#This Row],[Player]],TableWRCalcPts[PLAYER],0)),"")</f>
        <v>6</v>
      </c>
      <c r="AH145" s="146">
        <f>IFERROR((VLOOKUP(TableWRRanks32[[#This Row],[Player]],WR!B:O,4,FALSE)),"")</f>
        <v>0</v>
      </c>
      <c r="AI145" s="146">
        <f>IFERROR((VLOOKUP(TableWRRanks32[[#This Row],[Player]],WR!B:O,5,FALSE)),"")</f>
        <v>0</v>
      </c>
      <c r="AJ145" s="146">
        <f>IFERROR((VLOOKUP(TableWRRanks32[[#This Row],[Player]],WR!B:O,6,FALSE)),"")</f>
        <v>9.4906874999999999</v>
      </c>
      <c r="AK145" s="146">
        <f>IFERROR((VLOOKUP(TableWRRanks32[[#This Row],[Player]],WR!B:O,7,FALSE)),"")</f>
        <v>5.6944124999999994</v>
      </c>
      <c r="AL145" s="146">
        <f>IFERROR((VLOOKUP(TableWRRanks32[[#This Row],[Player]],WR!B:O,8,FALSE)),"")</f>
        <v>58.842262499999997</v>
      </c>
      <c r="AM145" s="146">
        <f>IFERROR((VLOOKUP(TableWRRanks32[[#This Row],[Player]],WR!B:O,9,FALSE)),"")</f>
        <v>0.39860887499999997</v>
      </c>
      <c r="AN145" s="147">
        <f>IFERROR((IFERROR(INDEX(TableWRCalcPts[Custom],MATCH(TableWRRanks32[[#This Row],[RK]],TableWRCalcPts[RK],0)),"")),"")</f>
        <v>11.123085750000001</v>
      </c>
      <c r="AO1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6" spans="16:41" x14ac:dyDescent="0.25">
      <c r="P146" s="58">
        <v>145</v>
      </c>
      <c r="Q146" s="58" t="str">
        <f>IFERROR(INDEX(TableRBCalcPts[PLAYER],MATCH(TableRBRanks31[[#This Row],[RK]],TableRBCalcPts[RK],0)),"")</f>
        <v/>
      </c>
      <c r="R146" s="58" t="str">
        <f>IFERROR(INDEX(TableRBCalcPts[TM],MATCH(TableRBRanks31[[#This Row],[Player]],TableRBCalcPts[PLAYER],0)),"")</f>
        <v/>
      </c>
      <c r="S146" s="58" t="str">
        <f>IFERROR(INDEX(TableRBCalcPts[BYE],MATCH(TableRBRanks31[[#This Row],[Player]],TableRBCalcPts[PLAYER],0)),"")</f>
        <v/>
      </c>
      <c r="T146" s="100" t="str">
        <f>IFERROR((VLOOKUP(TableRBRanks31[[#This Row],[Player]],RB!B:O,4,FALSE)),"")</f>
        <v/>
      </c>
      <c r="U146" s="100" t="str">
        <f>IFERROR((VLOOKUP(TableRBRanks31[[#This Row],[Player]],RB!B:O,5,FALSE)),"")</f>
        <v/>
      </c>
      <c r="V146" s="100" t="str">
        <f>IFERROR((VLOOKUP(TableRBRanks31[[#This Row],[Player]],RB!B:O,6,FALSE)),"")</f>
        <v/>
      </c>
      <c r="W146" s="100" t="str">
        <f>IFERROR((VLOOKUP(TableRBRanks31[[#This Row],[Player]],RB!B:O,7,FALSE)),"")</f>
        <v/>
      </c>
      <c r="X146" s="100" t="str">
        <f>IFERROR((VLOOKUP(TableRBRanks31[[#This Row],[Player]],RB!B:O,8,FALSE)),"")</f>
        <v/>
      </c>
      <c r="Y146" s="100" t="str">
        <f>IFERROR((VLOOKUP(TableRBRanks31[[#This Row],[Player]],RB!B:O,9,FALSE)),"")</f>
        <v/>
      </c>
      <c r="Z146" s="100" t="str">
        <f>IFERROR((VLOOKUP(TableRBRanks31[[#This Row],[Player]],RB!B:O,10,FALSE)),"")</f>
        <v/>
      </c>
      <c r="AA146" s="95" t="str">
        <f>IFERROR((IFERROR(INDEX(TableRBCalcPts[Custom],MATCH(TableRBRanks31[[#This Row],[RK]],TableRBCalcPts[RK],0)),"")),"")</f>
        <v/>
      </c>
      <c r="AB14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6" s="145">
        <v>145</v>
      </c>
      <c r="AE146" s="145" t="str">
        <f>IFERROR(INDEX(TableWRCalcPts[PLAYER],MATCH(TableWRRanks32[[#This Row],[RK]],TableWRCalcPts[RK],0)),"")</f>
        <v>K.J. Osborn</v>
      </c>
      <c r="AF146" s="145" t="str">
        <f>IFERROR(INDEX(TableWRCalcPts[TM],MATCH(TableWRRanks32[[#This Row],[Player]],TableWRCalcPts[PLAYER],0)),"")</f>
        <v>TEN</v>
      </c>
      <c r="AG146" s="145">
        <f>IFERROR(INDEX(TableWRCalcPts[BYE],MATCH(TableWRRanks32[[#This Row],[Player]],TableWRCalcPts[PLAYER],0)),"")</f>
        <v>9</v>
      </c>
      <c r="AH146" s="146">
        <f>IFERROR((VLOOKUP(TableWRRanks32[[#This Row],[Player]],WR!B:O,4,FALSE)),"")</f>
        <v>0</v>
      </c>
      <c r="AI146" s="146">
        <f>IFERROR((VLOOKUP(TableWRRanks32[[#This Row],[Player]],WR!B:O,5,FALSE)),"")</f>
        <v>0</v>
      </c>
      <c r="AJ146" s="146">
        <f>IFERROR((VLOOKUP(TableWRRanks32[[#This Row],[Player]],WR!B:O,6,FALSE)),"")</f>
        <v>8.2385856000000004</v>
      </c>
      <c r="AK146" s="146">
        <f>IFERROR((VLOOKUP(TableWRRanks32[[#This Row],[Player]],WR!B:O,7,FALSE)),"")</f>
        <v>5.0502529728000001</v>
      </c>
      <c r="AL146" s="146">
        <f>IFERROR((VLOOKUP(TableWRRanks32[[#This Row],[Player]],WR!B:O,8,FALSE)),"")</f>
        <v>56.461828235904001</v>
      </c>
      <c r="AM146" s="146">
        <f>IFERROR((VLOOKUP(TableWRRanks32[[#This Row],[Player]],WR!B:O,9,FALSE)),"")</f>
        <v>0.35856796106879996</v>
      </c>
      <c r="AN146" s="147">
        <f>IFERROR((IFERROR(INDEX(TableWRCalcPts[Custom],MATCH(TableWRRanks32[[#This Row],[RK]],TableWRCalcPts[RK],0)),"")),"")</f>
        <v>10.322717076403201</v>
      </c>
      <c r="AO1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7" spans="16:41" x14ac:dyDescent="0.25">
      <c r="P147" s="58">
        <v>146</v>
      </c>
      <c r="Q147" s="58" t="str">
        <f>IFERROR(INDEX(TableRBCalcPts[PLAYER],MATCH(TableRBRanks31[[#This Row],[RK]],TableRBCalcPts[RK],0)),"")</f>
        <v/>
      </c>
      <c r="R147" s="58" t="str">
        <f>IFERROR(INDEX(TableRBCalcPts[TM],MATCH(TableRBRanks31[[#This Row],[Player]],TableRBCalcPts[PLAYER],0)),"")</f>
        <v/>
      </c>
      <c r="S147" s="58" t="str">
        <f>IFERROR(INDEX(TableRBCalcPts[BYE],MATCH(TableRBRanks31[[#This Row],[Player]],TableRBCalcPts[PLAYER],0)),"")</f>
        <v/>
      </c>
      <c r="T147" s="100" t="str">
        <f>IFERROR((VLOOKUP(TableRBRanks31[[#This Row],[Player]],RB!B:O,4,FALSE)),"")</f>
        <v/>
      </c>
      <c r="U147" s="100" t="str">
        <f>IFERROR((VLOOKUP(TableRBRanks31[[#This Row],[Player]],RB!B:O,5,FALSE)),"")</f>
        <v/>
      </c>
      <c r="V147" s="100" t="str">
        <f>IFERROR((VLOOKUP(TableRBRanks31[[#This Row],[Player]],RB!B:O,6,FALSE)),"")</f>
        <v/>
      </c>
      <c r="W147" s="100" t="str">
        <f>IFERROR((VLOOKUP(TableRBRanks31[[#This Row],[Player]],RB!B:O,7,FALSE)),"")</f>
        <v/>
      </c>
      <c r="X147" s="100" t="str">
        <f>IFERROR((VLOOKUP(TableRBRanks31[[#This Row],[Player]],RB!B:O,8,FALSE)),"")</f>
        <v/>
      </c>
      <c r="Y147" s="100" t="str">
        <f>IFERROR((VLOOKUP(TableRBRanks31[[#This Row],[Player]],RB!B:O,9,FALSE)),"")</f>
        <v/>
      </c>
      <c r="Z147" s="100" t="str">
        <f>IFERROR((VLOOKUP(TableRBRanks31[[#This Row],[Player]],RB!B:O,10,FALSE)),"")</f>
        <v/>
      </c>
      <c r="AA147" s="95" t="str">
        <f>IFERROR((IFERROR(INDEX(TableRBCalcPts[Custom],MATCH(TableRBRanks31[[#This Row],[RK]],TableRBCalcPts[RK],0)),"")),"")</f>
        <v/>
      </c>
      <c r="AB14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7" s="145">
        <v>146</v>
      </c>
      <c r="AE147" s="145" t="str">
        <f>IFERROR(INDEX(TableWRCalcPts[PLAYER],MATCH(TableWRRanks32[[#This Row],[RK]],TableWRCalcPts[RK],0)),"")</f>
        <v>Cyrus Allen</v>
      </c>
      <c r="AF147" s="145" t="str">
        <f>IFERROR(INDEX(TableWRCalcPts[TM],MATCH(TableWRRanks32[[#This Row],[Player]],TableWRCalcPts[PLAYER],0)),"")</f>
        <v>KC</v>
      </c>
      <c r="AG147" s="145">
        <f>IFERROR(INDEX(TableWRCalcPts[BYE],MATCH(TableWRRanks32[[#This Row],[Player]],TableWRCalcPts[PLAYER],0)),"")</f>
        <v>5</v>
      </c>
      <c r="AH147" s="146">
        <f>IFERROR((VLOOKUP(TableWRRanks32[[#This Row],[Player]],WR!B:O,4,FALSE)),"")</f>
        <v>0</v>
      </c>
      <c r="AI147" s="146">
        <f>IFERROR((VLOOKUP(TableWRRanks32[[#This Row],[Player]],WR!B:O,5,FALSE)),"")</f>
        <v>0</v>
      </c>
      <c r="AJ147" s="146">
        <f>IFERROR((VLOOKUP(TableWRRanks32[[#This Row],[Player]],WR!B:O,6,FALSE)),"")</f>
        <v>8.7821474999999989</v>
      </c>
      <c r="AK147" s="146">
        <f>IFERROR((VLOOKUP(TableWRRanks32[[#This Row],[Player]],WR!B:O,7,FALSE)),"")</f>
        <v>4.6272159383333324</v>
      </c>
      <c r="AL147" s="146">
        <f>IFERROR((VLOOKUP(TableWRRanks32[[#This Row],[Player]],WR!B:O,8,FALSE)),"")</f>
        <v>55.322455120333316</v>
      </c>
      <c r="AM147" s="146">
        <f>IFERROR((VLOOKUP(TableWRRanks32[[#This Row],[Player]],WR!B:O,9,FALSE)),"")</f>
        <v>0.33778676349833325</v>
      </c>
      <c r="AN147" s="147">
        <f>IFERROR((IFERROR(INDEX(TableWRCalcPts[Custom],MATCH(TableWRRanks32[[#This Row],[RK]],TableWRCalcPts[RK],0)),"")),"")</f>
        <v>9.8725740621899973</v>
      </c>
      <c r="AO1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8" spans="16:41" x14ac:dyDescent="0.25">
      <c r="P148" s="58">
        <v>147</v>
      </c>
      <c r="Q148" s="58" t="str">
        <f>IFERROR(INDEX(TableRBCalcPts[PLAYER],MATCH(TableRBRanks31[[#This Row],[RK]],TableRBCalcPts[RK],0)),"")</f>
        <v/>
      </c>
      <c r="R148" s="58" t="str">
        <f>IFERROR(INDEX(TableRBCalcPts[TM],MATCH(TableRBRanks31[[#This Row],[Player]],TableRBCalcPts[PLAYER],0)),"")</f>
        <v/>
      </c>
      <c r="S148" s="58" t="str">
        <f>IFERROR(INDEX(TableRBCalcPts[BYE],MATCH(TableRBRanks31[[#This Row],[Player]],TableRBCalcPts[PLAYER],0)),"")</f>
        <v/>
      </c>
      <c r="T148" s="100" t="str">
        <f>IFERROR((VLOOKUP(TableRBRanks31[[#This Row],[Player]],RB!B:O,4,FALSE)),"")</f>
        <v/>
      </c>
      <c r="U148" s="100" t="str">
        <f>IFERROR((VLOOKUP(TableRBRanks31[[#This Row],[Player]],RB!B:O,5,FALSE)),"")</f>
        <v/>
      </c>
      <c r="V148" s="100" t="str">
        <f>IFERROR((VLOOKUP(TableRBRanks31[[#This Row],[Player]],RB!B:O,6,FALSE)),"")</f>
        <v/>
      </c>
      <c r="W148" s="100" t="str">
        <f>IFERROR((VLOOKUP(TableRBRanks31[[#This Row],[Player]],RB!B:O,7,FALSE)),"")</f>
        <v/>
      </c>
      <c r="X148" s="100" t="str">
        <f>IFERROR((VLOOKUP(TableRBRanks31[[#This Row],[Player]],RB!B:O,8,FALSE)),"")</f>
        <v/>
      </c>
      <c r="Y148" s="100" t="str">
        <f>IFERROR((VLOOKUP(TableRBRanks31[[#This Row],[Player]],RB!B:O,9,FALSE)),"")</f>
        <v/>
      </c>
      <c r="Z148" s="100" t="str">
        <f>IFERROR((VLOOKUP(TableRBRanks31[[#This Row],[Player]],RB!B:O,10,FALSE)),"")</f>
        <v/>
      </c>
      <c r="AA148" s="95" t="str">
        <f>IFERROR((IFERROR(INDEX(TableRBCalcPts[Custom],MATCH(TableRBRanks31[[#This Row],[RK]],TableRBCalcPts[RK],0)),"")),"")</f>
        <v/>
      </c>
      <c r="AB14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8" s="145">
        <v>147</v>
      </c>
      <c r="AE148" s="145" t="str">
        <f>IFERROR(INDEX(TableWRCalcPts[PLAYER],MATCH(TableWRRanks32[[#This Row],[RK]],TableWRCalcPts[RK],0)),"")</f>
        <v>Tai Felton</v>
      </c>
      <c r="AF148" s="145" t="str">
        <f>IFERROR(INDEX(TableWRCalcPts[TM],MATCH(TableWRRanks32[[#This Row],[Player]],TableWRCalcPts[PLAYER],0)),"")</f>
        <v>MIN</v>
      </c>
      <c r="AG148" s="145">
        <f>IFERROR(INDEX(TableWRCalcPts[BYE],MATCH(TableWRRanks32[[#This Row],[Player]],TableWRCalcPts[PLAYER],0)),"")</f>
        <v>6</v>
      </c>
      <c r="AH148" s="146">
        <f>IFERROR((VLOOKUP(TableWRRanks32[[#This Row],[Player]],WR!B:O,4,FALSE)),"")</f>
        <v>0</v>
      </c>
      <c r="AI148" s="146">
        <f>IFERROR((VLOOKUP(TableWRRanks32[[#This Row],[Player]],WR!B:O,5,FALSE)),"")</f>
        <v>0</v>
      </c>
      <c r="AJ148" s="146">
        <f>IFERROR((VLOOKUP(TableWRRanks32[[#This Row],[Player]],WR!B:O,6,FALSE)),"")</f>
        <v>7.9488192</v>
      </c>
      <c r="AK148" s="146">
        <f>IFERROR((VLOOKUP(TableWRRanks32[[#This Row],[Player]],WR!B:O,7,FALSE)),"")</f>
        <v>5.1508348416</v>
      </c>
      <c r="AL148" s="146">
        <f>IFERROR((VLOOKUP(TableWRRanks32[[#This Row],[Player]],WR!B:O,8,FALSE)),"")</f>
        <v>52.764423334148255</v>
      </c>
      <c r="AM148" s="146">
        <f>IFERROR((VLOOKUP(TableWRRanks32[[#This Row],[Player]],WR!B:O,9,FALSE)),"")</f>
        <v>0.30905009049600002</v>
      </c>
      <c r="AN148" s="147">
        <f>IFERROR((IFERROR(INDEX(TableWRCalcPts[Custom],MATCH(TableWRRanks32[[#This Row],[RK]],TableWRCalcPts[RK],0)),"")),"")</f>
        <v>9.7061602971908254</v>
      </c>
      <c r="AO1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9" spans="16:41" x14ac:dyDescent="0.25">
      <c r="P149" s="58">
        <v>148</v>
      </c>
      <c r="Q149" s="58" t="str">
        <f>IFERROR(INDEX(TableRBCalcPts[PLAYER],MATCH(TableRBRanks31[[#This Row],[RK]],TableRBCalcPts[RK],0)),"")</f>
        <v/>
      </c>
      <c r="R149" s="58" t="str">
        <f>IFERROR(INDEX(TableRBCalcPts[TM],MATCH(TableRBRanks31[[#This Row],[Player]],TableRBCalcPts[PLAYER],0)),"")</f>
        <v/>
      </c>
      <c r="S149" s="58" t="str">
        <f>IFERROR(INDEX(TableRBCalcPts[BYE],MATCH(TableRBRanks31[[#This Row],[Player]],TableRBCalcPts[PLAYER],0)),"")</f>
        <v/>
      </c>
      <c r="T149" s="100" t="str">
        <f>IFERROR((VLOOKUP(TableRBRanks31[[#This Row],[Player]],RB!B:O,4,FALSE)),"")</f>
        <v/>
      </c>
      <c r="U149" s="100" t="str">
        <f>IFERROR((VLOOKUP(TableRBRanks31[[#This Row],[Player]],RB!B:O,5,FALSE)),"")</f>
        <v/>
      </c>
      <c r="V149" s="100" t="str">
        <f>IFERROR((VLOOKUP(TableRBRanks31[[#This Row],[Player]],RB!B:O,6,FALSE)),"")</f>
        <v/>
      </c>
      <c r="W149" s="100" t="str">
        <f>IFERROR((VLOOKUP(TableRBRanks31[[#This Row],[Player]],RB!B:O,7,FALSE)),"")</f>
        <v/>
      </c>
      <c r="X149" s="100" t="str">
        <f>IFERROR((VLOOKUP(TableRBRanks31[[#This Row],[Player]],RB!B:O,8,FALSE)),"")</f>
        <v/>
      </c>
      <c r="Y149" s="100" t="str">
        <f>IFERROR((VLOOKUP(TableRBRanks31[[#This Row],[Player]],RB!B:O,9,FALSE)),"")</f>
        <v/>
      </c>
      <c r="Z149" s="100" t="str">
        <f>IFERROR((VLOOKUP(TableRBRanks31[[#This Row],[Player]],RB!B:O,10,FALSE)),"")</f>
        <v/>
      </c>
      <c r="AA149" s="95" t="str">
        <f>IFERROR((IFERROR(INDEX(TableRBCalcPts[Custom],MATCH(TableRBRanks31[[#This Row],[RK]],TableRBCalcPts[RK],0)),"")),"")</f>
        <v/>
      </c>
      <c r="AB14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9" s="145">
        <v>148</v>
      </c>
      <c r="AE149" s="145" t="str">
        <f>IFERROR(INDEX(TableWRCalcPts[PLAYER],MATCH(TableWRRanks32[[#This Row],[RK]],TableWRCalcPts[RK],0)),"")</f>
        <v>Mecole Hardman</v>
      </c>
      <c r="AF149" s="145" t="str">
        <f>IFERROR(INDEX(TableWRCalcPts[TM],MATCH(TableWRRanks32[[#This Row],[Player]],TableWRCalcPts[PLAYER],0)),"")</f>
        <v>BUF</v>
      </c>
      <c r="AG149" s="145">
        <f>IFERROR(INDEX(TableWRCalcPts[BYE],MATCH(TableWRRanks32[[#This Row],[Player]],TableWRCalcPts[PLAYER],0)),"")</f>
        <v>7</v>
      </c>
      <c r="AH149" s="146">
        <f>IFERROR((VLOOKUP(TableWRRanks32[[#This Row],[Player]],WR!B:O,4,FALSE)),"")</f>
        <v>0</v>
      </c>
      <c r="AI149" s="146">
        <f>IFERROR((VLOOKUP(TableWRRanks32[[#This Row],[Player]],WR!B:O,5,FALSE)),"")</f>
        <v>0</v>
      </c>
      <c r="AJ149" s="146">
        <f>IFERROR((VLOOKUP(TableWRRanks32[[#This Row],[Player]],WR!B:O,6,FALSE)),"")</f>
        <v>7.6613459999999973</v>
      </c>
      <c r="AK149" s="146">
        <f>IFERROR((VLOOKUP(TableWRRanks32[[#This Row],[Player]],WR!B:O,7,FALSE)),"")</f>
        <v>4.3746285659999984</v>
      </c>
      <c r="AL149" s="146">
        <f>IFERROR((VLOOKUP(TableWRRanks32[[#This Row],[Player]],WR!B:O,8,FALSE)),"")</f>
        <v>53.939170218779978</v>
      </c>
      <c r="AM149" s="146">
        <f>IFERROR((VLOOKUP(TableWRRanks32[[#This Row],[Player]],WR!B:O,9,FALSE)),"")</f>
        <v>0.26247771395999991</v>
      </c>
      <c r="AN149" s="147">
        <f>IFERROR((IFERROR(INDEX(TableWRCalcPts[Custom],MATCH(TableWRRanks32[[#This Row],[RK]],TableWRCalcPts[RK],0)),"")),"")</f>
        <v>9.1560975886379978</v>
      </c>
      <c r="AO1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0" spans="16:41" x14ac:dyDescent="0.25">
      <c r="P150" s="58">
        <v>149</v>
      </c>
      <c r="Q150" s="58" t="str">
        <f>IFERROR(INDEX(TableRBCalcPts[PLAYER],MATCH(TableRBRanks31[[#This Row],[RK]],TableRBCalcPts[RK],0)),"")</f>
        <v/>
      </c>
      <c r="R150" s="58" t="str">
        <f>IFERROR(INDEX(TableRBCalcPts[TM],MATCH(TableRBRanks31[[#This Row],[Player]],TableRBCalcPts[PLAYER],0)),"")</f>
        <v/>
      </c>
      <c r="S150" s="58" t="str">
        <f>IFERROR(INDEX(TableRBCalcPts[BYE],MATCH(TableRBRanks31[[#This Row],[Player]],TableRBCalcPts[PLAYER],0)),"")</f>
        <v/>
      </c>
      <c r="T150" s="100" t="str">
        <f>IFERROR((VLOOKUP(TableRBRanks31[[#This Row],[Player]],RB!B:O,4,FALSE)),"")</f>
        <v/>
      </c>
      <c r="U150" s="100" t="str">
        <f>IFERROR((VLOOKUP(TableRBRanks31[[#This Row],[Player]],RB!B:O,5,FALSE)),"")</f>
        <v/>
      </c>
      <c r="V150" s="100" t="str">
        <f>IFERROR((VLOOKUP(TableRBRanks31[[#This Row],[Player]],RB!B:O,6,FALSE)),"")</f>
        <v/>
      </c>
      <c r="W150" s="100" t="str">
        <f>IFERROR((VLOOKUP(TableRBRanks31[[#This Row],[Player]],RB!B:O,7,FALSE)),"")</f>
        <v/>
      </c>
      <c r="X150" s="100" t="str">
        <f>IFERROR((VLOOKUP(TableRBRanks31[[#This Row],[Player]],RB!B:O,8,FALSE)),"")</f>
        <v/>
      </c>
      <c r="Y150" s="100" t="str">
        <f>IFERROR((VLOOKUP(TableRBRanks31[[#This Row],[Player]],RB!B:O,9,FALSE)),"")</f>
        <v/>
      </c>
      <c r="Z150" s="100" t="str">
        <f>IFERROR((VLOOKUP(TableRBRanks31[[#This Row],[Player]],RB!B:O,10,FALSE)),"")</f>
        <v/>
      </c>
      <c r="AA150" s="95" t="str">
        <f>IFERROR((IFERROR(INDEX(TableRBCalcPts[Custom],MATCH(TableRBRanks31[[#This Row],[RK]],TableRBCalcPts[RK],0)),"")),"")</f>
        <v/>
      </c>
      <c r="AB15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0" s="145">
        <v>149</v>
      </c>
      <c r="AE150" s="145" t="str">
        <f>IFERROR(INDEX(TableWRCalcPts[PLAYER],MATCH(TableWRRanks32[[#This Row],[RK]],TableWRCalcPts[RK],0)),"")</f>
        <v>Jimmy Horn</v>
      </c>
      <c r="AF150" s="145" t="str">
        <f>IFERROR(INDEX(TableWRCalcPts[TM],MATCH(TableWRRanks32[[#This Row],[Player]],TableWRCalcPts[PLAYER],0)),"")</f>
        <v>CAR</v>
      </c>
      <c r="AG150" s="145">
        <f>IFERROR(INDEX(TableWRCalcPts[BYE],MATCH(TableWRRanks32[[#This Row],[Player]],TableWRCalcPts[PLAYER],0)),"")</f>
        <v>5</v>
      </c>
      <c r="AH150" s="146">
        <f>IFERROR((VLOOKUP(TableWRRanks32[[#This Row],[Player]],WR!B:O,4,FALSE)),"")</f>
        <v>19.428255</v>
      </c>
      <c r="AI150" s="146">
        <f>IFERROR((VLOOKUP(TableWRRanks32[[#This Row],[Player]],WR!B:O,5,FALSE)),"")</f>
        <v>4.9184210526315789E-2</v>
      </c>
      <c r="AJ150" s="146">
        <f>IFERROR((VLOOKUP(TableWRRanks32[[#This Row],[Player]],WR!B:O,6,FALSE)),"")</f>
        <v>5.3846099999999995</v>
      </c>
      <c r="AK150" s="146">
        <f>IFERROR((VLOOKUP(TableWRRanks32[[#This Row],[Player]],WR!B:O,7,FALSE)),"")</f>
        <v>3.4353811799999998</v>
      </c>
      <c r="AL150" s="146">
        <f>IFERROR((VLOOKUP(TableWRRanks32[[#This Row],[Player]],WR!B:O,8,FALSE)),"")</f>
        <v>31.605506855999995</v>
      </c>
      <c r="AM150" s="146">
        <f>IFERROR((VLOOKUP(TableWRRanks32[[#This Row],[Player]],WR!B:O,9,FALSE)),"")</f>
        <v>0.26452435085999998</v>
      </c>
      <c r="AN150" s="147">
        <f>IFERROR((IFERROR(INDEX(TableWRCalcPts[Custom],MATCH(TableWRRanks32[[#This Row],[RK]],TableWRCalcPts[RK],0)),"")),"")</f>
        <v>8.7033181439178939</v>
      </c>
      <c r="AO1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1" spans="16:41" x14ac:dyDescent="0.25">
      <c r="P151" s="58">
        <v>150</v>
      </c>
      <c r="Q151" s="58" t="str">
        <f>IFERROR(INDEX(TableRBCalcPts[PLAYER],MATCH(TableRBRanks31[[#This Row],[RK]],TableRBCalcPts[RK],0)),"")</f>
        <v/>
      </c>
      <c r="R151" s="58" t="str">
        <f>IFERROR(INDEX(TableRBCalcPts[TM],MATCH(TableRBRanks31[[#This Row],[Player]],TableRBCalcPts[PLAYER],0)),"")</f>
        <v/>
      </c>
      <c r="S151" s="58" t="str">
        <f>IFERROR(INDEX(TableRBCalcPts[BYE],MATCH(TableRBRanks31[[#This Row],[Player]],TableRBCalcPts[PLAYER],0)),"")</f>
        <v/>
      </c>
      <c r="T151" s="100" t="str">
        <f>IFERROR((VLOOKUP(TableRBRanks31[[#This Row],[Player]],RB!B:O,4,FALSE)),"")</f>
        <v/>
      </c>
      <c r="U151" s="100" t="str">
        <f>IFERROR((VLOOKUP(TableRBRanks31[[#This Row],[Player]],RB!B:O,5,FALSE)),"")</f>
        <v/>
      </c>
      <c r="V151" s="100" t="str">
        <f>IFERROR((VLOOKUP(TableRBRanks31[[#This Row],[Player]],RB!B:O,6,FALSE)),"")</f>
        <v/>
      </c>
      <c r="W151" s="100" t="str">
        <f>IFERROR((VLOOKUP(TableRBRanks31[[#This Row],[Player]],RB!B:O,7,FALSE)),"")</f>
        <v/>
      </c>
      <c r="X151" s="100" t="str">
        <f>IFERROR((VLOOKUP(TableRBRanks31[[#This Row],[Player]],RB!B:O,8,FALSE)),"")</f>
        <v/>
      </c>
      <c r="Y151" s="100" t="str">
        <f>IFERROR((VLOOKUP(TableRBRanks31[[#This Row],[Player]],RB!B:O,9,FALSE)),"")</f>
        <v/>
      </c>
      <c r="Z151" s="100" t="str">
        <f>IFERROR((VLOOKUP(TableRBRanks31[[#This Row],[Player]],RB!B:O,10,FALSE)),"")</f>
        <v/>
      </c>
      <c r="AA151" s="95" t="str">
        <f>IFERROR((IFERROR(INDEX(TableRBCalcPts[Custom],MATCH(TableRBRanks31[[#This Row],[RK]],TableRBCalcPts[RK],0)),"")),"")</f>
        <v/>
      </c>
      <c r="AB15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1" s="145">
        <v>150</v>
      </c>
      <c r="AE151" s="145" t="str">
        <f>IFERROR(INDEX(TableWRCalcPts[PLAYER],MATCH(TableWRRanks32[[#This Row],[RK]],TableWRCalcPts[RK],0)),"")</f>
        <v>Jonathan Mingo</v>
      </c>
      <c r="AF151" s="145" t="str">
        <f>IFERROR(INDEX(TableWRCalcPts[TM],MATCH(TableWRRanks32[[#This Row],[Player]],TableWRCalcPts[PLAYER],0)),"")</f>
        <v>DAL</v>
      </c>
      <c r="AG151" s="145">
        <f>IFERROR(INDEX(TableWRCalcPts[BYE],MATCH(TableWRRanks32[[#This Row],[Player]],TableWRCalcPts[PLAYER],0)),"")</f>
        <v>14</v>
      </c>
      <c r="AH151" s="146">
        <f>IFERROR((VLOOKUP(TableWRRanks32[[#This Row],[Player]],WR!B:O,4,FALSE)),"")</f>
        <v>0</v>
      </c>
      <c r="AI151" s="146">
        <f>IFERROR((VLOOKUP(TableWRRanks32[[#This Row],[Player]],WR!B:O,5,FALSE)),"")</f>
        <v>0</v>
      </c>
      <c r="AJ151" s="146">
        <f>IFERROR((VLOOKUP(TableWRRanks32[[#This Row],[Player]],WR!B:O,6,FALSE)),"")</f>
        <v>6.0276369999999995</v>
      </c>
      <c r="AK151" s="146">
        <f>IFERROR((VLOOKUP(TableWRRanks32[[#This Row],[Player]],WR!B:O,7,FALSE)),"")</f>
        <v>4.0083786049999999</v>
      </c>
      <c r="AL151" s="146">
        <f>IFERROR((VLOOKUP(TableWRRanks32[[#This Row],[Player]],WR!B:O,8,FALSE)),"")</f>
        <v>45.200147555713933</v>
      </c>
      <c r="AM151" s="146">
        <f>IFERROR((VLOOKUP(TableWRRanks32[[#This Row],[Player]],WR!B:O,9,FALSE)),"")</f>
        <v>0.35674569584499999</v>
      </c>
      <c r="AN151" s="147">
        <f>IFERROR((IFERROR(INDEX(TableWRCalcPts[Custom],MATCH(TableWRRanks32[[#This Row],[RK]],TableWRCalcPts[RK],0)),"")),"")</f>
        <v>8.6646782331413945</v>
      </c>
      <c r="AO1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2" spans="16:41" x14ac:dyDescent="0.25">
      <c r="P152" s="58">
        <v>151</v>
      </c>
      <c r="Q152" s="58" t="str">
        <f>IFERROR(INDEX(TableRBCalcPts[PLAYER],MATCH(TableRBRanks31[[#This Row],[RK]],TableRBCalcPts[RK],0)),"")</f>
        <v/>
      </c>
      <c r="R152" s="58" t="str">
        <f>IFERROR(INDEX(TableRBCalcPts[TM],MATCH(TableRBRanks31[[#This Row],[Player]],TableRBCalcPts[PLAYER],0)),"")</f>
        <v/>
      </c>
      <c r="S152" s="58" t="str">
        <f>IFERROR(INDEX(TableRBCalcPts[BYE],MATCH(TableRBRanks31[[#This Row],[Player]],TableRBCalcPts[PLAYER],0)),"")</f>
        <v/>
      </c>
      <c r="T152" s="100" t="str">
        <f>IFERROR((VLOOKUP(TableRBRanks31[[#This Row],[Player]],RB!B:O,4,FALSE)),"")</f>
        <v/>
      </c>
      <c r="U152" s="100" t="str">
        <f>IFERROR((VLOOKUP(TableRBRanks31[[#This Row],[Player]],RB!B:O,5,FALSE)),"")</f>
        <v/>
      </c>
      <c r="V152" s="100" t="str">
        <f>IFERROR((VLOOKUP(TableRBRanks31[[#This Row],[Player]],RB!B:O,6,FALSE)),"")</f>
        <v/>
      </c>
      <c r="W152" s="100" t="str">
        <f>IFERROR((VLOOKUP(TableRBRanks31[[#This Row],[Player]],RB!B:O,7,FALSE)),"")</f>
        <v/>
      </c>
      <c r="X152" s="100" t="str">
        <f>IFERROR((VLOOKUP(TableRBRanks31[[#This Row],[Player]],RB!B:O,8,FALSE)),"")</f>
        <v/>
      </c>
      <c r="Y152" s="100" t="str">
        <f>IFERROR((VLOOKUP(TableRBRanks31[[#This Row],[Player]],RB!B:O,9,FALSE)),"")</f>
        <v/>
      </c>
      <c r="Z152" s="100" t="str">
        <f>IFERROR((VLOOKUP(TableRBRanks31[[#This Row],[Player]],RB!B:O,10,FALSE)),"")</f>
        <v/>
      </c>
      <c r="AA152" s="95" t="str">
        <f>IFERROR((IFERROR(INDEX(TableRBCalcPts[Custom],MATCH(TableRBRanks31[[#This Row],[RK]],TableRBCalcPts[RK],0)),"")),"")</f>
        <v/>
      </c>
      <c r="AB15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2" s="145">
        <v>151</v>
      </c>
      <c r="AE152" s="145" t="str">
        <f>IFERROR(INDEX(TableWRCalcPts[PLAYER],MATCH(TableWRRanks32[[#This Row],[RK]],TableWRCalcPts[RK],0)),"")</f>
        <v>Cedric Tillman</v>
      </c>
      <c r="AF152" s="145" t="str">
        <f>IFERROR(INDEX(TableWRCalcPts[TM],MATCH(TableWRRanks32[[#This Row],[Player]],TableWRCalcPts[PLAYER],0)),"")</f>
        <v>CLE</v>
      </c>
      <c r="AG152" s="145">
        <f>IFERROR(INDEX(TableWRCalcPts[BYE],MATCH(TableWRRanks32[[#This Row],[Player]],TableWRCalcPts[PLAYER],0)),"")</f>
        <v>11</v>
      </c>
      <c r="AH152" s="146">
        <f>IFERROR((VLOOKUP(TableWRRanks32[[#This Row],[Player]],WR!B:O,4,FALSE)),"")</f>
        <v>0</v>
      </c>
      <c r="AI152" s="146">
        <f>IFERROR((VLOOKUP(TableWRRanks32[[#This Row],[Player]],WR!B:O,5,FALSE)),"")</f>
        <v>0</v>
      </c>
      <c r="AJ152" s="146">
        <f>IFERROR((VLOOKUP(TableWRRanks32[[#This Row],[Player]],WR!B:O,6,FALSE)),"")</f>
        <v>7.4220299999999995</v>
      </c>
      <c r="AK152" s="146">
        <f>IFERROR((VLOOKUP(TableWRRanks32[[#This Row],[Player]],WR!B:O,7,FALSE)),"")</f>
        <v>3.9336758999999999</v>
      </c>
      <c r="AL152" s="146">
        <f>IFERROR((VLOOKUP(TableWRRanks32[[#This Row],[Player]],WR!B:O,8,FALSE)),"")</f>
        <v>51.033005100000011</v>
      </c>
      <c r="AM152" s="146">
        <f>IFERROR((VLOOKUP(TableWRRanks32[[#This Row],[Player]],WR!B:O,9,FALSE)),"")</f>
        <v>0.26355628530000003</v>
      </c>
      <c r="AN152" s="147">
        <f>IFERROR((IFERROR(INDEX(TableWRCalcPts[Custom],MATCH(TableWRRanks32[[#This Row],[RK]],TableWRCalcPts[RK],0)),"")),"")</f>
        <v>8.6514761718000006</v>
      </c>
      <c r="AO1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3" spans="16:41" x14ac:dyDescent="0.25">
      <c r="P153" s="58">
        <v>152</v>
      </c>
      <c r="Q153" s="58" t="str">
        <f>IFERROR(INDEX(TableRBCalcPts[PLAYER],MATCH(TableRBRanks31[[#This Row],[RK]],TableRBCalcPts[RK],0)),"")</f>
        <v/>
      </c>
      <c r="R153" s="58" t="str">
        <f>IFERROR(INDEX(TableRBCalcPts[TM],MATCH(TableRBRanks31[[#This Row],[Player]],TableRBCalcPts[PLAYER],0)),"")</f>
        <v/>
      </c>
      <c r="S153" s="58" t="str">
        <f>IFERROR(INDEX(TableRBCalcPts[BYE],MATCH(TableRBRanks31[[#This Row],[Player]],TableRBCalcPts[PLAYER],0)),"")</f>
        <v/>
      </c>
      <c r="T153" s="100" t="str">
        <f>IFERROR((VLOOKUP(TableRBRanks31[[#This Row],[Player]],RB!B:O,4,FALSE)),"")</f>
        <v/>
      </c>
      <c r="U153" s="100" t="str">
        <f>IFERROR((VLOOKUP(TableRBRanks31[[#This Row],[Player]],RB!B:O,5,FALSE)),"")</f>
        <v/>
      </c>
      <c r="V153" s="100" t="str">
        <f>IFERROR((VLOOKUP(TableRBRanks31[[#This Row],[Player]],RB!B:O,6,FALSE)),"")</f>
        <v/>
      </c>
      <c r="W153" s="100" t="str">
        <f>IFERROR((VLOOKUP(TableRBRanks31[[#This Row],[Player]],RB!B:O,7,FALSE)),"")</f>
        <v/>
      </c>
      <c r="X153" s="100" t="str">
        <f>IFERROR((VLOOKUP(TableRBRanks31[[#This Row],[Player]],RB!B:O,8,FALSE)),"")</f>
        <v/>
      </c>
      <c r="Y153" s="100" t="str">
        <f>IFERROR((VLOOKUP(TableRBRanks31[[#This Row],[Player]],RB!B:O,9,FALSE)),"")</f>
        <v/>
      </c>
      <c r="Z153" s="100" t="str">
        <f>IFERROR((VLOOKUP(TableRBRanks31[[#This Row],[Player]],RB!B:O,10,FALSE)),"")</f>
        <v/>
      </c>
      <c r="AA153" s="95" t="str">
        <f>IFERROR((IFERROR(INDEX(TableRBCalcPts[Custom],MATCH(TableRBRanks31[[#This Row],[RK]],TableRBCalcPts[RK],0)),"")),"")</f>
        <v/>
      </c>
      <c r="AB15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3" s="145">
        <v>152</v>
      </c>
      <c r="AE153" s="145" t="str">
        <f>IFERROR(INDEX(TableWRCalcPts[PLAYER],MATCH(TableWRRanks32[[#This Row],[RK]],TableWRCalcPts[RK],0)),"")</f>
        <v>Beaux Collins</v>
      </c>
      <c r="AF153" s="145" t="str">
        <f>IFERROR(INDEX(TableWRCalcPts[TM],MATCH(TableWRRanks32[[#This Row],[Player]],TableWRCalcPts[PLAYER],0)),"")</f>
        <v>NYG</v>
      </c>
      <c r="AG153" s="145">
        <f>IFERROR(INDEX(TableWRCalcPts[BYE],MATCH(TableWRRanks32[[#This Row],[Player]],TableWRCalcPts[PLAYER],0)),"")</f>
        <v>8</v>
      </c>
      <c r="AH153" s="146">
        <f>IFERROR((VLOOKUP(TableWRRanks32[[#This Row],[Player]],WR!B:O,4,FALSE)),"")</f>
        <v>0</v>
      </c>
      <c r="AI153" s="146">
        <f>IFERROR((VLOOKUP(TableWRRanks32[[#This Row],[Player]],WR!B:O,5,FALSE)),"")</f>
        <v>0</v>
      </c>
      <c r="AJ153" s="146">
        <f>IFERROR((VLOOKUP(TableWRRanks32[[#This Row],[Player]],WR!B:O,6,FALSE)),"")</f>
        <v>14.8325646</v>
      </c>
      <c r="AK153" s="146">
        <f>IFERROR((VLOOKUP(TableWRRanks32[[#This Row],[Player]],WR!B:O,7,FALSE)),"")</f>
        <v>9.0033667122000001</v>
      </c>
      <c r="AL153" s="146">
        <f>IFERROR((VLOOKUP(TableWRRanks32[[#This Row],[Player]],WR!B:O,8,FALSE)),"")</f>
        <v>0</v>
      </c>
      <c r="AM153" s="146">
        <f>IFERROR((VLOOKUP(TableWRRanks32[[#This Row],[Player]],WR!B:O,9,FALSE)),"")</f>
        <v>0.63923903656619996</v>
      </c>
      <c r="AN153" s="147">
        <f>IFERROR((IFERROR(INDEX(TableWRCalcPts[Custom],MATCH(TableWRRanks32[[#This Row],[RK]],TableWRCalcPts[RK],0)),"")),"")</f>
        <v>8.3371175754971993</v>
      </c>
      <c r="AO1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4" spans="16:41" x14ac:dyDescent="0.25">
      <c r="P154" s="58">
        <v>153</v>
      </c>
      <c r="Q154" s="58" t="str">
        <f>IFERROR(INDEX(TableRBCalcPts[PLAYER],MATCH(TableRBRanks31[[#This Row],[RK]],TableRBCalcPts[RK],0)),"")</f>
        <v/>
      </c>
      <c r="R154" s="58" t="str">
        <f>IFERROR(INDEX(TableRBCalcPts[TM],MATCH(TableRBRanks31[[#This Row],[Player]],TableRBCalcPts[PLAYER],0)),"")</f>
        <v/>
      </c>
      <c r="S154" s="58" t="str">
        <f>IFERROR(INDEX(TableRBCalcPts[BYE],MATCH(TableRBRanks31[[#This Row],[Player]],TableRBCalcPts[PLAYER],0)),"")</f>
        <v/>
      </c>
      <c r="T154" s="100" t="str">
        <f>IFERROR((VLOOKUP(TableRBRanks31[[#This Row],[Player]],RB!B:O,4,FALSE)),"")</f>
        <v/>
      </c>
      <c r="U154" s="100" t="str">
        <f>IFERROR((VLOOKUP(TableRBRanks31[[#This Row],[Player]],RB!B:O,5,FALSE)),"")</f>
        <v/>
      </c>
      <c r="V154" s="100" t="str">
        <f>IFERROR((VLOOKUP(TableRBRanks31[[#This Row],[Player]],RB!B:O,6,FALSE)),"")</f>
        <v/>
      </c>
      <c r="W154" s="100" t="str">
        <f>IFERROR((VLOOKUP(TableRBRanks31[[#This Row],[Player]],RB!B:O,7,FALSE)),"")</f>
        <v/>
      </c>
      <c r="X154" s="100" t="str">
        <f>IFERROR((VLOOKUP(TableRBRanks31[[#This Row],[Player]],RB!B:O,8,FALSE)),"")</f>
        <v/>
      </c>
      <c r="Y154" s="100" t="str">
        <f>IFERROR((VLOOKUP(TableRBRanks31[[#This Row],[Player]],RB!B:O,9,FALSE)),"")</f>
        <v/>
      </c>
      <c r="Z154" s="100" t="str">
        <f>IFERROR((VLOOKUP(TableRBRanks31[[#This Row],[Player]],RB!B:O,10,FALSE)),"")</f>
        <v/>
      </c>
      <c r="AA154" s="95" t="str">
        <f>IFERROR((IFERROR(INDEX(TableRBCalcPts[Custom],MATCH(TableRBRanks31[[#This Row],[RK]],TableRBCalcPts[RK],0)),"")),"")</f>
        <v/>
      </c>
      <c r="AB15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4" s="145">
        <v>153</v>
      </c>
      <c r="AE154" s="145" t="str">
        <f>IFERROR(INDEX(TableWRCalcPts[PLAYER],MATCH(TableWRRanks32[[#This Row],[RK]],TableWRCalcPts[RK],0)),"")</f>
        <v>Darius Cooper</v>
      </c>
      <c r="AF154" s="145" t="str">
        <f>IFERROR(INDEX(TableWRCalcPts[TM],MATCH(TableWRRanks32[[#This Row],[Player]],TableWRCalcPts[PLAYER],0)),"")</f>
        <v>PHI</v>
      </c>
      <c r="AG154" s="145">
        <f>IFERROR(INDEX(TableWRCalcPts[BYE],MATCH(TableWRRanks32[[#This Row],[Player]],TableWRCalcPts[PLAYER],0)),"")</f>
        <v>10</v>
      </c>
      <c r="AH154" s="146">
        <f>IFERROR((VLOOKUP(TableWRRanks32[[#This Row],[Player]],WR!B:O,4,FALSE)),"")</f>
        <v>0</v>
      </c>
      <c r="AI154" s="146">
        <f>IFERROR((VLOOKUP(TableWRRanks32[[#This Row],[Player]],WR!B:O,5,FALSE)),"")</f>
        <v>0</v>
      </c>
      <c r="AJ154" s="146">
        <f>IFERROR((VLOOKUP(TableWRRanks32[[#This Row],[Player]],WR!B:O,6,FALSE)),"")</f>
        <v>7.2047051999999994</v>
      </c>
      <c r="AK154" s="146">
        <f>IFERROR((VLOOKUP(TableWRRanks32[[#This Row],[Player]],WR!B:O,7,FALSE)),"")</f>
        <v>4.2291619523999993</v>
      </c>
      <c r="AL154" s="146">
        <f>IFERROR((VLOOKUP(TableWRRanks32[[#This Row],[Player]],WR!B:O,8,FALSE)),"")</f>
        <v>42.71453571923999</v>
      </c>
      <c r="AM154" s="146">
        <f>IFERROR((VLOOKUP(TableWRRanks32[[#This Row],[Player]],WR!B:O,9,FALSE)),"")</f>
        <v>0.27489552690599994</v>
      </c>
      <c r="AN154" s="147">
        <f>IFERROR((IFERROR(INDEX(TableWRCalcPts[Custom],MATCH(TableWRRanks32[[#This Row],[RK]],TableWRCalcPts[RK],0)),"")),"")</f>
        <v>8.0354077095599976</v>
      </c>
      <c r="AO1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5" spans="16:41" x14ac:dyDescent="0.25">
      <c r="P155" s="58">
        <v>154</v>
      </c>
      <c r="Q155" s="58" t="str">
        <f>IFERROR(INDEX(TableRBCalcPts[PLAYER],MATCH(TableRBRanks31[[#This Row],[RK]],TableRBCalcPts[RK],0)),"")</f>
        <v/>
      </c>
      <c r="R155" s="58" t="str">
        <f>IFERROR(INDEX(TableRBCalcPts[TM],MATCH(TableRBRanks31[[#This Row],[Player]],TableRBCalcPts[PLAYER],0)),"")</f>
        <v/>
      </c>
      <c r="S155" s="58" t="str">
        <f>IFERROR(INDEX(TableRBCalcPts[BYE],MATCH(TableRBRanks31[[#This Row],[Player]],TableRBCalcPts[PLAYER],0)),"")</f>
        <v/>
      </c>
      <c r="T155" s="100" t="str">
        <f>IFERROR((VLOOKUP(TableRBRanks31[[#This Row],[Player]],RB!B:O,4,FALSE)),"")</f>
        <v/>
      </c>
      <c r="U155" s="100" t="str">
        <f>IFERROR((VLOOKUP(TableRBRanks31[[#This Row],[Player]],RB!B:O,5,FALSE)),"")</f>
        <v/>
      </c>
      <c r="V155" s="100" t="str">
        <f>IFERROR((VLOOKUP(TableRBRanks31[[#This Row],[Player]],RB!B:O,6,FALSE)),"")</f>
        <v/>
      </c>
      <c r="W155" s="100" t="str">
        <f>IFERROR((VLOOKUP(TableRBRanks31[[#This Row],[Player]],RB!B:O,7,FALSE)),"")</f>
        <v/>
      </c>
      <c r="X155" s="100" t="str">
        <f>IFERROR((VLOOKUP(TableRBRanks31[[#This Row],[Player]],RB!B:O,8,FALSE)),"")</f>
        <v/>
      </c>
      <c r="Y155" s="100" t="str">
        <f>IFERROR((VLOOKUP(TableRBRanks31[[#This Row],[Player]],RB!B:O,9,FALSE)),"")</f>
        <v/>
      </c>
      <c r="Z155" s="100" t="str">
        <f>IFERROR((VLOOKUP(TableRBRanks31[[#This Row],[Player]],RB!B:O,10,FALSE)),"")</f>
        <v/>
      </c>
      <c r="AA155" s="95" t="str">
        <f>IFERROR((IFERROR(INDEX(TableRBCalcPts[Custom],MATCH(TableRBRanks31[[#This Row],[RK]],TableRBCalcPts[RK],0)),"")),"")</f>
        <v/>
      </c>
      <c r="AB15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5" s="145">
        <v>154</v>
      </c>
      <c r="AE155" s="145" t="str">
        <f>IFERROR(INDEX(TableWRCalcPts[PLAYER],MATCH(TableWRRanks32[[#This Row],[RK]],TableWRCalcPts[RK],0)),"")</f>
        <v>Cedrick Wilson</v>
      </c>
      <c r="AF155" s="145" t="str">
        <f>IFERROR(INDEX(TableWRCalcPts[TM],MATCH(TableWRRanks32[[#This Row],[Player]],TableWRCalcPts[PLAYER],0)),"")</f>
        <v>DET</v>
      </c>
      <c r="AG155" s="145">
        <f>IFERROR(INDEX(TableWRCalcPts[BYE],MATCH(TableWRRanks32[[#This Row],[Player]],TableWRCalcPts[PLAYER],0)),"")</f>
        <v>6</v>
      </c>
      <c r="AH155" s="146">
        <f>IFERROR((VLOOKUP(TableWRRanks32[[#This Row],[Player]],WR!B:O,4,FALSE)),"")</f>
        <v>0</v>
      </c>
      <c r="AI155" s="146">
        <f>IFERROR((VLOOKUP(TableWRRanks32[[#This Row],[Player]],WR!B:O,5,FALSE)),"")</f>
        <v>0</v>
      </c>
      <c r="AJ155" s="146">
        <f>IFERROR((VLOOKUP(TableWRRanks32[[#This Row],[Player]],WR!B:O,6,FALSE)),"")</f>
        <v>5.8541279999999984</v>
      </c>
      <c r="AK155" s="146">
        <f>IFERROR((VLOOKUP(TableWRRanks32[[#This Row],[Player]],WR!B:O,7,FALSE)),"")</f>
        <v>3.8637244799999992</v>
      </c>
      <c r="AL155" s="146">
        <f>IFERROR((VLOOKUP(TableWRRanks32[[#This Row],[Player]],WR!B:O,8,FALSE)),"")</f>
        <v>46.75106620799999</v>
      </c>
      <c r="AM155" s="146">
        <f>IFERROR((VLOOKUP(TableWRRanks32[[#This Row],[Player]],WR!B:O,9,FALSE)),"")</f>
        <v>0.23182346879999993</v>
      </c>
      <c r="AN155" s="147">
        <f>IFERROR((IFERROR(INDEX(TableWRCalcPts[Custom],MATCH(TableWRRanks32[[#This Row],[RK]],TableWRCalcPts[RK],0)),"")),"")</f>
        <v>7.9979096735999979</v>
      </c>
      <c r="AO1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6" spans="16:41" x14ac:dyDescent="0.25">
      <c r="P156" s="58">
        <v>155</v>
      </c>
      <c r="Q156" s="58" t="str">
        <f>IFERROR(INDEX(TableRBCalcPts[PLAYER],MATCH(TableRBRanks31[[#This Row],[RK]],TableRBCalcPts[RK],0)),"")</f>
        <v/>
      </c>
      <c r="R156" s="58" t="str">
        <f>IFERROR(INDEX(TableRBCalcPts[TM],MATCH(TableRBRanks31[[#This Row],[Player]],TableRBCalcPts[PLAYER],0)),"")</f>
        <v/>
      </c>
      <c r="S156" s="58" t="str">
        <f>IFERROR(INDEX(TableRBCalcPts[BYE],MATCH(TableRBRanks31[[#This Row],[Player]],TableRBCalcPts[PLAYER],0)),"")</f>
        <v/>
      </c>
      <c r="T156" s="100" t="str">
        <f>IFERROR((VLOOKUP(TableRBRanks31[[#This Row],[Player]],RB!B:O,4,FALSE)),"")</f>
        <v/>
      </c>
      <c r="U156" s="100" t="str">
        <f>IFERROR((VLOOKUP(TableRBRanks31[[#This Row],[Player]],RB!B:O,5,FALSE)),"")</f>
        <v/>
      </c>
      <c r="V156" s="100" t="str">
        <f>IFERROR((VLOOKUP(TableRBRanks31[[#This Row],[Player]],RB!B:O,6,FALSE)),"")</f>
        <v/>
      </c>
      <c r="W156" s="100" t="str">
        <f>IFERROR((VLOOKUP(TableRBRanks31[[#This Row],[Player]],RB!B:O,7,FALSE)),"")</f>
        <v/>
      </c>
      <c r="X156" s="100" t="str">
        <f>IFERROR((VLOOKUP(TableRBRanks31[[#This Row],[Player]],RB!B:O,8,FALSE)),"")</f>
        <v/>
      </c>
      <c r="Y156" s="100" t="str">
        <f>IFERROR((VLOOKUP(TableRBRanks31[[#This Row],[Player]],RB!B:O,9,FALSE)),"")</f>
        <v/>
      </c>
      <c r="Z156" s="100" t="str">
        <f>IFERROR((VLOOKUP(TableRBRanks31[[#This Row],[Player]],RB!B:O,10,FALSE)),"")</f>
        <v/>
      </c>
      <c r="AA156" s="95" t="str">
        <f>IFERROR((IFERROR(INDEX(TableRBCalcPts[Custom],MATCH(TableRBRanks31[[#This Row],[RK]],TableRBCalcPts[RK],0)),"")),"")</f>
        <v/>
      </c>
      <c r="AB15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6" s="145">
        <v>155</v>
      </c>
      <c r="AE156" s="145" t="str">
        <f>IFERROR(INDEX(TableWRCalcPts[PLAYER],MATCH(TableWRRanks32[[#This Row],[RK]],TableWRCalcPts[RK],0)),"")</f>
        <v>Bo Melton</v>
      </c>
      <c r="AF156" s="145" t="str">
        <f>IFERROR(INDEX(TableWRCalcPts[TM],MATCH(TableWRRanks32[[#This Row],[Player]],TableWRCalcPts[PLAYER],0)),"")</f>
        <v>GB</v>
      </c>
      <c r="AG156" s="145">
        <f>IFERROR(INDEX(TableWRCalcPts[BYE],MATCH(TableWRRanks32[[#This Row],[Player]],TableWRCalcPts[PLAYER],0)),"")</f>
        <v>11</v>
      </c>
      <c r="AH156" s="146">
        <f>IFERROR((VLOOKUP(TableWRRanks32[[#This Row],[Player]],WR!B:O,4,FALSE)),"")</f>
        <v>0</v>
      </c>
      <c r="AI156" s="146">
        <f>IFERROR((VLOOKUP(TableWRRanks32[[#This Row],[Player]],WR!B:O,5,FALSE)),"")</f>
        <v>0</v>
      </c>
      <c r="AJ156" s="146">
        <f>IFERROR((VLOOKUP(TableWRRanks32[[#This Row],[Player]],WR!B:O,6,FALSE)),"")</f>
        <v>5.2177760804020092</v>
      </c>
      <c r="AK156" s="146">
        <f>IFERROR((VLOOKUP(TableWRRanks32[[#This Row],[Player]],WR!B:O,7,FALSE)),"")</f>
        <v>3.7828876582914566</v>
      </c>
      <c r="AL156" s="146">
        <f>IFERROR((VLOOKUP(TableWRRanks32[[#This Row],[Player]],WR!B:O,8,FALSE)),"")</f>
        <v>46.320359563566747</v>
      </c>
      <c r="AM156" s="146">
        <f>IFERROR((VLOOKUP(TableWRRanks32[[#This Row],[Player]],WR!B:O,9,FALSE)),"")</f>
        <v>0.2269732594974874</v>
      </c>
      <c r="AN156" s="147">
        <f>IFERROR((IFERROR(INDEX(TableWRCalcPts[Custom],MATCH(TableWRRanks32[[#This Row],[RK]],TableWRCalcPts[RK],0)),"")),"")</f>
        <v>7.8853193424873274</v>
      </c>
      <c r="AO1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7" spans="16:41" x14ac:dyDescent="0.25">
      <c r="P157" s="58">
        <v>156</v>
      </c>
      <c r="Q157" s="58" t="str">
        <f>IFERROR(INDEX(TableRBCalcPts[PLAYER],MATCH(TableRBRanks31[[#This Row],[RK]],TableRBCalcPts[RK],0)),"")</f>
        <v/>
      </c>
      <c r="R157" s="58" t="str">
        <f>IFERROR(INDEX(TableRBCalcPts[TM],MATCH(TableRBRanks31[[#This Row],[Player]],TableRBCalcPts[PLAYER],0)),"")</f>
        <v/>
      </c>
      <c r="S157" s="58" t="str">
        <f>IFERROR(INDEX(TableRBCalcPts[BYE],MATCH(TableRBRanks31[[#This Row],[Player]],TableRBCalcPts[PLAYER],0)),"")</f>
        <v/>
      </c>
      <c r="T157" s="100" t="str">
        <f>IFERROR((VLOOKUP(TableRBRanks31[[#This Row],[Player]],RB!B:O,4,FALSE)),"")</f>
        <v/>
      </c>
      <c r="U157" s="100" t="str">
        <f>IFERROR((VLOOKUP(TableRBRanks31[[#This Row],[Player]],RB!B:O,5,FALSE)),"")</f>
        <v/>
      </c>
      <c r="V157" s="100" t="str">
        <f>IFERROR((VLOOKUP(TableRBRanks31[[#This Row],[Player]],RB!B:O,6,FALSE)),"")</f>
        <v/>
      </c>
      <c r="W157" s="100" t="str">
        <f>IFERROR((VLOOKUP(TableRBRanks31[[#This Row],[Player]],RB!B:O,7,FALSE)),"")</f>
        <v/>
      </c>
      <c r="X157" s="100" t="str">
        <f>IFERROR((VLOOKUP(TableRBRanks31[[#This Row],[Player]],RB!B:O,8,FALSE)),"")</f>
        <v/>
      </c>
      <c r="Y157" s="100" t="str">
        <f>IFERROR((VLOOKUP(TableRBRanks31[[#This Row],[Player]],RB!B:O,9,FALSE)),"")</f>
        <v/>
      </c>
      <c r="Z157" s="100" t="str">
        <f>IFERROR((VLOOKUP(TableRBRanks31[[#This Row],[Player]],RB!B:O,10,FALSE)),"")</f>
        <v/>
      </c>
      <c r="AA157" s="95" t="str">
        <f>IFERROR((IFERROR(INDEX(TableRBCalcPts[Custom],MATCH(TableRBRanks31[[#This Row],[RK]],TableRBCalcPts[RK],0)),"")),"")</f>
        <v/>
      </c>
      <c r="AB15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7" s="145">
        <v>156</v>
      </c>
      <c r="AE157" s="145" t="str">
        <f>IFERROR(INDEX(TableWRCalcPts[PLAYER],MATCH(TableWRRanks32[[#This Row],[RK]],TableWRCalcPts[RK],0)),"")</f>
        <v>Roman Wilson</v>
      </c>
      <c r="AF157" s="145" t="str">
        <f>IFERROR(INDEX(TableWRCalcPts[TM],MATCH(TableWRRanks32[[#This Row],[Player]],TableWRCalcPts[PLAYER],0)),"")</f>
        <v>PIT</v>
      </c>
      <c r="AG157" s="145">
        <f>IFERROR(INDEX(TableWRCalcPts[BYE],MATCH(TableWRRanks32[[#This Row],[Player]],TableWRCalcPts[PLAYER],0)),"")</f>
        <v>9</v>
      </c>
      <c r="AH157" s="146">
        <f>IFERROR((VLOOKUP(TableWRRanks32[[#This Row],[Player]],WR!B:O,4,FALSE)),"")</f>
        <v>0</v>
      </c>
      <c r="AI157" s="146">
        <f>IFERROR((VLOOKUP(TableWRRanks32[[#This Row],[Player]],WR!B:O,5,FALSE)),"")</f>
        <v>0</v>
      </c>
      <c r="AJ157" s="146">
        <f>IFERROR((VLOOKUP(TableWRRanks32[[#This Row],[Player]],WR!B:O,6,FALSE)),"")</f>
        <v>5.6800800000000002</v>
      </c>
      <c r="AK157" s="146">
        <f>IFERROR((VLOOKUP(TableWRRanks32[[#This Row],[Player]],WR!B:O,7,FALSE)),"")</f>
        <v>3.6693316800000004</v>
      </c>
      <c r="AL157" s="146">
        <f>IFERROR((VLOOKUP(TableWRRanks32[[#This Row],[Player]],WR!B:O,8,FALSE)),"")</f>
        <v>45.0960863472</v>
      </c>
      <c r="AM157" s="146">
        <f>IFERROR((VLOOKUP(TableWRRanks32[[#This Row],[Player]],WR!B:O,9,FALSE)),"")</f>
        <v>0.24693060781162679</v>
      </c>
      <c r="AN157" s="147">
        <f>IFERROR((IFERROR(INDEX(TableWRCalcPts[Custom],MATCH(TableWRRanks32[[#This Row],[RK]],TableWRCalcPts[RK],0)),"")),"")</f>
        <v>7.8258581215897616</v>
      </c>
      <c r="AO1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8" spans="16:41" x14ac:dyDescent="0.25">
      <c r="P158" s="58">
        <v>157</v>
      </c>
      <c r="Q158" s="58" t="str">
        <f>IFERROR(INDEX(TableRBCalcPts[PLAYER],MATCH(TableRBRanks31[[#This Row],[RK]],TableRBCalcPts[RK],0)),"")</f>
        <v/>
      </c>
      <c r="R158" s="58" t="str">
        <f>IFERROR(INDEX(TableRBCalcPts[TM],MATCH(TableRBRanks31[[#This Row],[Player]],TableRBCalcPts[PLAYER],0)),"")</f>
        <v/>
      </c>
      <c r="S158" s="58" t="str">
        <f>IFERROR(INDEX(TableRBCalcPts[BYE],MATCH(TableRBRanks31[[#This Row],[Player]],TableRBCalcPts[PLAYER],0)),"")</f>
        <v/>
      </c>
      <c r="T158" s="100" t="str">
        <f>IFERROR((VLOOKUP(TableRBRanks31[[#This Row],[Player]],RB!B:O,4,FALSE)),"")</f>
        <v/>
      </c>
      <c r="U158" s="100" t="str">
        <f>IFERROR((VLOOKUP(TableRBRanks31[[#This Row],[Player]],RB!B:O,5,FALSE)),"")</f>
        <v/>
      </c>
      <c r="V158" s="100" t="str">
        <f>IFERROR((VLOOKUP(TableRBRanks31[[#This Row],[Player]],RB!B:O,6,FALSE)),"")</f>
        <v/>
      </c>
      <c r="W158" s="100" t="str">
        <f>IFERROR((VLOOKUP(TableRBRanks31[[#This Row],[Player]],RB!B:O,7,FALSE)),"")</f>
        <v/>
      </c>
      <c r="X158" s="100" t="str">
        <f>IFERROR((VLOOKUP(TableRBRanks31[[#This Row],[Player]],RB!B:O,8,FALSE)),"")</f>
        <v/>
      </c>
      <c r="Y158" s="100" t="str">
        <f>IFERROR((VLOOKUP(TableRBRanks31[[#This Row],[Player]],RB!B:O,9,FALSE)),"")</f>
        <v/>
      </c>
      <c r="Z158" s="100" t="str">
        <f>IFERROR((VLOOKUP(TableRBRanks31[[#This Row],[Player]],RB!B:O,10,FALSE)),"")</f>
        <v/>
      </c>
      <c r="AA158" s="95" t="str">
        <f>IFERROR((IFERROR(INDEX(TableRBCalcPts[Custom],MATCH(TableRBRanks31[[#This Row],[RK]],TableRBCalcPts[RK],0)),"")),"")</f>
        <v/>
      </c>
      <c r="AB15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8" s="145">
        <v>157</v>
      </c>
      <c r="AE158" s="145" t="str">
        <f>IFERROR(INDEX(TableWRCalcPts[PLAYER],MATCH(TableWRRanks32[[#This Row],[RK]],TableWRCalcPts[RK],0)),"")</f>
        <v>Reggie Virgil</v>
      </c>
      <c r="AF158" s="145" t="str">
        <f>IFERROR(INDEX(TableWRCalcPts[TM],MATCH(TableWRRanks32[[#This Row],[Player]],TableWRCalcPts[PLAYER],0)),"")</f>
        <v>ARI</v>
      </c>
      <c r="AG158" s="145">
        <f>IFERROR(INDEX(TableWRCalcPts[BYE],MATCH(TableWRRanks32[[#This Row],[Player]],TableWRCalcPts[PLAYER],0)),"")</f>
        <v>14</v>
      </c>
      <c r="AH158" s="146">
        <f>IFERROR((VLOOKUP(TableWRRanks32[[#This Row],[Player]],WR!B:O,4,FALSE)),"")</f>
        <v>0</v>
      </c>
      <c r="AI158" s="146">
        <f>IFERROR((VLOOKUP(TableWRRanks32[[#This Row],[Player]],WR!B:O,5,FALSE)),"")</f>
        <v>0</v>
      </c>
      <c r="AJ158" s="146">
        <f>IFERROR((VLOOKUP(TableWRRanks32[[#This Row],[Player]],WR!B:O,6,FALSE)),"")</f>
        <v>7.227147200000001</v>
      </c>
      <c r="AK158" s="146">
        <f>IFERROR((VLOOKUP(TableWRRanks32[[#This Row],[Player]],WR!B:O,7,FALSE)),"")</f>
        <v>3.8520694576000007</v>
      </c>
      <c r="AL158" s="146">
        <f>IFERROR((VLOOKUP(TableWRRanks32[[#This Row],[Player]],WR!B:O,8,FALSE)),"")</f>
        <v>42.950574452240012</v>
      </c>
      <c r="AM158" s="146">
        <f>IFERROR((VLOOKUP(TableWRRanks32[[#This Row],[Player]],WR!B:O,9,FALSE)),"")</f>
        <v>0.23497623691360003</v>
      </c>
      <c r="AN158" s="147">
        <f>IFERROR((IFERROR(INDEX(TableWRCalcPts[Custom],MATCH(TableWRRanks32[[#This Row],[RK]],TableWRCalcPts[RK],0)),"")),"")</f>
        <v>7.6309495955056024</v>
      </c>
      <c r="AO1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9" spans="16:41" x14ac:dyDescent="0.25">
      <c r="P159" s="58">
        <v>158</v>
      </c>
      <c r="Q159" s="58" t="str">
        <f>IFERROR(INDEX(TableRBCalcPts[PLAYER],MATCH(TableRBRanks31[[#This Row],[RK]],TableRBCalcPts[RK],0)),"")</f>
        <v/>
      </c>
      <c r="R159" s="58" t="str">
        <f>IFERROR(INDEX(TableRBCalcPts[TM],MATCH(TableRBRanks31[[#This Row],[Player]],TableRBCalcPts[PLAYER],0)),"")</f>
        <v/>
      </c>
      <c r="S159" s="58" t="str">
        <f>IFERROR(INDEX(TableRBCalcPts[BYE],MATCH(TableRBRanks31[[#This Row],[Player]],TableRBCalcPts[PLAYER],0)),"")</f>
        <v/>
      </c>
      <c r="T159" s="100" t="str">
        <f>IFERROR((VLOOKUP(TableRBRanks31[[#This Row],[Player]],RB!B:O,4,FALSE)),"")</f>
        <v/>
      </c>
      <c r="U159" s="100" t="str">
        <f>IFERROR((VLOOKUP(TableRBRanks31[[#This Row],[Player]],RB!B:O,5,FALSE)),"")</f>
        <v/>
      </c>
      <c r="V159" s="100" t="str">
        <f>IFERROR((VLOOKUP(TableRBRanks31[[#This Row],[Player]],RB!B:O,6,FALSE)),"")</f>
        <v/>
      </c>
      <c r="W159" s="100" t="str">
        <f>IFERROR((VLOOKUP(TableRBRanks31[[#This Row],[Player]],RB!B:O,7,FALSE)),"")</f>
        <v/>
      </c>
      <c r="X159" s="100" t="str">
        <f>IFERROR((VLOOKUP(TableRBRanks31[[#This Row],[Player]],RB!B:O,8,FALSE)),"")</f>
        <v/>
      </c>
      <c r="Y159" s="100" t="str">
        <f>IFERROR((VLOOKUP(TableRBRanks31[[#This Row],[Player]],RB!B:O,9,FALSE)),"")</f>
        <v/>
      </c>
      <c r="Z159" s="100" t="str">
        <f>IFERROR((VLOOKUP(TableRBRanks31[[#This Row],[Player]],RB!B:O,10,FALSE)),"")</f>
        <v/>
      </c>
      <c r="AA159" s="95" t="str">
        <f>IFERROR((IFERROR(INDEX(TableRBCalcPts[Custom],MATCH(TableRBRanks31[[#This Row],[RK]],TableRBCalcPts[RK],0)),"")),"")</f>
        <v/>
      </c>
      <c r="AB15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9" s="145">
        <v>158</v>
      </c>
      <c r="AE159" s="145" t="str">
        <f>IFERROR(INDEX(TableWRCalcPts[PLAYER],MATCH(TableWRRanks32[[#This Row],[RK]],TableWRCalcPts[RK],0)),"")</f>
        <v>Marquez Valdes-Scantling</v>
      </c>
      <c r="AF159" s="145" t="str">
        <f>IFERROR(INDEX(TableWRCalcPts[TM],MATCH(TableWRRanks32[[#This Row],[Player]],TableWRCalcPts[PLAYER],0)),"")</f>
        <v>DAL</v>
      </c>
      <c r="AG159" s="145">
        <f>IFERROR(INDEX(TableWRCalcPts[BYE],MATCH(TableWRRanks32[[#This Row],[Player]],TableWRCalcPts[PLAYER],0)),"")</f>
        <v>14</v>
      </c>
      <c r="AH159" s="146">
        <f>IFERROR((VLOOKUP(TableWRRanks32[[#This Row],[Player]],WR!B:O,4,FALSE)),"")</f>
        <v>0</v>
      </c>
      <c r="AI159" s="146">
        <f>IFERROR((VLOOKUP(TableWRRanks32[[#This Row],[Player]],WR!B:O,5,FALSE)),"")</f>
        <v>0</v>
      </c>
      <c r="AJ159" s="146">
        <f>IFERROR((VLOOKUP(TableWRRanks32[[#This Row],[Player]],WR!B:O,6,FALSE)),"")</f>
        <v>6.0276369999999995</v>
      </c>
      <c r="AK159" s="146">
        <f>IFERROR((VLOOKUP(TableWRRanks32[[#This Row],[Player]],WR!B:O,7,FALSE)),"")</f>
        <v>4.0385167900000001</v>
      </c>
      <c r="AL159" s="146">
        <f>IFERROR((VLOOKUP(TableWRRanks32[[#This Row],[Player]],WR!B:O,8,FALSE)),"")</f>
        <v>55.327680022999999</v>
      </c>
      <c r="AM159" s="146">
        <f>IFERROR((VLOOKUP(TableWRRanks32[[#This Row],[Player]],WR!B:O,9,FALSE)),"")</f>
        <v>0</v>
      </c>
      <c r="AN159" s="147">
        <f>IFERROR((IFERROR(INDEX(TableWRCalcPts[Custom],MATCH(TableWRRanks32[[#This Row],[RK]],TableWRCalcPts[RK],0)),"")),"")</f>
        <v>7.5520263973000006</v>
      </c>
      <c r="AO1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0" spans="16:41" x14ac:dyDescent="0.25">
      <c r="P160" s="58">
        <v>159</v>
      </c>
      <c r="Q160" s="58" t="str">
        <f>IFERROR(INDEX(TableRBCalcPts[PLAYER],MATCH(TableRBRanks31[[#This Row],[RK]],TableRBCalcPts[RK],0)),"")</f>
        <v/>
      </c>
      <c r="R160" s="58" t="str">
        <f>IFERROR(INDEX(TableRBCalcPts[TM],MATCH(TableRBRanks31[[#This Row],[Player]],TableRBCalcPts[PLAYER],0)),"")</f>
        <v/>
      </c>
      <c r="S160" s="58" t="str">
        <f>IFERROR(INDEX(TableRBCalcPts[BYE],MATCH(TableRBRanks31[[#This Row],[Player]],TableRBCalcPts[PLAYER],0)),"")</f>
        <v/>
      </c>
      <c r="T160" s="100" t="str">
        <f>IFERROR((VLOOKUP(TableRBRanks31[[#This Row],[Player]],RB!B:O,4,FALSE)),"")</f>
        <v/>
      </c>
      <c r="U160" s="100" t="str">
        <f>IFERROR((VLOOKUP(TableRBRanks31[[#This Row],[Player]],RB!B:O,5,FALSE)),"")</f>
        <v/>
      </c>
      <c r="V160" s="100" t="str">
        <f>IFERROR((VLOOKUP(TableRBRanks31[[#This Row],[Player]],RB!B:O,6,FALSE)),"")</f>
        <v/>
      </c>
      <c r="W160" s="100" t="str">
        <f>IFERROR((VLOOKUP(TableRBRanks31[[#This Row],[Player]],RB!B:O,7,FALSE)),"")</f>
        <v/>
      </c>
      <c r="X160" s="100" t="str">
        <f>IFERROR((VLOOKUP(TableRBRanks31[[#This Row],[Player]],RB!B:O,8,FALSE)),"")</f>
        <v/>
      </c>
      <c r="Y160" s="100" t="str">
        <f>IFERROR((VLOOKUP(TableRBRanks31[[#This Row],[Player]],RB!B:O,9,FALSE)),"")</f>
        <v/>
      </c>
      <c r="Z160" s="100" t="str">
        <f>IFERROR((VLOOKUP(TableRBRanks31[[#This Row],[Player]],RB!B:O,10,FALSE)),"")</f>
        <v/>
      </c>
      <c r="AA160" s="95" t="str">
        <f>IFERROR((IFERROR(INDEX(TableRBCalcPts[Custom],MATCH(TableRBRanks31[[#This Row],[RK]],TableRBCalcPts[RK],0)),"")),"")</f>
        <v/>
      </c>
      <c r="AB16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0" s="145">
        <v>159</v>
      </c>
      <c r="AE160" s="145" t="str">
        <f>IFERROR(INDEX(TableWRCalcPts[PLAYER],MATCH(TableWRRanks32[[#This Row],[RK]],TableWRCalcPts[RK],0)),"")</f>
        <v>Casey Washington</v>
      </c>
      <c r="AF160" s="145" t="str">
        <f>IFERROR(INDEX(TableWRCalcPts[TM],MATCH(TableWRRanks32[[#This Row],[Player]],TableWRCalcPts[PLAYER],0)),"")</f>
        <v>ATL</v>
      </c>
      <c r="AG160" s="145">
        <f>IFERROR(INDEX(TableWRCalcPts[BYE],MATCH(TableWRRanks32[[#This Row],[Player]],TableWRCalcPts[PLAYER],0)),"")</f>
        <v>11</v>
      </c>
      <c r="AH160" s="146">
        <f>IFERROR((VLOOKUP(TableWRRanks32[[#This Row],[Player]],WR!B:O,4,FALSE)),"")</f>
        <v>0</v>
      </c>
      <c r="AI160" s="146">
        <f>IFERROR((VLOOKUP(TableWRRanks32[[#This Row],[Player]],WR!B:O,5,FALSE)),"")</f>
        <v>0</v>
      </c>
      <c r="AJ160" s="146">
        <f>IFERROR((VLOOKUP(TableWRRanks32[[#This Row],[Player]],WR!B:O,6,FALSE)),"")</f>
        <v>5.6765716000000017</v>
      </c>
      <c r="AK160" s="146">
        <f>IFERROR((VLOOKUP(TableWRRanks32[[#This Row],[Player]],WR!B:O,7,FALSE)),"")</f>
        <v>3.9168344040000007</v>
      </c>
      <c r="AL160" s="146">
        <f>IFERROR((VLOOKUP(TableWRRanks32[[#This Row],[Player]],WR!B:O,8,FALSE)),"")</f>
        <v>43.75104029268001</v>
      </c>
      <c r="AM160" s="146">
        <f>IFERROR((VLOOKUP(TableWRRanks32[[#This Row],[Player]],WR!B:O,9,FALSE)),"")</f>
        <v>0.19584172020000004</v>
      </c>
      <c r="AN160" s="147">
        <f>IFERROR((IFERROR(INDEX(TableWRCalcPts[Custom],MATCH(TableWRRanks32[[#This Row],[RK]],TableWRCalcPts[RK],0)),"")),"")</f>
        <v>7.5085715524680019</v>
      </c>
      <c r="AO1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1" spans="16:41" x14ac:dyDescent="0.25">
      <c r="P161" s="58">
        <v>160</v>
      </c>
      <c r="Q161" s="58" t="str">
        <f>IFERROR(INDEX(TableRBCalcPts[PLAYER],MATCH(TableRBRanks31[[#This Row],[RK]],TableRBCalcPts[RK],0)),"")</f>
        <v/>
      </c>
      <c r="R161" s="58" t="str">
        <f>IFERROR(INDEX(TableRBCalcPts[TM],MATCH(TableRBRanks31[[#This Row],[Player]],TableRBCalcPts[PLAYER],0)),"")</f>
        <v/>
      </c>
      <c r="S161" s="58" t="str">
        <f>IFERROR(INDEX(TableRBCalcPts[BYE],MATCH(TableRBRanks31[[#This Row],[Player]],TableRBCalcPts[PLAYER],0)),"")</f>
        <v/>
      </c>
      <c r="T161" s="100" t="str">
        <f>IFERROR((VLOOKUP(TableRBRanks31[[#This Row],[Player]],RB!B:O,4,FALSE)),"")</f>
        <v/>
      </c>
      <c r="U161" s="100" t="str">
        <f>IFERROR((VLOOKUP(TableRBRanks31[[#This Row],[Player]],RB!B:O,5,FALSE)),"")</f>
        <v/>
      </c>
      <c r="V161" s="100" t="str">
        <f>IFERROR((VLOOKUP(TableRBRanks31[[#This Row],[Player]],RB!B:O,6,FALSE)),"")</f>
        <v/>
      </c>
      <c r="W161" s="100" t="str">
        <f>IFERROR((VLOOKUP(TableRBRanks31[[#This Row],[Player]],RB!B:O,7,FALSE)),"")</f>
        <v/>
      </c>
      <c r="X161" s="100" t="str">
        <f>IFERROR((VLOOKUP(TableRBRanks31[[#This Row],[Player]],RB!B:O,8,FALSE)),"")</f>
        <v/>
      </c>
      <c r="Y161" s="100" t="str">
        <f>IFERROR((VLOOKUP(TableRBRanks31[[#This Row],[Player]],RB!B:O,9,FALSE)),"")</f>
        <v/>
      </c>
      <c r="Z161" s="100" t="str">
        <f>IFERROR((VLOOKUP(TableRBRanks31[[#This Row],[Player]],RB!B:O,10,FALSE)),"")</f>
        <v/>
      </c>
      <c r="AA161" s="95" t="str">
        <f>IFERROR((IFERROR(INDEX(TableRBCalcPts[Custom],MATCH(TableRBRanks31[[#This Row],[RK]],TableRBCalcPts[RK],0)),"")),"")</f>
        <v/>
      </c>
      <c r="AB16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1" s="145">
        <v>160</v>
      </c>
      <c r="AE161" s="145" t="str">
        <f>IFERROR(INDEX(TableWRCalcPts[PLAYER],MATCH(TableWRRanks32[[#This Row],[RK]],TableWRCalcPts[RK],0)),"")</f>
        <v>Jahdae Walker</v>
      </c>
      <c r="AF161" s="145" t="str">
        <f>IFERROR(INDEX(TableWRCalcPts[TM],MATCH(TableWRRanks32[[#This Row],[Player]],TableWRCalcPts[PLAYER],0)),"")</f>
        <v>CHI</v>
      </c>
      <c r="AG161" s="145">
        <f>IFERROR(INDEX(TableWRCalcPts[BYE],MATCH(TableWRRanks32[[#This Row],[Player]],TableWRCalcPts[PLAYER],0)),"")</f>
        <v>10</v>
      </c>
      <c r="AH161" s="146">
        <f>IFERROR((VLOOKUP(TableWRRanks32[[#This Row],[Player]],WR!B:O,4,FALSE)),"")</f>
        <v>0</v>
      </c>
      <c r="AI161" s="146">
        <f>IFERROR((VLOOKUP(TableWRRanks32[[#This Row],[Player]],WR!B:O,5,FALSE)),"")</f>
        <v>0</v>
      </c>
      <c r="AJ161" s="146">
        <f>IFERROR((VLOOKUP(TableWRRanks32[[#This Row],[Player]],WR!B:O,6,FALSE)),"")</f>
        <v>5.6393512000000001</v>
      </c>
      <c r="AK161" s="146">
        <f>IFERROR((VLOOKUP(TableWRRanks32[[#This Row],[Player]],WR!B:O,7,FALSE)),"")</f>
        <v>3.2426269399999996</v>
      </c>
      <c r="AL161" s="146">
        <f>IFERROR((VLOOKUP(TableWRRanks32[[#This Row],[Player]],WR!B:O,8,FALSE)),"")</f>
        <v>38.740991182049278</v>
      </c>
      <c r="AM161" s="146">
        <f>IFERROR((VLOOKUP(TableWRRanks32[[#This Row],[Player]],WR!B:O,9,FALSE)),"")</f>
        <v>0.30804955929999994</v>
      </c>
      <c r="AN161" s="147">
        <f>IFERROR((IFERROR(INDEX(TableWRCalcPts[Custom],MATCH(TableWRRanks32[[#This Row],[RK]],TableWRCalcPts[RK],0)),"")),"")</f>
        <v>7.3437099440049272</v>
      </c>
      <c r="AO1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2" spans="16:41" x14ac:dyDescent="0.25">
      <c r="P162" s="58">
        <v>161</v>
      </c>
      <c r="Q162" s="58" t="str">
        <f>IFERROR(INDEX(TableRBCalcPts[PLAYER],MATCH(TableRBRanks31[[#This Row],[RK]],TableRBCalcPts[RK],0)),"")</f>
        <v/>
      </c>
      <c r="R162" s="58" t="str">
        <f>IFERROR(INDEX(TableRBCalcPts[TM],MATCH(TableRBRanks31[[#This Row],[Player]],TableRBCalcPts[PLAYER],0)),"")</f>
        <v/>
      </c>
      <c r="S162" s="58" t="str">
        <f>IFERROR(INDEX(TableRBCalcPts[BYE],MATCH(TableRBRanks31[[#This Row],[Player]],TableRBCalcPts[PLAYER],0)),"")</f>
        <v/>
      </c>
      <c r="T162" s="100" t="str">
        <f>IFERROR((VLOOKUP(TableRBRanks31[[#This Row],[Player]],RB!B:O,4,FALSE)),"")</f>
        <v/>
      </c>
      <c r="U162" s="100" t="str">
        <f>IFERROR((VLOOKUP(TableRBRanks31[[#This Row],[Player]],RB!B:O,5,FALSE)),"")</f>
        <v/>
      </c>
      <c r="V162" s="100" t="str">
        <f>IFERROR((VLOOKUP(TableRBRanks31[[#This Row],[Player]],RB!B:O,6,FALSE)),"")</f>
        <v/>
      </c>
      <c r="W162" s="100" t="str">
        <f>IFERROR((VLOOKUP(TableRBRanks31[[#This Row],[Player]],RB!B:O,7,FALSE)),"")</f>
        <v/>
      </c>
      <c r="X162" s="100" t="str">
        <f>IFERROR((VLOOKUP(TableRBRanks31[[#This Row],[Player]],RB!B:O,8,FALSE)),"")</f>
        <v/>
      </c>
      <c r="Y162" s="100" t="str">
        <f>IFERROR((VLOOKUP(TableRBRanks31[[#This Row],[Player]],RB!B:O,9,FALSE)),"")</f>
        <v/>
      </c>
      <c r="Z162" s="100" t="str">
        <f>IFERROR((VLOOKUP(TableRBRanks31[[#This Row],[Player]],RB!B:O,10,FALSE)),"")</f>
        <v/>
      </c>
      <c r="AA162" s="95" t="str">
        <f>IFERROR((IFERROR(INDEX(TableRBCalcPts[Custom],MATCH(TableRBRanks31[[#This Row],[RK]],TableRBCalcPts[RK],0)),"")),"")</f>
        <v/>
      </c>
      <c r="AB16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2" s="145">
        <v>161</v>
      </c>
      <c r="AE162" s="145" t="str">
        <f>IFERROR(INDEX(TableWRCalcPts[PLAYER],MATCH(TableWRRanks32[[#This Row],[RK]],TableWRCalcPts[RK],0)),"")</f>
        <v>Jake Bobo</v>
      </c>
      <c r="AF162" s="145" t="str">
        <f>IFERROR(INDEX(TableWRCalcPts[TM],MATCH(TableWRRanks32[[#This Row],[Player]],TableWRCalcPts[PLAYER],0)),"")</f>
        <v>SEA</v>
      </c>
      <c r="AG162" s="145">
        <f>IFERROR(INDEX(TableWRCalcPts[BYE],MATCH(TableWRRanks32[[#This Row],[Player]],TableWRCalcPts[PLAYER],0)),"")</f>
        <v>11</v>
      </c>
      <c r="AH162" s="146">
        <f>IFERROR((VLOOKUP(TableWRRanks32[[#This Row],[Player]],WR!B:O,4,FALSE)),"")</f>
        <v>0</v>
      </c>
      <c r="AI162" s="146">
        <f>IFERROR((VLOOKUP(TableWRRanks32[[#This Row],[Player]],WR!B:O,5,FALSE)),"")</f>
        <v>0</v>
      </c>
      <c r="AJ162" s="146">
        <f>IFERROR((VLOOKUP(TableWRRanks32[[#This Row],[Player]],WR!B:O,6,FALSE)),"")</f>
        <v>5.0472744</v>
      </c>
      <c r="AK162" s="146">
        <f>IFERROR((VLOOKUP(TableWRRanks32[[#This Row],[Player]],WR!B:O,7,FALSE)),"")</f>
        <v>3.4573829640000002</v>
      </c>
      <c r="AL162" s="146">
        <f>IFERROR((VLOOKUP(TableWRRanks32[[#This Row],[Player]],WR!B:O,8,FALSE)),"")</f>
        <v>40.900840464120002</v>
      </c>
      <c r="AM162" s="146">
        <f>IFERROR((VLOOKUP(TableWRRanks32[[#This Row],[Player]],WR!B:O,9,FALSE)),"")</f>
        <v>0.22472989266000001</v>
      </c>
      <c r="AN162" s="147">
        <f>IFERROR((IFERROR(INDEX(TableWRCalcPts[Custom],MATCH(TableWRRanks32[[#This Row],[RK]],TableWRCalcPts[RK],0)),"")),"")</f>
        <v>7.1671548843720014</v>
      </c>
      <c r="AO1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3" spans="16:41" x14ac:dyDescent="0.25">
      <c r="P163" s="58">
        <v>162</v>
      </c>
      <c r="Q163" s="58" t="str">
        <f>IFERROR(INDEX(TableRBCalcPts[PLAYER],MATCH(TableRBRanks31[[#This Row],[RK]],TableRBCalcPts[RK],0)),"")</f>
        <v/>
      </c>
      <c r="R163" s="58" t="str">
        <f>IFERROR(INDEX(TableRBCalcPts[TM],MATCH(TableRBRanks31[[#This Row],[Player]],TableRBCalcPts[PLAYER],0)),"")</f>
        <v/>
      </c>
      <c r="S163" s="58" t="str">
        <f>IFERROR(INDEX(TableRBCalcPts[BYE],MATCH(TableRBRanks31[[#This Row],[Player]],TableRBCalcPts[PLAYER],0)),"")</f>
        <v/>
      </c>
      <c r="T163" s="100" t="str">
        <f>IFERROR((VLOOKUP(TableRBRanks31[[#This Row],[Player]],RB!B:O,4,FALSE)),"")</f>
        <v/>
      </c>
      <c r="U163" s="100" t="str">
        <f>IFERROR((VLOOKUP(TableRBRanks31[[#This Row],[Player]],RB!B:O,5,FALSE)),"")</f>
        <v/>
      </c>
      <c r="V163" s="100" t="str">
        <f>IFERROR((VLOOKUP(TableRBRanks31[[#This Row],[Player]],RB!B:O,6,FALSE)),"")</f>
        <v/>
      </c>
      <c r="W163" s="100" t="str">
        <f>IFERROR((VLOOKUP(TableRBRanks31[[#This Row],[Player]],RB!B:O,7,FALSE)),"")</f>
        <v/>
      </c>
      <c r="X163" s="100" t="str">
        <f>IFERROR((VLOOKUP(TableRBRanks31[[#This Row],[Player]],RB!B:O,8,FALSE)),"")</f>
        <v/>
      </c>
      <c r="Y163" s="100" t="str">
        <f>IFERROR((VLOOKUP(TableRBRanks31[[#This Row],[Player]],RB!B:O,9,FALSE)),"")</f>
        <v/>
      </c>
      <c r="Z163" s="100" t="str">
        <f>IFERROR((VLOOKUP(TableRBRanks31[[#This Row],[Player]],RB!B:O,10,FALSE)),"")</f>
        <v/>
      </c>
      <c r="AA163" s="95" t="str">
        <f>IFERROR((IFERROR(INDEX(TableRBCalcPts[Custom],MATCH(TableRBRanks31[[#This Row],[RK]],TableRBCalcPts[RK],0)),"")),"")</f>
        <v/>
      </c>
      <c r="AB16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3" s="145">
        <v>162</v>
      </c>
      <c r="AE163" s="145" t="str">
        <f>IFERROR(INDEX(TableWRCalcPts[PLAYER],MATCH(TableWRRanks32[[#This Row],[RK]],TableWRCalcPts[RK],0)),"")</f>
        <v>Kyle Williams</v>
      </c>
      <c r="AF163" s="145" t="str">
        <f>IFERROR(INDEX(TableWRCalcPts[TM],MATCH(TableWRRanks32[[#This Row],[Player]],TableWRCalcPts[PLAYER],0)),"")</f>
        <v>NE</v>
      </c>
      <c r="AG163" s="145">
        <f>IFERROR(INDEX(TableWRCalcPts[BYE],MATCH(TableWRRanks32[[#This Row],[Player]],TableWRCalcPts[PLAYER],0)),"")</f>
        <v>11</v>
      </c>
      <c r="AH163" s="146">
        <f>IFERROR((VLOOKUP(TableWRRanks32[[#This Row],[Player]],WR!B:O,4,FALSE)),"")</f>
        <v>0</v>
      </c>
      <c r="AI163" s="146">
        <f>IFERROR((VLOOKUP(TableWRRanks32[[#This Row],[Player]],WR!B:O,5,FALSE)),"")</f>
        <v>0</v>
      </c>
      <c r="AJ163" s="146">
        <f>IFERROR((VLOOKUP(TableWRRanks32[[#This Row],[Player]],WR!B:O,6,FALSE)),"")</f>
        <v>4.363038399999998</v>
      </c>
      <c r="AK163" s="146">
        <f>IFERROR((VLOOKUP(TableWRRanks32[[#This Row],[Player]],WR!B:O,7,FALSE)),"")</f>
        <v>2.9843182655999989</v>
      </c>
      <c r="AL163" s="146">
        <f>IFERROR((VLOOKUP(TableWRRanks32[[#This Row],[Player]],WR!B:O,8,FALSE)),"")</f>
        <v>43.571046677759981</v>
      </c>
      <c r="AM163" s="146">
        <f>IFERROR((VLOOKUP(TableWRRanks32[[#This Row],[Player]],WR!B:O,9,FALSE)),"")</f>
        <v>0.20890227859199995</v>
      </c>
      <c r="AN163" s="147">
        <f>IFERROR((IFERROR(INDEX(TableWRCalcPts[Custom],MATCH(TableWRRanks32[[#This Row],[RK]],TableWRCalcPts[RK],0)),"")),"")</f>
        <v>7.1026774721279979</v>
      </c>
      <c r="AO1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4" spans="16:41" x14ac:dyDescent="0.25">
      <c r="P164" s="58">
        <v>163</v>
      </c>
      <c r="Q164" s="58" t="str">
        <f>IFERROR(INDEX(TableRBCalcPts[PLAYER],MATCH(TableRBRanks31[[#This Row],[RK]],TableRBCalcPts[RK],0)),"")</f>
        <v/>
      </c>
      <c r="R164" s="58" t="str">
        <f>IFERROR(INDEX(TableRBCalcPts[TM],MATCH(TableRBRanks31[[#This Row],[Player]],TableRBCalcPts[PLAYER],0)),"")</f>
        <v/>
      </c>
      <c r="S164" s="58" t="str">
        <f>IFERROR(INDEX(TableRBCalcPts[BYE],MATCH(TableRBRanks31[[#This Row],[Player]],TableRBCalcPts[PLAYER],0)),"")</f>
        <v/>
      </c>
      <c r="T164" s="100" t="str">
        <f>IFERROR((VLOOKUP(TableRBRanks31[[#This Row],[Player]],RB!B:O,4,FALSE)),"")</f>
        <v/>
      </c>
      <c r="U164" s="100" t="str">
        <f>IFERROR((VLOOKUP(TableRBRanks31[[#This Row],[Player]],RB!B:O,5,FALSE)),"")</f>
        <v/>
      </c>
      <c r="V164" s="100" t="str">
        <f>IFERROR((VLOOKUP(TableRBRanks31[[#This Row],[Player]],RB!B:O,6,FALSE)),"")</f>
        <v/>
      </c>
      <c r="W164" s="100" t="str">
        <f>IFERROR((VLOOKUP(TableRBRanks31[[#This Row],[Player]],RB!B:O,7,FALSE)),"")</f>
        <v/>
      </c>
      <c r="X164" s="100" t="str">
        <f>IFERROR((VLOOKUP(TableRBRanks31[[#This Row],[Player]],RB!B:O,8,FALSE)),"")</f>
        <v/>
      </c>
      <c r="Y164" s="100" t="str">
        <f>IFERROR((VLOOKUP(TableRBRanks31[[#This Row],[Player]],RB!B:O,9,FALSE)),"")</f>
        <v/>
      </c>
      <c r="Z164" s="100" t="str">
        <f>IFERROR((VLOOKUP(TableRBRanks31[[#This Row],[Player]],RB!B:O,10,FALSE)),"")</f>
        <v/>
      </c>
      <c r="AA164" s="95" t="str">
        <f>IFERROR((IFERROR(INDEX(TableRBCalcPts[Custom],MATCH(TableRBRanks31[[#This Row],[RK]],TableRBCalcPts[RK],0)),"")),"")</f>
        <v/>
      </c>
      <c r="AB16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4" s="145">
        <v>163</v>
      </c>
      <c r="AE164" s="145" t="str">
        <f>IFERROR(INDEX(TableWRCalcPts[PLAYER],MATCH(TableWRRanks32[[#This Row],[RK]],TableWRCalcPts[RK],0)),"")</f>
        <v>Mason Tipton</v>
      </c>
      <c r="AF164" s="145" t="str">
        <f>IFERROR(INDEX(TableWRCalcPts[TM],MATCH(TableWRRanks32[[#This Row],[Player]],TableWRCalcPts[PLAYER],0)),"")</f>
        <v>NO</v>
      </c>
      <c r="AG164" s="145">
        <f>IFERROR(INDEX(TableWRCalcPts[BYE],MATCH(TableWRRanks32[[#This Row],[Player]],TableWRCalcPts[PLAYER],0)),"")</f>
        <v>8</v>
      </c>
      <c r="AH164" s="146">
        <f>IFERROR((VLOOKUP(TableWRRanks32[[#This Row],[Player]],WR!B:O,4,FALSE)),"")</f>
        <v>0</v>
      </c>
      <c r="AI164" s="146">
        <f>IFERROR((VLOOKUP(TableWRRanks32[[#This Row],[Player]],WR!B:O,5,FALSE)),"")</f>
        <v>0</v>
      </c>
      <c r="AJ164" s="146">
        <f>IFERROR((VLOOKUP(TableWRRanks32[[#This Row],[Player]],WR!B:O,6,FALSE)),"")</f>
        <v>6.0933734399999997</v>
      </c>
      <c r="AK164" s="146">
        <f>IFERROR((VLOOKUP(TableWRRanks32[[#This Row],[Player]],WR!B:O,7,FALSE)),"")</f>
        <v>3.9911596031999999</v>
      </c>
      <c r="AL164" s="146">
        <f>IFERROR((VLOOKUP(TableWRRanks32[[#This Row],[Player]],WR!B:O,8,FALSE)),"")</f>
        <v>32.727508746239998</v>
      </c>
      <c r="AM164" s="146">
        <f>IFERROR((VLOOKUP(TableWRRanks32[[#This Row],[Player]],WR!B:O,9,FALSE)),"")</f>
        <v>0.23946957619199999</v>
      </c>
      <c r="AN164" s="147">
        <f>IFERROR((IFERROR(INDEX(TableWRCalcPts[Custom],MATCH(TableWRRanks32[[#This Row],[RK]],TableWRCalcPts[RK],0)),"")),"")</f>
        <v>6.7051481333759995</v>
      </c>
      <c r="AO1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5" spans="16:41" x14ac:dyDescent="0.25">
      <c r="P165" s="58">
        <v>164</v>
      </c>
      <c r="Q165" s="58" t="str">
        <f>IFERROR(INDEX(TableRBCalcPts[PLAYER],MATCH(TableRBRanks31[[#This Row],[RK]],TableRBCalcPts[RK],0)),"")</f>
        <v/>
      </c>
      <c r="R165" s="58" t="str">
        <f>IFERROR(INDEX(TableRBCalcPts[TM],MATCH(TableRBRanks31[[#This Row],[Player]],TableRBCalcPts[PLAYER],0)),"")</f>
        <v/>
      </c>
      <c r="S165" s="58" t="str">
        <f>IFERROR(INDEX(TableRBCalcPts[BYE],MATCH(TableRBRanks31[[#This Row],[Player]],TableRBCalcPts[PLAYER],0)),"")</f>
        <v/>
      </c>
      <c r="T165" s="100" t="str">
        <f>IFERROR((VLOOKUP(TableRBRanks31[[#This Row],[Player]],RB!B:O,4,FALSE)),"")</f>
        <v/>
      </c>
      <c r="U165" s="100" t="str">
        <f>IFERROR((VLOOKUP(TableRBRanks31[[#This Row],[Player]],RB!B:O,5,FALSE)),"")</f>
        <v/>
      </c>
      <c r="V165" s="100" t="str">
        <f>IFERROR((VLOOKUP(TableRBRanks31[[#This Row],[Player]],RB!B:O,6,FALSE)),"")</f>
        <v/>
      </c>
      <c r="W165" s="100" t="str">
        <f>IFERROR((VLOOKUP(TableRBRanks31[[#This Row],[Player]],RB!B:O,7,FALSE)),"")</f>
        <v/>
      </c>
      <c r="X165" s="100" t="str">
        <f>IFERROR((VLOOKUP(TableRBRanks31[[#This Row],[Player]],RB!B:O,8,FALSE)),"")</f>
        <v/>
      </c>
      <c r="Y165" s="100" t="str">
        <f>IFERROR((VLOOKUP(TableRBRanks31[[#This Row],[Player]],RB!B:O,9,FALSE)),"")</f>
        <v/>
      </c>
      <c r="Z165" s="100" t="str">
        <f>IFERROR((VLOOKUP(TableRBRanks31[[#This Row],[Player]],RB!B:O,10,FALSE)),"")</f>
        <v/>
      </c>
      <c r="AA165" s="95" t="str">
        <f>IFERROR((IFERROR(INDEX(TableRBCalcPts[Custom],MATCH(TableRBRanks31[[#This Row],[RK]],TableRBCalcPts[RK],0)),"")),"")</f>
        <v/>
      </c>
      <c r="AB16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5" s="145">
        <v>164</v>
      </c>
      <c r="AE165" s="145" t="str">
        <f>IFERROR(INDEX(TableWRCalcPts[PLAYER],MATCH(TableWRRanks32[[#This Row],[RK]],TableWRCalcPts[RK],0)),"")</f>
        <v>Jordan Watkins</v>
      </c>
      <c r="AF165" s="145" t="str">
        <f>IFERROR(INDEX(TableWRCalcPts[TM],MATCH(TableWRRanks32[[#This Row],[Player]],TableWRCalcPts[PLAYER],0)),"")</f>
        <v>SF</v>
      </c>
      <c r="AG165" s="145">
        <f>IFERROR(INDEX(TableWRCalcPts[BYE],MATCH(TableWRRanks32[[#This Row],[Player]],TableWRCalcPts[PLAYER],0)),"")</f>
        <v>8</v>
      </c>
      <c r="AH165" s="146">
        <f>IFERROR((VLOOKUP(TableWRRanks32[[#This Row],[Player]],WR!B:O,4,FALSE)),"")</f>
        <v>0</v>
      </c>
      <c r="AI165" s="146">
        <f>IFERROR((VLOOKUP(TableWRRanks32[[#This Row],[Player]],WR!B:O,5,FALSE)),"")</f>
        <v>0</v>
      </c>
      <c r="AJ165" s="146">
        <f>IFERROR((VLOOKUP(TableWRRanks32[[#This Row],[Player]],WR!B:O,6,FALSE)),"")</f>
        <v>5.3683616000000001</v>
      </c>
      <c r="AK165" s="146">
        <f>IFERROR((VLOOKUP(TableWRRanks32[[#This Row],[Player]],WR!B:O,7,FALSE)),"")</f>
        <v>3.2639638527999999</v>
      </c>
      <c r="AL165" s="146">
        <f>IFERROR((VLOOKUP(TableWRRanks32[[#This Row],[Player]],WR!B:O,8,FALSE)),"")</f>
        <v>39.768547285064251</v>
      </c>
      <c r="AM165" s="146">
        <f>IFERROR((VLOOKUP(TableWRRanks32[[#This Row],[Player]],WR!B:O,9,FALSE)),"")</f>
        <v>0.17951801190399999</v>
      </c>
      <c r="AN165" s="147">
        <f>IFERROR((IFERROR(INDEX(TableWRCalcPts[Custom],MATCH(TableWRRanks32[[#This Row],[RK]],TableWRCalcPts[RK],0)),"")),"")</f>
        <v>6.6859447263304252</v>
      </c>
      <c r="AO1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6" spans="16:41" x14ac:dyDescent="0.25">
      <c r="P166" s="58">
        <v>165</v>
      </c>
      <c r="Q166" s="58" t="str">
        <f>IFERROR(INDEX(TableRBCalcPts[PLAYER],MATCH(TableRBRanks31[[#This Row],[RK]],TableRBCalcPts[RK],0)),"")</f>
        <v/>
      </c>
      <c r="R166" s="58" t="str">
        <f>IFERROR(INDEX(TableRBCalcPts[TM],MATCH(TableRBRanks31[[#This Row],[Player]],TableRBCalcPts[PLAYER],0)),"")</f>
        <v/>
      </c>
      <c r="S166" s="58" t="str">
        <f>IFERROR(INDEX(TableRBCalcPts[BYE],MATCH(TableRBRanks31[[#This Row],[Player]],TableRBCalcPts[PLAYER],0)),"")</f>
        <v/>
      </c>
      <c r="T166" s="100" t="str">
        <f>IFERROR((VLOOKUP(TableRBRanks31[[#This Row],[Player]],RB!B:O,4,FALSE)),"")</f>
        <v/>
      </c>
      <c r="U166" s="100" t="str">
        <f>IFERROR((VLOOKUP(TableRBRanks31[[#This Row],[Player]],RB!B:O,5,FALSE)),"")</f>
        <v/>
      </c>
      <c r="V166" s="100" t="str">
        <f>IFERROR((VLOOKUP(TableRBRanks31[[#This Row],[Player]],RB!B:O,6,FALSE)),"")</f>
        <v/>
      </c>
      <c r="W166" s="100" t="str">
        <f>IFERROR((VLOOKUP(TableRBRanks31[[#This Row],[Player]],RB!B:O,7,FALSE)),"")</f>
        <v/>
      </c>
      <c r="X166" s="100" t="str">
        <f>IFERROR((VLOOKUP(TableRBRanks31[[#This Row],[Player]],RB!B:O,8,FALSE)),"")</f>
        <v/>
      </c>
      <c r="Y166" s="100" t="str">
        <f>IFERROR((VLOOKUP(TableRBRanks31[[#This Row],[Player]],RB!B:O,9,FALSE)),"")</f>
        <v/>
      </c>
      <c r="Z166" s="100" t="str">
        <f>IFERROR((VLOOKUP(TableRBRanks31[[#This Row],[Player]],RB!B:O,10,FALSE)),"")</f>
        <v/>
      </c>
      <c r="AA166" s="95" t="str">
        <f>IFERROR((IFERROR(INDEX(TableRBCalcPts[Custom],MATCH(TableRBRanks31[[#This Row],[RK]],TableRBCalcPts[RK],0)),"")),"")</f>
        <v/>
      </c>
      <c r="AB16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6" s="145">
        <v>165</v>
      </c>
      <c r="AE166" s="145" t="str">
        <f>IFERROR(INDEX(TableWRCalcPts[PLAYER],MATCH(TableWRRanks32[[#This Row],[RK]],TableWRCalcPts[RK],0)),"")</f>
        <v>CJ Daniels</v>
      </c>
      <c r="AF166" s="145" t="str">
        <f>IFERROR(INDEX(TableWRCalcPts[TM],MATCH(TableWRRanks32[[#This Row],[Player]],TableWRCalcPts[PLAYER],0)),"")</f>
        <v>LAR</v>
      </c>
      <c r="AG166" s="145">
        <f>IFERROR(INDEX(TableWRCalcPts[BYE],MATCH(TableWRRanks32[[#This Row],[Player]],TableWRCalcPts[PLAYER],0)),"")</f>
        <v>11</v>
      </c>
      <c r="AH166" s="146">
        <f>IFERROR((VLOOKUP(TableWRRanks32[[#This Row],[Player]],WR!B:O,4,FALSE)),"")</f>
        <v>0</v>
      </c>
      <c r="AI166" s="146">
        <f>IFERROR((VLOOKUP(TableWRRanks32[[#This Row],[Player]],WR!B:O,5,FALSE)),"")</f>
        <v>0</v>
      </c>
      <c r="AJ166" s="146">
        <f>IFERROR((VLOOKUP(TableWRRanks32[[#This Row],[Player]],WR!B:O,6,FALSE)),"")</f>
        <v>4.1808368625917947</v>
      </c>
      <c r="AK166" s="146">
        <f>IFERROR((VLOOKUP(TableWRRanks32[[#This Row],[Player]],WR!B:O,7,FALSE)),"")</f>
        <v>2.8346073928372371</v>
      </c>
      <c r="AL166" s="146">
        <f>IFERROR((VLOOKUP(TableWRRanks32[[#This Row],[Player]],WR!B:O,8,FALSE)),"")</f>
        <v>38.834121281870146</v>
      </c>
      <c r="AM166" s="146">
        <f>IFERROR((VLOOKUP(TableWRRanks32[[#This Row],[Player]],WR!B:O,9,FALSE)),"")</f>
        <v>0.1852200335100129</v>
      </c>
      <c r="AN166" s="147">
        <f>IFERROR((IFERROR(INDEX(TableWRCalcPts[Custom],MATCH(TableWRRanks32[[#This Row],[RK]],TableWRCalcPts[RK],0)),"")),"")</f>
        <v>6.4120360256657101</v>
      </c>
      <c r="AO1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7" spans="16:41" x14ac:dyDescent="0.25">
      <c r="P167" s="58">
        <v>166</v>
      </c>
      <c r="Q167" s="58" t="str">
        <f>IFERROR(INDEX(TableRBCalcPts[PLAYER],MATCH(TableRBRanks31[[#This Row],[RK]],TableRBCalcPts[RK],0)),"")</f>
        <v/>
      </c>
      <c r="R167" s="58" t="str">
        <f>IFERROR(INDEX(TableRBCalcPts[TM],MATCH(TableRBRanks31[[#This Row],[Player]],TableRBCalcPts[PLAYER],0)),"")</f>
        <v/>
      </c>
      <c r="S167" s="58" t="str">
        <f>IFERROR(INDEX(TableRBCalcPts[BYE],MATCH(TableRBRanks31[[#This Row],[Player]],TableRBCalcPts[PLAYER],0)),"")</f>
        <v/>
      </c>
      <c r="T167" s="100" t="str">
        <f>IFERROR((VLOOKUP(TableRBRanks31[[#This Row],[Player]],RB!B:O,4,FALSE)),"")</f>
        <v/>
      </c>
      <c r="U167" s="100" t="str">
        <f>IFERROR((VLOOKUP(TableRBRanks31[[#This Row],[Player]],RB!B:O,5,FALSE)),"")</f>
        <v/>
      </c>
      <c r="V167" s="100" t="str">
        <f>IFERROR((VLOOKUP(TableRBRanks31[[#This Row],[Player]],RB!B:O,6,FALSE)),"")</f>
        <v/>
      </c>
      <c r="W167" s="100" t="str">
        <f>IFERROR((VLOOKUP(TableRBRanks31[[#This Row],[Player]],RB!B:O,7,FALSE)),"")</f>
        <v/>
      </c>
      <c r="X167" s="100" t="str">
        <f>IFERROR((VLOOKUP(TableRBRanks31[[#This Row],[Player]],RB!B:O,8,FALSE)),"")</f>
        <v/>
      </c>
      <c r="Y167" s="100" t="str">
        <f>IFERROR((VLOOKUP(TableRBRanks31[[#This Row],[Player]],RB!B:O,9,FALSE)),"")</f>
        <v/>
      </c>
      <c r="Z167" s="100" t="str">
        <f>IFERROR((VLOOKUP(TableRBRanks31[[#This Row],[Player]],RB!B:O,10,FALSE)),"")</f>
        <v/>
      </c>
      <c r="AA167" s="95" t="str">
        <f>IFERROR((IFERROR(INDEX(TableRBCalcPts[Custom],MATCH(TableRBRanks31[[#This Row],[RK]],TableRBCalcPts[RK],0)),"")),"")</f>
        <v/>
      </c>
      <c r="AB16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7" s="145">
        <v>166</v>
      </c>
      <c r="AE167" s="145" t="str">
        <f>IFERROR(INDEX(TableWRCalcPts[PLAYER],MATCH(TableWRRanks32[[#This Row],[RK]],TableWRCalcPts[RK],0)),"")</f>
        <v>Kameron Johnson</v>
      </c>
      <c r="AF167" s="145" t="str">
        <f>IFERROR(INDEX(TableWRCalcPts[TM],MATCH(TableWRRanks32[[#This Row],[Player]],TableWRCalcPts[PLAYER],0)),"")</f>
        <v>TB</v>
      </c>
      <c r="AG167" s="145">
        <f>IFERROR(INDEX(TableWRCalcPts[BYE],MATCH(TableWRRanks32[[#This Row],[Player]],TableWRCalcPts[PLAYER],0)),"")</f>
        <v>10</v>
      </c>
      <c r="AH167" s="146">
        <f>IFERROR((VLOOKUP(TableWRRanks32[[#This Row],[Player]],WR!B:O,4,FALSE)),"")</f>
        <v>0</v>
      </c>
      <c r="AI167" s="146">
        <f>IFERROR((VLOOKUP(TableWRRanks32[[#This Row],[Player]],WR!B:O,5,FALSE)),"")</f>
        <v>0</v>
      </c>
      <c r="AJ167" s="146">
        <f>IFERROR((VLOOKUP(TableWRRanks32[[#This Row],[Player]],WR!B:O,6,FALSE)),"")</f>
        <v>5.5182917999999974</v>
      </c>
      <c r="AK167" s="146">
        <f>IFERROR((VLOOKUP(TableWRRanks32[[#This Row],[Player]],WR!B:O,7,FALSE)),"")</f>
        <v>3.3551214143999983</v>
      </c>
      <c r="AL167" s="146">
        <f>IFERROR((VLOOKUP(TableWRRanks32[[#This Row],[Player]],WR!B:O,8,FALSE)),"")</f>
        <v>35.832696705791982</v>
      </c>
      <c r="AM167" s="146">
        <f>IFERROR((VLOOKUP(TableWRRanks32[[#This Row],[Player]],WR!B:O,9,FALSE)),"")</f>
        <v>0.18453167779199992</v>
      </c>
      <c r="AN167" s="147">
        <f>IFERROR((IFERROR(INDEX(TableWRCalcPts[Custom],MATCH(TableWRRanks32[[#This Row],[RK]],TableWRCalcPts[RK],0)),"")),"")</f>
        <v>6.3680204445311972</v>
      </c>
      <c r="AO1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8" spans="16:41" x14ac:dyDescent="0.25">
      <c r="P168" s="58">
        <v>167</v>
      </c>
      <c r="Q168" s="58" t="str">
        <f>IFERROR(INDEX(TableRBCalcPts[PLAYER],MATCH(TableRBRanks31[[#This Row],[RK]],TableRBCalcPts[RK],0)),"")</f>
        <v/>
      </c>
      <c r="R168" s="58" t="str">
        <f>IFERROR(INDEX(TableRBCalcPts[TM],MATCH(TableRBRanks31[[#This Row],[Player]],TableRBCalcPts[PLAYER],0)),"")</f>
        <v/>
      </c>
      <c r="S168" s="58" t="str">
        <f>IFERROR(INDEX(TableRBCalcPts[BYE],MATCH(TableRBRanks31[[#This Row],[Player]],TableRBCalcPts[PLAYER],0)),"")</f>
        <v/>
      </c>
      <c r="T168" s="100" t="str">
        <f>IFERROR((VLOOKUP(TableRBRanks31[[#This Row],[Player]],RB!B:O,4,FALSE)),"")</f>
        <v/>
      </c>
      <c r="U168" s="100" t="str">
        <f>IFERROR((VLOOKUP(TableRBRanks31[[#This Row],[Player]],RB!B:O,5,FALSE)),"")</f>
        <v/>
      </c>
      <c r="V168" s="100" t="str">
        <f>IFERROR((VLOOKUP(TableRBRanks31[[#This Row],[Player]],RB!B:O,6,FALSE)),"")</f>
        <v/>
      </c>
      <c r="W168" s="100" t="str">
        <f>IFERROR((VLOOKUP(TableRBRanks31[[#This Row],[Player]],RB!B:O,7,FALSE)),"")</f>
        <v/>
      </c>
      <c r="X168" s="100" t="str">
        <f>IFERROR((VLOOKUP(TableRBRanks31[[#This Row],[Player]],RB!B:O,8,FALSE)),"")</f>
        <v/>
      </c>
      <c r="Y168" s="100" t="str">
        <f>IFERROR((VLOOKUP(TableRBRanks31[[#This Row],[Player]],RB!B:O,9,FALSE)),"")</f>
        <v/>
      </c>
      <c r="Z168" s="100" t="str">
        <f>IFERROR((VLOOKUP(TableRBRanks31[[#This Row],[Player]],RB!B:O,10,FALSE)),"")</f>
        <v/>
      </c>
      <c r="AA168" s="95" t="str">
        <f>IFERROR((IFERROR(INDEX(TableRBCalcPts[Custom],MATCH(TableRBRanks31[[#This Row],[RK]],TableRBCalcPts[RK],0)),"")),"")</f>
        <v/>
      </c>
      <c r="AB16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8" s="145">
        <v>167</v>
      </c>
      <c r="AE168" s="145" t="str">
        <f>IFERROR(INDEX(TableWRCalcPts[PLAYER],MATCH(TableWRRanks32[[#This Row],[RK]],TableWRCalcPts[RK],0)),"")</f>
        <v>Justin Watson</v>
      </c>
      <c r="AF168" s="145" t="str">
        <f>IFERROR(INDEX(TableWRCalcPts[TM],MATCH(TableWRRanks32[[#This Row],[Player]],TableWRCalcPts[PLAYER],0)),"")</f>
        <v>HOU</v>
      </c>
      <c r="AG168" s="145">
        <f>IFERROR(INDEX(TableWRCalcPts[BYE],MATCH(TableWRRanks32[[#This Row],[Player]],TableWRCalcPts[PLAYER],0)),"")</f>
        <v>8</v>
      </c>
      <c r="AH168" s="146">
        <f>IFERROR((VLOOKUP(TableWRRanks32[[#This Row],[Player]],WR!B:O,4,FALSE)),"")</f>
        <v>0</v>
      </c>
      <c r="AI168" s="146">
        <f>IFERROR((VLOOKUP(TableWRRanks32[[#This Row],[Player]],WR!B:O,5,FALSE)),"")</f>
        <v>0</v>
      </c>
      <c r="AJ168" s="146">
        <f>IFERROR((VLOOKUP(TableWRRanks32[[#This Row],[Player]],WR!B:O,6,FALSE)),"")</f>
        <v>5.7288546</v>
      </c>
      <c r="AK168" s="146">
        <f>IFERROR((VLOOKUP(TableWRRanks32[[#This Row],[Player]],WR!B:O,7,FALSE)),"")</f>
        <v>3.5977206888</v>
      </c>
      <c r="AL168" s="146">
        <f>IFERROR((VLOOKUP(TableWRRanks32[[#This Row],[Player]],WR!B:O,8,FALSE)),"")</f>
        <v>32.030789458884456</v>
      </c>
      <c r="AM168" s="146">
        <f>IFERROR((VLOOKUP(TableWRRanks32[[#This Row],[Player]],WR!B:O,9,FALSE)),"")</f>
        <v>0.215863241328</v>
      </c>
      <c r="AN168" s="147">
        <f>IFERROR((IFERROR(INDEX(TableWRCalcPts[Custom],MATCH(TableWRRanks32[[#This Row],[RK]],TableWRCalcPts[RK],0)),"")),"")</f>
        <v>6.2971187382564455</v>
      </c>
      <c r="AO1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9" spans="16:41" x14ac:dyDescent="0.25">
      <c r="P169" s="58">
        <v>168</v>
      </c>
      <c r="Q169" s="58" t="str">
        <f>IFERROR(INDEX(TableRBCalcPts[PLAYER],MATCH(TableRBRanks31[[#This Row],[RK]],TableRBCalcPts[RK],0)),"")</f>
        <v/>
      </c>
      <c r="R169" s="58" t="str">
        <f>IFERROR(INDEX(TableRBCalcPts[TM],MATCH(TableRBRanks31[[#This Row],[Player]],TableRBCalcPts[PLAYER],0)),"")</f>
        <v/>
      </c>
      <c r="S169" s="58" t="str">
        <f>IFERROR(INDEX(TableRBCalcPts[BYE],MATCH(TableRBRanks31[[#This Row],[Player]],TableRBCalcPts[PLAYER],0)),"")</f>
        <v/>
      </c>
      <c r="T169" s="100" t="str">
        <f>IFERROR((VLOOKUP(TableRBRanks31[[#This Row],[Player]],RB!B:O,4,FALSE)),"")</f>
        <v/>
      </c>
      <c r="U169" s="100" t="str">
        <f>IFERROR((VLOOKUP(TableRBRanks31[[#This Row],[Player]],RB!B:O,5,FALSE)),"")</f>
        <v/>
      </c>
      <c r="V169" s="100" t="str">
        <f>IFERROR((VLOOKUP(TableRBRanks31[[#This Row],[Player]],RB!B:O,6,FALSE)),"")</f>
        <v/>
      </c>
      <c r="W169" s="100" t="str">
        <f>IFERROR((VLOOKUP(TableRBRanks31[[#This Row],[Player]],RB!B:O,7,FALSE)),"")</f>
        <v/>
      </c>
      <c r="X169" s="100" t="str">
        <f>IFERROR((VLOOKUP(TableRBRanks31[[#This Row],[Player]],RB!B:O,8,FALSE)),"")</f>
        <v/>
      </c>
      <c r="Y169" s="100" t="str">
        <f>IFERROR((VLOOKUP(TableRBRanks31[[#This Row],[Player]],RB!B:O,9,FALSE)),"")</f>
        <v/>
      </c>
      <c r="Z169" s="100" t="str">
        <f>IFERROR((VLOOKUP(TableRBRanks31[[#This Row],[Player]],RB!B:O,10,FALSE)),"")</f>
        <v/>
      </c>
      <c r="AA169" s="95" t="str">
        <f>IFERROR((IFERROR(INDEX(TableRBCalcPts[Custom],MATCH(TableRBRanks31[[#This Row],[RK]],TableRBCalcPts[RK],0)),"")),"")</f>
        <v/>
      </c>
      <c r="AB16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9" s="145">
        <v>168</v>
      </c>
      <c r="AE169" s="145" t="str">
        <f>IFERROR(INDEX(TableWRCalcPts[PLAYER],MATCH(TableWRRanks32[[#This Row],[RK]],TableWRCalcPts[RK],0)),"")</f>
        <v>Isaiah Williams</v>
      </c>
      <c r="AF169" s="145" t="str">
        <f>IFERROR(INDEX(TableWRCalcPts[TM],MATCH(TableWRRanks32[[#This Row],[Player]],TableWRCalcPts[PLAYER],0)),"")</f>
        <v>NYJ</v>
      </c>
      <c r="AG169" s="145">
        <f>IFERROR(INDEX(TableWRCalcPts[BYE],MATCH(TableWRRanks32[[#This Row],[Player]],TableWRCalcPts[PLAYER],0)),"")</f>
        <v>13</v>
      </c>
      <c r="AH169" s="146">
        <f>IFERROR((VLOOKUP(TableWRRanks32[[#This Row],[Player]],WR!B:O,4,FALSE)),"")</f>
        <v>0</v>
      </c>
      <c r="AI169" s="146">
        <f>IFERROR((VLOOKUP(TableWRRanks32[[#This Row],[Player]],WR!B:O,5,FALSE)),"")</f>
        <v>0</v>
      </c>
      <c r="AJ169" s="146">
        <f>IFERROR((VLOOKUP(TableWRRanks32[[#This Row],[Player]],WR!B:O,6,FALSE)),"")</f>
        <v>5.6199731270007609</v>
      </c>
      <c r="AK169" s="146">
        <f>IFERROR((VLOOKUP(TableWRRanks32[[#This Row],[Player]],WR!B:O,7,FALSE)),"")</f>
        <v>3.4562834731054677</v>
      </c>
      <c r="AL169" s="146">
        <f>IFERROR((VLOOKUP(TableWRRanks32[[#This Row],[Player]],WR!B:O,8,FALSE)),"")</f>
        <v>33.440362965298739</v>
      </c>
      <c r="AM169" s="146">
        <f>IFERROR((VLOOKUP(TableWRRanks32[[#This Row],[Player]],WR!B:O,9,FALSE)),"")</f>
        <v>0.19009559102080073</v>
      </c>
      <c r="AN169" s="147">
        <f>IFERROR((IFERROR(INDEX(TableWRCalcPts[Custom],MATCH(TableWRRanks32[[#This Row],[RK]],TableWRCalcPts[RK],0)),"")),"")</f>
        <v>6.2127515792074117</v>
      </c>
      <c r="AO1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0" spans="16:41" x14ac:dyDescent="0.25">
      <c r="P170" s="58">
        <v>169</v>
      </c>
      <c r="Q170" s="58" t="str">
        <f>IFERROR(INDEX(TableRBCalcPts[PLAYER],MATCH(TableRBRanks31[[#This Row],[RK]],TableRBCalcPts[RK],0)),"")</f>
        <v/>
      </c>
      <c r="R170" s="58" t="str">
        <f>IFERROR(INDEX(TableRBCalcPts[TM],MATCH(TableRBRanks31[[#This Row],[Player]],TableRBCalcPts[PLAYER],0)),"")</f>
        <v/>
      </c>
      <c r="S170" s="58" t="str">
        <f>IFERROR(INDEX(TableRBCalcPts[BYE],MATCH(TableRBRanks31[[#This Row],[Player]],TableRBCalcPts[PLAYER],0)),"")</f>
        <v/>
      </c>
      <c r="T170" s="100" t="str">
        <f>IFERROR((VLOOKUP(TableRBRanks31[[#This Row],[Player]],RB!B:O,4,FALSE)),"")</f>
        <v/>
      </c>
      <c r="U170" s="100" t="str">
        <f>IFERROR((VLOOKUP(TableRBRanks31[[#This Row],[Player]],RB!B:O,5,FALSE)),"")</f>
        <v/>
      </c>
      <c r="V170" s="100" t="str">
        <f>IFERROR((VLOOKUP(TableRBRanks31[[#This Row],[Player]],RB!B:O,6,FALSE)),"")</f>
        <v/>
      </c>
      <c r="W170" s="100" t="str">
        <f>IFERROR((VLOOKUP(TableRBRanks31[[#This Row],[Player]],RB!B:O,7,FALSE)),"")</f>
        <v/>
      </c>
      <c r="X170" s="100" t="str">
        <f>IFERROR((VLOOKUP(TableRBRanks31[[#This Row],[Player]],RB!B:O,8,FALSE)),"")</f>
        <v/>
      </c>
      <c r="Y170" s="100" t="str">
        <f>IFERROR((VLOOKUP(TableRBRanks31[[#This Row],[Player]],RB!B:O,9,FALSE)),"")</f>
        <v/>
      </c>
      <c r="Z170" s="100" t="str">
        <f>IFERROR((VLOOKUP(TableRBRanks31[[#This Row],[Player]],RB!B:O,10,FALSE)),"")</f>
        <v/>
      </c>
      <c r="AA170" s="95" t="str">
        <f>IFERROR((IFERROR(INDEX(TableRBCalcPts[Custom],MATCH(TableRBRanks31[[#This Row],[RK]],TableRBCalcPts[RK],0)),"")),"")</f>
        <v/>
      </c>
      <c r="AB17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0" s="145">
        <v>169</v>
      </c>
      <c r="AE170" s="145" t="str">
        <f>IFERROR(INDEX(TableWRCalcPts[PLAYER],MATCH(TableWRRanks32[[#This Row],[RK]],TableWRCalcPts[RK],0)),"")</f>
        <v>Scotty Miller</v>
      </c>
      <c r="AF170" s="145" t="str">
        <f>IFERROR(INDEX(TableWRCalcPts[TM],MATCH(TableWRRanks32[[#This Row],[Player]],TableWRCalcPts[PLAYER],0)),"")</f>
        <v>CHI</v>
      </c>
      <c r="AG170" s="145">
        <f>IFERROR(INDEX(TableWRCalcPts[BYE],MATCH(TableWRRanks32[[#This Row],[Player]],TableWRCalcPts[PLAYER],0)),"")</f>
        <v>10</v>
      </c>
      <c r="AH170" s="146">
        <f>IFERROR((VLOOKUP(TableWRRanks32[[#This Row],[Player]],WR!B:O,4,FALSE)),"")</f>
        <v>0</v>
      </c>
      <c r="AI170" s="146">
        <f>IFERROR((VLOOKUP(TableWRRanks32[[#This Row],[Player]],WR!B:O,5,FALSE)),"")</f>
        <v>0</v>
      </c>
      <c r="AJ170" s="146">
        <f>IFERROR((VLOOKUP(TableWRRanks32[[#This Row],[Player]],WR!B:O,6,FALSE)),"")</f>
        <v>5.6393512000000001</v>
      </c>
      <c r="AK170" s="146">
        <f>IFERROR((VLOOKUP(TableWRRanks32[[#This Row],[Player]],WR!B:O,7,FALSE)),"")</f>
        <v>3.327217208</v>
      </c>
      <c r="AL170" s="146">
        <f>IFERROR((VLOOKUP(TableWRRanks32[[#This Row],[Player]],WR!B:O,8,FALSE)),"")</f>
        <v>32.506912122159996</v>
      </c>
      <c r="AM170" s="146">
        <f>IFERROR((VLOOKUP(TableWRRanks32[[#This Row],[Player]],WR!B:O,9,FALSE)),"")</f>
        <v>0.19963303248</v>
      </c>
      <c r="AN170" s="147">
        <f>IFERROR((IFERROR(INDEX(TableWRCalcPts[Custom],MATCH(TableWRRanks32[[#This Row],[RK]],TableWRCalcPts[RK],0)),"")),"")</f>
        <v>6.1120980110959993</v>
      </c>
      <c r="AO1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1" spans="16:41" x14ac:dyDescent="0.25">
      <c r="P171" s="58">
        <v>170</v>
      </c>
      <c r="Q171" s="58" t="str">
        <f>IFERROR(INDEX(TableRBCalcPts[PLAYER],MATCH(TableRBRanks31[[#This Row],[RK]],TableRBCalcPts[RK],0)),"")</f>
        <v/>
      </c>
      <c r="R171" s="58" t="str">
        <f>IFERROR(INDEX(TableRBCalcPts[TM],MATCH(TableRBRanks31[[#This Row],[Player]],TableRBCalcPts[PLAYER],0)),"")</f>
        <v/>
      </c>
      <c r="S171" s="58" t="str">
        <f>IFERROR(INDEX(TableRBCalcPts[BYE],MATCH(TableRBRanks31[[#This Row],[Player]],TableRBCalcPts[PLAYER],0)),"")</f>
        <v/>
      </c>
      <c r="T171" s="100" t="str">
        <f>IFERROR((VLOOKUP(TableRBRanks31[[#This Row],[Player]],RB!B:O,4,FALSE)),"")</f>
        <v/>
      </c>
      <c r="U171" s="100" t="str">
        <f>IFERROR((VLOOKUP(TableRBRanks31[[#This Row],[Player]],RB!B:O,5,FALSE)),"")</f>
        <v/>
      </c>
      <c r="V171" s="100" t="str">
        <f>IFERROR((VLOOKUP(TableRBRanks31[[#This Row],[Player]],RB!B:O,6,FALSE)),"")</f>
        <v/>
      </c>
      <c r="W171" s="100" t="str">
        <f>IFERROR((VLOOKUP(TableRBRanks31[[#This Row],[Player]],RB!B:O,7,FALSE)),"")</f>
        <v/>
      </c>
      <c r="X171" s="100" t="str">
        <f>IFERROR((VLOOKUP(TableRBRanks31[[#This Row],[Player]],RB!B:O,8,FALSE)),"")</f>
        <v/>
      </c>
      <c r="Y171" s="100" t="str">
        <f>IFERROR((VLOOKUP(TableRBRanks31[[#This Row],[Player]],RB!B:O,9,FALSE)),"")</f>
        <v/>
      </c>
      <c r="Z171" s="100" t="str">
        <f>IFERROR((VLOOKUP(TableRBRanks31[[#This Row],[Player]],RB!B:O,10,FALSE)),"")</f>
        <v/>
      </c>
      <c r="AA171" s="95" t="str">
        <f>IFERROR((IFERROR(INDEX(TableRBCalcPts[Custom],MATCH(TableRBRanks31[[#This Row],[RK]],TableRBCalcPts[RK],0)),"")),"")</f>
        <v/>
      </c>
      <c r="AB17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1" s="145">
        <v>170</v>
      </c>
      <c r="AE171" s="145" t="str">
        <f>IFERROR(INDEX(TableWRCalcPts[PLAYER],MATCH(TableWRRanks32[[#This Row],[RK]],TableWRCalcPts[RK],0)),"")</f>
        <v>CJ Williams</v>
      </c>
      <c r="AF171" s="145" t="str">
        <f>IFERROR(INDEX(TableWRCalcPts[TM],MATCH(TableWRRanks32[[#This Row],[Player]],TableWRCalcPts[PLAYER],0)),"")</f>
        <v>JAX</v>
      </c>
      <c r="AG171" s="145">
        <f>IFERROR(INDEX(TableWRCalcPts[BYE],MATCH(TableWRRanks32[[#This Row],[Player]],TableWRCalcPts[PLAYER],0)),"")</f>
        <v>7</v>
      </c>
      <c r="AH171" s="146">
        <f>IFERROR((VLOOKUP(TableWRRanks32[[#This Row],[Player]],WR!B:O,4,FALSE)),"")</f>
        <v>0</v>
      </c>
      <c r="AI171" s="146">
        <f>IFERROR((VLOOKUP(TableWRRanks32[[#This Row],[Player]],WR!B:O,5,FALSE)),"")</f>
        <v>0</v>
      </c>
      <c r="AJ171" s="146">
        <f>IFERROR((VLOOKUP(TableWRRanks32[[#This Row],[Player]],WR!B:O,6,FALSE)),"")</f>
        <v>5.5967310000000001</v>
      </c>
      <c r="AK171" s="146">
        <f>IFERROR((VLOOKUP(TableWRRanks32[[#This Row],[Player]],WR!B:O,7,FALSE)),"")</f>
        <v>3.3580386</v>
      </c>
      <c r="AL171" s="146">
        <f>IFERROR((VLOOKUP(TableWRRanks32[[#This Row],[Player]],WR!B:O,8,FALSE)),"")</f>
        <v>30.558151259999999</v>
      </c>
      <c r="AM171" s="146">
        <f>IFERROR((VLOOKUP(TableWRRanks32[[#This Row],[Player]],WR!B:O,9,FALSE)),"")</f>
        <v>0.2081983932</v>
      </c>
      <c r="AN171" s="147">
        <f>IFERROR((IFERROR(INDEX(TableWRCalcPts[Custom],MATCH(TableWRRanks32[[#This Row],[RK]],TableWRCalcPts[RK],0)),"")),"")</f>
        <v>5.9840247851999999</v>
      </c>
      <c r="AO1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2" spans="16:41" x14ac:dyDescent="0.25">
      <c r="AD172" s="145">
        <v>171</v>
      </c>
      <c r="AE172" s="145" t="str">
        <f>IFERROR(INDEX(TableWRCalcPts[PLAYER],MATCH(TableWRRanks32[[#This Row],[RK]],TableWRCalcPts[RK],0)),"")</f>
        <v>Jeshaun Jones</v>
      </c>
      <c r="AF172" s="145" t="str">
        <f>IFERROR(INDEX(TableWRCalcPts[TM],MATCH(TableWRRanks32[[#This Row],[Player]],TableWRCalcPts[PLAYER],0)),"")</f>
        <v>MIN</v>
      </c>
      <c r="AG172" s="145">
        <f>IFERROR(INDEX(TableWRCalcPts[BYE],MATCH(TableWRRanks32[[#This Row],[Player]],TableWRCalcPts[PLAYER],0)),"")</f>
        <v>6</v>
      </c>
      <c r="AH172" s="146">
        <f>IFERROR((VLOOKUP(TableWRRanks32[[#This Row],[Player]],WR!B:O,4,FALSE)),"")</f>
        <v>0</v>
      </c>
      <c r="AI172" s="146">
        <f>IFERROR((VLOOKUP(TableWRRanks32[[#This Row],[Player]],WR!B:O,5,FALSE)),"")</f>
        <v>0</v>
      </c>
      <c r="AJ172" s="146">
        <f>IFERROR((VLOOKUP(TableWRRanks32[[#This Row],[Player]],WR!B:O,6,FALSE)),"")</f>
        <v>5.2992127999999994</v>
      </c>
      <c r="AK172" s="146">
        <f>IFERROR((VLOOKUP(TableWRRanks32[[#This Row],[Player]],WR!B:O,7,FALSE)),"")</f>
        <v>3.4497875327999998</v>
      </c>
      <c r="AL172" s="146">
        <f>IFERROR((VLOOKUP(TableWRRanks32[[#This Row],[Player]],WR!B:O,8,FALSE)),"")</f>
        <v>30.963753314570933</v>
      </c>
      <c r="AM172" s="146">
        <f>IFERROR((VLOOKUP(TableWRRanks32[[#This Row],[Player]],WR!B:O,9,FALSE)),"")</f>
        <v>0.18973831430399998</v>
      </c>
      <c r="AN172" s="147">
        <f>IFERROR((IFERROR(INDEX(TableWRCalcPts[Custom],MATCH(TableWRRanks32[[#This Row],[RK]],TableWRCalcPts[RK],0)),"")),"")</f>
        <v>5.9596989836810934</v>
      </c>
      <c r="AO1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3" spans="16:41" x14ac:dyDescent="0.25">
      <c r="AD173" s="145">
        <v>172</v>
      </c>
      <c r="AE173" s="145" t="str">
        <f>IFERROR(INDEX(TableWRCalcPts[PLAYER],MATCH(TableWRRanks32[[#This Row],[RK]],TableWRCalcPts[RK],0)),"")</f>
        <v>Dareke Young</v>
      </c>
      <c r="AF173" s="145" t="str">
        <f>IFERROR(INDEX(TableWRCalcPts[TM],MATCH(TableWRRanks32[[#This Row],[Player]],TableWRCalcPts[PLAYER],0)),"")</f>
        <v>LV</v>
      </c>
      <c r="AG173" s="145">
        <f>IFERROR(INDEX(TableWRCalcPts[BYE],MATCH(TableWRRanks32[[#This Row],[Player]],TableWRCalcPts[PLAYER],0)),"")</f>
        <v>13</v>
      </c>
      <c r="AH173" s="146">
        <f>IFERROR((VLOOKUP(TableWRRanks32[[#This Row],[Player]],WR!B:O,4,FALSE)),"")</f>
        <v>0</v>
      </c>
      <c r="AI173" s="146">
        <f>IFERROR((VLOOKUP(TableWRRanks32[[#This Row],[Player]],WR!B:O,5,FALSE)),"")</f>
        <v>0</v>
      </c>
      <c r="AJ173" s="146">
        <f>IFERROR((VLOOKUP(TableWRRanks32[[#This Row],[Player]],WR!B:O,6,FALSE)),"")</f>
        <v>5.4429983999999996</v>
      </c>
      <c r="AK173" s="146">
        <f>IFERROR((VLOOKUP(TableWRRanks32[[#This Row],[Player]],WR!B:O,7,FALSE)),"")</f>
        <v>3.1514960735999997</v>
      </c>
      <c r="AL173" s="146">
        <f>IFERROR((VLOOKUP(TableWRRanks32[[#This Row],[Player]],WR!B:O,8,FALSE)),"")</f>
        <v>30.569511913919996</v>
      </c>
      <c r="AM173" s="146">
        <f>IFERROR((VLOOKUP(TableWRRanks32[[#This Row],[Player]],WR!B:O,9,FALSE)),"")</f>
        <v>0.15127181153279998</v>
      </c>
      <c r="AN173" s="147">
        <f>IFERROR((IFERROR(INDEX(TableWRCalcPts[Custom],MATCH(TableWRRanks32[[#This Row],[RK]],TableWRCalcPts[RK],0)),"")),"")</f>
        <v>5.5403300973887992</v>
      </c>
      <c r="AO1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4" spans="16:41" x14ac:dyDescent="0.25">
      <c r="AD174" s="145">
        <v>173</v>
      </c>
      <c r="AE174" s="145" t="str">
        <f>IFERROR(INDEX(TableWRCalcPts[PLAYER],MATCH(TableWRRanks32[[#This Row],[RK]],TableWRCalcPts[RK],0)),"")</f>
        <v>Devin Duvernay</v>
      </c>
      <c r="AF174" s="145" t="str">
        <f>IFERROR(INDEX(TableWRCalcPts[TM],MATCH(TableWRRanks32[[#This Row],[Player]],TableWRCalcPts[PLAYER],0)),"")</f>
        <v>ARI</v>
      </c>
      <c r="AG174" s="145">
        <f>IFERROR(INDEX(TableWRCalcPts[BYE],MATCH(TableWRRanks32[[#This Row],[Player]],TableWRCalcPts[PLAYER],0)),"")</f>
        <v>14</v>
      </c>
      <c r="AH174" s="146">
        <f>IFERROR((VLOOKUP(TableWRRanks32[[#This Row],[Player]],WR!B:O,4,FALSE)),"")</f>
        <v>0</v>
      </c>
      <c r="AI174" s="146">
        <f>IFERROR((VLOOKUP(TableWRRanks32[[#This Row],[Player]],WR!B:O,5,FALSE)),"")</f>
        <v>0</v>
      </c>
      <c r="AJ174" s="146">
        <f>IFERROR((VLOOKUP(TableWRRanks32[[#This Row],[Player]],WR!B:O,6,FALSE)),"")</f>
        <v>5.5593440000000003</v>
      </c>
      <c r="AK174" s="146">
        <f>IFERROR((VLOOKUP(TableWRRanks32[[#This Row],[Player]],WR!B:O,7,FALSE)),"")</f>
        <v>3.0497634626666668</v>
      </c>
      <c r="AL174" s="146">
        <f>IFERROR((VLOOKUP(TableWRRanks32[[#This Row],[Player]],WR!B:O,8,FALSE)),"")</f>
        <v>29.277729241599999</v>
      </c>
      <c r="AM174" s="146">
        <f>IFERROR((VLOOKUP(TableWRRanks32[[#This Row],[Player]],WR!B:O,9,FALSE)),"")</f>
        <v>0.16773699044666668</v>
      </c>
      <c r="AN174" s="147">
        <f>IFERROR((IFERROR(INDEX(TableWRCalcPts[Custom],MATCH(TableWRRanks32[[#This Row],[RK]],TableWRCalcPts[RK],0)),"")),"")</f>
        <v>5.4590765981733336</v>
      </c>
      <c r="AO1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5" spans="16:41" x14ac:dyDescent="0.25">
      <c r="AD175" s="145">
        <v>174</v>
      </c>
      <c r="AE175" s="145" t="str">
        <f>IFERROR(INDEX(TableWRCalcPts[PLAYER],MATCH(TableWRRanks32[[#This Row],[RK]],TableWRCalcPts[RK],0)),"")</f>
        <v>Anthony Gould</v>
      </c>
      <c r="AF175" s="145" t="str">
        <f>IFERROR(INDEX(TableWRCalcPts[TM],MATCH(TableWRRanks32[[#This Row],[Player]],TableWRCalcPts[PLAYER],0)),"")</f>
        <v>IND</v>
      </c>
      <c r="AG175" s="145">
        <f>IFERROR(INDEX(TableWRCalcPts[BYE],MATCH(TableWRRanks32[[#This Row],[Player]],TableWRCalcPts[PLAYER],0)),"")</f>
        <v>13</v>
      </c>
      <c r="AH175" s="146">
        <f>IFERROR((VLOOKUP(TableWRRanks32[[#This Row],[Player]],WR!B:O,4,FALSE)),"")</f>
        <v>0</v>
      </c>
      <c r="AI175" s="146">
        <f>IFERROR((VLOOKUP(TableWRRanks32[[#This Row],[Player]],WR!B:O,5,FALSE)),"")</f>
        <v>0</v>
      </c>
      <c r="AJ175" s="146">
        <f>IFERROR((VLOOKUP(TableWRRanks32[[#This Row],[Player]],WR!B:O,6,FALSE)),"")</f>
        <v>5.2261439999999997</v>
      </c>
      <c r="AK175" s="146">
        <f>IFERROR((VLOOKUP(TableWRRanks32[[#This Row],[Player]],WR!B:O,7,FALSE)),"")</f>
        <v>2.8768180671999999</v>
      </c>
      <c r="AL175" s="146">
        <f>IFERROR((VLOOKUP(TableWRRanks32[[#This Row],[Player]],WR!B:O,8,FALSE)),"")</f>
        <v>30.471555206400001</v>
      </c>
      <c r="AM175" s="146">
        <f>IFERROR((VLOOKUP(TableWRRanks32[[#This Row],[Player]],WR!B:O,9,FALSE)),"")</f>
        <v>0.15822499369599999</v>
      </c>
      <c r="AN175" s="147">
        <f>IFERROR((IFERROR(INDEX(TableWRCalcPts[Custom],MATCH(TableWRRanks32[[#This Row],[RK]],TableWRCalcPts[RK],0)),"")),"")</f>
        <v>5.4349145164160007</v>
      </c>
      <c r="AO1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6" spans="16:41" x14ac:dyDescent="0.25">
      <c r="AD176" s="145">
        <v>175</v>
      </c>
      <c r="AE176" s="145" t="str">
        <f>IFERROR(INDEX(TableWRCalcPts[PLAYER],MATCH(TableWRRanks32[[#This Row],[RK]],TableWRCalcPts[RK],0)),"")</f>
        <v>Tylan Wallace</v>
      </c>
      <c r="AF176" s="145" t="str">
        <f>IFERROR(INDEX(TableWRCalcPts[TM],MATCH(TableWRRanks32[[#This Row],[Player]],TableWRCalcPts[PLAYER],0)),"")</f>
        <v>CLE</v>
      </c>
      <c r="AG176" s="145">
        <f>IFERROR(INDEX(TableWRCalcPts[BYE],MATCH(TableWRRanks32[[#This Row],[Player]],TableWRCalcPts[PLAYER],0)),"")</f>
        <v>11</v>
      </c>
      <c r="AH176" s="146">
        <f>IFERROR((VLOOKUP(TableWRRanks32[[#This Row],[Player]],WR!B:O,4,FALSE)),"")</f>
        <v>0</v>
      </c>
      <c r="AI176" s="146">
        <f>IFERROR((VLOOKUP(TableWRRanks32[[#This Row],[Player]],WR!B:O,5,FALSE)),"")</f>
        <v>0</v>
      </c>
      <c r="AJ176" s="146">
        <f>IFERROR((VLOOKUP(TableWRRanks32[[#This Row],[Player]],WR!B:O,6,FALSE)),"")</f>
        <v>4.9480199999999996</v>
      </c>
      <c r="AK176" s="146">
        <f>IFERROR((VLOOKUP(TableWRRanks32[[#This Row],[Player]],WR!B:O,7,FALSE)),"")</f>
        <v>2.78078724</v>
      </c>
      <c r="AL176" s="146">
        <f>IFERROR((VLOOKUP(TableWRRanks32[[#This Row],[Player]],WR!B:O,8,FALSE)),"")</f>
        <v>27.835680272399998</v>
      </c>
      <c r="AM176" s="146">
        <f>IFERROR((VLOOKUP(TableWRRanks32[[#This Row],[Player]],WR!B:O,9,FALSE)),"")</f>
        <v>0.15294329819999999</v>
      </c>
      <c r="AN176" s="147">
        <f>IFERROR((IFERROR(INDEX(TableWRCalcPts[Custom],MATCH(TableWRRanks32[[#This Row],[RK]],TableWRCalcPts[RK],0)),"")),"")</f>
        <v>5.0916214364399996</v>
      </c>
      <c r="AO1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7" spans="30:41" x14ac:dyDescent="0.25">
      <c r="AD177" s="145">
        <v>176</v>
      </c>
      <c r="AE177" s="145" t="str">
        <f>IFERROR(INDEX(TableWRCalcPts[PLAYER],MATCH(TableWRRanks32[[#This Row],[RK]],TableWRCalcPts[RK],0)),"")</f>
        <v>Josh Cameron</v>
      </c>
      <c r="AF177" s="145" t="str">
        <f>IFERROR(INDEX(TableWRCalcPts[TM],MATCH(TableWRRanks32[[#This Row],[Player]],TableWRCalcPts[PLAYER],0)),"")</f>
        <v>JAX</v>
      </c>
      <c r="AG177" s="145">
        <f>IFERROR(INDEX(TableWRCalcPts[BYE],MATCH(TableWRRanks32[[#This Row],[Player]],TableWRCalcPts[PLAYER],0)),"")</f>
        <v>7</v>
      </c>
      <c r="AH177" s="146">
        <f>IFERROR((VLOOKUP(TableWRRanks32[[#This Row],[Player]],WR!B:O,4,FALSE)),"")</f>
        <v>0</v>
      </c>
      <c r="AI177" s="146">
        <f>IFERROR((VLOOKUP(TableWRRanks32[[#This Row],[Player]],WR!B:O,5,FALSE)),"")</f>
        <v>0</v>
      </c>
      <c r="AJ177" s="146">
        <f>IFERROR((VLOOKUP(TableWRRanks32[[#This Row],[Player]],WR!B:O,6,FALSE)),"")</f>
        <v>2.7983655000000001</v>
      </c>
      <c r="AK177" s="146">
        <f>IFERROR((VLOOKUP(TableWRRanks32[[#This Row],[Player]],WR!B:O,7,FALSE)),"")</f>
        <v>1.6650274725</v>
      </c>
      <c r="AL177" s="146">
        <f>IFERROR((VLOOKUP(TableWRRanks32[[#This Row],[Player]],WR!B:O,8,FALSE)),"")</f>
        <v>17.715892307400001</v>
      </c>
      <c r="AM177" s="146">
        <f>IFERROR((VLOOKUP(TableWRRanks32[[#This Row],[Player]],WR!B:O,9,FALSE)),"")</f>
        <v>0.1348672252725</v>
      </c>
      <c r="AN177" s="147">
        <f>IFERROR((IFERROR(INDEX(TableWRCalcPts[Custom],MATCH(TableWRRanks32[[#This Row],[RK]],TableWRCalcPts[RK],0)),"")),"")</f>
        <v>3.4133063186250001</v>
      </c>
      <c r="AO1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8" spans="30:41" x14ac:dyDescent="0.25">
      <c r="AD178" s="145">
        <v>177</v>
      </c>
      <c r="AE178" s="145" t="str">
        <f>IFERROR(INDEX(TableWRCalcPts[PLAYER],MATCH(TableWRRanks32[[#This Row],[RK]],TableWRCalcPts[RK],0)),"")</f>
        <v>Jeff Caldwell</v>
      </c>
      <c r="AF178" s="145" t="str">
        <f>IFERROR(INDEX(TableWRCalcPts[TM],MATCH(TableWRRanks32[[#This Row],[Player]],TableWRCalcPts[PLAYER],0)),"")</f>
        <v>KC</v>
      </c>
      <c r="AG178" s="145">
        <f>IFERROR(INDEX(TableWRCalcPts[BYE],MATCH(TableWRRanks32[[#This Row],[Player]],TableWRCalcPts[PLAYER],0)),"")</f>
        <v>5</v>
      </c>
      <c r="AH178" s="146">
        <f>IFERROR((VLOOKUP(TableWRRanks32[[#This Row],[Player]],WR!B:O,4,FALSE)),"")</f>
        <v>0</v>
      </c>
      <c r="AI178" s="146">
        <f>IFERROR((VLOOKUP(TableWRRanks32[[#This Row],[Player]],WR!B:O,5,FALSE)),"")</f>
        <v>0</v>
      </c>
      <c r="AJ178" s="146">
        <f>IFERROR((VLOOKUP(TableWRRanks32[[#This Row],[Player]],WR!B:O,6,FALSE)),"")</f>
        <v>2.9273824999999998</v>
      </c>
      <c r="AK178" s="146">
        <f>IFERROR((VLOOKUP(TableWRRanks32[[#This Row],[Player]],WR!B:O,7,FALSE)),"")</f>
        <v>1.6334794349999999</v>
      </c>
      <c r="AL178" s="146">
        <f>IFERROR((VLOOKUP(TableWRRanks32[[#This Row],[Player]],WR!B:O,8,FALSE)),"")</f>
        <v>18.098952139799998</v>
      </c>
      <c r="AM178" s="146">
        <f>IFERROR((VLOOKUP(TableWRRanks32[[#This Row],[Player]],WR!B:O,9,FALSE)),"")</f>
        <v>0.11434356045000001</v>
      </c>
      <c r="AN178" s="147">
        <f>IFERROR((IFERROR(INDEX(TableWRCalcPts[Custom],MATCH(TableWRRanks32[[#This Row],[RK]],TableWRCalcPts[RK],0)),"")),"")</f>
        <v>3.3126962941800002</v>
      </c>
      <c r="AO1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9" spans="30:41" x14ac:dyDescent="0.25">
      <c r="AD179" s="145">
        <v>178</v>
      </c>
      <c r="AE179" s="145" t="str">
        <f>IFERROR(INDEX(TableWRCalcPts[PLAYER],MATCH(TableWRRanks32[[#This Row],[RK]],TableWRCalcPts[RK],0)),"")</f>
        <v>Derius Davis</v>
      </c>
      <c r="AF179" s="145" t="str">
        <f>IFERROR(INDEX(TableWRCalcPts[TM],MATCH(TableWRRanks32[[#This Row],[Player]],TableWRCalcPts[PLAYER],0)),"")</f>
        <v>LAC</v>
      </c>
      <c r="AG179" s="145">
        <f>IFERROR(INDEX(TableWRCalcPts[BYE],MATCH(TableWRRanks32[[#This Row],[Player]],TableWRCalcPts[PLAYER],0)),"")</f>
        <v>7</v>
      </c>
      <c r="AH179" s="146">
        <f>IFERROR((VLOOKUP(TableWRRanks32[[#This Row],[Player]],WR!B:O,4,FALSE)),"")</f>
        <v>0</v>
      </c>
      <c r="AI179" s="146">
        <f>IFERROR((VLOOKUP(TableWRRanks32[[#This Row],[Player]],WR!B:O,5,FALSE)),"")</f>
        <v>0</v>
      </c>
      <c r="AJ179" s="146">
        <f>IFERROR((VLOOKUP(TableWRRanks32[[#This Row],[Player]],WR!B:O,6,FALSE)),"")</f>
        <v>2.6584557999999996</v>
      </c>
      <c r="AK179" s="146">
        <f>IFERROR((VLOOKUP(TableWRRanks32[[#This Row],[Player]],WR!B:O,7,FALSE)),"")</f>
        <v>1.8476267809999996</v>
      </c>
      <c r="AL179" s="146">
        <f>IFERROR((VLOOKUP(TableWRRanks32[[#This Row],[Player]],WR!B:O,8,FALSE)),"")</f>
        <v>17.464753734961864</v>
      </c>
      <c r="AM179" s="146">
        <f>IFERROR((VLOOKUP(TableWRRanks32[[#This Row],[Player]],WR!B:O,9,FALSE)),"")</f>
        <v>9.2381339049999983E-2</v>
      </c>
      <c r="AN179" s="147">
        <f>IFERROR((IFERROR(INDEX(TableWRCalcPts[Custom],MATCH(TableWRRanks32[[#This Row],[RK]],TableWRCalcPts[RK],0)),"")),"")</f>
        <v>3.2245767982961859</v>
      </c>
      <c r="AO1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0" spans="30:41" x14ac:dyDescent="0.25">
      <c r="AD180" s="145">
        <v>179</v>
      </c>
      <c r="AE180" s="145" t="str">
        <f>IFERROR(INDEX(TableWRCalcPts[PLAYER],MATCH(TableWRRanks32[[#This Row],[RK]],TableWRCalcPts[RK],0)),"")</f>
        <v>Malik Benson</v>
      </c>
      <c r="AF180" s="145" t="str">
        <f>IFERROR(INDEX(TableWRCalcPts[TM],MATCH(TableWRRanks32[[#This Row],[Player]],TableWRCalcPts[PLAYER],0)),"")</f>
        <v>LV</v>
      </c>
      <c r="AG180" s="145">
        <f>IFERROR(INDEX(TableWRCalcPts[BYE],MATCH(TableWRRanks32[[#This Row],[Player]],TableWRCalcPts[PLAYER],0)),"")</f>
        <v>13</v>
      </c>
      <c r="AH180" s="146">
        <f>IFERROR((VLOOKUP(TableWRRanks32[[#This Row],[Player]],WR!B:O,4,FALSE)),"")</f>
        <v>0</v>
      </c>
      <c r="AI180" s="146">
        <f>IFERROR((VLOOKUP(TableWRRanks32[[#This Row],[Player]],WR!B:O,5,FALSE)),"")</f>
        <v>0</v>
      </c>
      <c r="AJ180" s="146">
        <f>IFERROR((VLOOKUP(TableWRRanks32[[#This Row],[Player]],WR!B:O,6,FALSE)),"")</f>
        <v>2.7214991999999998</v>
      </c>
      <c r="AK180" s="146">
        <f>IFERROR((VLOOKUP(TableWRRanks32[[#This Row],[Player]],WR!B:O,7,FALSE)),"")</f>
        <v>1.7009369999999999</v>
      </c>
      <c r="AL180" s="146">
        <f>IFERROR((VLOOKUP(TableWRRanks32[[#This Row],[Player]],WR!B:O,8,FALSE)),"")</f>
        <v>18.642269519999999</v>
      </c>
      <c r="AM180" s="146">
        <f>IFERROR((VLOOKUP(TableWRRanks32[[#This Row],[Player]],WR!B:O,9,FALSE)),"")</f>
        <v>7.9944038999999995E-2</v>
      </c>
      <c r="AN180" s="147">
        <f>IFERROR((IFERROR(INDEX(TableWRCalcPts[Custom],MATCH(TableWRRanks32[[#This Row],[RK]],TableWRCalcPts[RK],0)),"")),"")</f>
        <v>3.1943596859999999</v>
      </c>
      <c r="AO1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1" spans="30:41" x14ac:dyDescent="0.25">
      <c r="AD181" s="145">
        <v>180</v>
      </c>
      <c r="AE181" s="145" t="str">
        <f>IFERROR(INDEX(TableWRCalcPts[PLAYER],MATCH(TableWRRanks32[[#This Row],[RK]],TableWRCalcPts[RK],0)),"")</f>
        <v>Xavier Weaver</v>
      </c>
      <c r="AF181" s="145" t="str">
        <f>IFERROR(INDEX(TableWRCalcPts[TM],MATCH(TableWRRanks32[[#This Row],[Player]],TableWRCalcPts[PLAYER],0)),"")</f>
        <v>ARI</v>
      </c>
      <c r="AG181" s="145">
        <f>IFERROR(INDEX(TableWRCalcPts[BYE],MATCH(TableWRRanks32[[#This Row],[Player]],TableWRCalcPts[PLAYER],0)),"")</f>
        <v>14</v>
      </c>
      <c r="AH181" s="146">
        <f>IFERROR((VLOOKUP(TableWRRanks32[[#This Row],[Player]],WR!B:O,4,FALSE)),"")</f>
        <v>0</v>
      </c>
      <c r="AI181" s="146">
        <f>IFERROR((VLOOKUP(TableWRRanks32[[#This Row],[Player]],WR!B:O,5,FALSE)),"")</f>
        <v>0</v>
      </c>
      <c r="AJ181" s="146">
        <f>IFERROR((VLOOKUP(TableWRRanks32[[#This Row],[Player]],WR!B:O,6,FALSE)),"")</f>
        <v>2.7796720000000001</v>
      </c>
      <c r="AK181" s="146">
        <f>IFERROR((VLOOKUP(TableWRRanks32[[#This Row],[Player]],WR!B:O,7,FALSE)),"")</f>
        <v>1.737295</v>
      </c>
      <c r="AL181" s="146">
        <f>IFERROR((VLOOKUP(TableWRRanks32[[#This Row],[Player]],WR!B:O,8,FALSE)),"")</f>
        <v>16.03523285</v>
      </c>
      <c r="AM181" s="146">
        <f>IFERROR((VLOOKUP(TableWRRanks32[[#This Row],[Player]],WR!B:O,9,FALSE)),"")</f>
        <v>9.5551225000000004E-2</v>
      </c>
      <c r="AN181" s="147">
        <f>IFERROR((IFERROR(INDEX(TableWRCalcPts[Custom],MATCH(TableWRRanks32[[#This Row],[RK]],TableWRCalcPts[RK],0)),"")),"")</f>
        <v>3.0454781350000002</v>
      </c>
      <c r="AO1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2" spans="30:41" x14ac:dyDescent="0.25">
      <c r="AD182" s="145">
        <v>181</v>
      </c>
      <c r="AE182" s="145" t="str">
        <f>IFERROR(INDEX(TableWRCalcPts[PLAYER],MATCH(TableWRRanks32[[#This Row],[RK]],TableWRCalcPts[RK],0)),"")</f>
        <v>Arian Smith</v>
      </c>
      <c r="AF182" s="145" t="str">
        <f>IFERROR(INDEX(TableWRCalcPts[TM],MATCH(TableWRRanks32[[#This Row],[Player]],TableWRCalcPts[PLAYER],0)),"")</f>
        <v>NYJ</v>
      </c>
      <c r="AG182" s="145">
        <f>IFERROR(INDEX(TableWRCalcPts[BYE],MATCH(TableWRRanks32[[#This Row],[Player]],TableWRCalcPts[PLAYER],0)),"")</f>
        <v>13</v>
      </c>
      <c r="AH182" s="146">
        <f>IFERROR((VLOOKUP(TableWRRanks32[[#This Row],[Player]],WR!B:O,4,FALSE)),"")</f>
        <v>0</v>
      </c>
      <c r="AI182" s="146">
        <f>IFERROR((VLOOKUP(TableWRRanks32[[#This Row],[Player]],WR!B:O,5,FALSE)),"")</f>
        <v>0</v>
      </c>
      <c r="AJ182" s="146">
        <f>IFERROR((VLOOKUP(TableWRRanks32[[#This Row],[Player]],WR!B:O,6,FALSE)),"")</f>
        <v>2.8099865635003805</v>
      </c>
      <c r="AK182" s="146">
        <f>IFERROR((VLOOKUP(TableWRRanks32[[#This Row],[Player]],WR!B:O,7,FALSE)),"")</f>
        <v>1.691611911227229</v>
      </c>
      <c r="AL182" s="146">
        <f>IFERROR((VLOOKUP(TableWRRanks32[[#This Row],[Player]],WR!B:O,8,FALSE)),"")</f>
        <v>14.655340541411148</v>
      </c>
      <c r="AM182" s="146">
        <f>IFERROR((VLOOKUP(TableWRRanks32[[#This Row],[Player]],WR!B:O,9,FALSE)),"")</f>
        <v>8.4580595561361452E-2</v>
      </c>
      <c r="AN182" s="147">
        <f>IFERROR((IFERROR(INDEX(TableWRCalcPts[Custom],MATCH(TableWRRanks32[[#This Row],[RK]],TableWRCalcPts[RK],0)),"")),"")</f>
        <v>2.818823583122898</v>
      </c>
      <c r="AO1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3" spans="30:41" x14ac:dyDescent="0.25">
      <c r="AD183" s="145">
        <v>182</v>
      </c>
      <c r="AE183" s="145" t="str">
        <f>IFERROR(INDEX(TableWRCalcPts[PLAYER],MATCH(TableWRRanks32[[#This Row],[RK]],TableWRCalcPts[RK],0)),"")</f>
        <v>Skyy Moore</v>
      </c>
      <c r="AF183" s="145" t="str">
        <f>IFERROR(INDEX(TableWRCalcPts[TM],MATCH(TableWRRanks32[[#This Row],[Player]],TableWRCalcPts[PLAYER],0)),"")</f>
        <v>GB</v>
      </c>
      <c r="AG183" s="145">
        <f>IFERROR(INDEX(TableWRCalcPts[BYE],MATCH(TableWRRanks32[[#This Row],[Player]],TableWRCalcPts[PLAYER],0)),"")</f>
        <v>11</v>
      </c>
      <c r="AH183" s="146">
        <f>IFERROR((VLOOKUP(TableWRRanks32[[#This Row],[Player]],WR!B:O,4,FALSE)),"")</f>
        <v>0</v>
      </c>
      <c r="AI183" s="146">
        <f>IFERROR((VLOOKUP(TableWRRanks32[[#This Row],[Player]],WR!B:O,5,FALSE)),"")</f>
        <v>0</v>
      </c>
      <c r="AJ183" s="146">
        <f>IFERROR((VLOOKUP(TableWRRanks32[[#This Row],[Player]],WR!B:O,6,FALSE)),"")</f>
        <v>5.2177760804020092</v>
      </c>
      <c r="AK183" s="146">
        <f>IFERROR((VLOOKUP(TableWRRanks32[[#This Row],[Player]],WR!B:O,7,FALSE)),"")</f>
        <v>0</v>
      </c>
      <c r="AL183" s="146">
        <f>IFERROR((VLOOKUP(TableWRRanks32[[#This Row],[Player]],WR!B:O,8,FALSE)),"")</f>
        <v>0</v>
      </c>
      <c r="AM183" s="146">
        <f>IFERROR((VLOOKUP(TableWRRanks32[[#This Row],[Player]],WR!B:O,9,FALSE)),"")</f>
        <v>0</v>
      </c>
      <c r="AN183" s="147">
        <f>IFERROR((IFERROR(INDEX(TableWRCalcPts[Custom],MATCH(TableWRRanks32[[#This Row],[RK]],TableWRCalcPts[RK],0)),"")),"")</f>
        <v>0</v>
      </c>
      <c r="AO1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4" spans="30:41" x14ac:dyDescent="0.25">
      <c r="AD184" s="145">
        <v>183</v>
      </c>
      <c r="AE184" s="145" t="str">
        <f>IFERROR(INDEX(TableWRCalcPts[PLAYER],MATCH(TableWRRanks32[[#This Row],[RK]],TableWRCalcPts[RK],0)),"")</f>
        <v/>
      </c>
      <c r="AF184" s="145" t="str">
        <f>IFERROR(INDEX(TableWRCalcPts[TM],MATCH(TableWRRanks32[[#This Row],[Player]],TableWRCalcPts[PLAYER],0)),"")</f>
        <v/>
      </c>
      <c r="AG184" s="145" t="str">
        <f>IFERROR(INDEX(TableWRCalcPts[BYE],MATCH(TableWRRanks32[[#This Row],[Player]],TableWRCalcPts[PLAYER],0)),"")</f>
        <v/>
      </c>
      <c r="AH184" s="146" t="str">
        <f>IFERROR((VLOOKUP(TableWRRanks32[[#This Row],[Player]],WR!B:O,4,FALSE)),"")</f>
        <v/>
      </c>
      <c r="AI184" s="146" t="str">
        <f>IFERROR((VLOOKUP(TableWRRanks32[[#This Row],[Player]],WR!B:O,5,FALSE)),"")</f>
        <v/>
      </c>
      <c r="AJ184" s="146" t="str">
        <f>IFERROR((VLOOKUP(TableWRRanks32[[#This Row],[Player]],WR!B:O,6,FALSE)),"")</f>
        <v/>
      </c>
      <c r="AK184" s="146" t="str">
        <f>IFERROR((VLOOKUP(TableWRRanks32[[#This Row],[Player]],WR!B:O,7,FALSE)),"")</f>
        <v/>
      </c>
      <c r="AL184" s="146" t="str">
        <f>IFERROR((VLOOKUP(TableWRRanks32[[#This Row],[Player]],WR!B:O,8,FALSE)),"")</f>
        <v/>
      </c>
      <c r="AM184" s="146" t="str">
        <f>IFERROR((VLOOKUP(TableWRRanks32[[#This Row],[Player]],WR!B:O,9,FALSE)),"")</f>
        <v/>
      </c>
      <c r="AN184" s="147" t="str">
        <f>IFERROR((IFERROR(INDEX(TableWRCalcPts[Custom],MATCH(TableWRRanks32[[#This Row],[RK]],TableWRCalcPts[RK],0)),"")),"")</f>
        <v/>
      </c>
      <c r="AO18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5" spans="30:41" x14ac:dyDescent="0.25">
      <c r="AD185" s="145">
        <v>184</v>
      </c>
      <c r="AE185" s="145" t="str">
        <f>IFERROR(INDEX(TableWRCalcPts[PLAYER],MATCH(TableWRRanks32[[#This Row],[RK]],TableWRCalcPts[RK],0)),"")</f>
        <v/>
      </c>
      <c r="AF185" s="145" t="str">
        <f>IFERROR(INDEX(TableWRCalcPts[TM],MATCH(TableWRRanks32[[#This Row],[Player]],TableWRCalcPts[PLAYER],0)),"")</f>
        <v/>
      </c>
      <c r="AG185" s="145" t="str">
        <f>IFERROR(INDEX(TableWRCalcPts[BYE],MATCH(TableWRRanks32[[#This Row],[Player]],TableWRCalcPts[PLAYER],0)),"")</f>
        <v/>
      </c>
      <c r="AH185" s="146" t="str">
        <f>IFERROR((VLOOKUP(TableWRRanks32[[#This Row],[Player]],WR!B:O,4,FALSE)),"")</f>
        <v/>
      </c>
      <c r="AI185" s="146" t="str">
        <f>IFERROR((VLOOKUP(TableWRRanks32[[#This Row],[Player]],WR!B:O,5,FALSE)),"")</f>
        <v/>
      </c>
      <c r="AJ185" s="146" t="str">
        <f>IFERROR((VLOOKUP(TableWRRanks32[[#This Row],[Player]],WR!B:O,6,FALSE)),"")</f>
        <v/>
      </c>
      <c r="AK185" s="146" t="str">
        <f>IFERROR((VLOOKUP(TableWRRanks32[[#This Row],[Player]],WR!B:O,7,FALSE)),"")</f>
        <v/>
      </c>
      <c r="AL185" s="146" t="str">
        <f>IFERROR((VLOOKUP(TableWRRanks32[[#This Row],[Player]],WR!B:O,8,FALSE)),"")</f>
        <v/>
      </c>
      <c r="AM185" s="146" t="str">
        <f>IFERROR((VLOOKUP(TableWRRanks32[[#This Row],[Player]],WR!B:O,9,FALSE)),"")</f>
        <v/>
      </c>
      <c r="AN185" s="147" t="str">
        <f>IFERROR((IFERROR(INDEX(TableWRCalcPts[Custom],MATCH(TableWRRanks32[[#This Row],[RK]],TableWRCalcPts[RK],0)),"")),"")</f>
        <v/>
      </c>
      <c r="AO18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6" spans="30:41" x14ac:dyDescent="0.25">
      <c r="AD186" s="145">
        <v>185</v>
      </c>
      <c r="AE186" s="145" t="str">
        <f>IFERROR(INDEX(TableWRCalcPts[PLAYER],MATCH(TableWRRanks32[[#This Row],[RK]],TableWRCalcPts[RK],0)),"")</f>
        <v/>
      </c>
      <c r="AF186" s="145" t="str">
        <f>IFERROR(INDEX(TableWRCalcPts[TM],MATCH(TableWRRanks32[[#This Row],[Player]],TableWRCalcPts[PLAYER],0)),"")</f>
        <v/>
      </c>
      <c r="AG186" s="145" t="str">
        <f>IFERROR(INDEX(TableWRCalcPts[BYE],MATCH(TableWRRanks32[[#This Row],[Player]],TableWRCalcPts[PLAYER],0)),"")</f>
        <v/>
      </c>
      <c r="AH186" s="146" t="str">
        <f>IFERROR((VLOOKUP(TableWRRanks32[[#This Row],[Player]],WR!B:O,4,FALSE)),"")</f>
        <v/>
      </c>
      <c r="AI186" s="146" t="str">
        <f>IFERROR((VLOOKUP(TableWRRanks32[[#This Row],[Player]],WR!B:O,5,FALSE)),"")</f>
        <v/>
      </c>
      <c r="AJ186" s="146" t="str">
        <f>IFERROR((VLOOKUP(TableWRRanks32[[#This Row],[Player]],WR!B:O,6,FALSE)),"")</f>
        <v/>
      </c>
      <c r="AK186" s="146" t="str">
        <f>IFERROR((VLOOKUP(TableWRRanks32[[#This Row],[Player]],WR!B:O,7,FALSE)),"")</f>
        <v/>
      </c>
      <c r="AL186" s="146" t="str">
        <f>IFERROR((VLOOKUP(TableWRRanks32[[#This Row],[Player]],WR!B:O,8,FALSE)),"")</f>
        <v/>
      </c>
      <c r="AM186" s="146" t="str">
        <f>IFERROR((VLOOKUP(TableWRRanks32[[#This Row],[Player]],WR!B:O,9,FALSE)),"")</f>
        <v/>
      </c>
      <c r="AN186" s="147" t="str">
        <f>IFERROR((IFERROR(INDEX(TableWRCalcPts[Custom],MATCH(TableWRRanks32[[#This Row],[RK]],TableWRCalcPts[RK],0)),"")),"")</f>
        <v/>
      </c>
      <c r="AO18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7" spans="30:41" x14ac:dyDescent="0.25">
      <c r="AD187" s="145">
        <v>186</v>
      </c>
      <c r="AE187" s="145" t="str">
        <f>IFERROR(INDEX(TableWRCalcPts[PLAYER],MATCH(TableWRRanks32[[#This Row],[RK]],TableWRCalcPts[RK],0)),"")</f>
        <v/>
      </c>
      <c r="AF187" s="145" t="str">
        <f>IFERROR(INDEX(TableWRCalcPts[TM],MATCH(TableWRRanks32[[#This Row],[Player]],TableWRCalcPts[PLAYER],0)),"")</f>
        <v/>
      </c>
      <c r="AG187" s="145" t="str">
        <f>IFERROR(INDEX(TableWRCalcPts[BYE],MATCH(TableWRRanks32[[#This Row],[Player]],TableWRCalcPts[PLAYER],0)),"")</f>
        <v/>
      </c>
      <c r="AH187" s="146" t="str">
        <f>IFERROR((VLOOKUP(TableWRRanks32[[#This Row],[Player]],WR!B:O,4,FALSE)),"")</f>
        <v/>
      </c>
      <c r="AI187" s="146" t="str">
        <f>IFERROR((VLOOKUP(TableWRRanks32[[#This Row],[Player]],WR!B:O,5,FALSE)),"")</f>
        <v/>
      </c>
      <c r="AJ187" s="146" t="str">
        <f>IFERROR((VLOOKUP(TableWRRanks32[[#This Row],[Player]],WR!B:O,6,FALSE)),"")</f>
        <v/>
      </c>
      <c r="AK187" s="146" t="str">
        <f>IFERROR((VLOOKUP(TableWRRanks32[[#This Row],[Player]],WR!B:O,7,FALSE)),"")</f>
        <v/>
      </c>
      <c r="AL187" s="146" t="str">
        <f>IFERROR((VLOOKUP(TableWRRanks32[[#This Row],[Player]],WR!B:O,8,FALSE)),"")</f>
        <v/>
      </c>
      <c r="AM187" s="146" t="str">
        <f>IFERROR((VLOOKUP(TableWRRanks32[[#This Row],[Player]],WR!B:O,9,FALSE)),"")</f>
        <v/>
      </c>
      <c r="AN187" s="147" t="str">
        <f>IFERROR((IFERROR(INDEX(TableWRCalcPts[Custom],MATCH(TableWRRanks32[[#This Row],[RK]],TableWRCalcPts[RK],0)),"")),"")</f>
        <v/>
      </c>
      <c r="AO18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8" spans="30:41" x14ac:dyDescent="0.25">
      <c r="AD188" s="145">
        <v>187</v>
      </c>
      <c r="AE188" s="145" t="str">
        <f>IFERROR(INDEX(TableWRCalcPts[PLAYER],MATCH(TableWRRanks32[[#This Row],[RK]],TableWRCalcPts[RK],0)),"")</f>
        <v/>
      </c>
      <c r="AF188" s="145" t="str">
        <f>IFERROR(INDEX(TableWRCalcPts[TM],MATCH(TableWRRanks32[[#This Row],[Player]],TableWRCalcPts[PLAYER],0)),"")</f>
        <v/>
      </c>
      <c r="AG188" s="145" t="str">
        <f>IFERROR(INDEX(TableWRCalcPts[BYE],MATCH(TableWRRanks32[[#This Row],[Player]],TableWRCalcPts[PLAYER],0)),"")</f>
        <v/>
      </c>
      <c r="AH188" s="146" t="str">
        <f>IFERROR((VLOOKUP(TableWRRanks32[[#This Row],[Player]],WR!B:O,4,FALSE)),"")</f>
        <v/>
      </c>
      <c r="AI188" s="146" t="str">
        <f>IFERROR((VLOOKUP(TableWRRanks32[[#This Row],[Player]],WR!B:O,5,FALSE)),"")</f>
        <v/>
      </c>
      <c r="AJ188" s="146" t="str">
        <f>IFERROR((VLOOKUP(TableWRRanks32[[#This Row],[Player]],WR!B:O,6,FALSE)),"")</f>
        <v/>
      </c>
      <c r="AK188" s="146" t="str">
        <f>IFERROR((VLOOKUP(TableWRRanks32[[#This Row],[Player]],WR!B:O,7,FALSE)),"")</f>
        <v/>
      </c>
      <c r="AL188" s="146" t="str">
        <f>IFERROR((VLOOKUP(TableWRRanks32[[#This Row],[Player]],WR!B:O,8,FALSE)),"")</f>
        <v/>
      </c>
      <c r="AM188" s="146" t="str">
        <f>IFERROR((VLOOKUP(TableWRRanks32[[#This Row],[Player]],WR!B:O,9,FALSE)),"")</f>
        <v/>
      </c>
      <c r="AN188" s="147" t="str">
        <f>IFERROR((IFERROR(INDEX(TableWRCalcPts[Custom],MATCH(TableWRRanks32[[#This Row],[RK]],TableWRCalcPts[RK],0)),"")),"")</f>
        <v/>
      </c>
      <c r="AO18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9" spans="30:41" x14ac:dyDescent="0.25">
      <c r="AD189" s="145">
        <v>188</v>
      </c>
      <c r="AE189" s="145" t="str">
        <f>IFERROR(INDEX(TableWRCalcPts[PLAYER],MATCH(TableWRRanks32[[#This Row],[RK]],TableWRCalcPts[RK],0)),"")</f>
        <v/>
      </c>
      <c r="AF189" s="145" t="str">
        <f>IFERROR(INDEX(TableWRCalcPts[TM],MATCH(TableWRRanks32[[#This Row],[Player]],TableWRCalcPts[PLAYER],0)),"")</f>
        <v/>
      </c>
      <c r="AG189" s="145" t="str">
        <f>IFERROR(INDEX(TableWRCalcPts[BYE],MATCH(TableWRRanks32[[#This Row],[Player]],TableWRCalcPts[PLAYER],0)),"")</f>
        <v/>
      </c>
      <c r="AH189" s="146" t="str">
        <f>IFERROR((VLOOKUP(TableWRRanks32[[#This Row],[Player]],WR!B:O,4,FALSE)),"")</f>
        <v/>
      </c>
      <c r="AI189" s="146" t="str">
        <f>IFERROR((VLOOKUP(TableWRRanks32[[#This Row],[Player]],WR!B:O,5,FALSE)),"")</f>
        <v/>
      </c>
      <c r="AJ189" s="146" t="str">
        <f>IFERROR((VLOOKUP(TableWRRanks32[[#This Row],[Player]],WR!B:O,6,FALSE)),"")</f>
        <v/>
      </c>
      <c r="AK189" s="146" t="str">
        <f>IFERROR((VLOOKUP(TableWRRanks32[[#This Row],[Player]],WR!B:O,7,FALSE)),"")</f>
        <v/>
      </c>
      <c r="AL189" s="146" t="str">
        <f>IFERROR((VLOOKUP(TableWRRanks32[[#This Row],[Player]],WR!B:O,8,FALSE)),"")</f>
        <v/>
      </c>
      <c r="AM189" s="146" t="str">
        <f>IFERROR((VLOOKUP(TableWRRanks32[[#This Row],[Player]],WR!B:O,9,FALSE)),"")</f>
        <v/>
      </c>
      <c r="AN189" s="147" t="str">
        <f>IFERROR((IFERROR(INDEX(TableWRCalcPts[Custom],MATCH(TableWRRanks32[[#This Row],[RK]],TableWRCalcPts[RK],0)),"")),"")</f>
        <v/>
      </c>
      <c r="AO18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0" spans="30:41" x14ac:dyDescent="0.25">
      <c r="AD190" s="145">
        <v>189</v>
      </c>
      <c r="AE190" s="145" t="str">
        <f>IFERROR(INDEX(TableWRCalcPts[PLAYER],MATCH(TableWRRanks32[[#This Row],[RK]],TableWRCalcPts[RK],0)),"")</f>
        <v/>
      </c>
      <c r="AF190" s="145" t="str">
        <f>IFERROR(INDEX(TableWRCalcPts[TM],MATCH(TableWRRanks32[[#This Row],[Player]],TableWRCalcPts[PLAYER],0)),"")</f>
        <v/>
      </c>
      <c r="AG190" s="145" t="str">
        <f>IFERROR(INDEX(TableWRCalcPts[BYE],MATCH(TableWRRanks32[[#This Row],[Player]],TableWRCalcPts[PLAYER],0)),"")</f>
        <v/>
      </c>
      <c r="AH190" s="146" t="str">
        <f>IFERROR((VLOOKUP(TableWRRanks32[[#This Row],[Player]],WR!B:O,4,FALSE)),"")</f>
        <v/>
      </c>
      <c r="AI190" s="146" t="str">
        <f>IFERROR((VLOOKUP(TableWRRanks32[[#This Row],[Player]],WR!B:O,5,FALSE)),"")</f>
        <v/>
      </c>
      <c r="AJ190" s="146" t="str">
        <f>IFERROR((VLOOKUP(TableWRRanks32[[#This Row],[Player]],WR!B:O,6,FALSE)),"")</f>
        <v/>
      </c>
      <c r="AK190" s="146" t="str">
        <f>IFERROR((VLOOKUP(TableWRRanks32[[#This Row],[Player]],WR!B:O,7,FALSE)),"")</f>
        <v/>
      </c>
      <c r="AL190" s="146" t="str">
        <f>IFERROR((VLOOKUP(TableWRRanks32[[#This Row],[Player]],WR!B:O,8,FALSE)),"")</f>
        <v/>
      </c>
      <c r="AM190" s="146" t="str">
        <f>IFERROR((VLOOKUP(TableWRRanks32[[#This Row],[Player]],WR!B:O,9,FALSE)),"")</f>
        <v/>
      </c>
      <c r="AN190" s="147" t="str">
        <f>IFERROR((IFERROR(INDEX(TableWRCalcPts[Custom],MATCH(TableWRRanks32[[#This Row],[RK]],TableWRCalcPts[RK],0)),"")),"")</f>
        <v/>
      </c>
      <c r="AO19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1" spans="30:41" x14ac:dyDescent="0.25">
      <c r="AD191" s="145">
        <v>190</v>
      </c>
      <c r="AE191" s="145" t="str">
        <f>IFERROR(INDEX(TableWRCalcPts[PLAYER],MATCH(TableWRRanks32[[#This Row],[RK]],TableWRCalcPts[RK],0)),"")</f>
        <v/>
      </c>
      <c r="AF191" s="145" t="str">
        <f>IFERROR(INDEX(TableWRCalcPts[TM],MATCH(TableWRRanks32[[#This Row],[Player]],TableWRCalcPts[PLAYER],0)),"")</f>
        <v/>
      </c>
      <c r="AG191" s="145" t="str">
        <f>IFERROR(INDEX(TableWRCalcPts[BYE],MATCH(TableWRRanks32[[#This Row],[Player]],TableWRCalcPts[PLAYER],0)),"")</f>
        <v/>
      </c>
      <c r="AH191" s="146" t="str">
        <f>IFERROR((VLOOKUP(TableWRRanks32[[#This Row],[Player]],WR!B:O,4,FALSE)),"")</f>
        <v/>
      </c>
      <c r="AI191" s="146" t="str">
        <f>IFERROR((VLOOKUP(TableWRRanks32[[#This Row],[Player]],WR!B:O,5,FALSE)),"")</f>
        <v/>
      </c>
      <c r="AJ191" s="146" t="str">
        <f>IFERROR((VLOOKUP(TableWRRanks32[[#This Row],[Player]],WR!B:O,6,FALSE)),"")</f>
        <v/>
      </c>
      <c r="AK191" s="146" t="str">
        <f>IFERROR((VLOOKUP(TableWRRanks32[[#This Row],[Player]],WR!B:O,7,FALSE)),"")</f>
        <v/>
      </c>
      <c r="AL191" s="146" t="str">
        <f>IFERROR((VLOOKUP(TableWRRanks32[[#This Row],[Player]],WR!B:O,8,FALSE)),"")</f>
        <v/>
      </c>
      <c r="AM191" s="146" t="str">
        <f>IFERROR((VLOOKUP(TableWRRanks32[[#This Row],[Player]],WR!B:O,9,FALSE)),"")</f>
        <v/>
      </c>
      <c r="AN191" s="147" t="str">
        <f>IFERROR((IFERROR(INDEX(TableWRCalcPts[Custom],MATCH(TableWRRanks32[[#This Row],[RK]],TableWRCalcPts[RK],0)),"")),"")</f>
        <v/>
      </c>
      <c r="AO19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2" spans="30:41" x14ac:dyDescent="0.25">
      <c r="AD192" s="145">
        <v>191</v>
      </c>
      <c r="AE192" s="145" t="str">
        <f>IFERROR(INDEX(TableWRCalcPts[PLAYER],MATCH(TableWRRanks32[[#This Row],[RK]],TableWRCalcPts[RK],0)),"")</f>
        <v/>
      </c>
      <c r="AF192" s="145" t="str">
        <f>IFERROR(INDEX(TableWRCalcPts[TM],MATCH(TableWRRanks32[[#This Row],[Player]],TableWRCalcPts[PLAYER],0)),"")</f>
        <v/>
      </c>
      <c r="AG192" s="145" t="str">
        <f>IFERROR(INDEX(TableWRCalcPts[BYE],MATCH(TableWRRanks32[[#This Row],[Player]],TableWRCalcPts[PLAYER],0)),"")</f>
        <v/>
      </c>
      <c r="AH192" s="146" t="str">
        <f>IFERROR((VLOOKUP(TableWRRanks32[[#This Row],[Player]],WR!B:O,4,FALSE)),"")</f>
        <v/>
      </c>
      <c r="AI192" s="146" t="str">
        <f>IFERROR((VLOOKUP(TableWRRanks32[[#This Row],[Player]],WR!B:O,5,FALSE)),"")</f>
        <v/>
      </c>
      <c r="AJ192" s="146" t="str">
        <f>IFERROR((VLOOKUP(TableWRRanks32[[#This Row],[Player]],WR!B:O,6,FALSE)),"")</f>
        <v/>
      </c>
      <c r="AK192" s="146" t="str">
        <f>IFERROR((VLOOKUP(TableWRRanks32[[#This Row],[Player]],WR!B:O,7,FALSE)),"")</f>
        <v/>
      </c>
      <c r="AL192" s="146" t="str">
        <f>IFERROR((VLOOKUP(TableWRRanks32[[#This Row],[Player]],WR!B:O,8,FALSE)),"")</f>
        <v/>
      </c>
      <c r="AM192" s="146" t="str">
        <f>IFERROR((VLOOKUP(TableWRRanks32[[#This Row],[Player]],WR!B:O,9,FALSE)),"")</f>
        <v/>
      </c>
      <c r="AN192" s="147" t="str">
        <f>IFERROR((IFERROR(INDEX(TableWRCalcPts[Custom],MATCH(TableWRRanks32[[#This Row],[RK]],TableWRCalcPts[RK],0)),"")),"")</f>
        <v/>
      </c>
      <c r="AO19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3" spans="30:41" x14ac:dyDescent="0.25">
      <c r="AD193" s="145">
        <v>192</v>
      </c>
      <c r="AE193" s="145" t="str">
        <f>IFERROR(INDEX(TableWRCalcPts[PLAYER],MATCH(TableWRRanks32[[#This Row],[RK]],TableWRCalcPts[RK],0)),"")</f>
        <v/>
      </c>
      <c r="AF193" s="145" t="str">
        <f>IFERROR(INDEX(TableWRCalcPts[TM],MATCH(TableWRRanks32[[#This Row],[Player]],TableWRCalcPts[PLAYER],0)),"")</f>
        <v/>
      </c>
      <c r="AG193" s="145" t="str">
        <f>IFERROR(INDEX(TableWRCalcPts[BYE],MATCH(TableWRRanks32[[#This Row],[Player]],TableWRCalcPts[PLAYER],0)),"")</f>
        <v/>
      </c>
      <c r="AH193" s="146" t="str">
        <f>IFERROR((VLOOKUP(TableWRRanks32[[#This Row],[Player]],WR!B:O,4,FALSE)),"")</f>
        <v/>
      </c>
      <c r="AI193" s="146" t="str">
        <f>IFERROR((VLOOKUP(TableWRRanks32[[#This Row],[Player]],WR!B:O,5,FALSE)),"")</f>
        <v/>
      </c>
      <c r="AJ193" s="146" t="str">
        <f>IFERROR((VLOOKUP(TableWRRanks32[[#This Row],[Player]],WR!B:O,6,FALSE)),"")</f>
        <v/>
      </c>
      <c r="AK193" s="146" t="str">
        <f>IFERROR((VLOOKUP(TableWRRanks32[[#This Row],[Player]],WR!B:O,7,FALSE)),"")</f>
        <v/>
      </c>
      <c r="AL193" s="146" t="str">
        <f>IFERROR((VLOOKUP(TableWRRanks32[[#This Row],[Player]],WR!B:O,8,FALSE)),"")</f>
        <v/>
      </c>
      <c r="AM193" s="146" t="str">
        <f>IFERROR((VLOOKUP(TableWRRanks32[[#This Row],[Player]],WR!B:O,9,FALSE)),"")</f>
        <v/>
      </c>
      <c r="AN193" s="147" t="str">
        <f>IFERROR((IFERROR(INDEX(TableWRCalcPts[Custom],MATCH(TableWRRanks32[[#This Row],[RK]],TableWRCalcPts[RK],0)),"")),"")</f>
        <v/>
      </c>
      <c r="AO19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4" spans="30:41" x14ac:dyDescent="0.25">
      <c r="AD194" s="145">
        <v>193</v>
      </c>
      <c r="AE194" s="145" t="str">
        <f>IFERROR(INDEX(TableWRCalcPts[PLAYER],MATCH(TableWRRanks32[[#This Row],[RK]],TableWRCalcPts[RK],0)),"")</f>
        <v/>
      </c>
      <c r="AF194" s="145" t="str">
        <f>IFERROR(INDEX(TableWRCalcPts[TM],MATCH(TableWRRanks32[[#This Row],[Player]],TableWRCalcPts[PLAYER],0)),"")</f>
        <v/>
      </c>
      <c r="AG194" s="145" t="str">
        <f>IFERROR(INDEX(TableWRCalcPts[BYE],MATCH(TableWRRanks32[[#This Row],[Player]],TableWRCalcPts[PLAYER],0)),"")</f>
        <v/>
      </c>
      <c r="AH194" s="146" t="str">
        <f>IFERROR((VLOOKUP(TableWRRanks32[[#This Row],[Player]],WR!B:O,4,FALSE)),"")</f>
        <v/>
      </c>
      <c r="AI194" s="146" t="str">
        <f>IFERROR((VLOOKUP(TableWRRanks32[[#This Row],[Player]],WR!B:O,5,FALSE)),"")</f>
        <v/>
      </c>
      <c r="AJ194" s="146" t="str">
        <f>IFERROR((VLOOKUP(TableWRRanks32[[#This Row],[Player]],WR!B:O,6,FALSE)),"")</f>
        <v/>
      </c>
      <c r="AK194" s="146" t="str">
        <f>IFERROR((VLOOKUP(TableWRRanks32[[#This Row],[Player]],WR!B:O,7,FALSE)),"")</f>
        <v/>
      </c>
      <c r="AL194" s="146" t="str">
        <f>IFERROR((VLOOKUP(TableWRRanks32[[#This Row],[Player]],WR!B:O,8,FALSE)),"")</f>
        <v/>
      </c>
      <c r="AM194" s="146" t="str">
        <f>IFERROR((VLOOKUP(TableWRRanks32[[#This Row],[Player]],WR!B:O,9,FALSE)),"")</f>
        <v/>
      </c>
      <c r="AN194" s="147" t="str">
        <f>IFERROR((IFERROR(INDEX(TableWRCalcPts[Custom],MATCH(TableWRRanks32[[#This Row],[RK]],TableWRCalcPts[RK],0)),"")),"")</f>
        <v/>
      </c>
      <c r="AO19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5" spans="30:41" x14ac:dyDescent="0.25">
      <c r="AD195" s="145">
        <v>194</v>
      </c>
      <c r="AE195" s="145" t="str">
        <f>IFERROR(INDEX(TableWRCalcPts[PLAYER],MATCH(TableWRRanks32[[#This Row],[RK]],TableWRCalcPts[RK],0)),"")</f>
        <v/>
      </c>
      <c r="AF195" s="145" t="str">
        <f>IFERROR(INDEX(TableWRCalcPts[TM],MATCH(TableWRRanks32[[#This Row],[Player]],TableWRCalcPts[PLAYER],0)),"")</f>
        <v/>
      </c>
      <c r="AG195" s="145" t="str">
        <f>IFERROR(INDEX(TableWRCalcPts[BYE],MATCH(TableWRRanks32[[#This Row],[Player]],TableWRCalcPts[PLAYER],0)),"")</f>
        <v/>
      </c>
      <c r="AH195" s="146" t="str">
        <f>IFERROR((VLOOKUP(TableWRRanks32[[#This Row],[Player]],WR!B:O,4,FALSE)),"")</f>
        <v/>
      </c>
      <c r="AI195" s="146" t="str">
        <f>IFERROR((VLOOKUP(TableWRRanks32[[#This Row],[Player]],WR!B:O,5,FALSE)),"")</f>
        <v/>
      </c>
      <c r="AJ195" s="146" t="str">
        <f>IFERROR((VLOOKUP(TableWRRanks32[[#This Row],[Player]],WR!B:O,6,FALSE)),"")</f>
        <v/>
      </c>
      <c r="AK195" s="146" t="str">
        <f>IFERROR((VLOOKUP(TableWRRanks32[[#This Row],[Player]],WR!B:O,7,FALSE)),"")</f>
        <v/>
      </c>
      <c r="AL195" s="146" t="str">
        <f>IFERROR((VLOOKUP(TableWRRanks32[[#This Row],[Player]],WR!B:O,8,FALSE)),"")</f>
        <v/>
      </c>
      <c r="AM195" s="146" t="str">
        <f>IFERROR((VLOOKUP(TableWRRanks32[[#This Row],[Player]],WR!B:O,9,FALSE)),"")</f>
        <v/>
      </c>
      <c r="AN195" s="147" t="str">
        <f>IFERROR((IFERROR(INDEX(TableWRCalcPts[Custom],MATCH(TableWRRanks32[[#This Row],[RK]],TableWRCalcPts[RK],0)),"")),"")</f>
        <v/>
      </c>
      <c r="AO19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6" spans="30:41" x14ac:dyDescent="0.25">
      <c r="AD196" s="145">
        <v>195</v>
      </c>
      <c r="AE196" s="145" t="str">
        <f>IFERROR(INDEX(TableWRCalcPts[PLAYER],MATCH(TableWRRanks32[[#This Row],[RK]],TableWRCalcPts[RK],0)),"")</f>
        <v/>
      </c>
      <c r="AF196" s="145" t="str">
        <f>IFERROR(INDEX(TableWRCalcPts[TM],MATCH(TableWRRanks32[[#This Row],[Player]],TableWRCalcPts[PLAYER],0)),"")</f>
        <v/>
      </c>
      <c r="AG196" s="145" t="str">
        <f>IFERROR(INDEX(TableWRCalcPts[BYE],MATCH(TableWRRanks32[[#This Row],[Player]],TableWRCalcPts[PLAYER],0)),"")</f>
        <v/>
      </c>
      <c r="AH196" s="146" t="str">
        <f>IFERROR((VLOOKUP(TableWRRanks32[[#This Row],[Player]],WR!B:O,4,FALSE)),"")</f>
        <v/>
      </c>
      <c r="AI196" s="146" t="str">
        <f>IFERROR((VLOOKUP(TableWRRanks32[[#This Row],[Player]],WR!B:O,5,FALSE)),"")</f>
        <v/>
      </c>
      <c r="AJ196" s="146" t="str">
        <f>IFERROR((VLOOKUP(TableWRRanks32[[#This Row],[Player]],WR!B:O,6,FALSE)),"")</f>
        <v/>
      </c>
      <c r="AK196" s="146" t="str">
        <f>IFERROR((VLOOKUP(TableWRRanks32[[#This Row],[Player]],WR!B:O,7,FALSE)),"")</f>
        <v/>
      </c>
      <c r="AL196" s="146" t="str">
        <f>IFERROR((VLOOKUP(TableWRRanks32[[#This Row],[Player]],WR!B:O,8,FALSE)),"")</f>
        <v/>
      </c>
      <c r="AM196" s="146" t="str">
        <f>IFERROR((VLOOKUP(TableWRRanks32[[#This Row],[Player]],WR!B:O,9,FALSE)),"")</f>
        <v/>
      </c>
      <c r="AN196" s="147" t="str">
        <f>IFERROR((IFERROR(INDEX(TableWRCalcPts[Custom],MATCH(TableWRRanks32[[#This Row],[RK]],TableWRCalcPts[RK],0)),"")),"")</f>
        <v/>
      </c>
      <c r="AO19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7" spans="30:41" x14ac:dyDescent="0.25">
      <c r="AD197" s="145">
        <v>196</v>
      </c>
      <c r="AE197" s="145" t="str">
        <f>IFERROR(INDEX(TableWRCalcPts[PLAYER],MATCH(TableWRRanks32[[#This Row],[RK]],TableWRCalcPts[RK],0)),"")</f>
        <v/>
      </c>
      <c r="AF197" s="145" t="str">
        <f>IFERROR(INDEX(TableWRCalcPts[TM],MATCH(TableWRRanks32[[#This Row],[Player]],TableWRCalcPts[PLAYER],0)),"")</f>
        <v/>
      </c>
      <c r="AG197" s="145" t="str">
        <f>IFERROR(INDEX(TableWRCalcPts[BYE],MATCH(TableWRRanks32[[#This Row],[Player]],TableWRCalcPts[PLAYER],0)),"")</f>
        <v/>
      </c>
      <c r="AH197" s="146" t="str">
        <f>IFERROR((VLOOKUP(TableWRRanks32[[#This Row],[Player]],WR!B:O,4,FALSE)),"")</f>
        <v/>
      </c>
      <c r="AI197" s="146" t="str">
        <f>IFERROR((VLOOKUP(TableWRRanks32[[#This Row],[Player]],WR!B:O,5,FALSE)),"")</f>
        <v/>
      </c>
      <c r="AJ197" s="146" t="str">
        <f>IFERROR((VLOOKUP(TableWRRanks32[[#This Row],[Player]],WR!B:O,6,FALSE)),"")</f>
        <v/>
      </c>
      <c r="AK197" s="146" t="str">
        <f>IFERROR((VLOOKUP(TableWRRanks32[[#This Row],[Player]],WR!B:O,7,FALSE)),"")</f>
        <v/>
      </c>
      <c r="AL197" s="146" t="str">
        <f>IFERROR((VLOOKUP(TableWRRanks32[[#This Row],[Player]],WR!B:O,8,FALSE)),"")</f>
        <v/>
      </c>
      <c r="AM197" s="146" t="str">
        <f>IFERROR((VLOOKUP(TableWRRanks32[[#This Row],[Player]],WR!B:O,9,FALSE)),"")</f>
        <v/>
      </c>
      <c r="AN197" s="147" t="str">
        <f>IFERROR((IFERROR(INDEX(TableWRCalcPts[Custom],MATCH(TableWRRanks32[[#This Row],[RK]],TableWRCalcPts[RK],0)),"")),"")</f>
        <v/>
      </c>
      <c r="AO19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8" spans="30:41" x14ac:dyDescent="0.25">
      <c r="AD198" s="145">
        <v>197</v>
      </c>
      <c r="AE198" s="145" t="str">
        <f>IFERROR(INDEX(TableWRCalcPts[PLAYER],MATCH(TableWRRanks32[[#This Row],[RK]],TableWRCalcPts[RK],0)),"")</f>
        <v/>
      </c>
      <c r="AF198" s="145" t="str">
        <f>IFERROR(INDEX(TableWRCalcPts[TM],MATCH(TableWRRanks32[[#This Row],[Player]],TableWRCalcPts[PLAYER],0)),"")</f>
        <v/>
      </c>
      <c r="AG198" s="145" t="str">
        <f>IFERROR(INDEX(TableWRCalcPts[BYE],MATCH(TableWRRanks32[[#This Row],[Player]],TableWRCalcPts[PLAYER],0)),"")</f>
        <v/>
      </c>
      <c r="AH198" s="146" t="str">
        <f>IFERROR((VLOOKUP(TableWRRanks32[[#This Row],[Player]],WR!B:O,4,FALSE)),"")</f>
        <v/>
      </c>
      <c r="AI198" s="146" t="str">
        <f>IFERROR((VLOOKUP(TableWRRanks32[[#This Row],[Player]],WR!B:O,5,FALSE)),"")</f>
        <v/>
      </c>
      <c r="AJ198" s="146" t="str">
        <f>IFERROR((VLOOKUP(TableWRRanks32[[#This Row],[Player]],WR!B:O,6,FALSE)),"")</f>
        <v/>
      </c>
      <c r="AK198" s="146" t="str">
        <f>IFERROR((VLOOKUP(TableWRRanks32[[#This Row],[Player]],WR!B:O,7,FALSE)),"")</f>
        <v/>
      </c>
      <c r="AL198" s="146" t="str">
        <f>IFERROR((VLOOKUP(TableWRRanks32[[#This Row],[Player]],WR!B:O,8,FALSE)),"")</f>
        <v/>
      </c>
      <c r="AM198" s="146" t="str">
        <f>IFERROR((VLOOKUP(TableWRRanks32[[#This Row],[Player]],WR!B:O,9,FALSE)),"")</f>
        <v/>
      </c>
      <c r="AN198" s="147" t="str">
        <f>IFERROR((IFERROR(INDEX(TableWRCalcPts[Custom],MATCH(TableWRRanks32[[#This Row],[RK]],TableWRCalcPts[RK],0)),"")),"")</f>
        <v/>
      </c>
      <c r="AO19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9" spans="30:41" x14ac:dyDescent="0.25">
      <c r="AD199" s="145">
        <v>198</v>
      </c>
      <c r="AE199" s="145" t="str">
        <f>IFERROR(INDEX(TableWRCalcPts[PLAYER],MATCH(TableWRRanks32[[#This Row],[RK]],TableWRCalcPts[RK],0)),"")</f>
        <v/>
      </c>
      <c r="AF199" s="145" t="str">
        <f>IFERROR(INDEX(TableWRCalcPts[TM],MATCH(TableWRRanks32[[#This Row],[Player]],TableWRCalcPts[PLAYER],0)),"")</f>
        <v/>
      </c>
      <c r="AG199" s="145" t="str">
        <f>IFERROR(INDEX(TableWRCalcPts[BYE],MATCH(TableWRRanks32[[#This Row],[Player]],TableWRCalcPts[PLAYER],0)),"")</f>
        <v/>
      </c>
      <c r="AH199" s="146" t="str">
        <f>IFERROR((VLOOKUP(TableWRRanks32[[#This Row],[Player]],WR!B:O,4,FALSE)),"")</f>
        <v/>
      </c>
      <c r="AI199" s="146" t="str">
        <f>IFERROR((VLOOKUP(TableWRRanks32[[#This Row],[Player]],WR!B:O,5,FALSE)),"")</f>
        <v/>
      </c>
      <c r="AJ199" s="146" t="str">
        <f>IFERROR((VLOOKUP(TableWRRanks32[[#This Row],[Player]],WR!B:O,6,FALSE)),"")</f>
        <v/>
      </c>
      <c r="AK199" s="146" t="str">
        <f>IFERROR((VLOOKUP(TableWRRanks32[[#This Row],[Player]],WR!B:O,7,FALSE)),"")</f>
        <v/>
      </c>
      <c r="AL199" s="146" t="str">
        <f>IFERROR((VLOOKUP(TableWRRanks32[[#This Row],[Player]],WR!B:O,8,FALSE)),"")</f>
        <v/>
      </c>
      <c r="AM199" s="146" t="str">
        <f>IFERROR((VLOOKUP(TableWRRanks32[[#This Row],[Player]],WR!B:O,9,FALSE)),"")</f>
        <v/>
      </c>
      <c r="AN199" s="147" t="str">
        <f>IFERROR((IFERROR(INDEX(TableWRCalcPts[Custom],MATCH(TableWRRanks32[[#This Row],[RK]],TableWRCalcPts[RK],0)),"")),"")</f>
        <v/>
      </c>
      <c r="AO19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0" spans="30:41" x14ac:dyDescent="0.25">
      <c r="AD200" s="145">
        <v>199</v>
      </c>
      <c r="AE200" s="145" t="str">
        <f>IFERROR(INDEX(TableWRCalcPts[PLAYER],MATCH(TableWRRanks32[[#This Row],[RK]],TableWRCalcPts[RK],0)),"")</f>
        <v/>
      </c>
      <c r="AF200" s="145" t="str">
        <f>IFERROR(INDEX(TableWRCalcPts[TM],MATCH(TableWRRanks32[[#This Row],[Player]],TableWRCalcPts[PLAYER],0)),"")</f>
        <v/>
      </c>
      <c r="AG200" s="145" t="str">
        <f>IFERROR(INDEX(TableWRCalcPts[BYE],MATCH(TableWRRanks32[[#This Row],[Player]],TableWRCalcPts[PLAYER],0)),"")</f>
        <v/>
      </c>
      <c r="AH200" s="146" t="str">
        <f>IFERROR((VLOOKUP(TableWRRanks32[[#This Row],[Player]],WR!B:O,4,FALSE)),"")</f>
        <v/>
      </c>
      <c r="AI200" s="146" t="str">
        <f>IFERROR((VLOOKUP(TableWRRanks32[[#This Row],[Player]],WR!B:O,5,FALSE)),"")</f>
        <v/>
      </c>
      <c r="AJ200" s="146" t="str">
        <f>IFERROR((VLOOKUP(TableWRRanks32[[#This Row],[Player]],WR!B:O,6,FALSE)),"")</f>
        <v/>
      </c>
      <c r="AK200" s="146" t="str">
        <f>IFERROR((VLOOKUP(TableWRRanks32[[#This Row],[Player]],WR!B:O,7,FALSE)),"")</f>
        <v/>
      </c>
      <c r="AL200" s="146" t="str">
        <f>IFERROR((VLOOKUP(TableWRRanks32[[#This Row],[Player]],WR!B:O,8,FALSE)),"")</f>
        <v/>
      </c>
      <c r="AM200" s="146" t="str">
        <f>IFERROR((VLOOKUP(TableWRRanks32[[#This Row],[Player]],WR!B:O,9,FALSE)),"")</f>
        <v/>
      </c>
      <c r="AN200" s="147" t="str">
        <f>IFERROR((IFERROR(INDEX(TableWRCalcPts[Custom],MATCH(TableWRRanks32[[#This Row],[RK]],TableWRCalcPts[RK],0)),"")),"")</f>
        <v/>
      </c>
      <c r="AO20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1" spans="30:41" x14ac:dyDescent="0.25">
      <c r="AD201" s="145">
        <v>200</v>
      </c>
      <c r="AE201" s="145" t="str">
        <f>IFERROR(INDEX(TableWRCalcPts[PLAYER],MATCH(TableWRRanks32[[#This Row],[RK]],TableWRCalcPts[RK],0)),"")</f>
        <v/>
      </c>
      <c r="AF201" s="145" t="str">
        <f>IFERROR(INDEX(TableWRCalcPts[TM],MATCH(TableWRRanks32[[#This Row],[Player]],TableWRCalcPts[PLAYER],0)),"")</f>
        <v/>
      </c>
      <c r="AG201" s="145" t="str">
        <f>IFERROR(INDEX(TableWRCalcPts[BYE],MATCH(TableWRRanks32[[#This Row],[Player]],TableWRCalcPts[PLAYER],0)),"")</f>
        <v/>
      </c>
      <c r="AH201" s="146" t="str">
        <f>IFERROR((VLOOKUP(TableWRRanks32[[#This Row],[Player]],WR!B:O,4,FALSE)),"")</f>
        <v/>
      </c>
      <c r="AI201" s="146" t="str">
        <f>IFERROR((VLOOKUP(TableWRRanks32[[#This Row],[Player]],WR!B:O,5,FALSE)),"")</f>
        <v/>
      </c>
      <c r="AJ201" s="146" t="str">
        <f>IFERROR((VLOOKUP(TableWRRanks32[[#This Row],[Player]],WR!B:O,6,FALSE)),"")</f>
        <v/>
      </c>
      <c r="AK201" s="146" t="str">
        <f>IFERROR((VLOOKUP(TableWRRanks32[[#This Row],[Player]],WR!B:O,7,FALSE)),"")</f>
        <v/>
      </c>
      <c r="AL201" s="146" t="str">
        <f>IFERROR((VLOOKUP(TableWRRanks32[[#This Row],[Player]],WR!B:O,8,FALSE)),"")</f>
        <v/>
      </c>
      <c r="AM201" s="146" t="str">
        <f>IFERROR((VLOOKUP(TableWRRanks32[[#This Row],[Player]],WR!B:O,9,FALSE)),"")</f>
        <v/>
      </c>
      <c r="AN201" s="147" t="str">
        <f>IFERROR((IFERROR(INDEX(TableWRCalcPts[Custom],MATCH(TableWRRanks32[[#This Row],[RK]],TableWRCalcPts[RK],0)),"")),"")</f>
        <v/>
      </c>
      <c r="AO20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2" spans="30:41" x14ac:dyDescent="0.25">
      <c r="AD202" s="145">
        <v>201</v>
      </c>
      <c r="AE202" s="145" t="str">
        <f>IFERROR(INDEX(TableWRCalcPts[PLAYER],MATCH(TableWRRanks32[[#This Row],[RK]],TableWRCalcPts[RK],0)),"")</f>
        <v/>
      </c>
      <c r="AF202" s="145" t="str">
        <f>IFERROR(INDEX(TableWRCalcPts[TM],MATCH(TableWRRanks32[[#This Row],[Player]],TableWRCalcPts[PLAYER],0)),"")</f>
        <v/>
      </c>
      <c r="AG202" s="145" t="str">
        <f>IFERROR(INDEX(TableWRCalcPts[BYE],MATCH(TableWRRanks32[[#This Row],[Player]],TableWRCalcPts[PLAYER],0)),"")</f>
        <v/>
      </c>
      <c r="AH202" s="146" t="str">
        <f>IFERROR((VLOOKUP(TableWRRanks32[[#This Row],[Player]],WR!B:O,4,FALSE)),"")</f>
        <v/>
      </c>
      <c r="AI202" s="146" t="str">
        <f>IFERROR((VLOOKUP(TableWRRanks32[[#This Row],[Player]],WR!B:O,5,FALSE)),"")</f>
        <v/>
      </c>
      <c r="AJ202" s="146" t="str">
        <f>IFERROR((VLOOKUP(TableWRRanks32[[#This Row],[Player]],WR!B:O,6,FALSE)),"")</f>
        <v/>
      </c>
      <c r="AK202" s="146" t="str">
        <f>IFERROR((VLOOKUP(TableWRRanks32[[#This Row],[Player]],WR!B:O,7,FALSE)),"")</f>
        <v/>
      </c>
      <c r="AL202" s="146" t="str">
        <f>IFERROR((VLOOKUP(TableWRRanks32[[#This Row],[Player]],WR!B:O,8,FALSE)),"")</f>
        <v/>
      </c>
      <c r="AM202" s="146" t="str">
        <f>IFERROR((VLOOKUP(TableWRRanks32[[#This Row],[Player]],WR!B:O,9,FALSE)),"")</f>
        <v/>
      </c>
      <c r="AN202" s="147" t="str">
        <f>IFERROR((IFERROR(INDEX(TableWRCalcPts[Custom],MATCH(TableWRRanks32[[#This Row],[RK]],TableWRCalcPts[RK],0)),"")),"")</f>
        <v/>
      </c>
      <c r="AO20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3" spans="30:41" x14ac:dyDescent="0.25">
      <c r="AD203" s="145">
        <v>202</v>
      </c>
      <c r="AE203" s="145" t="str">
        <f>IFERROR(INDEX(TableWRCalcPts[PLAYER],MATCH(TableWRRanks32[[#This Row],[RK]],TableWRCalcPts[RK],0)),"")</f>
        <v/>
      </c>
      <c r="AF203" s="145" t="str">
        <f>IFERROR(INDEX(TableWRCalcPts[TM],MATCH(TableWRRanks32[[#This Row],[Player]],TableWRCalcPts[PLAYER],0)),"")</f>
        <v/>
      </c>
      <c r="AG203" s="145" t="str">
        <f>IFERROR(INDEX(TableWRCalcPts[BYE],MATCH(TableWRRanks32[[#This Row],[Player]],TableWRCalcPts[PLAYER],0)),"")</f>
        <v/>
      </c>
      <c r="AH203" s="146" t="str">
        <f>IFERROR((VLOOKUP(TableWRRanks32[[#This Row],[Player]],WR!B:O,4,FALSE)),"")</f>
        <v/>
      </c>
      <c r="AI203" s="146" t="str">
        <f>IFERROR((VLOOKUP(TableWRRanks32[[#This Row],[Player]],WR!B:O,5,FALSE)),"")</f>
        <v/>
      </c>
      <c r="AJ203" s="146" t="str">
        <f>IFERROR((VLOOKUP(TableWRRanks32[[#This Row],[Player]],WR!B:O,6,FALSE)),"")</f>
        <v/>
      </c>
      <c r="AK203" s="146" t="str">
        <f>IFERROR((VLOOKUP(TableWRRanks32[[#This Row],[Player]],WR!B:O,7,FALSE)),"")</f>
        <v/>
      </c>
      <c r="AL203" s="146" t="str">
        <f>IFERROR((VLOOKUP(TableWRRanks32[[#This Row],[Player]],WR!B:O,8,FALSE)),"")</f>
        <v/>
      </c>
      <c r="AM203" s="146" t="str">
        <f>IFERROR((VLOOKUP(TableWRRanks32[[#This Row],[Player]],WR!B:O,9,FALSE)),"")</f>
        <v/>
      </c>
      <c r="AN203" s="147" t="str">
        <f>IFERROR((IFERROR(INDEX(TableWRCalcPts[Custom],MATCH(TableWRRanks32[[#This Row],[RK]],TableWRCalcPts[RK],0)),"")),"")</f>
        <v/>
      </c>
      <c r="AO20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4" spans="30:41" x14ac:dyDescent="0.25">
      <c r="AD204" s="145">
        <v>203</v>
      </c>
      <c r="AE204" s="145" t="str">
        <f>IFERROR(INDEX(TableWRCalcPts[PLAYER],MATCH(TableWRRanks32[[#This Row],[RK]],TableWRCalcPts[RK],0)),"")</f>
        <v/>
      </c>
      <c r="AF204" s="145" t="str">
        <f>IFERROR(INDEX(TableWRCalcPts[TM],MATCH(TableWRRanks32[[#This Row],[Player]],TableWRCalcPts[PLAYER],0)),"")</f>
        <v/>
      </c>
      <c r="AG204" s="145" t="str">
        <f>IFERROR(INDEX(TableWRCalcPts[BYE],MATCH(TableWRRanks32[[#This Row],[Player]],TableWRCalcPts[PLAYER],0)),"")</f>
        <v/>
      </c>
      <c r="AH204" s="146" t="str">
        <f>IFERROR((VLOOKUP(TableWRRanks32[[#This Row],[Player]],WR!B:O,4,FALSE)),"")</f>
        <v/>
      </c>
      <c r="AI204" s="146" t="str">
        <f>IFERROR((VLOOKUP(TableWRRanks32[[#This Row],[Player]],WR!B:O,5,FALSE)),"")</f>
        <v/>
      </c>
      <c r="AJ204" s="146" t="str">
        <f>IFERROR((VLOOKUP(TableWRRanks32[[#This Row],[Player]],WR!B:O,6,FALSE)),"")</f>
        <v/>
      </c>
      <c r="AK204" s="146" t="str">
        <f>IFERROR((VLOOKUP(TableWRRanks32[[#This Row],[Player]],WR!B:O,7,FALSE)),"")</f>
        <v/>
      </c>
      <c r="AL204" s="146" t="str">
        <f>IFERROR((VLOOKUP(TableWRRanks32[[#This Row],[Player]],WR!B:O,8,FALSE)),"")</f>
        <v/>
      </c>
      <c r="AM204" s="146" t="str">
        <f>IFERROR((VLOOKUP(TableWRRanks32[[#This Row],[Player]],WR!B:O,9,FALSE)),"")</f>
        <v/>
      </c>
      <c r="AN204" s="147" t="str">
        <f>IFERROR((IFERROR(INDEX(TableWRCalcPts[Custom],MATCH(TableWRRanks32[[#This Row],[RK]],TableWRCalcPts[RK],0)),"")),"")</f>
        <v/>
      </c>
      <c r="AO20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5" spans="30:41" x14ac:dyDescent="0.25">
      <c r="AD205" s="145">
        <v>204</v>
      </c>
      <c r="AE205" s="145" t="str">
        <f>IFERROR(INDEX(TableWRCalcPts[PLAYER],MATCH(TableWRRanks32[[#This Row],[RK]],TableWRCalcPts[RK],0)),"")</f>
        <v/>
      </c>
      <c r="AF205" s="145" t="str">
        <f>IFERROR(INDEX(TableWRCalcPts[TM],MATCH(TableWRRanks32[[#This Row],[Player]],TableWRCalcPts[PLAYER],0)),"")</f>
        <v/>
      </c>
      <c r="AG205" s="145" t="str">
        <f>IFERROR(INDEX(TableWRCalcPts[BYE],MATCH(TableWRRanks32[[#This Row],[Player]],TableWRCalcPts[PLAYER],0)),"")</f>
        <v/>
      </c>
      <c r="AH205" s="146" t="str">
        <f>IFERROR((VLOOKUP(TableWRRanks32[[#This Row],[Player]],WR!B:O,4,FALSE)),"")</f>
        <v/>
      </c>
      <c r="AI205" s="146" t="str">
        <f>IFERROR((VLOOKUP(TableWRRanks32[[#This Row],[Player]],WR!B:O,5,FALSE)),"")</f>
        <v/>
      </c>
      <c r="AJ205" s="146" t="str">
        <f>IFERROR((VLOOKUP(TableWRRanks32[[#This Row],[Player]],WR!B:O,6,FALSE)),"")</f>
        <v/>
      </c>
      <c r="AK205" s="146" t="str">
        <f>IFERROR((VLOOKUP(TableWRRanks32[[#This Row],[Player]],WR!B:O,7,FALSE)),"")</f>
        <v/>
      </c>
      <c r="AL205" s="146" t="str">
        <f>IFERROR((VLOOKUP(TableWRRanks32[[#This Row],[Player]],WR!B:O,8,FALSE)),"")</f>
        <v/>
      </c>
      <c r="AM205" s="146" t="str">
        <f>IFERROR((VLOOKUP(TableWRRanks32[[#This Row],[Player]],WR!B:O,9,FALSE)),"")</f>
        <v/>
      </c>
      <c r="AN205" s="147" t="str">
        <f>IFERROR((IFERROR(INDEX(TableWRCalcPts[Custom],MATCH(TableWRRanks32[[#This Row],[RK]],TableWRCalcPts[RK],0)),"")),"")</f>
        <v/>
      </c>
      <c r="AO20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6" spans="30:41" x14ac:dyDescent="0.25">
      <c r="AD206" s="145">
        <v>205</v>
      </c>
      <c r="AE206" s="145" t="str">
        <f>IFERROR(INDEX(TableWRCalcPts[PLAYER],MATCH(TableWRRanks32[[#This Row],[RK]],TableWRCalcPts[RK],0)),"")</f>
        <v/>
      </c>
      <c r="AF206" s="145" t="str">
        <f>IFERROR(INDEX(TableWRCalcPts[TM],MATCH(TableWRRanks32[[#This Row],[Player]],TableWRCalcPts[PLAYER],0)),"")</f>
        <v/>
      </c>
      <c r="AG206" s="145" t="str">
        <f>IFERROR(INDEX(TableWRCalcPts[BYE],MATCH(TableWRRanks32[[#This Row],[Player]],TableWRCalcPts[PLAYER],0)),"")</f>
        <v/>
      </c>
      <c r="AH206" s="146" t="str">
        <f>IFERROR((VLOOKUP(TableWRRanks32[[#This Row],[Player]],WR!B:O,4,FALSE)),"")</f>
        <v/>
      </c>
      <c r="AI206" s="146" t="str">
        <f>IFERROR((VLOOKUP(TableWRRanks32[[#This Row],[Player]],WR!B:O,5,FALSE)),"")</f>
        <v/>
      </c>
      <c r="AJ206" s="146" t="str">
        <f>IFERROR((VLOOKUP(TableWRRanks32[[#This Row],[Player]],WR!B:O,6,FALSE)),"")</f>
        <v/>
      </c>
      <c r="AK206" s="146" t="str">
        <f>IFERROR((VLOOKUP(TableWRRanks32[[#This Row],[Player]],WR!B:O,7,FALSE)),"")</f>
        <v/>
      </c>
      <c r="AL206" s="146" t="str">
        <f>IFERROR((VLOOKUP(TableWRRanks32[[#This Row],[Player]],WR!B:O,8,FALSE)),"")</f>
        <v/>
      </c>
      <c r="AM206" s="146" t="str">
        <f>IFERROR((VLOOKUP(TableWRRanks32[[#This Row],[Player]],WR!B:O,9,FALSE)),"")</f>
        <v/>
      </c>
      <c r="AN206" s="147" t="str">
        <f>IFERROR((IFERROR(INDEX(TableWRCalcPts[Custom],MATCH(TableWRRanks32[[#This Row],[RK]],TableWRCalcPts[RK],0)),"")),"")</f>
        <v/>
      </c>
      <c r="AO20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7" spans="30:41" x14ac:dyDescent="0.25">
      <c r="AD207" s="145">
        <v>206</v>
      </c>
      <c r="AE207" s="145" t="str">
        <f>IFERROR(INDEX(TableWRCalcPts[PLAYER],MATCH(TableWRRanks32[[#This Row],[RK]],TableWRCalcPts[RK],0)),"")</f>
        <v/>
      </c>
      <c r="AF207" s="145" t="str">
        <f>IFERROR(INDEX(TableWRCalcPts[TM],MATCH(TableWRRanks32[[#This Row],[Player]],TableWRCalcPts[PLAYER],0)),"")</f>
        <v/>
      </c>
      <c r="AG207" s="145" t="str">
        <f>IFERROR(INDEX(TableWRCalcPts[BYE],MATCH(TableWRRanks32[[#This Row],[Player]],TableWRCalcPts[PLAYER],0)),"")</f>
        <v/>
      </c>
      <c r="AH207" s="146" t="str">
        <f>IFERROR((VLOOKUP(TableWRRanks32[[#This Row],[Player]],WR!B:O,4,FALSE)),"")</f>
        <v/>
      </c>
      <c r="AI207" s="146" t="str">
        <f>IFERROR((VLOOKUP(TableWRRanks32[[#This Row],[Player]],WR!B:O,5,FALSE)),"")</f>
        <v/>
      </c>
      <c r="AJ207" s="146" t="str">
        <f>IFERROR((VLOOKUP(TableWRRanks32[[#This Row],[Player]],WR!B:O,6,FALSE)),"")</f>
        <v/>
      </c>
      <c r="AK207" s="146" t="str">
        <f>IFERROR((VLOOKUP(TableWRRanks32[[#This Row],[Player]],WR!B:O,7,FALSE)),"")</f>
        <v/>
      </c>
      <c r="AL207" s="146" t="str">
        <f>IFERROR((VLOOKUP(TableWRRanks32[[#This Row],[Player]],WR!B:O,8,FALSE)),"")</f>
        <v/>
      </c>
      <c r="AM207" s="146" t="str">
        <f>IFERROR((VLOOKUP(TableWRRanks32[[#This Row],[Player]],WR!B:O,9,FALSE)),"")</f>
        <v/>
      </c>
      <c r="AN207" s="147" t="str">
        <f>IFERROR((IFERROR(INDEX(TableWRCalcPts[Custom],MATCH(TableWRRanks32[[#This Row],[RK]],TableWRCalcPts[RK],0)),"")),"")</f>
        <v/>
      </c>
      <c r="AO20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8" spans="30:41" x14ac:dyDescent="0.25">
      <c r="AD208" s="145">
        <v>207</v>
      </c>
      <c r="AE208" s="145" t="str">
        <f>IFERROR(INDEX(TableWRCalcPts[PLAYER],MATCH(TableWRRanks32[[#This Row],[RK]],TableWRCalcPts[RK],0)),"")</f>
        <v/>
      </c>
      <c r="AF208" s="145" t="str">
        <f>IFERROR(INDEX(TableWRCalcPts[TM],MATCH(TableWRRanks32[[#This Row],[Player]],TableWRCalcPts[PLAYER],0)),"")</f>
        <v/>
      </c>
      <c r="AG208" s="145" t="str">
        <f>IFERROR(INDEX(TableWRCalcPts[BYE],MATCH(TableWRRanks32[[#This Row],[Player]],TableWRCalcPts[PLAYER],0)),"")</f>
        <v/>
      </c>
      <c r="AH208" s="146" t="str">
        <f>IFERROR((VLOOKUP(TableWRRanks32[[#This Row],[Player]],WR!B:O,4,FALSE)),"")</f>
        <v/>
      </c>
      <c r="AI208" s="146" t="str">
        <f>IFERROR((VLOOKUP(TableWRRanks32[[#This Row],[Player]],WR!B:O,5,FALSE)),"")</f>
        <v/>
      </c>
      <c r="AJ208" s="146" t="str">
        <f>IFERROR((VLOOKUP(TableWRRanks32[[#This Row],[Player]],WR!B:O,6,FALSE)),"")</f>
        <v/>
      </c>
      <c r="AK208" s="146" t="str">
        <f>IFERROR((VLOOKUP(TableWRRanks32[[#This Row],[Player]],WR!B:O,7,FALSE)),"")</f>
        <v/>
      </c>
      <c r="AL208" s="146" t="str">
        <f>IFERROR((VLOOKUP(TableWRRanks32[[#This Row],[Player]],WR!B:O,8,FALSE)),"")</f>
        <v/>
      </c>
      <c r="AM208" s="146" t="str">
        <f>IFERROR((VLOOKUP(TableWRRanks32[[#This Row],[Player]],WR!B:O,9,FALSE)),"")</f>
        <v/>
      </c>
      <c r="AN208" s="147" t="str">
        <f>IFERROR((IFERROR(INDEX(TableWRCalcPts[Custom],MATCH(TableWRRanks32[[#This Row],[RK]],TableWRCalcPts[RK],0)),"")),"")</f>
        <v/>
      </c>
      <c r="AO20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9" spans="30:41" x14ac:dyDescent="0.25">
      <c r="AD209" s="145">
        <v>208</v>
      </c>
      <c r="AE209" s="145" t="str">
        <f>IFERROR(INDEX(TableWRCalcPts[PLAYER],MATCH(TableWRRanks32[[#This Row],[RK]],TableWRCalcPts[RK],0)),"")</f>
        <v/>
      </c>
      <c r="AF209" s="145" t="str">
        <f>IFERROR(INDEX(TableWRCalcPts[TM],MATCH(TableWRRanks32[[#This Row],[Player]],TableWRCalcPts[PLAYER],0)),"")</f>
        <v/>
      </c>
      <c r="AG209" s="145" t="str">
        <f>IFERROR(INDEX(TableWRCalcPts[BYE],MATCH(TableWRRanks32[[#This Row],[Player]],TableWRCalcPts[PLAYER],0)),"")</f>
        <v/>
      </c>
      <c r="AH209" s="146" t="str">
        <f>IFERROR((VLOOKUP(TableWRRanks32[[#This Row],[Player]],WR!B:O,4,FALSE)),"")</f>
        <v/>
      </c>
      <c r="AI209" s="146" t="str">
        <f>IFERROR((VLOOKUP(TableWRRanks32[[#This Row],[Player]],WR!B:O,5,FALSE)),"")</f>
        <v/>
      </c>
      <c r="AJ209" s="146" t="str">
        <f>IFERROR((VLOOKUP(TableWRRanks32[[#This Row],[Player]],WR!B:O,6,FALSE)),"")</f>
        <v/>
      </c>
      <c r="AK209" s="146" t="str">
        <f>IFERROR((VLOOKUP(TableWRRanks32[[#This Row],[Player]],WR!B:O,7,FALSE)),"")</f>
        <v/>
      </c>
      <c r="AL209" s="146" t="str">
        <f>IFERROR((VLOOKUP(TableWRRanks32[[#This Row],[Player]],WR!B:O,8,FALSE)),"")</f>
        <v/>
      </c>
      <c r="AM209" s="146" t="str">
        <f>IFERROR((VLOOKUP(TableWRRanks32[[#This Row],[Player]],WR!B:O,9,FALSE)),"")</f>
        <v/>
      </c>
      <c r="AN209" s="147" t="str">
        <f>IFERROR((IFERROR(INDEX(TableWRCalcPts[Custom],MATCH(TableWRRanks32[[#This Row],[RK]],TableWRCalcPts[RK],0)),"")),"")</f>
        <v/>
      </c>
      <c r="AO20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0" spans="30:41" x14ac:dyDescent="0.25">
      <c r="AD210" s="145">
        <v>209</v>
      </c>
      <c r="AE210" s="145" t="str">
        <f>IFERROR(INDEX(TableWRCalcPts[PLAYER],MATCH(TableWRRanks32[[#This Row],[RK]],TableWRCalcPts[RK],0)),"")</f>
        <v/>
      </c>
      <c r="AF210" s="145" t="str">
        <f>IFERROR(INDEX(TableWRCalcPts[TM],MATCH(TableWRRanks32[[#This Row],[Player]],TableWRCalcPts[PLAYER],0)),"")</f>
        <v/>
      </c>
      <c r="AG210" s="145" t="str">
        <f>IFERROR(INDEX(TableWRCalcPts[BYE],MATCH(TableWRRanks32[[#This Row],[Player]],TableWRCalcPts[PLAYER],0)),"")</f>
        <v/>
      </c>
      <c r="AH210" s="146" t="str">
        <f>IFERROR((VLOOKUP(TableWRRanks32[[#This Row],[Player]],WR!B:O,4,FALSE)),"")</f>
        <v/>
      </c>
      <c r="AI210" s="146" t="str">
        <f>IFERROR((VLOOKUP(TableWRRanks32[[#This Row],[Player]],WR!B:O,5,FALSE)),"")</f>
        <v/>
      </c>
      <c r="AJ210" s="146" t="str">
        <f>IFERROR((VLOOKUP(TableWRRanks32[[#This Row],[Player]],WR!B:O,6,FALSE)),"")</f>
        <v/>
      </c>
      <c r="AK210" s="146" t="str">
        <f>IFERROR((VLOOKUP(TableWRRanks32[[#This Row],[Player]],WR!B:O,7,FALSE)),"")</f>
        <v/>
      </c>
      <c r="AL210" s="146" t="str">
        <f>IFERROR((VLOOKUP(TableWRRanks32[[#This Row],[Player]],WR!B:O,8,FALSE)),"")</f>
        <v/>
      </c>
      <c r="AM210" s="146" t="str">
        <f>IFERROR((VLOOKUP(TableWRRanks32[[#This Row],[Player]],WR!B:O,9,FALSE)),"")</f>
        <v/>
      </c>
      <c r="AN210" s="147" t="str">
        <f>IFERROR((IFERROR(INDEX(TableWRCalcPts[Custom],MATCH(TableWRRanks32[[#This Row],[RK]],TableWRCalcPts[RK],0)),"")),"")</f>
        <v/>
      </c>
      <c r="AO21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1" spans="30:41" x14ac:dyDescent="0.25">
      <c r="AD211" s="145">
        <v>210</v>
      </c>
      <c r="AE211" s="145" t="str">
        <f>IFERROR(INDEX(TableWRCalcPts[PLAYER],MATCH(TableWRRanks32[[#This Row],[RK]],TableWRCalcPts[RK],0)),"")</f>
        <v/>
      </c>
      <c r="AF211" s="145" t="str">
        <f>IFERROR(INDEX(TableWRCalcPts[TM],MATCH(TableWRRanks32[[#This Row],[Player]],TableWRCalcPts[PLAYER],0)),"")</f>
        <v/>
      </c>
      <c r="AG211" s="145" t="str">
        <f>IFERROR(INDEX(TableWRCalcPts[BYE],MATCH(TableWRRanks32[[#This Row],[Player]],TableWRCalcPts[PLAYER],0)),"")</f>
        <v/>
      </c>
      <c r="AH211" s="146" t="str">
        <f>IFERROR((VLOOKUP(TableWRRanks32[[#This Row],[Player]],WR!B:O,4,FALSE)),"")</f>
        <v/>
      </c>
      <c r="AI211" s="146" t="str">
        <f>IFERROR((VLOOKUP(TableWRRanks32[[#This Row],[Player]],WR!B:O,5,FALSE)),"")</f>
        <v/>
      </c>
      <c r="AJ211" s="146" t="str">
        <f>IFERROR((VLOOKUP(TableWRRanks32[[#This Row],[Player]],WR!B:O,6,FALSE)),"")</f>
        <v/>
      </c>
      <c r="AK211" s="146" t="str">
        <f>IFERROR((VLOOKUP(TableWRRanks32[[#This Row],[Player]],WR!B:O,7,FALSE)),"")</f>
        <v/>
      </c>
      <c r="AL211" s="146" t="str">
        <f>IFERROR((VLOOKUP(TableWRRanks32[[#This Row],[Player]],WR!B:O,8,FALSE)),"")</f>
        <v/>
      </c>
      <c r="AM211" s="146" t="str">
        <f>IFERROR((VLOOKUP(TableWRRanks32[[#This Row],[Player]],WR!B:O,9,FALSE)),"")</f>
        <v/>
      </c>
      <c r="AN211" s="147" t="str">
        <f>IFERROR((IFERROR(INDEX(TableWRCalcPts[Custom],MATCH(TableWRRanks32[[#This Row],[RK]],TableWRCalcPts[RK],0)),"")),"")</f>
        <v/>
      </c>
      <c r="AO21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2" spans="30:41" x14ac:dyDescent="0.25">
      <c r="AD212" s="145">
        <v>211</v>
      </c>
      <c r="AE212" s="145" t="str">
        <f>IFERROR(INDEX(TableWRCalcPts[PLAYER],MATCH(TableWRRanks32[[#This Row],[RK]],TableWRCalcPts[RK],0)),"")</f>
        <v/>
      </c>
      <c r="AF212" s="145" t="str">
        <f>IFERROR(INDEX(TableWRCalcPts[TM],MATCH(TableWRRanks32[[#This Row],[Player]],TableWRCalcPts[PLAYER],0)),"")</f>
        <v/>
      </c>
      <c r="AG212" s="145" t="str">
        <f>IFERROR(INDEX(TableWRCalcPts[BYE],MATCH(TableWRRanks32[[#This Row],[Player]],TableWRCalcPts[PLAYER],0)),"")</f>
        <v/>
      </c>
      <c r="AH212" s="146" t="str">
        <f>IFERROR((VLOOKUP(TableWRRanks32[[#This Row],[Player]],WR!B:O,4,FALSE)),"")</f>
        <v/>
      </c>
      <c r="AI212" s="146" t="str">
        <f>IFERROR((VLOOKUP(TableWRRanks32[[#This Row],[Player]],WR!B:O,5,FALSE)),"")</f>
        <v/>
      </c>
      <c r="AJ212" s="146" t="str">
        <f>IFERROR((VLOOKUP(TableWRRanks32[[#This Row],[Player]],WR!B:O,6,FALSE)),"")</f>
        <v/>
      </c>
      <c r="AK212" s="146" t="str">
        <f>IFERROR((VLOOKUP(TableWRRanks32[[#This Row],[Player]],WR!B:O,7,FALSE)),"")</f>
        <v/>
      </c>
      <c r="AL212" s="146" t="str">
        <f>IFERROR((VLOOKUP(TableWRRanks32[[#This Row],[Player]],WR!B:O,8,FALSE)),"")</f>
        <v/>
      </c>
      <c r="AM212" s="146" t="str">
        <f>IFERROR((VLOOKUP(TableWRRanks32[[#This Row],[Player]],WR!B:O,9,FALSE)),"")</f>
        <v/>
      </c>
      <c r="AN212" s="147" t="str">
        <f>IFERROR((IFERROR(INDEX(TableWRCalcPts[Custom],MATCH(TableWRRanks32[[#This Row],[RK]],TableWRCalcPts[RK],0)),"")),"")</f>
        <v/>
      </c>
      <c r="AO21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3" spans="30:41" x14ac:dyDescent="0.25">
      <c r="AD213" s="145">
        <v>212</v>
      </c>
      <c r="AE213" s="145" t="str">
        <f>IFERROR(INDEX(TableWRCalcPts[PLAYER],MATCH(TableWRRanks32[[#This Row],[RK]],TableWRCalcPts[RK],0)),"")</f>
        <v/>
      </c>
      <c r="AF213" s="145" t="str">
        <f>IFERROR(INDEX(TableWRCalcPts[TM],MATCH(TableWRRanks32[[#This Row],[Player]],TableWRCalcPts[PLAYER],0)),"")</f>
        <v/>
      </c>
      <c r="AG213" s="145" t="str">
        <f>IFERROR(INDEX(TableWRCalcPts[BYE],MATCH(TableWRRanks32[[#This Row],[Player]],TableWRCalcPts[PLAYER],0)),"")</f>
        <v/>
      </c>
      <c r="AH213" s="146" t="str">
        <f>IFERROR((VLOOKUP(TableWRRanks32[[#This Row],[Player]],WR!B:O,4,FALSE)),"")</f>
        <v/>
      </c>
      <c r="AI213" s="146" t="str">
        <f>IFERROR((VLOOKUP(TableWRRanks32[[#This Row],[Player]],WR!B:O,5,FALSE)),"")</f>
        <v/>
      </c>
      <c r="AJ213" s="146" t="str">
        <f>IFERROR((VLOOKUP(TableWRRanks32[[#This Row],[Player]],WR!B:O,6,FALSE)),"")</f>
        <v/>
      </c>
      <c r="AK213" s="146" t="str">
        <f>IFERROR((VLOOKUP(TableWRRanks32[[#This Row],[Player]],WR!B:O,7,FALSE)),"")</f>
        <v/>
      </c>
      <c r="AL213" s="146" t="str">
        <f>IFERROR((VLOOKUP(TableWRRanks32[[#This Row],[Player]],WR!B:O,8,FALSE)),"")</f>
        <v/>
      </c>
      <c r="AM213" s="146" t="str">
        <f>IFERROR((VLOOKUP(TableWRRanks32[[#This Row],[Player]],WR!B:O,9,FALSE)),"")</f>
        <v/>
      </c>
      <c r="AN213" s="147" t="str">
        <f>IFERROR((IFERROR(INDEX(TableWRCalcPts[Custom],MATCH(TableWRRanks32[[#This Row],[RK]],TableWRCalcPts[RK],0)),"")),"")</f>
        <v/>
      </c>
      <c r="AO21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4" spans="30:41" x14ac:dyDescent="0.25">
      <c r="AD214" s="145">
        <v>213</v>
      </c>
      <c r="AE214" s="145" t="str">
        <f>IFERROR(INDEX(TableWRCalcPts[PLAYER],MATCH(TableWRRanks32[[#This Row],[RK]],TableWRCalcPts[RK],0)),"")</f>
        <v/>
      </c>
      <c r="AF214" s="145" t="str">
        <f>IFERROR(INDEX(TableWRCalcPts[TM],MATCH(TableWRRanks32[[#This Row],[Player]],TableWRCalcPts[PLAYER],0)),"")</f>
        <v/>
      </c>
      <c r="AG214" s="145" t="str">
        <f>IFERROR(INDEX(TableWRCalcPts[BYE],MATCH(TableWRRanks32[[#This Row],[Player]],TableWRCalcPts[PLAYER],0)),"")</f>
        <v/>
      </c>
      <c r="AH214" s="146" t="str">
        <f>IFERROR((VLOOKUP(TableWRRanks32[[#This Row],[Player]],WR!B:O,4,FALSE)),"")</f>
        <v/>
      </c>
      <c r="AI214" s="146" t="str">
        <f>IFERROR((VLOOKUP(TableWRRanks32[[#This Row],[Player]],WR!B:O,5,FALSE)),"")</f>
        <v/>
      </c>
      <c r="AJ214" s="146" t="str">
        <f>IFERROR((VLOOKUP(TableWRRanks32[[#This Row],[Player]],WR!B:O,6,FALSE)),"")</f>
        <v/>
      </c>
      <c r="AK214" s="146" t="str">
        <f>IFERROR((VLOOKUP(TableWRRanks32[[#This Row],[Player]],WR!B:O,7,FALSE)),"")</f>
        <v/>
      </c>
      <c r="AL214" s="146" t="str">
        <f>IFERROR((VLOOKUP(TableWRRanks32[[#This Row],[Player]],WR!B:O,8,FALSE)),"")</f>
        <v/>
      </c>
      <c r="AM214" s="146" t="str">
        <f>IFERROR((VLOOKUP(TableWRRanks32[[#This Row],[Player]],WR!B:O,9,FALSE)),"")</f>
        <v/>
      </c>
      <c r="AN214" s="147" t="str">
        <f>IFERROR((IFERROR(INDEX(TableWRCalcPts[Custom],MATCH(TableWRRanks32[[#This Row],[RK]],TableWRCalcPts[RK],0)),"")),"")</f>
        <v/>
      </c>
      <c r="AO21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5" spans="30:41" x14ac:dyDescent="0.25">
      <c r="AD215" s="145">
        <v>214</v>
      </c>
      <c r="AE215" s="145" t="str">
        <f>IFERROR(INDEX(TableWRCalcPts[PLAYER],MATCH(TableWRRanks32[[#This Row],[RK]],TableWRCalcPts[RK],0)),"")</f>
        <v/>
      </c>
      <c r="AF215" s="145" t="str">
        <f>IFERROR(INDEX(TableWRCalcPts[TM],MATCH(TableWRRanks32[[#This Row],[Player]],TableWRCalcPts[PLAYER],0)),"")</f>
        <v/>
      </c>
      <c r="AG215" s="145" t="str">
        <f>IFERROR(INDEX(TableWRCalcPts[BYE],MATCH(TableWRRanks32[[#This Row],[Player]],TableWRCalcPts[PLAYER],0)),"")</f>
        <v/>
      </c>
      <c r="AH215" s="146" t="str">
        <f>IFERROR((VLOOKUP(TableWRRanks32[[#This Row],[Player]],WR!B:O,4,FALSE)),"")</f>
        <v/>
      </c>
      <c r="AI215" s="146" t="str">
        <f>IFERROR((VLOOKUP(TableWRRanks32[[#This Row],[Player]],WR!B:O,5,FALSE)),"")</f>
        <v/>
      </c>
      <c r="AJ215" s="146" t="str">
        <f>IFERROR((VLOOKUP(TableWRRanks32[[#This Row],[Player]],WR!B:O,6,FALSE)),"")</f>
        <v/>
      </c>
      <c r="AK215" s="146" t="str">
        <f>IFERROR((VLOOKUP(TableWRRanks32[[#This Row],[Player]],WR!B:O,7,FALSE)),"")</f>
        <v/>
      </c>
      <c r="AL215" s="146" t="str">
        <f>IFERROR((VLOOKUP(TableWRRanks32[[#This Row],[Player]],WR!B:O,8,FALSE)),"")</f>
        <v/>
      </c>
      <c r="AM215" s="146" t="str">
        <f>IFERROR((VLOOKUP(TableWRRanks32[[#This Row],[Player]],WR!B:O,9,FALSE)),"")</f>
        <v/>
      </c>
      <c r="AN215" s="147" t="str">
        <f>IFERROR((IFERROR(INDEX(TableWRCalcPts[Custom],MATCH(TableWRRanks32[[#This Row],[RK]],TableWRCalcPts[RK],0)),"")),"")</f>
        <v/>
      </c>
      <c r="AO21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6" spans="30:41" x14ac:dyDescent="0.25">
      <c r="AD216" s="145">
        <v>215</v>
      </c>
      <c r="AE216" s="145" t="str">
        <f>IFERROR(INDEX(TableWRCalcPts[PLAYER],MATCH(TableWRRanks32[[#This Row],[RK]],TableWRCalcPts[RK],0)),"")</f>
        <v/>
      </c>
      <c r="AF216" s="145" t="str">
        <f>IFERROR(INDEX(TableWRCalcPts[TM],MATCH(TableWRRanks32[[#This Row],[Player]],TableWRCalcPts[PLAYER],0)),"")</f>
        <v/>
      </c>
      <c r="AG216" s="145" t="str">
        <f>IFERROR(INDEX(TableWRCalcPts[BYE],MATCH(TableWRRanks32[[#This Row],[Player]],TableWRCalcPts[PLAYER],0)),"")</f>
        <v/>
      </c>
      <c r="AH216" s="146" t="str">
        <f>IFERROR((VLOOKUP(TableWRRanks32[[#This Row],[Player]],WR!B:O,4,FALSE)),"")</f>
        <v/>
      </c>
      <c r="AI216" s="146" t="str">
        <f>IFERROR((VLOOKUP(TableWRRanks32[[#This Row],[Player]],WR!B:O,5,FALSE)),"")</f>
        <v/>
      </c>
      <c r="AJ216" s="146" t="str">
        <f>IFERROR((VLOOKUP(TableWRRanks32[[#This Row],[Player]],WR!B:O,6,FALSE)),"")</f>
        <v/>
      </c>
      <c r="AK216" s="146" t="str">
        <f>IFERROR((VLOOKUP(TableWRRanks32[[#This Row],[Player]],WR!B:O,7,FALSE)),"")</f>
        <v/>
      </c>
      <c r="AL216" s="146" t="str">
        <f>IFERROR((VLOOKUP(TableWRRanks32[[#This Row],[Player]],WR!B:O,8,FALSE)),"")</f>
        <v/>
      </c>
      <c r="AM216" s="146" t="str">
        <f>IFERROR((VLOOKUP(TableWRRanks32[[#This Row],[Player]],WR!B:O,9,FALSE)),"")</f>
        <v/>
      </c>
      <c r="AN216" s="147" t="str">
        <f>IFERROR((IFERROR(INDEX(TableWRCalcPts[Custom],MATCH(TableWRRanks32[[#This Row],[RK]],TableWRCalcPts[RK],0)),"")),"")</f>
        <v/>
      </c>
      <c r="AO21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7" spans="30:41" x14ac:dyDescent="0.25">
      <c r="AD217" s="145">
        <v>216</v>
      </c>
      <c r="AE217" s="145" t="str">
        <f>IFERROR(INDEX(TableWRCalcPts[PLAYER],MATCH(TableWRRanks32[[#This Row],[RK]],TableWRCalcPts[RK],0)),"")</f>
        <v/>
      </c>
      <c r="AF217" s="145" t="str">
        <f>IFERROR(INDEX(TableWRCalcPts[TM],MATCH(TableWRRanks32[[#This Row],[Player]],TableWRCalcPts[PLAYER],0)),"")</f>
        <v/>
      </c>
      <c r="AG217" s="145" t="str">
        <f>IFERROR(INDEX(TableWRCalcPts[BYE],MATCH(TableWRRanks32[[#This Row],[Player]],TableWRCalcPts[PLAYER],0)),"")</f>
        <v/>
      </c>
      <c r="AH217" s="146" t="str">
        <f>IFERROR((VLOOKUP(TableWRRanks32[[#This Row],[Player]],WR!B:O,4,FALSE)),"")</f>
        <v/>
      </c>
      <c r="AI217" s="146" t="str">
        <f>IFERROR((VLOOKUP(TableWRRanks32[[#This Row],[Player]],WR!B:O,5,FALSE)),"")</f>
        <v/>
      </c>
      <c r="AJ217" s="146" t="str">
        <f>IFERROR((VLOOKUP(TableWRRanks32[[#This Row],[Player]],WR!B:O,6,FALSE)),"")</f>
        <v/>
      </c>
      <c r="AK217" s="146" t="str">
        <f>IFERROR((VLOOKUP(TableWRRanks32[[#This Row],[Player]],WR!B:O,7,FALSE)),"")</f>
        <v/>
      </c>
      <c r="AL217" s="146" t="str">
        <f>IFERROR((VLOOKUP(TableWRRanks32[[#This Row],[Player]],WR!B:O,8,FALSE)),"")</f>
        <v/>
      </c>
      <c r="AM217" s="146" t="str">
        <f>IFERROR((VLOOKUP(TableWRRanks32[[#This Row],[Player]],WR!B:O,9,FALSE)),"")</f>
        <v/>
      </c>
      <c r="AN217" s="147" t="str">
        <f>IFERROR((IFERROR(INDEX(TableWRCalcPts[Custom],MATCH(TableWRRanks32[[#This Row],[RK]],TableWRCalcPts[RK],0)),"")),"")</f>
        <v/>
      </c>
      <c r="AO21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8" spans="30:41" x14ac:dyDescent="0.25">
      <c r="AD218" s="145">
        <v>217</v>
      </c>
      <c r="AE218" s="145" t="str">
        <f>IFERROR(INDEX(TableWRCalcPts[PLAYER],MATCH(TableWRRanks32[[#This Row],[RK]],TableWRCalcPts[RK],0)),"")</f>
        <v/>
      </c>
      <c r="AF218" s="145" t="str">
        <f>IFERROR(INDEX(TableWRCalcPts[TM],MATCH(TableWRRanks32[[#This Row],[Player]],TableWRCalcPts[PLAYER],0)),"")</f>
        <v/>
      </c>
      <c r="AG218" s="145" t="str">
        <f>IFERROR(INDEX(TableWRCalcPts[BYE],MATCH(TableWRRanks32[[#This Row],[Player]],TableWRCalcPts[PLAYER],0)),"")</f>
        <v/>
      </c>
      <c r="AH218" s="146" t="str">
        <f>IFERROR((VLOOKUP(TableWRRanks32[[#This Row],[Player]],WR!B:O,4,FALSE)),"")</f>
        <v/>
      </c>
      <c r="AI218" s="146" t="str">
        <f>IFERROR((VLOOKUP(TableWRRanks32[[#This Row],[Player]],WR!B:O,5,FALSE)),"")</f>
        <v/>
      </c>
      <c r="AJ218" s="146" t="str">
        <f>IFERROR((VLOOKUP(TableWRRanks32[[#This Row],[Player]],WR!B:O,6,FALSE)),"")</f>
        <v/>
      </c>
      <c r="AK218" s="146" t="str">
        <f>IFERROR((VLOOKUP(TableWRRanks32[[#This Row],[Player]],WR!B:O,7,FALSE)),"")</f>
        <v/>
      </c>
      <c r="AL218" s="146" t="str">
        <f>IFERROR((VLOOKUP(TableWRRanks32[[#This Row],[Player]],WR!B:O,8,FALSE)),"")</f>
        <v/>
      </c>
      <c r="AM218" s="146" t="str">
        <f>IFERROR((VLOOKUP(TableWRRanks32[[#This Row],[Player]],WR!B:O,9,FALSE)),"")</f>
        <v/>
      </c>
      <c r="AN218" s="147" t="str">
        <f>IFERROR((IFERROR(INDEX(TableWRCalcPts[Custom],MATCH(TableWRRanks32[[#This Row],[RK]],TableWRCalcPts[RK],0)),"")),"")</f>
        <v/>
      </c>
      <c r="AO21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9" spans="30:41" x14ac:dyDescent="0.25">
      <c r="AD219" s="145">
        <v>218</v>
      </c>
      <c r="AE219" s="145" t="str">
        <f>IFERROR(INDEX(TableWRCalcPts[PLAYER],MATCH(TableWRRanks32[[#This Row],[RK]],TableWRCalcPts[RK],0)),"")</f>
        <v/>
      </c>
      <c r="AF219" s="145" t="str">
        <f>IFERROR(INDEX(TableWRCalcPts[TM],MATCH(TableWRRanks32[[#This Row],[Player]],TableWRCalcPts[PLAYER],0)),"")</f>
        <v/>
      </c>
      <c r="AG219" s="145" t="str">
        <f>IFERROR(INDEX(TableWRCalcPts[BYE],MATCH(TableWRRanks32[[#This Row],[Player]],TableWRCalcPts[PLAYER],0)),"")</f>
        <v/>
      </c>
      <c r="AH219" s="146" t="str">
        <f>IFERROR((VLOOKUP(TableWRRanks32[[#This Row],[Player]],WR!B:O,4,FALSE)),"")</f>
        <v/>
      </c>
      <c r="AI219" s="146" t="str">
        <f>IFERROR((VLOOKUP(TableWRRanks32[[#This Row],[Player]],WR!B:O,5,FALSE)),"")</f>
        <v/>
      </c>
      <c r="AJ219" s="146" t="str">
        <f>IFERROR((VLOOKUP(TableWRRanks32[[#This Row],[Player]],WR!B:O,6,FALSE)),"")</f>
        <v/>
      </c>
      <c r="AK219" s="146" t="str">
        <f>IFERROR((VLOOKUP(TableWRRanks32[[#This Row],[Player]],WR!B:O,7,FALSE)),"")</f>
        <v/>
      </c>
      <c r="AL219" s="146" t="str">
        <f>IFERROR((VLOOKUP(TableWRRanks32[[#This Row],[Player]],WR!B:O,8,FALSE)),"")</f>
        <v/>
      </c>
      <c r="AM219" s="146" t="str">
        <f>IFERROR((VLOOKUP(TableWRRanks32[[#This Row],[Player]],WR!B:O,9,FALSE)),"")</f>
        <v/>
      </c>
      <c r="AN219" s="147" t="str">
        <f>IFERROR((IFERROR(INDEX(TableWRCalcPts[Custom],MATCH(TableWRRanks32[[#This Row],[RK]],TableWRCalcPts[RK],0)),"")),"")</f>
        <v/>
      </c>
      <c r="AO21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0" spans="30:41" x14ac:dyDescent="0.25">
      <c r="AD220" s="145">
        <v>219</v>
      </c>
      <c r="AE220" s="145" t="str">
        <f>IFERROR(INDEX(TableWRCalcPts[PLAYER],MATCH(TableWRRanks32[[#This Row],[RK]],TableWRCalcPts[RK],0)),"")</f>
        <v/>
      </c>
      <c r="AF220" s="145" t="str">
        <f>IFERROR(INDEX(TableWRCalcPts[TM],MATCH(TableWRRanks32[[#This Row],[Player]],TableWRCalcPts[PLAYER],0)),"")</f>
        <v/>
      </c>
      <c r="AG220" s="145" t="str">
        <f>IFERROR(INDEX(TableWRCalcPts[BYE],MATCH(TableWRRanks32[[#This Row],[Player]],TableWRCalcPts[PLAYER],0)),"")</f>
        <v/>
      </c>
      <c r="AH220" s="146" t="str">
        <f>IFERROR((VLOOKUP(TableWRRanks32[[#This Row],[Player]],WR!B:O,4,FALSE)),"")</f>
        <v/>
      </c>
      <c r="AI220" s="146" t="str">
        <f>IFERROR((VLOOKUP(TableWRRanks32[[#This Row],[Player]],WR!B:O,5,FALSE)),"")</f>
        <v/>
      </c>
      <c r="AJ220" s="146" t="str">
        <f>IFERROR((VLOOKUP(TableWRRanks32[[#This Row],[Player]],WR!B:O,6,FALSE)),"")</f>
        <v/>
      </c>
      <c r="AK220" s="146" t="str">
        <f>IFERROR((VLOOKUP(TableWRRanks32[[#This Row],[Player]],WR!B:O,7,FALSE)),"")</f>
        <v/>
      </c>
      <c r="AL220" s="146" t="str">
        <f>IFERROR((VLOOKUP(TableWRRanks32[[#This Row],[Player]],WR!B:O,8,FALSE)),"")</f>
        <v/>
      </c>
      <c r="AM220" s="146" t="str">
        <f>IFERROR((VLOOKUP(TableWRRanks32[[#This Row],[Player]],WR!B:O,9,FALSE)),"")</f>
        <v/>
      </c>
      <c r="AN220" s="147" t="str">
        <f>IFERROR((IFERROR(INDEX(TableWRCalcPts[Custom],MATCH(TableWRRanks32[[#This Row],[RK]],TableWRCalcPts[RK],0)),"")),"")</f>
        <v/>
      </c>
      <c r="AO22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1" spans="30:41" x14ac:dyDescent="0.25">
      <c r="AD221" s="145">
        <v>220</v>
      </c>
      <c r="AE221" s="145" t="str">
        <f>IFERROR(INDEX(TableWRCalcPts[PLAYER],MATCH(TableWRRanks32[[#This Row],[RK]],TableWRCalcPts[RK],0)),"")</f>
        <v/>
      </c>
      <c r="AF221" s="145" t="str">
        <f>IFERROR(INDEX(TableWRCalcPts[TM],MATCH(TableWRRanks32[[#This Row],[Player]],TableWRCalcPts[PLAYER],0)),"")</f>
        <v/>
      </c>
      <c r="AG221" s="145" t="str">
        <f>IFERROR(INDEX(TableWRCalcPts[BYE],MATCH(TableWRRanks32[[#This Row],[Player]],TableWRCalcPts[PLAYER],0)),"")</f>
        <v/>
      </c>
      <c r="AH221" s="146" t="str">
        <f>IFERROR((VLOOKUP(TableWRRanks32[[#This Row],[Player]],WR!B:O,4,FALSE)),"")</f>
        <v/>
      </c>
      <c r="AI221" s="146" t="str">
        <f>IFERROR((VLOOKUP(TableWRRanks32[[#This Row],[Player]],WR!B:O,5,FALSE)),"")</f>
        <v/>
      </c>
      <c r="AJ221" s="146" t="str">
        <f>IFERROR((VLOOKUP(TableWRRanks32[[#This Row],[Player]],WR!B:O,6,FALSE)),"")</f>
        <v/>
      </c>
      <c r="AK221" s="146" t="str">
        <f>IFERROR((VLOOKUP(TableWRRanks32[[#This Row],[Player]],WR!B:O,7,FALSE)),"")</f>
        <v/>
      </c>
      <c r="AL221" s="146" t="str">
        <f>IFERROR((VLOOKUP(TableWRRanks32[[#This Row],[Player]],WR!B:O,8,FALSE)),"")</f>
        <v/>
      </c>
      <c r="AM221" s="146" t="str">
        <f>IFERROR((VLOOKUP(TableWRRanks32[[#This Row],[Player]],WR!B:O,9,FALSE)),"")</f>
        <v/>
      </c>
      <c r="AN221" s="147" t="str">
        <f>IFERROR((IFERROR(INDEX(TableWRCalcPts[Custom],MATCH(TableWRRanks32[[#This Row],[RK]],TableWRCalcPts[RK],0)),"")),"")</f>
        <v/>
      </c>
      <c r="AO22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</sheetData>
  <sheetProtection sheet="1" objects="1" scenarios="1"/>
  <protectedRanges>
    <protectedRange sqref="A1:BA239" name="QBRanks"/>
  </protectedRanges>
  <phoneticPr fontId="7" type="noConversion"/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8EC-336D-4D08-961A-CD8DE66441FB}">
  <sheetPr codeName="Sheet44">
    <tabColor rgb="FFFFD69F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5.57031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58" bestFit="1" customWidth="1"/>
    <col min="42" max="42" width="9.7109375" style="58"/>
    <col min="43" max="43" width="4.140625" style="58" bestFit="1" customWidth="1"/>
    <col min="44" max="44" width="17.28515625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.570312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37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37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VLOOKUP(TableQBRanks3040[[#This Row],[RK]],Rankings!A:T,3,FALSE)</f>
        <v>Josh Allen</v>
      </c>
      <c r="C2" s="58" t="str">
        <f>IFERROR(INDEX(TableQBCalcPts[TM],MATCH(TableQBRanks3040[[#This Row],[Player]],TableQBCalcPts[PLAYER],0)),"")</f>
        <v>BUF</v>
      </c>
      <c r="D2" s="58">
        <f>IFERROR(INDEX(TableQBCalcPts[BYE],MATCH(TableQBRanks3040[[#This Row],[Player]],TableQBCalcPts[PLAYER],0)),"")</f>
        <v>7</v>
      </c>
      <c r="E2" s="100">
        <f>VLOOKUP(TableQBRanks3040[[#This Row],[Player]],QB!B:O,4,FALSE)</f>
        <v>515.96819999999991</v>
      </c>
      <c r="F2" s="100">
        <f>VLOOKUP(TableQBRanks3040[[#This Row],[Player]],QB!B:O,5,FALSE)</f>
        <v>346.46237053878565</v>
      </c>
      <c r="G2" s="100">
        <f>VLOOKUP(TableQBRanks3040[[#This Row],[Player]],QB!B:O,6,FALSE)</f>
        <v>4001.6403797229746</v>
      </c>
      <c r="H2" s="100">
        <f>VLOOKUP(TableQBRanks3040[[#This Row],[Player]],QB!B:O,7,FALSE)</f>
        <v>27.370527272564068</v>
      </c>
      <c r="I2" s="100">
        <f>VLOOKUP(TableQBRanks3040[[#This Row],[Player]],QB!B:O,8,FALSE)</f>
        <v>11.143251191832489</v>
      </c>
      <c r="J2" s="100">
        <f>VLOOKUP(TableQBRanks3040[[#This Row],[Player]],QB!B:O,9,FALSE)</f>
        <v>105.7124432</v>
      </c>
      <c r="K2" s="100">
        <f>VLOOKUP(TableQBRanks3040[[#This Row],[Player]],QB!B:O,10,FALSE)</f>
        <v>538.18209884132466</v>
      </c>
      <c r="L2" s="100">
        <f>VLOOKUP(TableQBRanks3040[[#This Row],[Player]],QB!B:O,11,FALSE)</f>
        <v>11.659311123198451</v>
      </c>
      <c r="M2" s="95">
        <f>VLOOKUP(TableQBRanks3040[[#This Row],[Player]],QB!B:O,13,FALSE)</f>
        <v>471.56584130967269</v>
      </c>
      <c r="N2" s="140">
        <f>IF(VLOOKUP(TableQBRanks3040[[#This Row],[Player]],'Ranks w Proj'!$B:$N,13,FALSE)&lt;0,0,VLOOKUP(TableQBRanks3040[[#This Row],[Player]],'Ranks w Proj'!$B:$N,13,FALSE))</f>
        <v>40.077402131621454</v>
      </c>
      <c r="P2" s="58">
        <v>1</v>
      </c>
      <c r="Q2" s="58" t="str">
        <f>VLOOKUP(TableRBRanks3141[[#This Row],[RK]],Rankings!A:T,8,FALSE)</f>
        <v>Bijan Robinson</v>
      </c>
      <c r="R2" s="58" t="str">
        <f>IFERROR(INDEX(TableRBCalcPts[TM],MATCH(TableRBRanks3141[[#This Row],[Player]],TableRBCalcPts[PLAYER],0)),"")</f>
        <v>ATL</v>
      </c>
      <c r="S2" s="58">
        <f>IFERROR(INDEX(TableRBCalcPts[BYE],MATCH(TableRBRanks3141[[#This Row],[Player]],TableRBCalcPts[PLAYER],0)),"")</f>
        <v>11</v>
      </c>
      <c r="T2" s="100">
        <f>VLOOKUP(TableRBRanks3141[[#This Row],[Player]],RB!B:O,4,FALSE)</f>
        <v>264.86942944000003</v>
      </c>
      <c r="U2" s="100">
        <f>VLOOKUP(TableRBRanks3141[[#This Row],[Player]],RB!B:O,5,FALSE)</f>
        <v>1287.2654270784003</v>
      </c>
      <c r="V2" s="100">
        <f>VLOOKUP(TableRBRanks3141[[#This Row],[Player]],RB!B:O,6,FALSE)</f>
        <v>10.065038318720001</v>
      </c>
      <c r="W2" s="100">
        <f>VLOOKUP(TableRBRanks3141[[#This Row],[Player]],RB!B:O,7,FALSE)</f>
        <v>102.17828880000003</v>
      </c>
      <c r="X2" s="100">
        <f>VLOOKUP(TableRBRanks3141[[#This Row],[Player]],RB!B:O,8,FALSE)</f>
        <v>76.394583552176854</v>
      </c>
      <c r="Y2" s="100">
        <f>VLOOKUP(TableRBRanks3141[[#This Row],[Player]],RB!B:O,9,FALSE)</f>
        <v>737.62506684720006</v>
      </c>
      <c r="Z2" s="100">
        <f>VLOOKUP(TableRBRanks3141[[#This Row],[Player]],RB!B:O,10,FALSE)</f>
        <v>3.6379056015915796</v>
      </c>
      <c r="AA2" s="95">
        <f>VLOOKUP(TableRBRanks3141[[#This Row],[Player]],RB!B:O,14,FALSE)</f>
        <v>322.90400469051792</v>
      </c>
      <c r="AB2" s="140">
        <f>IF(VLOOKUP(TableRBRanks3141[[#This Row],[Player]],'Ranks w Proj'!$Q:$AB,12,FALSE)&lt;0,0,VLOOKUP(TableRBRanks3141[[#This Row],[Player]],'Ranks w Proj'!$Q:$AB,12,FALSE))</f>
        <v>32.900651967023052</v>
      </c>
      <c r="AD2" s="58">
        <v>1</v>
      </c>
      <c r="AE2" s="58" t="str">
        <f>VLOOKUP(TableWRRanks3242[[#This Row],[RK]],Rankings!A:T,13,FALSE)</f>
        <v>Puka Nacua</v>
      </c>
      <c r="AF2" s="58" t="str">
        <f>IFERROR(INDEX(TableWRCalcPts[TM],MATCH(TableWRRanks3242[[#This Row],[Player]],TableWRCalcPts[PLAYER],0)),"")</f>
        <v>LAR</v>
      </c>
      <c r="AG2" s="58">
        <f>IFERROR(INDEX(TableWRCalcPts[BYE],MATCH(TableWRRanks3242[[#This Row],[Player]],TableWRCalcPts[PLAYER],0)),"")</f>
        <v>11</v>
      </c>
      <c r="AH2" s="100">
        <f>VLOOKUP(TableWRRanks3242[[#This Row],[Player]],WR!B:O,4,FALSE)</f>
        <v>80.681953432518583</v>
      </c>
      <c r="AI2" s="100">
        <f>VLOOKUP(TableWRRanks3242[[#This Row],[Player]],WR!B:O,5,FALSE)</f>
        <v>0.80502599893730076</v>
      </c>
      <c r="AJ2" s="100">
        <f>VLOOKUP(TableWRRanks3242[[#This Row],[Player]],WR!B:O,6,FALSE)</f>
        <v>173.0302048136553</v>
      </c>
      <c r="AK2" s="100">
        <f>VLOOKUP(TableWRRanks3242[[#This Row],[Player]],WR!B:O,7,FALSE)</f>
        <v>122.85144541769526</v>
      </c>
      <c r="AL2" s="100">
        <f>VLOOKUP(TableWRRanks3242[[#This Row],[Player]],WR!B:O,8,FALSE)</f>
        <v>1600.7543337925692</v>
      </c>
      <c r="AM2" s="100">
        <f>VLOOKUP(TableWRRanks3242[[#This Row],[Player]],WR!B:O,9,FALSE)</f>
        <v>9.0910069609094482</v>
      </c>
      <c r="AN2" s="95">
        <f>VLOOKUP(TableWRRanks3242[[#This Row],[Player]],WR!B:O,13,FALSE)</f>
        <v>288.94554919043696</v>
      </c>
      <c r="AO2" s="140">
        <f>IF(VLOOKUP(TableWRRanks3242[[#This Row],[Player]],'Ranks w Proj'!$AE:$AO,11,FALSE)&lt;0,0,VLOOKUP(TableWRRanks3242[[#This Row],[Player]],'Ranks w Proj'!$AE:$AO,11,FALSE))</f>
        <v>37.324137085500183</v>
      </c>
      <c r="AQ2" s="58">
        <v>1</v>
      </c>
      <c r="AR2" s="58" t="str">
        <f>VLOOKUP(TableTERanks3343[[#This Row],[RK]],Rankings!A:T,18,FALSE)</f>
        <v>Brock Bowers</v>
      </c>
      <c r="AS2" s="58" t="str">
        <f>IFERROR(INDEX(TableTECalcPts[TM],MATCH(TableTERanks3343[[#This Row],[Player]],TableTECalcPts[PLAYER],0)),"")</f>
        <v>LV</v>
      </c>
      <c r="AT2" s="58">
        <f>IFERROR(INDEX(TableTECalcPts[BYE],MATCH(TableTERanks3343[[#This Row],[Player]],TableTECalcPts[PLAYER],0)),"")</f>
        <v>13</v>
      </c>
      <c r="AU2" s="100">
        <f>VLOOKUP(TableTERanks3343[[#This Row],[Player]],TE!B:O,4,FALSE)</f>
        <v>136.61925984000001</v>
      </c>
      <c r="AV2" s="100">
        <f>VLOOKUP(TableTERanks3343[[#This Row],[Player]],TE!B:O,5,FALSE)</f>
        <v>94.540527809280007</v>
      </c>
      <c r="AW2" s="100">
        <f>VLOOKUP(TableTERanks3343[[#This Row],[Player]],TE!B:O,6,FALSE)</f>
        <v>1016.8526900232712</v>
      </c>
      <c r="AX2" s="100">
        <f>VLOOKUP(TableTERanks3343[[#This Row],[Player]],TE!B:O,7,FALSE)</f>
        <v>6.7123774744588802</v>
      </c>
      <c r="AY2" s="95">
        <f>VLOOKUP(TableTERanks3343[[#This Row],[Player]],TE!B:O,11,FALSE)</f>
        <v>189.22979775372039</v>
      </c>
      <c r="AZ2" s="140">
        <f>IF(VLOOKUP(TableTERanks3343[[#This Row],[Player]],'Ranks w Proj'!$AR:$AZ,9,FALSE)&lt;0,0,VLOOKUP(TableTERanks3343[[#This Row],[Player]],'Ranks w Proj'!$AR:$AZ,9,FALSE))</f>
        <v>20.919109690706669</v>
      </c>
    </row>
    <row r="3" spans="1:52" x14ac:dyDescent="0.25">
      <c r="A3" s="58">
        <v>2</v>
      </c>
      <c r="B3" s="58" t="str">
        <f>VLOOKUP(TableQBRanks3040[[#This Row],[RK]],Rankings!A:T,3,FALSE)</f>
        <v>Drake Maye</v>
      </c>
      <c r="C3" s="58" t="str">
        <f>IFERROR(INDEX(TableQBCalcPts[TM],MATCH(TableQBRanks3040[[#This Row],[Player]],TableQBCalcPts[PLAYER],0)),"")</f>
        <v>NE</v>
      </c>
      <c r="D3" s="58">
        <f>IFERROR(INDEX(TableQBCalcPts[BYE],MATCH(TableQBRanks3040[[#This Row],[Player]],TableQBCalcPts[PLAYER],0)),"")</f>
        <v>11</v>
      </c>
      <c r="E3" s="100">
        <f>VLOOKUP(TableQBRanks3040[[#This Row],[Player]],QB!B:O,4,FALSE)</f>
        <v>545.37979999999993</v>
      </c>
      <c r="F3" s="100">
        <f>VLOOKUP(TableQBRanks3040[[#This Row],[Player]],QB!B:O,5,FALSE)</f>
        <v>383.40199939999991</v>
      </c>
      <c r="G3" s="100">
        <f>VLOOKUP(TableQBRanks3040[[#This Row],[Player]],QB!B:O,6,FALSE)</f>
        <v>4412.9570130939992</v>
      </c>
      <c r="H3" s="100">
        <f>VLOOKUP(TableQBRanks3040[[#This Row],[Player]],QB!B:O,7,FALSE)</f>
        <v>29.905355953199994</v>
      </c>
      <c r="I3" s="100">
        <f>VLOOKUP(TableQBRanks3040[[#This Row],[Player]],QB!B:O,8,FALSE)</f>
        <v>11.850977386295915</v>
      </c>
      <c r="J3" s="100">
        <f>VLOOKUP(TableQBRanks3040[[#This Row],[Player]],QB!B:O,9,FALSE)</f>
        <v>86.66193899999999</v>
      </c>
      <c r="K3" s="100">
        <f>VLOOKUP(TableQBRanks3040[[#This Row],[Player]],QB!B:O,10,FALSE)</f>
        <v>416.84392658999991</v>
      </c>
      <c r="L3" s="100">
        <f>VLOOKUP(TableQBRanks3040[[#This Row],[Player]],QB!B:O,11,FALSE)</f>
        <v>3.6398014379999997</v>
      </c>
      <c r="M3" s="95">
        <f>VLOOKUP(TableQBRanks3040[[#This Row],[Player]],QB!B:O,13,FALSE)</f>
        <v>445.96284008366393</v>
      </c>
      <c r="N3" s="140">
        <f>IF(VLOOKUP(TableQBRanks3040[[#This Row],[Player]],'Ranks w Proj'!$B:$N,13,FALSE)&lt;0,0,VLOOKUP(TableQBRanks3040[[#This Row],[Player]],'Ranks w Proj'!$B:$N,13,FALSE))</f>
        <v>34.159683353746708</v>
      </c>
      <c r="P3" s="58">
        <v>2</v>
      </c>
      <c r="Q3" s="58" t="str">
        <f>VLOOKUP(TableRBRanks3141[[#This Row],[RK]],Rankings!A:T,8,FALSE)</f>
        <v>Jahmyr Gibbs</v>
      </c>
      <c r="R3" s="58" t="str">
        <f>IFERROR(INDEX(TableRBCalcPts[TM],MATCH(TableRBRanks3141[[#This Row],[Player]],TableRBCalcPts[PLAYER],0)),"")</f>
        <v>DET</v>
      </c>
      <c r="S3" s="58">
        <f>IFERROR(INDEX(TableRBCalcPts[BYE],MATCH(TableRBRanks3141[[#This Row],[Player]],TableRBCalcPts[PLAYER],0)),"")</f>
        <v>6</v>
      </c>
      <c r="T3" s="100">
        <f>VLOOKUP(TableRBRanks3141[[#This Row],[Player]],RB!B:O,4,FALSE)</f>
        <v>260.11842080000002</v>
      </c>
      <c r="U3" s="100">
        <f>VLOOKUP(TableRBRanks3141[[#This Row],[Player]],RB!B:O,5,FALSE)</f>
        <v>1279.782630336</v>
      </c>
      <c r="V3" s="100">
        <f>VLOOKUP(TableRBRanks3141[[#This Row],[Player]],RB!B:O,6,FALSE)</f>
        <v>13.526157881600001</v>
      </c>
      <c r="W3" s="100">
        <f>VLOOKUP(TableRBRanks3141[[#This Row],[Player]],RB!B:O,7,FALSE)</f>
        <v>93.666047999999975</v>
      </c>
      <c r="X3" s="100">
        <f>VLOOKUP(TableRBRanks3141[[#This Row],[Player]],RB!B:O,8,FALSE)</f>
        <v>72.778519295999985</v>
      </c>
      <c r="Y3" s="100">
        <f>VLOOKUP(TableRBRanks3141[[#This Row],[Player]],RB!B:O,9,FALSE)</f>
        <v>575.01351531904493</v>
      </c>
      <c r="Z3" s="100">
        <f>VLOOKUP(TableRBRanks3141[[#This Row],[Player]],RB!B:O,10,FALSE)</f>
        <v>3.5207265372926151</v>
      </c>
      <c r="AA3" s="95">
        <f>VLOOKUP(TableRBRanks3141[[#This Row],[Player]],RB!B:O,14,FALSE)</f>
        <v>324.15018072686019</v>
      </c>
      <c r="AB3" s="140">
        <f>IF(VLOOKUP(TableRBRanks3141[[#This Row],[Player]],'Ranks w Proj'!$Q:$AB,12,FALSE)&lt;0,0,VLOOKUP(TableRBRanks3141[[#This Row],[Player]],'Ranks w Proj'!$Q:$AB,12,FALSE))</f>
        <v>33.087955403678862</v>
      </c>
      <c r="AD3" s="58">
        <v>2</v>
      </c>
      <c r="AE3" s="58" t="str">
        <f>VLOOKUP(TableWRRanks3242[[#This Row],[RK]],Rankings!A:T,13,FALSE)</f>
        <v>Jaxon Smith-Njigba</v>
      </c>
      <c r="AF3" s="58" t="str">
        <f>IFERROR(INDEX(TableWRCalcPts[TM],MATCH(TableWRRanks3242[[#This Row],[Player]],TableWRCalcPts[PLAYER],0)),"")</f>
        <v>SEA</v>
      </c>
      <c r="AG3" s="58">
        <f>IFERROR(INDEX(TableWRCalcPts[BYE],MATCH(TableWRRanks3242[[#This Row],[Player]],TableWRCalcPts[PLAYER],0)),"")</f>
        <v>11</v>
      </c>
      <c r="AH3" s="100">
        <f>VLOOKUP(TableWRRanks3242[[#This Row],[Player]],WR!B:O,4,FALSE)</f>
        <v>29.701884942186943</v>
      </c>
      <c r="AI3" s="100">
        <f>VLOOKUP(TableWRRanks3242[[#This Row],[Player]],WR!B:O,5,FALSE)</f>
        <v>6.7405473662896301E-2</v>
      </c>
      <c r="AJ3" s="100">
        <f>VLOOKUP(TableWRRanks3242[[#This Row],[Player]],WR!B:O,6,FALSE)</f>
        <v>166.05532776000001</v>
      </c>
      <c r="AK3" s="100">
        <f>VLOOKUP(TableWRRanks3242[[#This Row],[Player]],WR!B:O,7,FALSE)</f>
        <v>119.72589131496001</v>
      </c>
      <c r="AL3" s="100">
        <f>VLOOKUP(TableWRRanks3242[[#This Row],[Player]],WR!B:O,8,FALSE)</f>
        <v>1773.1404503745578</v>
      </c>
      <c r="AM3" s="100">
        <f>VLOOKUP(TableWRRanks3242[[#This Row],[Player]],WR!B:O,9,FALSE)</f>
        <v>9.9372489791416818</v>
      </c>
      <c r="AN3" s="95">
        <f>VLOOKUP(TableWRRanks3242[[#This Row],[Player]],WR!B:O,13,FALSE)</f>
        <v>300.17510590598198</v>
      </c>
      <c r="AO3" s="140">
        <f>IF(VLOOKUP(TableWRRanks3242[[#This Row],[Player]],'Ranks w Proj'!$AE:$AO,11,FALSE)&lt;0,0,VLOOKUP(TableWRRanks3242[[#This Row],[Player]],'Ranks w Proj'!$AE:$AO,11,FALSE))</f>
        <v>39.433925854906846</v>
      </c>
      <c r="AQ3" s="58">
        <v>2</v>
      </c>
      <c r="AR3" s="58" t="str">
        <f>VLOOKUP(TableTERanks3343[[#This Row],[RK]],Rankings!A:T,18,FALSE)</f>
        <v>Trey McBride</v>
      </c>
      <c r="AS3" s="58" t="str">
        <f>IFERROR(INDEX(TableTECalcPts[TM],MATCH(TableTERanks3343[[#This Row],[Player]],TableTECalcPts[PLAYER],0)),"")</f>
        <v>ARI</v>
      </c>
      <c r="AT3" s="58">
        <f>IFERROR(INDEX(TableTECalcPts[BYE],MATCH(TableTERanks3343[[#This Row],[Player]],TableTECalcPts[PLAYER],0)),"")</f>
        <v>14</v>
      </c>
      <c r="AU3" s="100">
        <f>VLOOKUP(TableTERanks3343[[#This Row],[Player]],TE!B:O,4,FALSE)</f>
        <v>140.09546880000002</v>
      </c>
      <c r="AV3" s="100">
        <f>VLOOKUP(TableTERanks3343[[#This Row],[Player]],TE!B:O,5,FALSE)</f>
        <v>97.851594983020078</v>
      </c>
      <c r="AW3" s="100">
        <f>VLOOKUP(TableTERanks3343[[#This Row],[Player]],TE!B:O,6,FALSE)</f>
        <v>972.64485413121952</v>
      </c>
      <c r="AX3" s="100">
        <f>VLOOKUP(TableTERanks3343[[#This Row],[Player]],TE!B:O,7,FALSE)</f>
        <v>6.1646504839302647</v>
      </c>
      <c r="AY3" s="95">
        <f>VLOOKUP(TableTERanks3343[[#This Row],[Player]],TE!B:O,11,FALSE)</f>
        <v>183.17818580821358</v>
      </c>
      <c r="AZ3" s="140">
        <f>IF(VLOOKUP(TableTERanks3343[[#This Row],[Player]],'Ranks w Proj'!$AR:$AZ,9,FALSE)&lt;0,0,VLOOKUP(TableTERanks3343[[#This Row],[Player]],'Ranks w Proj'!$AR:$AZ,9,FALSE))</f>
        <v>19.782143803018215</v>
      </c>
    </row>
    <row r="4" spans="1:52" x14ac:dyDescent="0.25">
      <c r="A4" s="58">
        <v>3</v>
      </c>
      <c r="B4" s="58" t="str">
        <f>VLOOKUP(TableQBRanks3040[[#This Row],[RK]],Rankings!A:T,3,FALSE)</f>
        <v>Lamar Jackson</v>
      </c>
      <c r="C4" s="58" t="str">
        <f>IFERROR(INDEX(TableQBCalcPts[TM],MATCH(TableQBRanks3040[[#This Row],[Player]],TableQBCalcPts[PLAYER],0)),"")</f>
        <v>BAL</v>
      </c>
      <c r="D4" s="58">
        <f>IFERROR(INDEX(TableQBCalcPts[BYE],MATCH(TableQBRanks3040[[#This Row],[Player]],TableQBCalcPts[PLAYER],0)),"")</f>
        <v>13</v>
      </c>
      <c r="E4" s="100">
        <f>VLOOKUP(TableQBRanks3040[[#This Row],[Player]],QB!B:O,4,FALSE)</f>
        <v>455.57439999999997</v>
      </c>
      <c r="F4" s="100">
        <f>VLOOKUP(TableQBRanks3040[[#This Row],[Player]],QB!B:O,5,FALSE)</f>
        <v>294.66200484712675</v>
      </c>
      <c r="G4" s="100">
        <f>VLOOKUP(TableQBRanks3040[[#This Row],[Player]],QB!B:O,6,FALSE)</f>
        <v>3653.8088601043719</v>
      </c>
      <c r="H4" s="100">
        <f>VLOOKUP(TableQBRanks3040[[#This Row],[Player]],QB!B:O,7,FALSE)</f>
        <v>27.509901520511995</v>
      </c>
      <c r="I4" s="100">
        <f>VLOOKUP(TableQBRanks3040[[#This Row],[Player]],QB!B:O,8,FALSE)</f>
        <v>8.6775547780125564</v>
      </c>
      <c r="J4" s="100">
        <f>VLOOKUP(TableQBRanks3040[[#This Row],[Player]],QB!B:O,9,FALSE)</f>
        <v>127.95454966421661</v>
      </c>
      <c r="K4" s="100">
        <f>VLOOKUP(TableQBRanks3040[[#This Row],[Player]],QB!B:O,10,FALSE)</f>
        <v>723.43585354761888</v>
      </c>
      <c r="L4" s="100">
        <f>VLOOKUP(TableQBRanks3040[[#This Row],[Player]],QB!B:O,11,FALSE)</f>
        <v>3.5060651957753577</v>
      </c>
      <c r="M4" s="95">
        <f>VLOOKUP(TableQBRanks3040[[#This Row],[Player]],QB!B:O,13,FALSE)</f>
        <v>425.38038576336101</v>
      </c>
      <c r="N4" s="140">
        <f>IF(VLOOKUP(TableQBRanks3040[[#This Row],[Player]],'Ranks w Proj'!$B:$N,13,FALSE)&lt;0,0,VLOOKUP(TableQBRanks3040[[#This Row],[Player]],'Ranks w Proj'!$B:$N,13,FALSE))</f>
        <v>28.94425009689326</v>
      </c>
      <c r="P4" s="58">
        <v>3</v>
      </c>
      <c r="Q4" s="58" t="str">
        <f>VLOOKUP(TableRBRanks3141[[#This Row],[RK]],Rankings!A:T,8,FALSE)</f>
        <v>Christian McCaffrey</v>
      </c>
      <c r="R4" s="58" t="str">
        <f>IFERROR(INDEX(TableRBCalcPts[TM],MATCH(TableRBRanks3141[[#This Row],[Player]],TableRBCalcPts[PLAYER],0)),"")</f>
        <v>SF</v>
      </c>
      <c r="S4" s="58">
        <f>IFERROR(INDEX(TableRBCalcPts[BYE],MATCH(TableRBRanks3141[[#This Row],[Player]],TableRBCalcPts[PLAYER],0)),"")</f>
        <v>8</v>
      </c>
      <c r="T4" s="100">
        <f>VLOOKUP(TableRBRanks3141[[#This Row],[Player]],RB!B:O,4,FALSE)</f>
        <v>254.66866432</v>
      </c>
      <c r="U4" s="100">
        <f>VLOOKUP(TableRBRanks3141[[#This Row],[Player]],RB!B:O,5,FALSE)</f>
        <v>1049.2348969984</v>
      </c>
      <c r="V4" s="100">
        <f>VLOOKUP(TableRBRanks3141[[#This Row],[Player]],RB!B:O,6,FALSE)</f>
        <v>8.9812697224945435</v>
      </c>
      <c r="W4" s="100">
        <f>VLOOKUP(TableRBRanks3141[[#This Row],[Player]],RB!B:O,7,FALSE)</f>
        <v>100.92519808</v>
      </c>
      <c r="X4" s="100">
        <f>VLOOKUP(TableRBRanks3141[[#This Row],[Player]],RB!B:O,8,FALSE)</f>
        <v>82.85958762368</v>
      </c>
      <c r="Y4" s="100">
        <f>VLOOKUP(TableRBRanks3141[[#This Row],[Player]],RB!B:O,9,FALSE)</f>
        <v>752.20054293276496</v>
      </c>
      <c r="Z4" s="100">
        <f>VLOOKUP(TableRBRanks3141[[#This Row],[Player]],RB!B:O,10,FALSE)</f>
        <v>5.3858731955392001</v>
      </c>
      <c r="AA4" s="95">
        <f>VLOOKUP(TableRBRanks3141[[#This Row],[Player]],RB!B:O,14,FALSE)</f>
        <v>307.77619531315895</v>
      </c>
      <c r="AB4" s="140">
        <f>IF(VLOOKUP(TableRBRanks3141[[#This Row],[Player]],'Ranks w Proj'!$Q:$AB,12,FALSE)&lt;0,0,VLOOKUP(TableRBRanks3141[[#This Row],[Player]],'Ranks w Proj'!$Q:$AB,12,FALSE))</f>
        <v>30.626903633866146</v>
      </c>
      <c r="AD4" s="58">
        <v>3</v>
      </c>
      <c r="AE4" s="58" t="str">
        <f>VLOOKUP(TableWRRanks3242[[#This Row],[RK]],Rankings!A:T,13,FALSE)</f>
        <v>Ja'Marr Chase</v>
      </c>
      <c r="AF4" s="58" t="str">
        <f>IFERROR(INDEX(TableWRCalcPts[TM],MATCH(TableWRRanks3242[[#This Row],[Player]],TableWRCalcPts[PLAYER],0)),"")</f>
        <v>CIN</v>
      </c>
      <c r="AG4" s="58">
        <f>IFERROR(INDEX(TableWRCalcPts[BYE],MATCH(TableWRRanks3242[[#This Row],[Player]],TableWRCalcPts[PLAYER],0)),"")</f>
        <v>6</v>
      </c>
      <c r="AH4" s="100">
        <f>VLOOKUP(TableWRRanks3242[[#This Row],[Player]],WR!B:O,4,FALSE)</f>
        <v>14.884963338313767</v>
      </c>
      <c r="AI4" s="100">
        <f>VLOOKUP(TableWRRanks3242[[#This Row],[Player]],WR!B:O,5,FALSE)</f>
        <v>4.8294128068303098E-2</v>
      </c>
      <c r="AJ4" s="100">
        <f>VLOOKUP(TableWRRanks3242[[#This Row],[Player]],WR!B:O,6,FALSE)</f>
        <v>189.1810375</v>
      </c>
      <c r="AK4" s="100">
        <f>VLOOKUP(TableWRRanks3242[[#This Row],[Player]],WR!B:O,7,FALSE)</f>
        <v>130.50871869868942</v>
      </c>
      <c r="AL4" s="100">
        <f>VLOOKUP(TableWRRanks3242[[#This Row],[Player]],WR!B:O,8,FALSE)</f>
        <v>1621.4955597299952</v>
      </c>
      <c r="AM4" s="100">
        <f>VLOOKUP(TableWRRanks3242[[#This Row],[Player]],WR!B:O,9,FALSE)</f>
        <v>11.615275964183358</v>
      </c>
      <c r="AN4" s="95">
        <f>VLOOKUP(TableWRRanks3242[[#This Row],[Player]],WR!B:O,13,FALSE)</f>
        <v>298.87383220968559</v>
      </c>
      <c r="AO4" s="140">
        <f>IF(VLOOKUP(TableWRRanks3242[[#This Row],[Player]],'Ranks w Proj'!$AE:$AO,11,FALSE)&lt;0,0,VLOOKUP(TableWRRanks3242[[#This Row],[Player]],'Ranks w Proj'!$AE:$AO,11,FALSE))</f>
        <v>39.189444910563786</v>
      </c>
      <c r="AQ4" s="58">
        <v>3</v>
      </c>
      <c r="AR4" s="58" t="str">
        <f>VLOOKUP(TableTERanks3343[[#This Row],[RK]],Rankings!A:T,18,FALSE)</f>
        <v>Colston Loveland</v>
      </c>
      <c r="AS4" s="58" t="str">
        <f>IFERROR(INDEX(TableTECalcPts[TM],MATCH(TableTERanks3343[[#This Row],[Player]],TableTECalcPts[PLAYER],0)),"")</f>
        <v>CHI</v>
      </c>
      <c r="AT4" s="58">
        <f>IFERROR(INDEX(TableTECalcPts[BYE],MATCH(TableTERanks3343[[#This Row],[Player]],TableTECalcPts[PLAYER],0)),"")</f>
        <v>10</v>
      </c>
      <c r="AU4" s="100">
        <f>VLOOKUP(TableTERanks3343[[#This Row],[Player]],TE!B:O,4,FALSE)</f>
        <v>122.93785616000001</v>
      </c>
      <c r="AV4" s="100">
        <f>VLOOKUP(TableTERanks3343[[#This Row],[Player]],TE!B:O,5,FALSE)</f>
        <v>83.843617901120012</v>
      </c>
      <c r="AW4" s="100">
        <f>VLOOKUP(TableTERanks3343[[#This Row],[Player]],TE!B:O,6,FALSE)</f>
        <v>1012.8309042455297</v>
      </c>
      <c r="AX4" s="100">
        <f>VLOOKUP(TableTERanks3343[[#This Row],[Player]],TE!B:O,7,FALSE)</f>
        <v>8.3843617901120009</v>
      </c>
      <c r="AY4" s="95">
        <f>VLOOKUP(TableTERanks3343[[#This Row],[Player]],TE!B:O,11,FALSE)</f>
        <v>193.51107011578497</v>
      </c>
      <c r="AZ4" s="140">
        <f>IF(VLOOKUP(TableTERanks3343[[#This Row],[Player]],'Ranks w Proj'!$AR:$AZ,9,FALSE)&lt;0,0,VLOOKUP(TableTERanks3343[[#This Row],[Player]],'Ranks w Proj'!$AR:$AZ,9,FALSE))</f>
        <v>21.723467385053699</v>
      </c>
    </row>
    <row r="5" spans="1:52" x14ac:dyDescent="0.25">
      <c r="A5" s="58">
        <v>4</v>
      </c>
      <c r="B5" s="58" t="str">
        <f>VLOOKUP(TableQBRanks3040[[#This Row],[RK]],Rankings!A:T,3,FALSE)</f>
        <v>Jayden Daniels</v>
      </c>
      <c r="C5" s="58" t="str">
        <f>IFERROR(INDEX(TableQBCalcPts[TM],MATCH(TableQBRanks3040[[#This Row],[Player]],TableQBCalcPts[PLAYER],0)),"")</f>
        <v>WSH</v>
      </c>
      <c r="D5" s="58">
        <f>IFERROR(INDEX(TableQBCalcPts[BYE],MATCH(TableQBRanks3040[[#This Row],[Player]],TableQBCalcPts[PLAYER],0)),"")</f>
        <v>7</v>
      </c>
      <c r="E5" s="100">
        <f>VLOOKUP(TableQBRanks3040[[#This Row],[Player]],QB!B:O,4,FALSE)</f>
        <v>482.58289999999994</v>
      </c>
      <c r="F5" s="100">
        <f>VLOOKUP(TableQBRanks3040[[#This Row],[Player]],QB!B:O,5,FALSE)</f>
        <v>319.10744445753329</v>
      </c>
      <c r="G5" s="100">
        <f>VLOOKUP(TableQBRanks3040[[#This Row],[Player]],QB!B:O,6,FALSE)</f>
        <v>3518.5626973932303</v>
      </c>
      <c r="H5" s="100">
        <f>VLOOKUP(TableQBRanks3040[[#This Row],[Player]],QB!B:O,7,FALSE)</f>
        <v>22.337521112027332</v>
      </c>
      <c r="I5" s="100">
        <f>VLOOKUP(TableQBRanks3040[[#This Row],[Player]],QB!B:O,8,FALSE)</f>
        <v>9.1155950210989563</v>
      </c>
      <c r="J5" s="100">
        <f>VLOOKUP(TableQBRanks3040[[#This Row],[Player]],QB!B:O,9,FALSE)</f>
        <v>129.95258640000006</v>
      </c>
      <c r="K5" s="100">
        <f>VLOOKUP(TableQBRanks3040[[#This Row],[Player]],QB!B:O,10,FALSE)</f>
        <v>734.23211316000038</v>
      </c>
      <c r="L5" s="100">
        <f>VLOOKUP(TableQBRanks3040[[#This Row],[Player]],QB!B:O,11,FALSE)</f>
        <v>4.808245696800002</v>
      </c>
      <c r="M5" s="95">
        <f>VLOOKUP(TableQBRanks3040[[#This Row],[Player]],QB!B:O,13,FALSE)</f>
        <v>399.83546948934764</v>
      </c>
      <c r="N5" s="140">
        <f>IF(VLOOKUP(TableQBRanks3040[[#This Row],[Player]],'Ranks w Proj'!$B:$N,13,FALSE)&lt;0,0,VLOOKUP(TableQBRanks3040[[#This Row],[Player]],'Ranks w Proj'!$B:$N,13,FALSE))</f>
        <v>19.812211630289035</v>
      </c>
      <c r="P5" s="58">
        <v>4</v>
      </c>
      <c r="Q5" s="58" t="str">
        <f>VLOOKUP(TableRBRanks3141[[#This Row],[RK]],Rankings!A:T,8,FALSE)</f>
        <v>Jonathan Taylor</v>
      </c>
      <c r="R5" s="58" t="str">
        <f>IFERROR(INDEX(TableRBCalcPts[TM],MATCH(TableRBRanks3141[[#This Row],[Player]],TableRBCalcPts[PLAYER],0)),"")</f>
        <v>IND</v>
      </c>
      <c r="S5" s="58">
        <f>IFERROR(INDEX(TableRBCalcPts[BYE],MATCH(TableRBRanks3141[[#This Row],[Player]],TableRBCalcPts[PLAYER],0)),"")</f>
        <v>13</v>
      </c>
      <c r="T5" s="100">
        <f>VLOOKUP(TableRBRanks3141[[#This Row],[Player]],RB!B:O,4,FALSE)</f>
        <v>303.2034544</v>
      </c>
      <c r="U5" s="100">
        <f>VLOOKUP(TableRBRanks3141[[#This Row],[Player]],RB!B:O,5,FALSE)</f>
        <v>1452.6606494689795</v>
      </c>
      <c r="V5" s="100">
        <f>VLOOKUP(TableRBRanks3141[[#This Row],[Player]],RB!B:O,6,FALSE)</f>
        <v>13.251572502380769</v>
      </c>
      <c r="W5" s="100">
        <f>VLOOKUP(TableRBRanks3141[[#This Row],[Player]],RB!B:O,7,FALSE)</f>
        <v>56.964969599999996</v>
      </c>
      <c r="X5" s="100">
        <f>VLOOKUP(TableRBRanks3141[[#This Row],[Player]],RB!B:O,8,FALSE)</f>
        <v>43.655331304608843</v>
      </c>
      <c r="Y5" s="100">
        <f>VLOOKUP(TableRBRanks3141[[#This Row],[Player]],RB!B:O,9,FALSE)</f>
        <v>331.16475852092032</v>
      </c>
      <c r="Z5" s="100">
        <f>VLOOKUP(TableRBRanks3141[[#This Row],[Player]],RB!B:O,10,FALSE)</f>
        <v>1.3533152704428741</v>
      </c>
      <c r="AA5" s="95">
        <f>VLOOKUP(TableRBRanks3141[[#This Row],[Player]],RB!B:O,14,FALSE)</f>
        <v>287.83953308823624</v>
      </c>
      <c r="AB5" s="140">
        <f>IF(VLOOKUP(TableRBRanks3141[[#This Row],[Player]],'Ranks w Proj'!$Q:$AB,12,FALSE)&lt;0,0,VLOOKUP(TableRBRanks3141[[#This Row],[Player]],'Ranks w Proj'!$Q:$AB,12,FALSE))</f>
        <v>27.630372452657923</v>
      </c>
      <c r="AD5" s="58">
        <v>4</v>
      </c>
      <c r="AE5" s="58" t="str">
        <f>VLOOKUP(TableWRRanks3242[[#This Row],[RK]],Rankings!A:T,13,FALSE)</f>
        <v>Amon-Ra St. Brown</v>
      </c>
      <c r="AF5" s="58" t="str">
        <f>IFERROR(INDEX(TableWRCalcPts[TM],MATCH(TableWRRanks3242[[#This Row],[Player]],TableWRCalcPts[PLAYER],0)),"")</f>
        <v>DET</v>
      </c>
      <c r="AG5" s="58">
        <f>IFERROR(INDEX(TableWRCalcPts[BYE],MATCH(TableWRRanks3242[[#This Row],[Player]],TableWRCalcPts[PLAYER],0)),"")</f>
        <v>6</v>
      </c>
      <c r="AH5" s="100">
        <f>VLOOKUP(TableWRRanks3242[[#This Row],[Player]],WR!B:O,4,FALSE)</f>
        <v>10.987722675575707</v>
      </c>
      <c r="AI5" s="100">
        <f>VLOOKUP(TableWRRanks3242[[#This Row],[Player]],WR!B:O,5,FALSE)</f>
        <v>2.6346927574275147E-2</v>
      </c>
      <c r="AJ5" s="100">
        <f>VLOOKUP(TableWRRanks3242[[#This Row],[Player]],WR!B:O,6,FALSE)</f>
        <v>172.69677599999994</v>
      </c>
      <c r="AK5" s="100">
        <f>VLOOKUP(TableWRRanks3242[[#This Row],[Player]],WR!B:O,7,FALSE)</f>
        <v>120.54234964799996</v>
      </c>
      <c r="AL5" s="100">
        <f>VLOOKUP(TableWRRanks3242[[#This Row],[Player]],WR!B:O,8,FALSE)</f>
        <v>1423.6051493428795</v>
      </c>
      <c r="AM5" s="100">
        <f>VLOOKUP(TableWRRanks3242[[#This Row],[Player]],WR!B:O,9,FALSE)</f>
        <v>9.8844726711359971</v>
      </c>
      <c r="AN5" s="95">
        <f>VLOOKUP(TableWRRanks3242[[#This Row],[Player]],WR!B:O,13,FALSE)</f>
        <v>263.19537961810715</v>
      </c>
      <c r="AO5" s="140">
        <f>IF(VLOOKUP(TableWRRanks3242[[#This Row],[Player]],'Ranks w Proj'!$AE:$AO,11,FALSE)&lt;0,0,VLOOKUP(TableWRRanks3242[[#This Row],[Player]],'Ranks w Proj'!$AE:$AO,11,FALSE))</f>
        <v>32.486241881781815</v>
      </c>
      <c r="AQ5" s="58">
        <v>4</v>
      </c>
      <c r="AR5" s="58" t="str">
        <f>VLOOKUP(TableTERanks3343[[#This Row],[RK]],Rankings!A:T,18,FALSE)</f>
        <v>Tyler Warren</v>
      </c>
      <c r="AS5" s="58" t="str">
        <f>IFERROR(INDEX(TableTECalcPts[TM],MATCH(TableTERanks3343[[#This Row],[Player]],TableTECalcPts[PLAYER],0)),"")</f>
        <v>IND</v>
      </c>
      <c r="AT5" s="58">
        <f>IFERROR(INDEX(TableTECalcPts[BYE],MATCH(TableTERanks3343[[#This Row],[Player]],TableTECalcPts[PLAYER],0)),"")</f>
        <v>13</v>
      </c>
      <c r="AU5" s="100">
        <f>VLOOKUP(TableTERanks3343[[#This Row],[Player]],TE!B:O,4,FALSE)</f>
        <v>118.63346879999999</v>
      </c>
      <c r="AV5" s="100">
        <f>VLOOKUP(TableTERanks3343[[#This Row],[Player]],TE!B:O,5,FALSE)</f>
        <v>87.076966099199993</v>
      </c>
      <c r="AW5" s="100">
        <f>VLOOKUP(TableTERanks3343[[#This Row],[Player]],TE!B:O,6,FALSE)</f>
        <v>902.98813844870381</v>
      </c>
      <c r="AX5" s="100">
        <f>VLOOKUP(TableTERanks3343[[#This Row],[Player]],TE!B:O,7,FALSE)</f>
        <v>5.7470797625471999</v>
      </c>
      <c r="AY5" s="95">
        <f>VLOOKUP(TableTERanks3343[[#This Row],[Player]],TE!B:O,11,FALSE)</f>
        <v>168.31977546975355</v>
      </c>
      <c r="AZ5" s="140">
        <f>IF(VLOOKUP(TableTERanks3343[[#This Row],[Player]],'Ranks w Proj'!$AR:$AZ,9,FALSE)&lt;0,0,VLOOKUP(TableTERanks3343[[#This Row],[Player]],'Ranks w Proj'!$AR:$AZ,9,FALSE))</f>
        <v>16.990572589888863</v>
      </c>
    </row>
    <row r="6" spans="1:52" x14ac:dyDescent="0.25">
      <c r="A6" s="58">
        <v>5</v>
      </c>
      <c r="B6" s="58" t="str">
        <f>VLOOKUP(TableQBRanks3040[[#This Row],[RK]],Rankings!A:T,3,FALSE)</f>
        <v>Joe Burrow</v>
      </c>
      <c r="C6" s="58" t="str">
        <f>IFERROR(INDEX(TableQBCalcPts[TM],MATCH(TableQBRanks3040[[#This Row],[Player]],TableQBCalcPts[PLAYER],0)),"")</f>
        <v>CIN</v>
      </c>
      <c r="D6" s="58">
        <f>IFERROR(INDEX(TableQBCalcPts[BYE],MATCH(TableQBRanks3040[[#This Row],[Player]],TableQBCalcPts[PLAYER],0)),"")</f>
        <v>6</v>
      </c>
      <c r="E6" s="100">
        <f>VLOOKUP(TableQBRanks3040[[#This Row],[Player]],QB!B:O,4,FALSE)</f>
        <v>613.34375</v>
      </c>
      <c r="F6" s="100">
        <f>VLOOKUP(TableQBRanks3040[[#This Row],[Player]],QB!B:O,5,FALSE)</f>
        <v>419.80440510814873</v>
      </c>
      <c r="G6" s="100">
        <f>VLOOKUP(TableQBRanks3040[[#This Row],[Player]],QB!B:O,6,FALSE)</f>
        <v>4542.2836632701692</v>
      </c>
      <c r="H6" s="100">
        <f>VLOOKUP(TableQBRanks3040[[#This Row],[Player]],QB!B:O,7,FALSE)</f>
        <v>36.103178839300789</v>
      </c>
      <c r="I6" s="100">
        <f>VLOOKUP(TableQBRanks3040[[#This Row],[Player]],QB!B:O,8,FALSE)</f>
        <v>11.04144846541895</v>
      </c>
      <c r="J6" s="100">
        <f>VLOOKUP(TableQBRanks3040[[#This Row],[Player]],QB!B:O,9,FALSE)</f>
        <v>37.203494999999997</v>
      </c>
      <c r="K6" s="100">
        <f>VLOOKUP(TableQBRanks3040[[#This Row],[Player]],QB!B:O,10,FALSE)</f>
        <v>131.04229460580694</v>
      </c>
      <c r="L6" s="100">
        <f>VLOOKUP(TableQBRanks3040[[#This Row],[Player]],QB!B:O,11,FALSE)</f>
        <v>1.078901355</v>
      </c>
      <c r="M6" s="95">
        <f>VLOOKUP(TableQBRanks3040[[#This Row],[Player]],QB!B:O,13,FALSE)</f>
        <v>448.82704920258811</v>
      </c>
      <c r="N6" s="140">
        <f>IF(VLOOKUP(TableQBRanks3040[[#This Row],[Player]],'Ranks w Proj'!$B:$N,13,FALSE)&lt;0,0,VLOOKUP(TableQBRanks3040[[#This Row],[Player]],'Ranks w Proj'!$B:$N,13,FALSE))</f>
        <v>35.720992523403901</v>
      </c>
      <c r="P6" s="58">
        <v>5</v>
      </c>
      <c r="Q6" s="58" t="str">
        <f>VLOOKUP(TableRBRanks3141[[#This Row],[RK]],Rankings!A:T,8,FALSE)</f>
        <v>James Cook</v>
      </c>
      <c r="R6" s="58" t="str">
        <f>IFERROR(INDEX(TableRBCalcPts[TM],MATCH(TableRBRanks3141[[#This Row],[Player]],TableRBCalcPts[PLAYER],0)),"")</f>
        <v>BUF</v>
      </c>
      <c r="S6" s="58">
        <f>IFERROR(INDEX(TableRBCalcPts[BYE],MATCH(TableRBRanks3141[[#This Row],[Player]],TableRBCalcPts[PLAYER],0)),"")</f>
        <v>7</v>
      </c>
      <c r="T6" s="100">
        <f>VLOOKUP(TableRBRanks3141[[#This Row],[Player]],RB!B:O,4,FALSE)</f>
        <v>275.25126719999997</v>
      </c>
      <c r="U6" s="100">
        <f>VLOOKUP(TableRBRanks3141[[#This Row],[Player]],RB!B:O,5,FALSE)</f>
        <v>1356.9887472959997</v>
      </c>
      <c r="V6" s="100">
        <f>VLOOKUP(TableRBRanks3141[[#This Row],[Player]],RB!B:O,6,FALSE)</f>
        <v>9.9643321198835419</v>
      </c>
      <c r="W6" s="100">
        <f>VLOOKUP(TableRBRanks3141[[#This Row],[Player]],RB!B:O,7,FALSE)</f>
        <v>45.968075999999989</v>
      </c>
      <c r="X6" s="100">
        <f>VLOOKUP(TableRBRanks3141[[#This Row],[Player]],RB!B:O,8,FALSE)</f>
        <v>34.768849644722884</v>
      </c>
      <c r="Y6" s="100">
        <f>VLOOKUP(TableRBRanks3141[[#This Row],[Player]],RB!B:O,9,FALSE)</f>
        <v>281.62768212225535</v>
      </c>
      <c r="Z6" s="100">
        <f>VLOOKUP(TableRBRanks3141[[#This Row],[Player]],RB!B:O,10,FALSE)</f>
        <v>1.9945345104578305</v>
      </c>
      <c r="AA6" s="95">
        <f>VLOOKUP(TableRBRanks3141[[#This Row],[Player]],RB!B:O,14,FALSE)</f>
        <v>252.99926754623516</v>
      </c>
      <c r="AB6" s="140">
        <f>IF(VLOOKUP(TableRBRanks3141[[#This Row],[Player]],'Ranks w Proj'!$Q:$AB,12,FALSE)&lt;0,0,VLOOKUP(TableRBRanks3141[[#This Row],[Player]],'Ranks w Proj'!$Q:$AB,12,FALSE))</f>
        <v>22.393791680994408</v>
      </c>
      <c r="AD6" s="58">
        <v>5</v>
      </c>
      <c r="AE6" s="58" t="str">
        <f>VLOOKUP(TableWRRanks3242[[#This Row],[RK]],Rankings!A:T,13,FALSE)</f>
        <v>Justin Jefferson</v>
      </c>
      <c r="AF6" s="58" t="str">
        <f>IFERROR(INDEX(TableWRCalcPts[TM],MATCH(TableWRRanks3242[[#This Row],[Player]],TableWRCalcPts[PLAYER],0)),"")</f>
        <v>MIN</v>
      </c>
      <c r="AG6" s="58">
        <f>IFERROR(INDEX(TableWRCalcPts[BYE],MATCH(TableWRRanks3242[[#This Row],[Player]],TableWRCalcPts[PLAYER],0)),"")</f>
        <v>6</v>
      </c>
      <c r="AH6" s="100">
        <f>VLOOKUP(TableWRRanks3242[[#This Row],[Player]],WR!B:O,4,FALSE)</f>
        <v>0</v>
      </c>
      <c r="AI6" s="100">
        <f>VLOOKUP(TableWRRanks3242[[#This Row],[Player]],WR!B:O,5,FALSE)</f>
        <v>0</v>
      </c>
      <c r="AJ6" s="100">
        <f>VLOOKUP(TableWRRanks3242[[#This Row],[Player]],WR!B:O,6,FALSE)</f>
        <v>152.61732863999998</v>
      </c>
      <c r="AK6" s="100">
        <f>VLOOKUP(TableWRRanks3242[[#This Row],[Player]],WR!B:O,7,FALSE)</f>
        <v>101.33790621695999</v>
      </c>
      <c r="AL6" s="100">
        <f>VLOOKUP(TableWRRanks3242[[#This Row],[Player]],WR!B:O,8,FALSE)</f>
        <v>1263.6836905254911</v>
      </c>
      <c r="AM6" s="100">
        <f>VLOOKUP(TableWRRanks3242[[#This Row],[Player]],WR!B:O,9,FALSE)</f>
        <v>7.7016808724889589</v>
      </c>
      <c r="AN6" s="95">
        <f>VLOOKUP(TableWRRanks3242[[#This Row],[Player]],WR!B:O,13,FALSE)</f>
        <v>223.24740739596288</v>
      </c>
      <c r="AO6" s="140">
        <f>IF(VLOOKUP(TableWRRanks3242[[#This Row],[Player]],'Ranks w Proj'!$AE:$AO,11,FALSE)&lt;0,0,VLOOKUP(TableWRRanks3242[[#This Row],[Player]],'Ranks w Proj'!$AE:$AO,11,FALSE))</f>
        <v>24.980889240552571</v>
      </c>
      <c r="AQ6" s="58">
        <v>5</v>
      </c>
      <c r="AR6" s="58" t="str">
        <f>VLOOKUP(TableTERanks3343[[#This Row],[RK]],Rankings!A:T,18,FALSE)</f>
        <v>Tucker Kraft</v>
      </c>
      <c r="AS6" s="58" t="str">
        <f>IFERROR(INDEX(TableTECalcPts[TM],MATCH(TableTERanks3343[[#This Row],[Player]],TableTECalcPts[PLAYER],0)),"")</f>
        <v>GB</v>
      </c>
      <c r="AT6" s="58">
        <f>IFERROR(INDEX(TableTECalcPts[BYE],MATCH(TableTERanks3343[[#This Row],[Player]],TableTECalcPts[PLAYER],0)),"")</f>
        <v>11</v>
      </c>
      <c r="AU6" s="100">
        <f>VLOOKUP(TableTERanks3343[[#This Row],[Player]],TE!B:O,4,FALSE)</f>
        <v>92.354636623115567</v>
      </c>
      <c r="AV6" s="100">
        <f>VLOOKUP(TableTERanks3343[[#This Row],[Player]],TE!B:O,5,FALSE)</f>
        <v>66.144135726810134</v>
      </c>
      <c r="AW6" s="100">
        <f>VLOOKUP(TableTERanks3343[[#This Row],[Player]],TE!B:O,6,FALSE)</f>
        <v>815.55719351156893</v>
      </c>
      <c r="AX6" s="100">
        <f>VLOOKUP(TableTERanks3343[[#This Row],[Player]],TE!B:O,7,FALSE)</f>
        <v>6.4159811655005834</v>
      </c>
      <c r="AY6" s="95">
        <f>VLOOKUP(TableTERanks3343[[#This Row],[Player]],TE!B:O,11,FALSE)</f>
        <v>153.12367420756547</v>
      </c>
      <c r="AZ6" s="140">
        <f>IF(VLOOKUP(TableTERanks3343[[#This Row],[Player]],'Ranks w Proj'!$AR:$AZ,9,FALSE)&lt;0,0,VLOOKUP(TableTERanks3343[[#This Row],[Player]],'Ranks w Proj'!$AR:$AZ,9,FALSE))</f>
        <v>14.135556617855913</v>
      </c>
    </row>
    <row r="7" spans="1:52" x14ac:dyDescent="0.25">
      <c r="A7" s="58">
        <v>6</v>
      </c>
      <c r="B7" s="58" t="str">
        <f>VLOOKUP(TableQBRanks3040[[#This Row],[RK]],Rankings!A:T,3,FALSE)</f>
        <v>Jalen Hurts</v>
      </c>
      <c r="C7" s="58" t="str">
        <f>IFERROR(INDEX(TableQBCalcPts[TM],MATCH(TableQBRanks3040[[#This Row],[Player]],TableQBCalcPts[PLAYER],0)),"")</f>
        <v>PHI</v>
      </c>
      <c r="D7" s="58">
        <f>IFERROR(INDEX(TableQBCalcPts[BYE],MATCH(TableQBRanks3040[[#This Row],[Player]],TableQBCalcPts[PLAYER],0)),"")</f>
        <v>10</v>
      </c>
      <c r="E7" s="100">
        <f>VLOOKUP(TableQBRanks3040[[#This Row],[Player]],QB!B:O,4,FALSE)</f>
        <v>480.31367999999998</v>
      </c>
      <c r="F7" s="100">
        <f>VLOOKUP(TableQBRanks3040[[#This Row],[Player]],QB!B:O,5,FALSE)</f>
        <v>315.3586330461053</v>
      </c>
      <c r="G7" s="100">
        <f>VLOOKUP(TableQBRanks3040[[#This Row],[Player]],QB!B:O,6,FALSE)</f>
        <v>3538.3238627773017</v>
      </c>
      <c r="H7" s="100">
        <f>VLOOKUP(TableQBRanks3040[[#This Row],[Player]],QB!B:O,7,FALSE)</f>
        <v>24.913332010642318</v>
      </c>
      <c r="I7" s="100">
        <f>VLOOKUP(TableQBRanks3040[[#This Row],[Player]],QB!B:O,8,FALSE)</f>
        <v>8.0550783346701191</v>
      </c>
      <c r="J7" s="100">
        <f>VLOOKUP(TableQBRanks3040[[#This Row],[Player]],QB!B:O,9,FALSE)</f>
        <v>108.73328928000001</v>
      </c>
      <c r="K7" s="100">
        <f>VLOOKUP(TableQBRanks3040[[#This Row],[Player]],QB!B:O,10,FALSE)</f>
        <v>444.46017109093691</v>
      </c>
      <c r="L7" s="100">
        <f>VLOOKUP(TableQBRanks3040[[#This Row],[Player]],QB!B:O,11,FALSE)</f>
        <v>8.8073964316800009</v>
      </c>
      <c r="M7" s="95">
        <f>VLOOKUP(TableQBRanks3040[[#This Row],[Player]],QB!B:O,13,FALSE)</f>
        <v>411.78412724406013</v>
      </c>
      <c r="N7" s="140">
        <f>IF(VLOOKUP(TableQBRanks3040[[#This Row],[Player]],'Ranks w Proj'!$B:$N,13,FALSE)&lt;0,0,VLOOKUP(TableQBRanks3040[[#This Row],[Player]],'Ranks w Proj'!$B:$N,13,FALSE))</f>
        <v>22.694225670429237</v>
      </c>
      <c r="P7" s="58">
        <v>6</v>
      </c>
      <c r="Q7" s="58" t="str">
        <f>VLOOKUP(TableRBRanks3141[[#This Row],[RK]],Rankings!A:T,8,FALSE)</f>
        <v>Chase Brown</v>
      </c>
      <c r="R7" s="58" t="str">
        <f>IFERROR(INDEX(TableRBCalcPts[TM],MATCH(TableRBRanks3141[[#This Row],[Player]],TableRBCalcPts[PLAYER],0)),"")</f>
        <v>CIN</v>
      </c>
      <c r="S7" s="58">
        <f>IFERROR(INDEX(TableRBCalcPts[BYE],MATCH(TableRBRanks3141[[#This Row],[Player]],TableRBCalcPts[PLAYER],0)),"")</f>
        <v>6</v>
      </c>
      <c r="T7" s="100">
        <f>VLOOKUP(TableRBRanks3141[[#This Row],[Player]],RB!B:O,4,FALSE)</f>
        <v>230.81351999999998</v>
      </c>
      <c r="U7" s="100">
        <f>VLOOKUP(TableRBRanks3141[[#This Row],[Player]],RB!B:O,5,FALSE)</f>
        <v>1010.9632175999999</v>
      </c>
      <c r="V7" s="100">
        <f>VLOOKUP(TableRBRanks3141[[#This Row],[Player]],RB!B:O,6,FALSE)</f>
        <v>6.6935920800000002</v>
      </c>
      <c r="W7" s="100">
        <f>VLOOKUP(TableRBRanks3141[[#This Row],[Player]],RB!B:O,7,FALSE)</f>
        <v>85.416187500000007</v>
      </c>
      <c r="X7" s="100">
        <f>VLOOKUP(TableRBRanks3141[[#This Row],[Player]],RB!B:O,8,FALSE)</f>
        <v>71.363433367549675</v>
      </c>
      <c r="Y7" s="100">
        <f>VLOOKUP(TableRBRanks3141[[#This Row],[Player]],RB!B:O,9,FALSE)</f>
        <v>490.7282533733445</v>
      </c>
      <c r="Z7" s="100">
        <f>VLOOKUP(TableRBRanks3141[[#This Row],[Player]],RB!B:O,10,FALSE)</f>
        <v>3.7786763741721856</v>
      </c>
      <c r="AA7" s="95">
        <f>VLOOKUP(TableRBRanks3141[[#This Row],[Player]],RB!B:O,14,FALSE)</f>
        <v>248.68447450614235</v>
      </c>
      <c r="AB7" s="140">
        <f>IF(VLOOKUP(TableRBRanks3141[[#This Row],[Player]],'Ranks w Proj'!$Q:$AB,12,FALSE)&lt;0,0,VLOOKUP(TableRBRanks3141[[#This Row],[Player]],'Ranks w Proj'!$Q:$AB,12,FALSE))</f>
        <v>21.745267282114074</v>
      </c>
      <c r="AD7" s="58">
        <v>6</v>
      </c>
      <c r="AE7" s="58" t="str">
        <f>VLOOKUP(TableWRRanks3242[[#This Row],[RK]],Rankings!A:T,13,FALSE)</f>
        <v>A.J. Brown</v>
      </c>
      <c r="AF7" s="58" t="str">
        <f>IFERROR(INDEX(TableWRCalcPts[TM],MATCH(TableWRRanks3242[[#This Row],[Player]],TableWRCalcPts[PLAYER],0)),"")</f>
        <v>NE</v>
      </c>
      <c r="AG7" s="58">
        <f>IFERROR(INDEX(TableWRCalcPts[BYE],MATCH(TableWRRanks3242[[#This Row],[Player]],TableWRCalcPts[PLAYER],0)),"")</f>
        <v>11</v>
      </c>
      <c r="AH7" s="100">
        <f>VLOOKUP(TableWRRanks3242[[#This Row],[Player]],WR!B:O,4,FALSE)</f>
        <v>0</v>
      </c>
      <c r="AI7" s="100">
        <f>VLOOKUP(TableWRRanks3242[[#This Row],[Player]],WR!B:O,5,FALSE)</f>
        <v>0</v>
      </c>
      <c r="AJ7" s="100">
        <f>VLOOKUP(TableWRRanks3242[[#This Row],[Player]],WR!B:O,6,FALSE)</f>
        <v>134.16343079999993</v>
      </c>
      <c r="AK7" s="100">
        <f>VLOOKUP(TableWRRanks3242[[#This Row],[Player]],WR!B:O,7,FALSE)</f>
        <v>85.462105419599951</v>
      </c>
      <c r="AL7" s="100">
        <f>VLOOKUP(TableWRRanks3242[[#This Row],[Player]],WR!B:O,8,FALSE)</f>
        <v>1244.3282549093753</v>
      </c>
      <c r="AM7" s="100">
        <f>VLOOKUP(TableWRRanks3242[[#This Row],[Player]],WR!B:O,9,FALSE)</f>
        <v>8.9735210690579947</v>
      </c>
      <c r="AN7" s="95">
        <f>VLOOKUP(TableWRRanks3242[[#This Row],[Player]],WR!B:O,13,FALSE)</f>
        <v>221.00500461508548</v>
      </c>
      <c r="AO7" s="140">
        <f>IF(VLOOKUP(TableWRRanks3242[[#This Row],[Player]],'Ranks w Proj'!$AE:$AO,11,FALSE)&lt;0,0,VLOOKUP(TableWRRanks3242[[#This Row],[Player]],'Ranks w Proj'!$AE:$AO,11,FALSE))</f>
        <v>24.559590668986313</v>
      </c>
      <c r="AQ7" s="58">
        <v>6</v>
      </c>
      <c r="AR7" s="58" t="str">
        <f>VLOOKUP(TableTERanks3343[[#This Row],[RK]],Rankings!A:T,18,FALSE)</f>
        <v>George Kittle</v>
      </c>
      <c r="AS7" s="58" t="str">
        <f>IFERROR(INDEX(TableTECalcPts[TM],MATCH(TableTERanks3343[[#This Row],[Player]],TableTECalcPts[PLAYER],0)),"")</f>
        <v>SF</v>
      </c>
      <c r="AT7" s="58">
        <f>IFERROR(INDEX(TableTECalcPts[BYE],MATCH(TableTERanks3343[[#This Row],[Player]],TableTECalcPts[PLAYER],0)),"")</f>
        <v>8</v>
      </c>
      <c r="AU7" s="100">
        <f>VLOOKUP(TableTERanks3343[[#This Row],[Player]],TE!B:O,4,FALSE)</f>
        <v>86.967457920000015</v>
      </c>
      <c r="AV7" s="100">
        <f>VLOOKUP(TableTERanks3343[[#This Row],[Player]],TE!B:O,5,FALSE)</f>
        <v>67.834617177600009</v>
      </c>
      <c r="AW7" s="100">
        <f>VLOOKUP(TableTERanks3343[[#This Row],[Player]],TE!B:O,6,FALSE)</f>
        <v>796.37840566502416</v>
      </c>
      <c r="AX7" s="100">
        <f>VLOOKUP(TableTERanks3343[[#This Row],[Player]],TE!B:O,7,FALSE)</f>
        <v>6.9191309521152009</v>
      </c>
      <c r="AY7" s="95">
        <f>VLOOKUP(TableTERanks3343[[#This Row],[Player]],TE!B:O,11,FALSE)</f>
        <v>155.06993486799362</v>
      </c>
      <c r="AZ7" s="140">
        <f>IF(VLOOKUP(TableTERanks3343[[#This Row],[Player]],'Ranks w Proj'!$AR:$AZ,9,FALSE)&lt;0,0,VLOOKUP(TableTERanks3343[[#This Row],[Player]],'Ranks w Proj'!$AR:$AZ,9,FALSE))</f>
        <v>14.501216544398261</v>
      </c>
    </row>
    <row r="8" spans="1:52" x14ac:dyDescent="0.25">
      <c r="A8" s="58">
        <v>7</v>
      </c>
      <c r="B8" s="58" t="str">
        <f>VLOOKUP(TableQBRanks3040[[#This Row],[RK]],Rankings!A:T,3,FALSE)</f>
        <v>Dak Prescott</v>
      </c>
      <c r="C8" s="58" t="str">
        <f>IFERROR(INDEX(TableQBCalcPts[TM],MATCH(TableQBRanks3040[[#This Row],[Player]],TableQBCalcPts[PLAYER],0)),"")</f>
        <v>DAL</v>
      </c>
      <c r="D8" s="58">
        <f>IFERROR(INDEX(TableQBCalcPts[BYE],MATCH(TableQBRanks3040[[#This Row],[Player]],TableQBCalcPts[PLAYER],0)),"")</f>
        <v>14</v>
      </c>
      <c r="E8" s="100">
        <f>VLOOKUP(TableQBRanks3040[[#This Row],[Player]],QB!B:O,4,FALSE)</f>
        <v>602.76369999999997</v>
      </c>
      <c r="F8" s="100">
        <f>VLOOKUP(TableQBRanks3040[[#This Row],[Player]],QB!B:O,5,FALSE)</f>
        <v>405.58246881758657</v>
      </c>
      <c r="G8" s="100">
        <f>VLOOKUP(TableQBRanks3040[[#This Row],[Player]],QB!B:O,6,FALSE)</f>
        <v>4542.5236507569689</v>
      </c>
      <c r="H8" s="100">
        <f>VLOOKUP(TableQBRanks3040[[#This Row],[Player]],QB!B:O,7,FALSE)</f>
        <v>31.229850098954167</v>
      </c>
      <c r="I8" s="100">
        <f>VLOOKUP(TableQBRanks3040[[#This Row],[Player]],QB!B:O,8,FALSE)</f>
        <v>12.267773740200933</v>
      </c>
      <c r="J8" s="100">
        <f>VLOOKUP(TableQBRanks3040[[#This Row],[Player]],QB!B:O,9,FALSE)</f>
        <v>46.131584100000005</v>
      </c>
      <c r="K8" s="100">
        <f>VLOOKUP(TableQBRanks3040[[#This Row],[Player]],QB!B:O,10,FALSE)</f>
        <v>168.88968348237614</v>
      </c>
      <c r="L8" s="100">
        <f>VLOOKUP(TableQBRanks3040[[#This Row],[Player]],QB!B:O,11,FALSE)</f>
        <v>1.6670136111378264</v>
      </c>
      <c r="M8" s="95">
        <f>VLOOKUP(TableQBRanks3040[[#This Row],[Player]],QB!B:O,13,FALSE)</f>
        <v>424.26156978062608</v>
      </c>
      <c r="N8" s="140">
        <f>IF(VLOOKUP(TableQBRanks3040[[#This Row],[Player]],'Ranks w Proj'!$B:$N,13,FALSE)&lt;0,0,VLOOKUP(TableQBRanks3040[[#This Row],[Player]],'Ranks w Proj'!$B:$N,13,FALSE))</f>
        <v>26.377587629938926</v>
      </c>
      <c r="P8" s="58">
        <v>7</v>
      </c>
      <c r="Q8" s="58" t="str">
        <f>VLOOKUP(TableRBRanks3141[[#This Row],[RK]],Rankings!A:T,8,FALSE)</f>
        <v>De'Von Achane</v>
      </c>
      <c r="R8" s="58" t="str">
        <f>IFERROR(INDEX(TableRBCalcPts[TM],MATCH(TableRBRanks3141[[#This Row],[Player]],TableRBCalcPts[PLAYER],0)),"")</f>
        <v>MIA</v>
      </c>
      <c r="S8" s="58">
        <f>IFERROR(INDEX(TableRBCalcPts[BYE],MATCH(TableRBRanks3141[[#This Row],[Player]],TableRBCalcPts[PLAYER],0)),"")</f>
        <v>6</v>
      </c>
      <c r="T8" s="100">
        <f>VLOOKUP(TableRBRanks3141[[#This Row],[Player]],RB!B:O,4,FALSE)</f>
        <v>251.27361063396268</v>
      </c>
      <c r="U8" s="100">
        <f>VLOOKUP(TableRBRanks3141[[#This Row],[Player]],RB!B:O,5,FALSE)</f>
        <v>1193.5496505113226</v>
      </c>
      <c r="V8" s="100">
        <f>VLOOKUP(TableRBRanks3141[[#This Row],[Player]],RB!B:O,6,FALSE)</f>
        <v>6.0305666552151047</v>
      </c>
      <c r="W8" s="100">
        <f>VLOOKUP(TableRBRanks3141[[#This Row],[Player]],RB!B:O,7,FALSE)</f>
        <v>78.79152959999999</v>
      </c>
      <c r="X8" s="100">
        <f>VLOOKUP(TableRBRanks3141[[#This Row],[Player]],RB!B:O,8,FALSE)</f>
        <v>61.772559206399997</v>
      </c>
      <c r="Y8" s="100">
        <f>VLOOKUP(TableRBRanks3141[[#This Row],[Player]],RB!B:O,9,FALSE)</f>
        <v>451.55740779878397</v>
      </c>
      <c r="Z8" s="100">
        <f>VLOOKUP(TableRBRanks3141[[#This Row],[Player]],RB!B:O,10,FALSE)</f>
        <v>2.9650828419071997</v>
      </c>
      <c r="AA8" s="95">
        <f>VLOOKUP(TableRBRanks3141[[#This Row],[Player]],RB!B:O,14,FALSE)</f>
        <v>249.37088241694448</v>
      </c>
      <c r="AB8" s="140">
        <f>IF(VLOOKUP(TableRBRanks3141[[#This Row],[Player]],'Ranks w Proj'!$Q:$AB,12,FALSE)&lt;0,0,VLOOKUP(TableRBRanks3141[[#This Row],[Player]],'Ranks w Proj'!$Q:$AB,12,FALSE))</f>
        <v>21.848436141802896</v>
      </c>
      <c r="AD8" s="58">
        <v>7</v>
      </c>
      <c r="AE8" s="58" t="str">
        <f>VLOOKUP(TableWRRanks3242[[#This Row],[RK]],Rankings!A:T,13,FALSE)</f>
        <v>Drake London</v>
      </c>
      <c r="AF8" s="58" t="str">
        <f>IFERROR(INDEX(TableWRCalcPts[TM],MATCH(TableWRRanks3242[[#This Row],[Player]],TableWRCalcPts[PLAYER],0)),"")</f>
        <v>ATL</v>
      </c>
      <c r="AG8" s="58">
        <f>IFERROR(INDEX(TableWRCalcPts[BYE],MATCH(TableWRRanks3242[[#This Row],[Player]],TableWRCalcPts[PLAYER],0)),"")</f>
        <v>11</v>
      </c>
      <c r="AH8" s="100">
        <f>VLOOKUP(TableWRRanks3242[[#This Row],[Player]],WR!B:O,4,FALSE)</f>
        <v>0</v>
      </c>
      <c r="AI8" s="100">
        <f>VLOOKUP(TableWRRanks3242[[#This Row],[Player]],WR!B:O,5,FALSE)</f>
        <v>0</v>
      </c>
      <c r="AJ8" s="100">
        <f>VLOOKUP(TableWRRanks3242[[#This Row],[Player]],WR!B:O,6,FALSE)</f>
        <v>158.37634764000006</v>
      </c>
      <c r="AK8" s="100">
        <f>VLOOKUP(TableWRRanks3242[[#This Row],[Player]],WR!B:O,7,FALSE)</f>
        <v>101.04410979432004</v>
      </c>
      <c r="AL8" s="100">
        <f>VLOOKUP(TableWRRanks3242[[#This Row],[Player]],WR!B:O,8,FALSE)</f>
        <v>1316.60475061999</v>
      </c>
      <c r="AM8" s="100">
        <f>VLOOKUP(TableWRRanks3242[[#This Row],[Player]],WR!B:O,9,FALSE)</f>
        <v>7.7803964541626423</v>
      </c>
      <c r="AN8" s="95">
        <f>VLOOKUP(TableWRRanks3242[[#This Row],[Player]],WR!B:O,13,FALSE)</f>
        <v>228.86490868413486</v>
      </c>
      <c r="AO8" s="140">
        <f>IF(VLOOKUP(TableWRRanks3242[[#This Row],[Player]],'Ranks w Proj'!$AE:$AO,11,FALSE)&lt;0,0,VLOOKUP(TableWRRanks3242[[#This Row],[Player]],'Ranks w Proj'!$AE:$AO,11,FALSE))</f>
        <v>26.036295204485807</v>
      </c>
      <c r="AQ8" s="58">
        <v>7</v>
      </c>
      <c r="AR8" s="58" t="str">
        <f>VLOOKUP(TableTERanks3343[[#This Row],[RK]],Rankings!A:T,18,FALSE)</f>
        <v>Harold Fannin</v>
      </c>
      <c r="AS8" s="58" t="str">
        <f>IFERROR(INDEX(TableTECalcPts[TM],MATCH(TableTERanks3343[[#This Row],[Player]],TableTECalcPts[PLAYER],0)),"")</f>
        <v>CLE</v>
      </c>
      <c r="AT8" s="58">
        <f>IFERROR(INDEX(TableTECalcPts[BYE],MATCH(TableTERanks3343[[#This Row],[Player]],TableTECalcPts[PLAYER],0)),"")</f>
        <v>11</v>
      </c>
      <c r="AU8" s="100">
        <f>VLOOKUP(TableTERanks3343[[#This Row],[Player]],TE!B:O,4,FALSE)</f>
        <v>119.247282</v>
      </c>
      <c r="AV8" s="100">
        <f>VLOOKUP(TableTERanks3343[[#This Row],[Player]],TE!B:O,5,FALSE)</f>
        <v>77.987722427999998</v>
      </c>
      <c r="AW8" s="100">
        <f>VLOOKUP(TableTERanks3343[[#This Row],[Player]],TE!B:O,6,FALSE)</f>
        <v>822.62324703441573</v>
      </c>
      <c r="AX8" s="100">
        <f>VLOOKUP(TableTERanks3343[[#This Row],[Player]],TE!B:O,7,FALSE)</f>
        <v>5.4591405699600006</v>
      </c>
      <c r="AY8" s="95">
        <f>VLOOKUP(TableTERanks3343[[#This Row],[Player]],TE!B:O,11,FALSE)</f>
        <v>154.01102933720159</v>
      </c>
      <c r="AZ8" s="140">
        <f>IF(VLOOKUP(TableTERanks3343[[#This Row],[Player]],'Ranks w Proj'!$AR:$AZ,9,FALSE)&lt;0,0,VLOOKUP(TableTERanks3343[[#This Row],[Player]],'Ranks w Proj'!$AR:$AZ,9,FALSE))</f>
        <v>14.302271291854586</v>
      </c>
    </row>
    <row r="9" spans="1:52" x14ac:dyDescent="0.25">
      <c r="A9" s="58">
        <v>8</v>
      </c>
      <c r="B9" s="58" t="str">
        <f>VLOOKUP(TableQBRanks3040[[#This Row],[RK]],Rankings!A:T,3,FALSE)</f>
        <v>Jaxson Dart</v>
      </c>
      <c r="C9" s="58" t="str">
        <f>IFERROR(INDEX(TableQBCalcPts[TM],MATCH(TableQBRanks3040[[#This Row],[Player]],TableQBCalcPts[PLAYER],0)),"")</f>
        <v>NYG</v>
      </c>
      <c r="D9" s="58">
        <f>IFERROR(INDEX(TableQBCalcPts[BYE],MATCH(TableQBRanks3040[[#This Row],[Player]],TableQBCalcPts[PLAYER],0)),"")</f>
        <v>8</v>
      </c>
      <c r="E9" s="100">
        <f>VLOOKUP(TableQBRanks3040[[#This Row],[Player]],QB!B:O,4,FALSE)</f>
        <v>479.28354999999999</v>
      </c>
      <c r="F9" s="100">
        <f>VLOOKUP(TableQBRanks3040[[#This Row],[Player]],QB!B:O,5,FALSE)</f>
        <v>308.94051789906553</v>
      </c>
      <c r="G9" s="100">
        <f>VLOOKUP(TableQBRanks3040[[#This Row],[Player]],QB!B:O,6,FALSE)</f>
        <v>3355.0940243838513</v>
      </c>
      <c r="H9" s="100">
        <f>VLOOKUP(TableQBRanks3040[[#This Row],[Player]],QB!B:O,7,FALSE)</f>
        <v>22.243717288732718</v>
      </c>
      <c r="I9" s="100">
        <f>VLOOKUP(TableQBRanks3040[[#This Row],[Player]],QB!B:O,8,FALSE)</f>
        <v>8.4071869948781188</v>
      </c>
      <c r="J9" s="100">
        <f>VLOOKUP(TableQBRanks3040[[#This Row],[Player]],QB!B:O,9,FALSE)</f>
        <v>98.681278359999993</v>
      </c>
      <c r="K9" s="100">
        <f>VLOOKUP(TableQBRanks3040[[#This Row],[Player]],QB!B:O,10,FALSE)</f>
        <v>556.56240995039991</v>
      </c>
      <c r="L9" s="100">
        <f>VLOOKUP(TableQBRanks3040[[#This Row],[Player]],QB!B:O,11,FALSE)</f>
        <v>7.6971397120799994</v>
      </c>
      <c r="M9" s="95">
        <f>VLOOKUP(TableQBRanks3040[[#This Row],[Player]],QB!B:O,13,FALSE)</f>
        <v>391.99200877029875</v>
      </c>
      <c r="N9" s="140">
        <f>IF(VLOOKUP(TableQBRanks3040[[#This Row],[Player]],'Ranks w Proj'!$B:$N,13,FALSE)&lt;0,0,VLOOKUP(TableQBRanks3040[[#This Row],[Player]],'Ranks w Proj'!$B:$N,13,FALSE))</f>
        <v>18.062150228510593</v>
      </c>
      <c r="P9" s="58">
        <v>8</v>
      </c>
      <c r="Q9" s="58" t="str">
        <f>VLOOKUP(TableRBRanks3141[[#This Row],[RK]],Rankings!A:T,8,FALSE)</f>
        <v>Ashton Jeanty</v>
      </c>
      <c r="R9" s="58" t="str">
        <f>IFERROR(INDEX(TableRBCalcPts[TM],MATCH(TableRBRanks3141[[#This Row],[Player]],TableRBCalcPts[PLAYER],0)),"")</f>
        <v>LV</v>
      </c>
      <c r="S9" s="58">
        <f>IFERROR(INDEX(TableRBCalcPts[BYE],MATCH(TableRBRanks3141[[#This Row],[Player]],TableRBCalcPts[PLAYER],0)),"")</f>
        <v>13</v>
      </c>
      <c r="T9" s="100">
        <f>VLOOKUP(TableRBRanks3141[[#This Row],[Player]],RB!B:O,4,FALSE)</f>
        <v>275.88197951999996</v>
      </c>
      <c r="U9" s="100">
        <f>VLOOKUP(TableRBRanks3141[[#This Row],[Player]],RB!B:O,5,FALSE)</f>
        <v>1144.910215008</v>
      </c>
      <c r="V9" s="100">
        <f>VLOOKUP(TableRBRanks3141[[#This Row],[Player]],RB!B:O,6,FALSE)</f>
        <v>7.772515406074942</v>
      </c>
      <c r="W9" s="100">
        <f>VLOOKUP(TableRBRanks3141[[#This Row],[Player]],RB!B:O,7,FALSE)</f>
        <v>71.303279039999993</v>
      </c>
      <c r="X9" s="100">
        <f>VLOOKUP(TableRBRanks3141[[#This Row],[Player]],RB!B:O,8,FALSE)</f>
        <v>50.482721560319995</v>
      </c>
      <c r="Y9" s="100">
        <f>VLOOKUP(TableRBRanks3141[[#This Row],[Player]],RB!B:O,9,FALSE)</f>
        <v>351.86456927543037</v>
      </c>
      <c r="Z9" s="100">
        <f>VLOOKUP(TableRBRanks3141[[#This Row],[Player]],RB!B:O,10,FALSE)</f>
        <v>1.9183434192921598</v>
      </c>
      <c r="AA9" s="95">
        <f>VLOOKUP(TableRBRanks3141[[#This Row],[Player]],RB!B:O,14,FALSE)</f>
        <v>233.06399216070568</v>
      </c>
      <c r="AB9" s="140">
        <f>IF(VLOOKUP(TableRBRanks3141[[#This Row],[Player]],'Ranks w Proj'!$Q:$AB,12,FALSE)&lt;0,0,VLOOKUP(TableRBRanks3141[[#This Row],[Player]],'Ranks w Proj'!$Q:$AB,12,FALSE))</f>
        <v>19.39746894528415</v>
      </c>
      <c r="AD9" s="58">
        <v>8</v>
      </c>
      <c r="AE9" s="58" t="str">
        <f>VLOOKUP(TableWRRanks3242[[#This Row],[RK]],Rankings!A:T,13,FALSE)</f>
        <v>CeeDee Lamb</v>
      </c>
      <c r="AF9" s="58" t="str">
        <f>IFERROR(INDEX(TableWRCalcPts[TM],MATCH(TableWRRanks3242[[#This Row],[Player]],TableWRCalcPts[PLAYER],0)),"")</f>
        <v>DAL</v>
      </c>
      <c r="AG9" s="58">
        <f>IFERROR(INDEX(TableWRCalcPts[BYE],MATCH(TableWRRanks3242[[#This Row],[Player]],TableWRCalcPts[PLAYER],0)),"")</f>
        <v>14</v>
      </c>
      <c r="AH9" s="100">
        <f>VLOOKUP(TableWRRanks3242[[#This Row],[Player]],WR!B:O,4,FALSE)</f>
        <v>0</v>
      </c>
      <c r="AI9" s="100">
        <f>VLOOKUP(TableWRRanks3242[[#This Row],[Player]],WR!B:O,5,FALSE)</f>
        <v>0</v>
      </c>
      <c r="AJ9" s="100">
        <f>VLOOKUP(TableWRRanks3242[[#This Row],[Player]],WR!B:O,6,FALSE)</f>
        <v>154.30750719999998</v>
      </c>
      <c r="AK9" s="100">
        <f>VLOOKUP(TableWRRanks3242[[#This Row],[Player]],WR!B:O,7,FALSE)</f>
        <v>97.522344550399978</v>
      </c>
      <c r="AL9" s="100">
        <f>VLOOKUP(TableWRRanks3242[[#This Row],[Player]],WR!B:O,8,FALSE)</f>
        <v>1311.8247996280857</v>
      </c>
      <c r="AM9" s="100">
        <f>VLOOKUP(TableWRRanks3242[[#This Row],[Player]],WR!B:O,9,FALSE)</f>
        <v>7.2166534967295979</v>
      </c>
      <c r="AN9" s="95">
        <f>VLOOKUP(TableWRRanks3242[[#This Row],[Player]],WR!B:O,13,FALSE)</f>
        <v>223.24357321838613</v>
      </c>
      <c r="AO9" s="140">
        <f>IF(VLOOKUP(TableWRRanks3242[[#This Row],[Player]],'Ranks w Proj'!$AE:$AO,11,FALSE)&lt;0,0,VLOOKUP(TableWRRanks3242[[#This Row],[Player]],'Ranks w Proj'!$AE:$AO,11,FALSE))</f>
        <v>24.980168882216418</v>
      </c>
      <c r="AQ9" s="58">
        <v>8</v>
      </c>
      <c r="AR9" s="58" t="str">
        <f>VLOOKUP(TableTERanks3343[[#This Row],[RK]],Rankings!A:T,18,FALSE)</f>
        <v>Sam LaPorta</v>
      </c>
      <c r="AS9" s="58" t="str">
        <f>IFERROR(INDEX(TableTECalcPts[TM],MATCH(TableTERanks3343[[#This Row],[Player]],TableTECalcPts[PLAYER],0)),"")</f>
        <v>DET</v>
      </c>
      <c r="AT9" s="58">
        <f>IFERROR(INDEX(TableTECalcPts[BYE],MATCH(TableTERanks3343[[#This Row],[Player]],TableTECalcPts[PLAYER],0)),"")</f>
        <v>6</v>
      </c>
      <c r="AU9" s="100">
        <f>VLOOKUP(TableTERanks3343[[#This Row],[Player]],TE!B:O,4,FALSE)</f>
        <v>101.86182719999996</v>
      </c>
      <c r="AV9" s="100">
        <f>VLOOKUP(TableTERanks3343[[#This Row],[Player]],TE!B:O,5,FALSE)</f>
        <v>75.275890300799972</v>
      </c>
      <c r="AW9" s="100">
        <f>VLOOKUP(TableTERanks3343[[#This Row],[Player]],TE!B:O,6,FALSE)</f>
        <v>825.77651659977573</v>
      </c>
      <c r="AX9" s="100">
        <f>VLOOKUP(TableTERanks3343[[#This Row],[Player]],TE!B:O,7,FALSE)</f>
        <v>5.9467953337631982</v>
      </c>
      <c r="AY9" s="95">
        <f>VLOOKUP(TableTERanks3343[[#This Row],[Player]],TE!B:O,11,FALSE)</f>
        <v>155.89636881295675</v>
      </c>
      <c r="AZ9" s="140">
        <f>IF(VLOOKUP(TableTERanks3343[[#This Row],[Player]],'Ranks w Proj'!$AR:$AZ,9,FALSE)&lt;0,0,VLOOKUP(TableTERanks3343[[#This Row],[Player]],'Ranks w Proj'!$AR:$AZ,9,FALSE))</f>
        <v>14.656485456600825</v>
      </c>
    </row>
    <row r="10" spans="1:52" x14ac:dyDescent="0.25">
      <c r="A10" s="58">
        <v>9</v>
      </c>
      <c r="B10" s="58" t="str">
        <f>VLOOKUP(TableQBRanks3040[[#This Row],[RK]],Rankings!A:T,3,FALSE)</f>
        <v>Trevor Lawrence</v>
      </c>
      <c r="C10" s="58" t="str">
        <f>IFERROR(INDEX(TableQBCalcPts[TM],MATCH(TableQBRanks3040[[#This Row],[Player]],TableQBCalcPts[PLAYER],0)),"")</f>
        <v>JAX</v>
      </c>
      <c r="D10" s="58">
        <f>IFERROR(INDEX(TableQBCalcPts[BYE],MATCH(TableQBRanks3040[[#This Row],[Player]],TableQBCalcPts[PLAYER],0)),"")</f>
        <v>7</v>
      </c>
      <c r="E10" s="100">
        <f>VLOOKUP(TableQBRanks3040[[#This Row],[Player]],QB!B:O,4,FALSE)</f>
        <v>565.38405</v>
      </c>
      <c r="F10" s="100">
        <f>VLOOKUP(TableQBRanks3040[[#This Row],[Player]],QB!B:O,5,FALSE)</f>
        <v>348.84195884999997</v>
      </c>
      <c r="G10" s="100">
        <f>VLOOKUP(TableQBRanks3040[[#This Row],[Player]],QB!B:O,6,FALSE)</f>
        <v>4018.6593659519995</v>
      </c>
      <c r="H10" s="100">
        <f>VLOOKUP(TableQBRanks3040[[#This Row],[Player]],QB!B:O,7,FALSE)</f>
        <v>26.17068504618894</v>
      </c>
      <c r="I10" s="100">
        <f>VLOOKUP(TableQBRanks3040[[#This Row],[Player]],QB!B:O,8,FALSE)</f>
        <v>13.253447540661002</v>
      </c>
      <c r="J10" s="100">
        <f>VLOOKUP(TableQBRanks3040[[#This Row],[Player]],QB!B:O,9,FALSE)</f>
        <v>74.940732299999993</v>
      </c>
      <c r="K10" s="100">
        <f>VLOOKUP(TableQBRanks3040[[#This Row],[Player]],QB!B:O,10,FALSE)</f>
        <v>337.36719955313924</v>
      </c>
      <c r="L10" s="100">
        <f>VLOOKUP(TableQBRanks3040[[#This Row],[Player]],QB!B:O,11,FALSE)</f>
        <v>6.0402230233800003</v>
      </c>
      <c r="M10" s="95">
        <f>VLOOKUP(TableQBRanks3040[[#This Row],[Player]],QB!B:O,13,FALSE)</f>
        <v>409.37929135514651</v>
      </c>
      <c r="N10" s="140">
        <f>IF(VLOOKUP(TableQBRanks3040[[#This Row],[Player]],'Ranks w Proj'!$B:$N,13,FALSE)&lt;0,0,VLOOKUP(TableQBRanks3040[[#This Row],[Player]],'Ranks w Proj'!$B:$N,13,FALSE))</f>
        <v>22.23405575955822</v>
      </c>
      <c r="P10" s="58">
        <v>9</v>
      </c>
      <c r="Q10" s="58" t="str">
        <f>VLOOKUP(TableRBRanks3141[[#This Row],[RK]],Rankings!A:T,8,FALSE)</f>
        <v>Derrick Henry</v>
      </c>
      <c r="R10" s="58" t="str">
        <f>IFERROR(INDEX(TableRBCalcPts[TM],MATCH(TableRBRanks3141[[#This Row],[Player]],TableRBCalcPts[PLAYER],0)),"")</f>
        <v>BAL</v>
      </c>
      <c r="S10" s="58">
        <f>IFERROR(INDEX(TableRBCalcPts[BYE],MATCH(TableRBRanks3141[[#This Row],[Player]],TableRBCalcPts[PLAYER],0)),"")</f>
        <v>13</v>
      </c>
      <c r="T10" s="100">
        <f>VLOOKUP(TableRBRanks3141[[#This Row],[Player]],RB!B:O,4,FALSE)</f>
        <v>281.9247546543528</v>
      </c>
      <c r="U10" s="100">
        <f>VLOOKUP(TableRBRanks3141[[#This Row],[Player]],RB!B:O,5,FALSE)</f>
        <v>1413.2204856259643</v>
      </c>
      <c r="V10" s="100">
        <f>VLOOKUP(TableRBRanks3141[[#This Row],[Player]],RB!B:O,6,FALSE)</f>
        <v>11.113038933805319</v>
      </c>
      <c r="W10" s="100">
        <f>VLOOKUP(TableRBRanks3141[[#This Row],[Player]],RB!B:O,7,FALSE)</f>
        <v>25.847852799999995</v>
      </c>
      <c r="X10" s="100">
        <f>VLOOKUP(TableRBRanks3141[[#This Row],[Player]],RB!B:O,8,FALSE)</f>
        <v>18.452265156863994</v>
      </c>
      <c r="Y10" s="100">
        <f>VLOOKUP(TableRBRanks3141[[#This Row],[Player]],RB!B:O,9,FALSE)</f>
        <v>177.21666981521065</v>
      </c>
      <c r="Z10" s="100">
        <f>VLOOKUP(TableRBRanks3141[[#This Row],[Player]],RB!B:O,10,FALSE)</f>
        <v>0.97797005331379172</v>
      </c>
      <c r="AA10" s="95">
        <f>VLOOKUP(TableRBRanks3141[[#This Row],[Player]],RB!B:O,14,FALSE)</f>
        <v>240.81590204526415</v>
      </c>
      <c r="AB10" s="140">
        <f>IF(VLOOKUP(TableRBRanks3141[[#This Row],[Player]],'Ranks w Proj'!$Q:$AB,12,FALSE)&lt;0,0,VLOOKUP(TableRBRanks3141[[#This Row],[Player]],'Ranks w Proj'!$Q:$AB,12,FALSE))</f>
        <v>20.562600772313726</v>
      </c>
      <c r="AD10" s="58">
        <v>9</v>
      </c>
      <c r="AE10" s="58" t="str">
        <f>VLOOKUP(TableWRRanks3242[[#This Row],[RK]],Rankings!A:T,13,FALSE)</f>
        <v>George Pickens</v>
      </c>
      <c r="AF10" s="58" t="str">
        <f>IFERROR(INDEX(TableWRCalcPts[TM],MATCH(TableWRRanks3242[[#This Row],[Player]],TableWRCalcPts[PLAYER],0)),"")</f>
        <v>DAL</v>
      </c>
      <c r="AG10" s="58">
        <f>IFERROR(INDEX(TableWRCalcPts[BYE],MATCH(TableWRRanks3242[[#This Row],[Player]],TableWRCalcPts[PLAYER],0)),"")</f>
        <v>14</v>
      </c>
      <c r="AH10" s="100">
        <f>VLOOKUP(TableWRRanks3242[[#This Row],[Player]],WR!B:O,4,FALSE)</f>
        <v>0</v>
      </c>
      <c r="AI10" s="100">
        <f>VLOOKUP(TableWRRanks3242[[#This Row],[Player]],WR!B:O,5,FALSE)</f>
        <v>0</v>
      </c>
      <c r="AJ10" s="100">
        <f>VLOOKUP(TableWRRanks3242[[#This Row],[Player]],WR!B:O,6,FALSE)</f>
        <v>139.23841469999999</v>
      </c>
      <c r="AK10" s="100">
        <f>VLOOKUP(TableWRRanks3242[[#This Row],[Player]],WR!B:O,7,FALSE)</f>
        <v>91.758115287300001</v>
      </c>
      <c r="AL10" s="100">
        <f>VLOOKUP(TableWRRanks3242[[#This Row],[Player]],WR!B:O,8,FALSE)</f>
        <v>1343.3095698179657</v>
      </c>
      <c r="AM10" s="100">
        <f>VLOOKUP(TableWRRanks3242[[#This Row],[Player]],WR!B:O,9,FALSE)</f>
        <v>8.7170209522935007</v>
      </c>
      <c r="AN10" s="95">
        <f>VLOOKUP(TableWRRanks3242[[#This Row],[Player]],WR!B:O,13,FALSE)</f>
        <v>232.51214033920755</v>
      </c>
      <c r="AO10" s="140">
        <f>IF(VLOOKUP(TableWRRanks3242[[#This Row],[Player]],'Ranks w Proj'!$AE:$AO,11,FALSE)&lt;0,0,VLOOKUP(TableWRRanks3242[[#This Row],[Player]],'Ranks w Proj'!$AE:$AO,11,FALSE))</f>
        <v>26.721530479591976</v>
      </c>
      <c r="AQ10" s="58">
        <v>9</v>
      </c>
      <c r="AR10" s="58" t="str">
        <f>VLOOKUP(TableTERanks3343[[#This Row],[RK]],Rankings!A:T,18,FALSE)</f>
        <v>Kyle Pitts</v>
      </c>
      <c r="AS10" s="58" t="str">
        <f>IFERROR(INDEX(TableTECalcPts[TM],MATCH(TableTERanks3343[[#This Row],[Player]],TableTECalcPts[PLAYER],0)),"")</f>
        <v>ATL</v>
      </c>
      <c r="AT10" s="58">
        <f>IFERROR(INDEX(TableTECalcPts[BYE],MATCH(TableTERanks3343[[#This Row],[Player]],TableTECalcPts[PLAYER],0)),"")</f>
        <v>11</v>
      </c>
      <c r="AU10" s="100">
        <f>VLOOKUP(TableTERanks3343[[#This Row],[Player]],TE!B:O,4,FALSE)</f>
        <v>108.42251756000002</v>
      </c>
      <c r="AV10" s="100">
        <f>VLOOKUP(TableTERanks3343[[#This Row],[Player]],TE!B:O,5,FALSE)</f>
        <v>73.503679893626185</v>
      </c>
      <c r="AW10" s="100">
        <f>VLOOKUP(TableTERanks3343[[#This Row],[Player]],TE!B:O,6,FALSE)</f>
        <v>806.69339349943709</v>
      </c>
      <c r="AX10" s="100">
        <f>VLOOKUP(TableTERanks3343[[#This Row],[Player]],TE!B:O,7,FALSE)</f>
        <v>3.9691987142558141</v>
      </c>
      <c r="AY10" s="95">
        <f>VLOOKUP(TableTERanks3343[[#This Row],[Player]],TE!B:O,11,FALSE)</f>
        <v>141.2363715822917</v>
      </c>
      <c r="AZ10" s="140">
        <f>IF(VLOOKUP(TableTERanks3343[[#This Row],[Player]],'Ranks w Proj'!$AR:$AZ,9,FALSE)&lt;0,0,VLOOKUP(TableTERanks3343[[#This Row],[Player]],'Ranks w Proj'!$AR:$AZ,9,FALSE))</f>
        <v>11.902191738668538</v>
      </c>
    </row>
    <row r="11" spans="1:52" x14ac:dyDescent="0.25">
      <c r="A11" s="58">
        <v>10</v>
      </c>
      <c r="B11" s="58" t="str">
        <f>VLOOKUP(TableQBRanks3040[[#This Row],[RK]],Rankings!A:T,3,FALSE)</f>
        <v>Patrick Mahomes</v>
      </c>
      <c r="C11" s="58" t="str">
        <f>IFERROR(INDEX(TableQBCalcPts[TM],MATCH(TableQBRanks3040[[#This Row],[Player]],TableQBCalcPts[PLAYER],0)),"")</f>
        <v>KC</v>
      </c>
      <c r="D11" s="58">
        <f>IFERROR(INDEX(TableQBCalcPts[BYE],MATCH(TableQBRanks3040[[#This Row],[Player]],TableQBCalcPts[PLAYER],0)),"")</f>
        <v>5</v>
      </c>
      <c r="E11" s="100">
        <f>VLOOKUP(TableQBRanks3040[[#This Row],[Player]],QB!B:O,4,FALSE)</f>
        <v>567.55374999999992</v>
      </c>
      <c r="F11" s="100">
        <f>VLOOKUP(TableQBRanks3040[[#This Row],[Player]],QB!B:O,5,FALSE)</f>
        <v>369.37652327206109</v>
      </c>
      <c r="G11" s="100">
        <f>VLOOKUP(TableQBRanks3040[[#This Row],[Player]],QB!B:O,6,FALSE)</f>
        <v>4051.9940332102506</v>
      </c>
      <c r="H11" s="100">
        <f>VLOOKUP(TableQBRanks3040[[#This Row],[Player]],QB!B:O,7,FALSE)</f>
        <v>30.288874908309012</v>
      </c>
      <c r="I11" s="100">
        <f>VLOOKUP(TableQBRanks3040[[#This Row],[Player]],QB!B:O,8,FALSE)</f>
        <v>12.108582487817603</v>
      </c>
      <c r="J11" s="100">
        <f>VLOOKUP(TableQBRanks3040[[#This Row],[Player]],QB!B:O,9,FALSE)</f>
        <v>56.256655000000009</v>
      </c>
      <c r="K11" s="100">
        <f>VLOOKUP(TableQBRanks3040[[#This Row],[Player]],QB!B:O,10,FALSE)</f>
        <v>327.35795325263115</v>
      </c>
      <c r="L11" s="100">
        <f>VLOOKUP(TableQBRanks3040[[#This Row],[Player]],QB!B:O,11,FALSE)</f>
        <v>2.6440627850000005</v>
      </c>
      <c r="M11" s="95">
        <f>VLOOKUP(TableQBRanks3040[[#This Row],[Player]],QB!B:O,13,FALSE)</f>
        <v>417.24225265291568</v>
      </c>
      <c r="N11" s="140">
        <f>IF(VLOOKUP(TableQBRanks3040[[#This Row],[Player]],'Ranks w Proj'!$B:$N,13,FALSE)&lt;0,0,VLOOKUP(TableQBRanks3040[[#This Row],[Player]],'Ranks w Proj'!$B:$N,13,FALSE))</f>
        <v>24.766975066461786</v>
      </c>
      <c r="P11" s="58">
        <v>10</v>
      </c>
      <c r="Q11" s="58" t="str">
        <f>VLOOKUP(TableRBRanks3141[[#This Row],[RK]],Rankings!A:T,8,FALSE)</f>
        <v>Saquon Barkley</v>
      </c>
      <c r="R11" s="58" t="str">
        <f>IFERROR(INDEX(TableRBCalcPts[TM],MATCH(TableRBRanks3141[[#This Row],[Player]],TableRBCalcPts[PLAYER],0)),"")</f>
        <v>PHI</v>
      </c>
      <c r="S11" s="58">
        <f>IFERROR(INDEX(TableRBCalcPts[BYE],MATCH(TableRBRanks3141[[#This Row],[Player]],TableRBCalcPts[PLAYER],0)),"")</f>
        <v>10</v>
      </c>
      <c r="T11" s="100">
        <f>VLOOKUP(TableRBRanks3141[[#This Row],[Player]],RB!B:O,4,FALSE)</f>
        <v>308.61065928000005</v>
      </c>
      <c r="U11" s="100">
        <f>VLOOKUP(TableRBRanks3141[[#This Row],[Player]],RB!B:O,5,FALSE)</f>
        <v>1320.8536217184003</v>
      </c>
      <c r="V11" s="100">
        <f>VLOOKUP(TableRBRanks3141[[#This Row],[Player]],RB!B:O,6,FALSE)</f>
        <v>9.2583197784000006</v>
      </c>
      <c r="W11" s="100">
        <f>VLOOKUP(TableRBRanks3141[[#This Row],[Player]],RB!B:O,7,FALSE)</f>
        <v>44.188858559999993</v>
      </c>
      <c r="X11" s="100">
        <f>VLOOKUP(TableRBRanks3141[[#This Row],[Player]],RB!B:O,8,FALSE)</f>
        <v>29.923019353693945</v>
      </c>
      <c r="Y11" s="100">
        <f>VLOOKUP(TableRBRanks3141[[#This Row],[Player]],RB!B:O,9,FALSE)</f>
        <v>221.13111302379824</v>
      </c>
      <c r="Z11" s="100">
        <f>VLOOKUP(TableRBRanks3141[[#This Row],[Player]],RB!B:O,10,FALSE)</f>
        <v>1.5559970063920852</v>
      </c>
      <c r="AA11" s="95">
        <f>VLOOKUP(TableRBRanks3141[[#This Row],[Player]],RB!B:O,14,FALSE)</f>
        <v>234.04588385981933</v>
      </c>
      <c r="AB11" s="140">
        <f>IF(VLOOKUP(TableRBRanks3141[[#This Row],[Player]],'Ranks w Proj'!$Q:$AB,12,FALSE)&lt;0,0,VLOOKUP(TableRBRanks3141[[#This Row],[Player]],'Ranks w Proj'!$Q:$AB,12,FALSE))</f>
        <v>19.545049771992719</v>
      </c>
      <c r="AD11" s="58">
        <v>10</v>
      </c>
      <c r="AE11" s="58" t="str">
        <f>VLOOKUP(TableWRRanks3242[[#This Row],[RK]],Rankings!A:T,13,FALSE)</f>
        <v>Nico Collins</v>
      </c>
      <c r="AF11" s="58" t="str">
        <f>IFERROR(INDEX(TableWRCalcPts[TM],MATCH(TableWRRanks3242[[#This Row],[Player]],TableWRCalcPts[PLAYER],0)),"")</f>
        <v>HOU</v>
      </c>
      <c r="AG11" s="58">
        <f>IFERROR(INDEX(TableWRCalcPts[BYE],MATCH(TableWRRanks3242[[#This Row],[Player]],TableWRCalcPts[PLAYER],0)),"")</f>
        <v>8</v>
      </c>
      <c r="AH11" s="100">
        <f>VLOOKUP(TableWRRanks3242[[#This Row],[Player]],WR!B:O,4,FALSE)</f>
        <v>0</v>
      </c>
      <c r="AI11" s="100">
        <f>VLOOKUP(TableWRRanks3242[[#This Row],[Player]],WR!B:O,5,FALSE)</f>
        <v>0</v>
      </c>
      <c r="AJ11" s="100">
        <f>VLOOKUP(TableWRRanks3242[[#This Row],[Player]],WR!B:O,6,FALSE)</f>
        <v>144.36713591999998</v>
      </c>
      <c r="AK11" s="100">
        <f>VLOOKUP(TableWRRanks3242[[#This Row],[Player]],WR!B:O,7,FALSE)</f>
        <v>86.447767364422631</v>
      </c>
      <c r="AL11" s="100">
        <f>VLOOKUP(TableWRRanks3242[[#This Row],[Player]],WR!B:O,8,FALSE)</f>
        <v>1272.5111356043012</v>
      </c>
      <c r="AM11" s="100">
        <f>VLOOKUP(TableWRRanks3242[[#This Row],[Player]],WR!B:O,9,FALSE)</f>
        <v>7.0022691565182331</v>
      </c>
      <c r="AN11" s="95">
        <f>VLOOKUP(TableWRRanks3242[[#This Row],[Player]],WR!B:O,13,FALSE)</f>
        <v>212.48861218175085</v>
      </c>
      <c r="AO11" s="140">
        <f>IF(VLOOKUP(TableWRRanks3242[[#This Row],[Player]],'Ranks w Proj'!$AE:$AO,11,FALSE)&lt;0,0,VLOOKUP(TableWRRanks3242[[#This Row],[Player]],'Ranks w Proj'!$AE:$AO,11,FALSE))</f>
        <v>22.959546289065543</v>
      </c>
      <c r="AQ11" s="58">
        <v>10</v>
      </c>
      <c r="AR11" s="58" t="str">
        <f>VLOOKUP(TableTERanks3343[[#This Row],[RK]],Rankings!A:T,18,FALSE)</f>
        <v>Isaiah Likely</v>
      </c>
      <c r="AS11" s="58" t="str">
        <f>IFERROR(INDEX(TableTECalcPts[TM],MATCH(TableTERanks3343[[#This Row],[Player]],TableTECalcPts[PLAYER],0)),"")</f>
        <v>NYG</v>
      </c>
      <c r="AT11" s="58">
        <f>IFERROR(INDEX(TableTECalcPts[BYE],MATCH(TableTERanks3343[[#This Row],[Player]],TableTECalcPts[PLAYER],0)),"")</f>
        <v>8</v>
      </c>
      <c r="AU11" s="100">
        <f>VLOOKUP(TableTERanks3343[[#This Row],[Player]],TE!B:O,4,FALSE)</f>
        <v>99.378182820000006</v>
      </c>
      <c r="AV11" s="100">
        <f>VLOOKUP(TableTERanks3343[[#This Row],[Player]],TE!B:O,5,FALSE)</f>
        <v>72.033140364044769</v>
      </c>
      <c r="AW11" s="100">
        <f>VLOOKUP(TableTERanks3343[[#This Row],[Player]],TE!B:O,6,FALSE)</f>
        <v>787.32222417900925</v>
      </c>
      <c r="AX11" s="100">
        <f>VLOOKUP(TableTERanks3343[[#This Row],[Player]],TE!B:O,7,FALSE)</f>
        <v>5.6906180887595372</v>
      </c>
      <c r="AY11" s="95">
        <f>VLOOKUP(TableTERanks3343[[#This Row],[Player]],TE!B:O,11,FALSE)</f>
        <v>148.89250113248056</v>
      </c>
      <c r="AZ11" s="140">
        <f>IF(VLOOKUP(TableTERanks3343[[#This Row],[Player]],'Ranks w Proj'!$AR:$AZ,9,FALSE)&lt;0,0,VLOOKUP(TableTERanks3343[[#This Row],[Player]],'Ranks w Proj'!$AR:$AZ,9,FALSE))</f>
        <v>13.340611486774064</v>
      </c>
    </row>
    <row r="12" spans="1:52" x14ac:dyDescent="0.25">
      <c r="A12" s="58">
        <v>11</v>
      </c>
      <c r="B12" s="58" t="str">
        <f>VLOOKUP(TableQBRanks3040[[#This Row],[RK]],Rankings!A:T,3,FALSE)</f>
        <v>Caleb Williams</v>
      </c>
      <c r="C12" s="58" t="str">
        <f>IFERROR(INDEX(TableQBCalcPts[TM],MATCH(TableQBRanks3040[[#This Row],[Player]],TableQBCalcPts[PLAYER],0)),"")</f>
        <v>CHI</v>
      </c>
      <c r="D12" s="58">
        <f>IFERROR(INDEX(TableQBCalcPts[BYE],MATCH(TableQBRanks3040[[#This Row],[Player]],TableQBCalcPts[PLAYER],0)),"")</f>
        <v>10</v>
      </c>
      <c r="E12" s="100">
        <f>VLOOKUP(TableQBRanks3040[[#This Row],[Player]],QB!B:O,4,FALSE)</f>
        <v>563.9351200000001</v>
      </c>
      <c r="F12" s="100">
        <f>VLOOKUP(TableQBRanks3040[[#This Row],[Player]],QB!B:O,5,FALSE)</f>
        <v>342.87255296000006</v>
      </c>
      <c r="G12" s="100">
        <f>VLOOKUP(TableQBRanks3040[[#This Row],[Player]],QB!B:O,6,FALSE)</f>
        <v>4087.0408312832005</v>
      </c>
      <c r="H12" s="100">
        <f>VLOOKUP(TableQBRanks3040[[#This Row],[Player]],QB!B:O,7,FALSE)</f>
        <v>27.587748593545736</v>
      </c>
      <c r="I12" s="100">
        <f>VLOOKUP(TableQBRanks3040[[#This Row],[Player]],QB!B:O,8,FALSE)</f>
        <v>8.1560842475057171</v>
      </c>
      <c r="J12" s="100">
        <f>VLOOKUP(TableQBRanks3040[[#This Row],[Player]],QB!B:O,9,FALSE)</f>
        <v>67.718607599999984</v>
      </c>
      <c r="K12" s="100">
        <f>VLOOKUP(TableQBRanks3040[[#This Row],[Player]],QB!B:O,10,FALSE)</f>
        <v>346.77774832403907</v>
      </c>
      <c r="L12" s="100">
        <f>VLOOKUP(TableQBRanks3040[[#This Row],[Player]],QB!B:O,11,FALSE)</f>
        <v>2.7764629115999995</v>
      </c>
      <c r="M12" s="95">
        <f>VLOOKUP(TableQBRanks3040[[#This Row],[Player]],QB!B:O,13,FALSE)</f>
        <v>406.47584816310064</v>
      </c>
      <c r="N12" s="140">
        <f>IF(VLOOKUP(TableQBRanks3040[[#This Row],[Player]],'Ranks w Proj'!$B:$N,13,FALSE)&lt;0,0,VLOOKUP(TableQBRanks3040[[#This Row],[Player]],'Ranks w Proj'!$B:$N,13,FALSE))</f>
        <v>21.687693246487889</v>
      </c>
      <c r="P12" s="58">
        <v>11</v>
      </c>
      <c r="Q12" s="58" t="str">
        <f>VLOOKUP(TableRBRanks3141[[#This Row],[RK]],Rankings!A:T,8,FALSE)</f>
        <v>Omarion Hampton</v>
      </c>
      <c r="R12" s="58" t="str">
        <f>IFERROR(INDEX(TableRBCalcPts[TM],MATCH(TableRBRanks3141[[#This Row],[Player]],TableRBCalcPts[PLAYER],0)),"")</f>
        <v>LAC</v>
      </c>
      <c r="S12" s="58">
        <f>IFERROR(INDEX(TableRBCalcPts[BYE],MATCH(TableRBRanks3141[[#This Row],[Player]],TableRBCalcPts[PLAYER],0)),"")</f>
        <v>7</v>
      </c>
      <c r="T12" s="100">
        <f>VLOOKUP(TableRBRanks3141[[#This Row],[Player]],RB!B:O,4,FALSE)</f>
        <v>245.76099547999996</v>
      </c>
      <c r="U12" s="100">
        <f>VLOOKUP(TableRBRanks3141[[#This Row],[Player]],RB!B:O,5,FALSE)</f>
        <v>1059.2298905187997</v>
      </c>
      <c r="V12" s="100">
        <f>VLOOKUP(TableRBRanks3141[[#This Row],[Player]],RB!B:O,6,FALSE)</f>
        <v>9.3401261782654164</v>
      </c>
      <c r="W12" s="100">
        <f>VLOOKUP(TableRBRanks3141[[#This Row],[Player]],RB!B:O,7,FALSE)</f>
        <v>60.081101079999996</v>
      </c>
      <c r="X12" s="100">
        <f>VLOOKUP(TableRBRanks3141[[#This Row],[Player]],RB!B:O,8,FALSE)</f>
        <v>50.502220518281199</v>
      </c>
      <c r="Y12" s="100">
        <f>VLOOKUP(TableRBRanks3141[[#This Row],[Player]],RB!B:O,9,FALSE)</f>
        <v>354.52558803833398</v>
      </c>
      <c r="Z12" s="100">
        <f>VLOOKUP(TableRBRanks3141[[#This Row],[Player]],RB!B:O,10,FALSE)</f>
        <v>1.7349038609381815</v>
      </c>
      <c r="AA12" s="95">
        <f>VLOOKUP(TableRBRanks3141[[#This Row],[Player]],RB!B:O,14,FALSE)</f>
        <v>233.07683835007555</v>
      </c>
      <c r="AB12" s="140">
        <f>IF(VLOOKUP(TableRBRanks3141[[#This Row],[Player]],'Ranks w Proj'!$Q:$AB,12,FALSE)&lt;0,0,VLOOKUP(TableRBRanks3141[[#This Row],[Player]],'Ranks w Proj'!$Q:$AB,12,FALSE))</f>
        <v>19.399399760310867</v>
      </c>
      <c r="AD12" s="58">
        <v>11</v>
      </c>
      <c r="AE12" s="58" t="str">
        <f>VLOOKUP(TableWRRanks3242[[#This Row],[RK]],Rankings!A:T,13,FALSE)</f>
        <v>Chris Olave</v>
      </c>
      <c r="AF12" s="58" t="str">
        <f>IFERROR(INDEX(TableWRCalcPts[TM],MATCH(TableWRRanks3242[[#This Row],[Player]],TableWRCalcPts[PLAYER],0)),"")</f>
        <v>NO</v>
      </c>
      <c r="AG12" s="58">
        <f>IFERROR(INDEX(TableWRCalcPts[BYE],MATCH(TableWRRanks3242[[#This Row],[Player]],TableWRCalcPts[PLAYER],0)),"")</f>
        <v>8</v>
      </c>
      <c r="AH12" s="100">
        <f>VLOOKUP(TableWRRanks3242[[#This Row],[Player]],WR!B:O,4,FALSE)</f>
        <v>0</v>
      </c>
      <c r="AI12" s="100">
        <f>VLOOKUP(TableWRRanks3242[[#This Row],[Player]],WR!B:O,5,FALSE)</f>
        <v>0</v>
      </c>
      <c r="AJ12" s="100">
        <f>VLOOKUP(TableWRRanks3242[[#This Row],[Player]],WR!B:O,6,FALSE)</f>
        <v>137.60868352000003</v>
      </c>
      <c r="AK12" s="100">
        <f>VLOOKUP(TableWRRanks3242[[#This Row],[Player]],WR!B:O,7,FALSE)</f>
        <v>86.005427200000014</v>
      </c>
      <c r="AL12" s="100">
        <f>VLOOKUP(TableWRRanks3242[[#This Row],[Player]],WR!B:O,8,FALSE)</f>
        <v>1075.9278942720002</v>
      </c>
      <c r="AM12" s="100">
        <f>VLOOKUP(TableWRRanks3242[[#This Row],[Player]],WR!B:O,9,FALSE)</f>
        <v>7.1384504576000012</v>
      </c>
      <c r="AN12" s="95">
        <f>VLOOKUP(TableWRRanks3242[[#This Row],[Player]],WR!B:O,13,FALSE)</f>
        <v>193.42620577280005</v>
      </c>
      <c r="AO12" s="140">
        <f>IF(VLOOKUP(TableWRRanks3242[[#This Row],[Player]],'Ranks w Proj'!$AE:$AO,11,FALSE)&lt;0,0,VLOOKUP(TableWRRanks3242[[#This Row],[Player]],'Ranks w Proj'!$AE:$AO,11,FALSE))</f>
        <v>19.37813591123674</v>
      </c>
      <c r="AQ12" s="58">
        <v>11</v>
      </c>
      <c r="AR12" s="58" t="str">
        <f>VLOOKUP(TableTERanks3343[[#This Row],[RK]],Rankings!A:T,18,FALSE)</f>
        <v>Travis Kelce</v>
      </c>
      <c r="AS12" s="58" t="str">
        <f>IFERROR(INDEX(TableTECalcPts[TM],MATCH(TableTERanks3343[[#This Row],[Player]],TableTECalcPts[PLAYER],0)),"")</f>
        <v>KC</v>
      </c>
      <c r="AT12" s="58">
        <f>IFERROR(INDEX(TableTECalcPts[BYE],MATCH(TableTERanks3343[[#This Row],[Player]],TableTECalcPts[PLAYER],0)),"")</f>
        <v>5</v>
      </c>
      <c r="AU12" s="100">
        <f>VLOOKUP(TableTERanks3343[[#This Row],[Player]],TE!B:O,4,FALSE)</f>
        <v>106.55672299999999</v>
      </c>
      <c r="AV12" s="100">
        <f>VLOOKUP(TableTERanks3343[[#This Row],[Player]],TE!B:O,5,FALSE)</f>
        <v>73.630695592999984</v>
      </c>
      <c r="AW12" s="100">
        <f>VLOOKUP(TableTERanks3343[[#This Row],[Player]],TE!B:O,6,FALSE)</f>
        <v>781.9579871976598</v>
      </c>
      <c r="AX12" s="100">
        <f>VLOOKUP(TableTERanks3343[[#This Row],[Player]],TE!B:O,7,FALSE)</f>
        <v>5.4486714738819986</v>
      </c>
      <c r="AY12" s="95">
        <f>VLOOKUP(TableTERanks3343[[#This Row],[Player]],TE!B:O,11,FALSE)</f>
        <v>147.70317535955797</v>
      </c>
      <c r="AZ12" s="140">
        <f>IF(VLOOKUP(TableTERanks3343[[#This Row],[Player]],'Ranks w Proj'!$AR:$AZ,9,FALSE)&lt;0,0,VLOOKUP(TableTERanks3343[[#This Row],[Player]],'Ranks w Proj'!$AR:$AZ,9,FALSE))</f>
        <v>13.117163115441251</v>
      </c>
    </row>
    <row r="13" spans="1:52" x14ac:dyDescent="0.25">
      <c r="A13" s="58">
        <v>12</v>
      </c>
      <c r="B13" s="58" t="str">
        <f>VLOOKUP(TableQBRanks3040[[#This Row],[RK]],Rankings!A:T,3,FALSE)</f>
        <v>Justin Herbert</v>
      </c>
      <c r="C13" s="58" t="str">
        <f>IFERROR(INDEX(TableQBCalcPts[TM],MATCH(TableQBRanks3040[[#This Row],[Player]],TableQBCalcPts[PLAYER],0)),"")</f>
        <v>LAC</v>
      </c>
      <c r="D13" s="58">
        <f>IFERROR(INDEX(TableQBCalcPts[BYE],MATCH(TableQBRanks3040[[#This Row],[Player]],TableQBCalcPts[PLAYER],0)),"")</f>
        <v>7</v>
      </c>
      <c r="E13" s="100">
        <f>VLOOKUP(TableQBRanks3040[[#This Row],[Player]],QB!B:O,4,FALSE)</f>
        <v>531.69115999999997</v>
      </c>
      <c r="F13" s="100">
        <f>VLOOKUP(TableQBRanks3040[[#This Row],[Player]],QB!B:O,5,FALSE)</f>
        <v>352.22829470099089</v>
      </c>
      <c r="G13" s="100">
        <f>VLOOKUP(TableQBRanks3040[[#This Row],[Player]],QB!B:O,6,FALSE)</f>
        <v>4029.1470687418719</v>
      </c>
      <c r="H13" s="100">
        <f>VLOOKUP(TableQBRanks3040[[#This Row],[Player]],QB!B:O,7,FALSE)</f>
        <v>26.430355388976508</v>
      </c>
      <c r="I13" s="100">
        <f>VLOOKUP(TableQBRanks3040[[#This Row],[Player]],QB!B:O,8,FALSE)</f>
        <v>10.075406373377627</v>
      </c>
      <c r="J13" s="100">
        <f>VLOOKUP(TableQBRanks3040[[#This Row],[Player]],QB!B:O,9,FALSE)</f>
        <v>71.8862144</v>
      </c>
      <c r="K13" s="100">
        <f>VLOOKUP(TableQBRanks3040[[#This Row],[Player]],QB!B:O,10,FALSE)</f>
        <v>384.4700904988764</v>
      </c>
      <c r="L13" s="100">
        <f>VLOOKUP(TableQBRanks3040[[#This Row],[Player]],QB!B:O,11,FALSE)</f>
        <v>2.0128140031999999</v>
      </c>
      <c r="M13" s="95">
        <f>VLOOKUP(TableQBRanks3040[[#This Row],[Player]],QB!B:O,13,FALSE)</f>
        <v>395.41933124934303</v>
      </c>
      <c r="N13" s="140">
        <f>IF(VLOOKUP(TableQBRanks3040[[#This Row],[Player]],'Ranks w Proj'!$B:$N,13,FALSE)&lt;0,0,VLOOKUP(TableQBRanks3040[[#This Row],[Player]],'Ranks w Proj'!$B:$N,13,FALSE))</f>
        <v>18.880958958839273</v>
      </c>
      <c r="P13" s="58">
        <v>12</v>
      </c>
      <c r="Q13" s="58" t="str">
        <f>VLOOKUP(TableRBRanks3141[[#This Row],[RK]],Rankings!A:T,8,FALSE)</f>
        <v>Kenneth Walker</v>
      </c>
      <c r="R13" s="58" t="str">
        <f>IFERROR(INDEX(TableRBCalcPts[TM],MATCH(TableRBRanks3141[[#This Row],[Player]],TableRBCalcPts[PLAYER],0)),"")</f>
        <v>KC</v>
      </c>
      <c r="S13" s="58">
        <f>IFERROR(INDEX(TableRBCalcPts[BYE],MATCH(TableRBRanks3141[[#This Row],[Player]],TableRBCalcPts[PLAYER],0)),"")</f>
        <v>5</v>
      </c>
      <c r="T13" s="100">
        <f>VLOOKUP(TableRBRanks3141[[#This Row],[Player]],RB!B:O,4,FALSE)</f>
        <v>263.54079150000001</v>
      </c>
      <c r="U13" s="100">
        <f>VLOOKUP(TableRBRanks3141[[#This Row],[Player]],RB!B:O,5,FALSE)</f>
        <v>1131.4315892972611</v>
      </c>
      <c r="V13" s="100">
        <f>VLOOKUP(TableRBRanks3141[[#This Row],[Player]],RB!B:O,6,FALSE)</f>
        <v>9.223927702500001</v>
      </c>
      <c r="W13" s="100">
        <f>VLOOKUP(TableRBRanks3141[[#This Row],[Player]],RB!B:O,7,FALSE)</f>
        <v>53.278361499999995</v>
      </c>
      <c r="X13" s="100">
        <f>VLOOKUP(TableRBRanks3141[[#This Row],[Player]],RB!B:O,8,FALSE)</f>
        <v>40.118606209499994</v>
      </c>
      <c r="Y13" s="100">
        <f>VLOOKUP(TableRBRanks3141[[#This Row],[Player]],RB!B:O,9,FALSE)</f>
        <v>323.7802601893066</v>
      </c>
      <c r="Z13" s="100">
        <f>VLOOKUP(TableRBRanks3141[[#This Row],[Player]],RB!B:O,10,FALSE)</f>
        <v>2.0460489166844997</v>
      </c>
      <c r="AA13" s="95">
        <f>VLOOKUP(TableRBRanks3141[[#This Row],[Player]],RB!B:O,14,FALSE)</f>
        <v>233.20034776851375</v>
      </c>
      <c r="AB13" s="140">
        <f>IF(VLOOKUP(TableRBRanks3141[[#This Row],[Player]],'Ranks w Proj'!$Q:$AB,12,FALSE)&lt;0,0,VLOOKUP(TableRBRanks3141[[#This Row],[Player]],'Ranks w Proj'!$Q:$AB,12,FALSE))</f>
        <v>19.417963540915046</v>
      </c>
      <c r="AD13" s="58">
        <v>12</v>
      </c>
      <c r="AE13" s="58" t="str">
        <f>VLOOKUP(TableWRRanks3242[[#This Row],[RK]],Rankings!A:T,13,FALSE)</f>
        <v>Tetairoa McMillan</v>
      </c>
      <c r="AF13" s="58" t="str">
        <f>IFERROR(INDEX(TableWRCalcPts[TM],MATCH(TableWRRanks3242[[#This Row],[Player]],TableWRCalcPts[PLAYER],0)),"")</f>
        <v>CAR</v>
      </c>
      <c r="AG13" s="58">
        <f>IFERROR(INDEX(TableWRCalcPts[BYE],MATCH(TableWRRanks3242[[#This Row],[Player]],TableWRCalcPts[PLAYER],0)),"")</f>
        <v>5</v>
      </c>
      <c r="AH13" s="100">
        <f>VLOOKUP(TableWRRanks3242[[#This Row],[Player]],WR!B:O,4,FALSE)</f>
        <v>0</v>
      </c>
      <c r="AI13" s="100">
        <f>VLOOKUP(TableWRRanks3242[[#This Row],[Player]],WR!B:O,5,FALSE)</f>
        <v>0</v>
      </c>
      <c r="AJ13" s="100">
        <f>VLOOKUP(TableWRRanks3242[[#This Row],[Player]],WR!B:O,6,FALSE)</f>
        <v>148.61523599999998</v>
      </c>
      <c r="AK13" s="100">
        <f>VLOOKUP(TableWRRanks3242[[#This Row],[Player]],WR!B:O,7,FALSE)</f>
        <v>84.666360677684196</v>
      </c>
      <c r="AL13" s="100">
        <f>VLOOKUP(TableWRRanks3242[[#This Row],[Player]],WR!B:O,8,FALSE)</f>
        <v>1213.2689485112146</v>
      </c>
      <c r="AM13" s="100">
        <f>VLOOKUP(TableWRRanks3242[[#This Row],[Player]],WR!B:O,9,FALSE)</f>
        <v>7.3659733789585244</v>
      </c>
      <c r="AN13" s="95">
        <f>VLOOKUP(TableWRRanks3242[[#This Row],[Player]],WR!B:O,13,FALSE)</f>
        <v>207.85591546371469</v>
      </c>
      <c r="AO13" s="140">
        <f>IF(VLOOKUP(TableWRRanks3242[[#This Row],[Player]],'Ranks w Proj'!$AE:$AO,11,FALSE)&lt;0,0,VLOOKUP(TableWRRanks3242[[#This Row],[Player]],'Ranks w Proj'!$AE:$AO,11,FALSE))</f>
        <v>22.08916362344797</v>
      </c>
      <c r="AQ13" s="58">
        <v>12</v>
      </c>
      <c r="AR13" s="58" t="str">
        <f>VLOOKUP(TableTERanks3343[[#This Row],[RK]],Rankings!A:T,18,FALSE)</f>
        <v>Jake Ferguson</v>
      </c>
      <c r="AS13" s="58" t="str">
        <f>IFERROR(INDEX(TableTECalcPts[TM],MATCH(TableTERanks3343[[#This Row],[Player]],TableTECalcPts[PLAYER],0)),"")</f>
        <v>DAL</v>
      </c>
      <c r="AT13" s="58">
        <f>IFERROR(INDEX(TableTECalcPts[BYE],MATCH(TableTERanks3343[[#This Row],[Player]],TableTECalcPts[PLAYER],0)),"")</f>
        <v>14</v>
      </c>
      <c r="AU13" s="100">
        <f>VLOOKUP(TableTERanks3343[[#This Row],[Player]],TE!B:O,4,FALSE)</f>
        <v>100.0587742</v>
      </c>
      <c r="AV13" s="100">
        <f>VLOOKUP(TableTERanks3343[[#This Row],[Player]],TE!B:O,5,FALSE)</f>
        <v>74.564451091063063</v>
      </c>
      <c r="AW13" s="100">
        <f>VLOOKUP(TableTERanks3343[[#This Row],[Player]],TE!B:O,6,FALSE)</f>
        <v>606.75060624015089</v>
      </c>
      <c r="AX13" s="100">
        <f>VLOOKUP(TableTERanks3343[[#This Row],[Player]],TE!B:O,7,FALSE)</f>
        <v>6.2634138916492974</v>
      </c>
      <c r="AY13" s="95">
        <f>VLOOKUP(TableTERanks3343[[#This Row],[Player]],TE!B:O,11,FALSE)</f>
        <v>135.53776951944241</v>
      </c>
      <c r="AZ13" s="140">
        <f>IF(VLOOKUP(TableTERanks3343[[#This Row],[Player]],'Ranks w Proj'!$AR:$AZ,9,FALSE)&lt;0,0,VLOOKUP(TableTERanks3343[[#This Row],[Player]],'Ranks w Proj'!$AR:$AZ,9,FALSE))</f>
        <v>10.83154870813164</v>
      </c>
    </row>
    <row r="14" spans="1:52" x14ac:dyDescent="0.25">
      <c r="A14" s="58">
        <v>13</v>
      </c>
      <c r="B14" s="58" t="str">
        <f>VLOOKUP(TableQBRanks3040[[#This Row],[RK]],Rankings!A:T,3,FALSE)</f>
        <v>Brock Purdy</v>
      </c>
      <c r="C14" s="58" t="str">
        <f>IFERROR(INDEX(TableQBCalcPts[TM],MATCH(TableQBRanks3040[[#This Row],[Player]],TableQBCalcPts[PLAYER],0)),"")</f>
        <v>SF</v>
      </c>
      <c r="D14" s="58">
        <f>IFERROR(INDEX(TableQBCalcPts[BYE],MATCH(TableQBRanks3040[[#This Row],[Player]],TableQBCalcPts[PLAYER],0)),"")</f>
        <v>8</v>
      </c>
      <c r="E14" s="100">
        <f>VLOOKUP(TableQBRanks3040[[#This Row],[Player]],QB!B:O,4,FALSE)</f>
        <v>536.83616000000006</v>
      </c>
      <c r="F14" s="100">
        <f>VLOOKUP(TableQBRanks3040[[#This Row],[Player]],QB!B:O,5,FALSE)</f>
        <v>361.29073568000007</v>
      </c>
      <c r="G14" s="100">
        <f>VLOOKUP(TableQBRanks3040[[#This Row],[Player]],QB!B:O,6,FALSE)</f>
        <v>4295.7468472352011</v>
      </c>
      <c r="H14" s="100">
        <f>VLOOKUP(TableQBRanks3040[[#This Row],[Player]],QB!B:O,7,FALSE)</f>
        <v>29.625840325760006</v>
      </c>
      <c r="I14" s="100">
        <f>VLOOKUP(TableQBRanks3040[[#This Row],[Player]],QB!B:O,8,FALSE)</f>
        <v>15.441805867686105</v>
      </c>
      <c r="J14" s="100">
        <f>VLOOKUP(TableQBRanks3040[[#This Row],[Player]],QB!B:O,9,FALSE)</f>
        <v>64.131889919999992</v>
      </c>
      <c r="K14" s="100">
        <f>VLOOKUP(TableQBRanks3040[[#This Row],[Player]],QB!B:O,10,FALSE)</f>
        <v>275.80616229242338</v>
      </c>
      <c r="L14" s="100">
        <f>VLOOKUP(TableQBRanks3040[[#This Row],[Player]],QB!B:O,11,FALSE)</f>
        <v>3.9495945227970899</v>
      </c>
      <c r="M14" s="95">
        <f>VLOOKUP(TableQBRanks3040[[#This Row],[Player]],QB!B:O,13,FALSE)</f>
        <v>421.55036691030688</v>
      </c>
      <c r="N14" s="140">
        <f>IF(VLOOKUP(TableQBRanks3040[[#This Row],[Player]],'Ranks w Proj'!$B:$N,13,FALSE)&lt;0,0,VLOOKUP(TableQBRanks3040[[#This Row],[Player]],'Ranks w Proj'!$B:$N,13,FALSE))</f>
        <v>25.622801754329171</v>
      </c>
      <c r="P14" s="58">
        <v>13</v>
      </c>
      <c r="Q14" s="58" t="str">
        <f>VLOOKUP(TableRBRanks3141[[#This Row],[RK]],Rankings!A:T,8,FALSE)</f>
        <v>Kyren Williams</v>
      </c>
      <c r="R14" s="58" t="str">
        <f>IFERROR(INDEX(TableRBCalcPts[TM],MATCH(TableRBRanks3141[[#This Row],[Player]],TableRBCalcPts[PLAYER],0)),"")</f>
        <v>LAR</v>
      </c>
      <c r="S14" s="58">
        <f>IFERROR(INDEX(TableRBCalcPts[BYE],MATCH(TableRBRanks3141[[#This Row],[Player]],TableRBCalcPts[PLAYER],0)),"")</f>
        <v>11</v>
      </c>
      <c r="T14" s="100">
        <f>VLOOKUP(TableRBRanks3141[[#This Row],[Player]],RB!B:O,4,FALSE)</f>
        <v>243.83066399999998</v>
      </c>
      <c r="U14" s="100">
        <f>VLOOKUP(TableRBRanks3141[[#This Row],[Player]],RB!B:O,5,FALSE)</f>
        <v>1119.18274776</v>
      </c>
      <c r="V14" s="100">
        <f>VLOOKUP(TableRBRanks3141[[#This Row],[Player]],RB!B:O,6,FALSE)</f>
        <v>10.728549215999999</v>
      </c>
      <c r="W14" s="100">
        <f>VLOOKUP(TableRBRanks3141[[#This Row],[Player]],RB!B:O,7,FALSE)</f>
        <v>39.582072996587819</v>
      </c>
      <c r="X14" s="100">
        <f>VLOOKUP(TableRBRanks3141[[#This Row],[Player]],RB!B:O,8,FALSE)</f>
        <v>28.30118219256029</v>
      </c>
      <c r="Y14" s="100">
        <f>VLOOKUP(TableRBRanks3141[[#This Row],[Player]],RB!B:O,9,FALSE)</f>
        <v>209.71176004687175</v>
      </c>
      <c r="Z14" s="100">
        <f>VLOOKUP(TableRBRanks3141[[#This Row],[Player]],RB!B:O,10,FALSE)</f>
        <v>1.8112756603238587</v>
      </c>
      <c r="AA14" s="95">
        <f>VLOOKUP(TableRBRanks3141[[#This Row],[Player]],RB!B:O,14,FALSE)</f>
        <v>222.27899113491048</v>
      </c>
      <c r="AB14" s="140">
        <f>IF(VLOOKUP(TableRBRanks3141[[#This Row],[Player]],'Ranks w Proj'!$Q:$AB,12,FALSE)&lt;0,0,VLOOKUP(TableRBRanks3141[[#This Row],[Player]],'Ranks w Proj'!$Q:$AB,12,FALSE))</f>
        <v>17.776455783775202</v>
      </c>
      <c r="AD14" s="58">
        <v>13</v>
      </c>
      <c r="AE14" s="58" t="str">
        <f>VLOOKUP(TableWRRanks3242[[#This Row],[RK]],Rankings!A:T,13,FALSE)</f>
        <v>Zay Flowers</v>
      </c>
      <c r="AF14" s="58" t="str">
        <f>IFERROR(INDEX(TableWRCalcPts[TM],MATCH(TableWRRanks3242[[#This Row],[Player]],TableWRCalcPts[PLAYER],0)),"")</f>
        <v>BAL</v>
      </c>
      <c r="AG14" s="58">
        <f>IFERROR(INDEX(TableWRCalcPts[BYE],MATCH(TableWRRanks3242[[#This Row],[Player]],TableWRCalcPts[PLAYER],0)),"")</f>
        <v>13</v>
      </c>
      <c r="AH14" s="100">
        <f>VLOOKUP(TableWRRanks3242[[#This Row],[Player]],WR!B:O,4,FALSE)</f>
        <v>56.413694630198776</v>
      </c>
      <c r="AI14" s="100">
        <f>VLOOKUP(TableWRRanks3242[[#This Row],[Player]],WR!B:O,5,FALSE)</f>
        <v>0.26872532932368426</v>
      </c>
      <c r="AJ14" s="100">
        <f>VLOOKUP(TableWRRanks3242[[#This Row],[Player]],WR!B:O,6,FALSE)</f>
        <v>122.65981056</v>
      </c>
      <c r="AK14" s="100">
        <f>VLOOKUP(TableWRRanks3242[[#This Row],[Player]],WR!B:O,7,FALSE)</f>
        <v>82.022021242617427</v>
      </c>
      <c r="AL14" s="100">
        <f>VLOOKUP(TableWRRanks3242[[#This Row],[Player]],WR!B:O,8,FALSE)</f>
        <v>1157.1558788318523</v>
      </c>
      <c r="AM14" s="100">
        <f>VLOOKUP(TableWRRanks3242[[#This Row],[Player]],WR!B:O,9,FALSE)</f>
        <v>6.8078277631372472</v>
      </c>
      <c r="AN14" s="95">
        <f>VLOOKUP(TableWRRanks3242[[#This Row],[Player]],WR!B:O,13,FALSE)</f>
        <v>204.82728652227939</v>
      </c>
      <c r="AO14" s="140">
        <f>IF(VLOOKUP(TableWRRanks3242[[#This Row],[Player]],'Ranks w Proj'!$AE:$AO,11,FALSE)&lt;0,0,VLOOKUP(TableWRRanks3242[[#This Row],[Player]],'Ranks w Proj'!$AE:$AO,11,FALSE))</f>
        <v>21.520150305362591</v>
      </c>
      <c r="AQ14" s="58">
        <v>13</v>
      </c>
      <c r="AR14" s="58" t="str">
        <f>VLOOKUP(TableTERanks3343[[#This Row],[RK]],Rankings!A:T,18,FALSE)</f>
        <v>Dalton Kincaid</v>
      </c>
      <c r="AS14" s="58" t="str">
        <f>IFERROR(INDEX(TableTECalcPts[TM],MATCH(TableTERanks3343[[#This Row],[Player]],TableTECalcPts[PLAYER],0)),"")</f>
        <v>BUF</v>
      </c>
      <c r="AT14" s="58">
        <f>IFERROR(INDEX(TableTECalcPts[BYE],MATCH(TableTERanks3343[[#This Row],[Player]],TableTECalcPts[PLAYER],0)),"")</f>
        <v>7</v>
      </c>
      <c r="AU14" s="100">
        <f>VLOOKUP(TableTERanks3343[[#This Row],[Player]],TE!B:O,4,FALSE)</f>
        <v>88.871613599999961</v>
      </c>
      <c r="AV14" s="100">
        <f>VLOOKUP(TableTERanks3343[[#This Row],[Player]],TE!B:O,5,FALSE)</f>
        <v>61.143670156799971</v>
      </c>
      <c r="AW14" s="100">
        <f>VLOOKUP(TableTERanks3343[[#This Row],[Player]],TE!B:O,6,FALSE)</f>
        <v>742.28415570355173</v>
      </c>
      <c r="AX14" s="100">
        <f>VLOOKUP(TableTERanks3343[[#This Row],[Player]],TE!B:O,7,FALSE)</f>
        <v>5.4417866439551972</v>
      </c>
      <c r="AY14" s="95">
        <f>VLOOKUP(TableTERanks3343[[#This Row],[Player]],TE!B:O,11,FALSE)</f>
        <v>137.45097051248635</v>
      </c>
      <c r="AZ14" s="140">
        <f>IF(VLOOKUP(TableTERanks3343[[#This Row],[Player]],'Ranks w Proj'!$AR:$AZ,9,FALSE)&lt;0,0,VLOOKUP(TableTERanks3343[[#This Row],[Player]],'Ranks w Proj'!$AR:$AZ,9,FALSE))</f>
        <v>11.190997444265111</v>
      </c>
    </row>
    <row r="15" spans="1:52" x14ac:dyDescent="0.25">
      <c r="A15" s="58">
        <v>14</v>
      </c>
      <c r="B15" s="58" t="str">
        <f>VLOOKUP(TableQBRanks3040[[#This Row],[RK]],Rankings!A:T,3,FALSE)</f>
        <v>Bo Nix</v>
      </c>
      <c r="C15" s="58" t="str">
        <f>IFERROR(INDEX(TableQBCalcPts[TM],MATCH(TableQBRanks3040[[#This Row],[Player]],TableQBCalcPts[PLAYER],0)),"")</f>
        <v>DEN</v>
      </c>
      <c r="D15" s="58">
        <f>IFERROR(INDEX(TableQBCalcPts[BYE],MATCH(TableQBRanks3040[[#This Row],[Player]],TableQBCalcPts[PLAYER],0)),"")</f>
        <v>10</v>
      </c>
      <c r="E15" s="100">
        <f>VLOOKUP(TableQBRanks3040[[#This Row],[Player]],QB!B:O,4,FALSE)</f>
        <v>570.67164000000014</v>
      </c>
      <c r="F15" s="100">
        <f>VLOOKUP(TableQBRanks3040[[#This Row],[Player]],QB!B:O,5,FALSE)</f>
        <v>369.92991785531984</v>
      </c>
      <c r="G15" s="100">
        <f>VLOOKUP(TableQBRanks3040[[#This Row],[Player]],QB!B:O,6,FALSE)</f>
        <v>3913.8585309092841</v>
      </c>
      <c r="H15" s="100">
        <f>VLOOKUP(TableQBRanks3040[[#This Row],[Player]],QB!B:O,7,FALSE)</f>
        <v>26.265024167727706</v>
      </c>
      <c r="I15" s="100">
        <f>VLOOKUP(TableQBRanks3040[[#This Row],[Player]],QB!B:O,8,FALSE)</f>
        <v>11.445045289519861</v>
      </c>
      <c r="J15" s="100">
        <f>VLOOKUP(TableQBRanks3040[[#This Row],[Player]],QB!B:O,9,FALSE)</f>
        <v>81.722009879999987</v>
      </c>
      <c r="K15" s="100">
        <f>VLOOKUP(TableQBRanks3040[[#This Row],[Player]],QB!B:O,10,FALSE)</f>
        <v>353.06822370358316</v>
      </c>
      <c r="L15" s="100">
        <f>VLOOKUP(TableQBRanks3040[[#This Row],[Player]],QB!B:O,11,FALSE)</f>
        <v>4.273902009493125</v>
      </c>
      <c r="M15" s="95">
        <f>VLOOKUP(TableQBRanks3040[[#This Row],[Player]],QB!B:O,13,FALSE)</f>
        <v>400.64266716606681</v>
      </c>
      <c r="N15" s="140">
        <f>IF(VLOOKUP(TableQBRanks3040[[#This Row],[Player]],'Ranks w Proj'!$B:$N,13,FALSE)&lt;0,0,VLOOKUP(TableQBRanks3040[[#This Row],[Player]],'Ranks w Proj'!$B:$N,13,FALSE))</f>
        <v>20.192760077259251</v>
      </c>
      <c r="P15" s="58">
        <v>14</v>
      </c>
      <c r="Q15" s="58" t="str">
        <f>VLOOKUP(TableRBRanks3141[[#This Row],[RK]],Rankings!A:T,8,FALSE)</f>
        <v>Josh Jacobs</v>
      </c>
      <c r="R15" s="58" t="str">
        <f>IFERROR(INDEX(TableRBCalcPts[TM],MATCH(TableRBRanks3141[[#This Row],[Player]],TableRBCalcPts[PLAYER],0)),"")</f>
        <v>GB</v>
      </c>
      <c r="S15" s="58">
        <f>IFERROR(INDEX(TableRBCalcPts[BYE],MATCH(TableRBRanks3141[[#This Row],[Player]],TableRBCalcPts[PLAYER],0)),"")</f>
        <v>11</v>
      </c>
      <c r="T15" s="100">
        <f>VLOOKUP(TableRBRanks3141[[#This Row],[Player]],RB!B:O,4,FALSE)</f>
        <v>244.29464303999998</v>
      </c>
      <c r="U15" s="100">
        <f>VLOOKUP(TableRBRanks3141[[#This Row],[Player]],RB!B:O,5,FALSE)</f>
        <v>992.89385363042413</v>
      </c>
      <c r="V15" s="100">
        <f>VLOOKUP(TableRBRanks3141[[#This Row],[Player]],RB!B:O,6,FALSE)</f>
        <v>11.237553579839998</v>
      </c>
      <c r="W15" s="100">
        <f>VLOOKUP(TableRBRanks3141[[#This Row],[Player]],RB!B:O,7,FALSE)</f>
        <v>45.916429507537686</v>
      </c>
      <c r="X15" s="100">
        <f>VLOOKUP(TableRBRanks3141[[#This Row],[Player]],RB!B:O,8,FALSE)</f>
        <v>34.693487474221634</v>
      </c>
      <c r="Y15" s="100">
        <f>VLOOKUP(TableRBRanks3141[[#This Row],[Player]],RB!B:O,9,FALSE)</f>
        <v>264.40452323508913</v>
      </c>
      <c r="Z15" s="100">
        <f>VLOOKUP(TableRBRanks3141[[#This Row],[Player]],RB!B:O,10,FALSE)</f>
        <v>1.1790050215303887</v>
      </c>
      <c r="AA15" s="95">
        <f>VLOOKUP(TableRBRanks3141[[#This Row],[Player]],RB!B:O,14,FALSE)</f>
        <v>217.57593303188446</v>
      </c>
      <c r="AB15" s="140">
        <f>IF(VLOOKUP(TableRBRanks3141[[#This Row],[Player]],'Ranks w Proj'!$Q:$AB,12,FALSE)&lt;0,0,VLOOKUP(TableRBRanks3141[[#This Row],[Player]],'Ranks w Proj'!$Q:$AB,12,FALSE))</f>
        <v>17.069574155659236</v>
      </c>
      <c r="AD15" s="58">
        <v>14</v>
      </c>
      <c r="AE15" s="58" t="str">
        <f>VLOOKUP(TableWRRanks3242[[#This Row],[RK]],Rankings!A:T,13,FALSE)</f>
        <v>DeVonta Smith</v>
      </c>
      <c r="AF15" s="58" t="str">
        <f>IFERROR(INDEX(TableWRCalcPts[TM],MATCH(TableWRRanks3242[[#This Row],[Player]],TableWRCalcPts[PLAYER],0)),"")</f>
        <v>PHI</v>
      </c>
      <c r="AG15" s="58">
        <f>IFERROR(INDEX(TableWRCalcPts[BYE],MATCH(TableWRRanks3242[[#This Row],[Player]],TableWRCalcPts[PLAYER],0)),"")</f>
        <v>10</v>
      </c>
      <c r="AH15" s="100">
        <f>VLOOKUP(TableWRRanks3242[[#This Row],[Player]],WR!B:O,4,FALSE)</f>
        <v>0</v>
      </c>
      <c r="AI15" s="100">
        <f>VLOOKUP(TableWRRanks3242[[#This Row],[Player]],WR!B:O,5,FALSE)</f>
        <v>0</v>
      </c>
      <c r="AJ15" s="100">
        <f>VLOOKUP(TableWRRanks3242[[#This Row],[Player]],WR!B:O,6,FALSE)</f>
        <v>126.32249784000001</v>
      </c>
      <c r="AK15" s="100">
        <f>VLOOKUP(TableWRRanks3242[[#This Row],[Player]],WR!B:O,7,FALSE)</f>
        <v>86.025621029040011</v>
      </c>
      <c r="AL15" s="100">
        <f>VLOOKUP(TableWRRanks3242[[#This Row],[Player]],WR!B:O,8,FALSE)</f>
        <v>1107.149742643745</v>
      </c>
      <c r="AM15" s="100">
        <f>VLOOKUP(TableWRRanks3242[[#This Row],[Player]],WR!B:O,9,FALSE)</f>
        <v>7.39820340849744</v>
      </c>
      <c r="AN15" s="95">
        <f>VLOOKUP(TableWRRanks3242[[#This Row],[Player]],WR!B:O,13,FALSE)</f>
        <v>198.11700522987917</v>
      </c>
      <c r="AO15" s="140">
        <f>IF(VLOOKUP(TableWRRanks3242[[#This Row],[Player]],'Ranks w Proj'!$AE:$AO,11,FALSE)&lt;0,0,VLOOKUP(TableWRRanks3242[[#This Row],[Player]],'Ranks w Proj'!$AE:$AO,11,FALSE))</f>
        <v>20.259434814192065</v>
      </c>
      <c r="AQ15" s="58">
        <v>14</v>
      </c>
      <c r="AR15" s="58" t="str">
        <f>VLOOKUP(TableTERanks3343[[#This Row],[RK]],Rankings!A:T,18,FALSE)</f>
        <v>Mark Andrews</v>
      </c>
      <c r="AS15" s="58" t="str">
        <f>IFERROR(INDEX(TableTECalcPts[TM],MATCH(TableTERanks3343[[#This Row],[Player]],TableTECalcPts[PLAYER],0)),"")</f>
        <v>BAL</v>
      </c>
      <c r="AT15" s="58">
        <f>IFERROR(INDEX(TableTECalcPts[BYE],MATCH(TableTERanks3343[[#This Row],[Player]],TableTECalcPts[PLAYER],0)),"")</f>
        <v>13</v>
      </c>
      <c r="AU15" s="100">
        <f>VLOOKUP(TableTERanks3343[[#This Row],[Player]],TE!B:O,4,FALSE)</f>
        <v>84.12301183999999</v>
      </c>
      <c r="AV15" s="100">
        <f>VLOOKUP(TableTERanks3343[[#This Row],[Player]],TE!B:O,5,FALSE)</f>
        <v>56.303566443035386</v>
      </c>
      <c r="AW15" s="100">
        <f>VLOOKUP(TableTERanks3343[[#This Row],[Player]],TE!B:O,6,FALSE)</f>
        <v>600.92286879987364</v>
      </c>
      <c r="AX15" s="100">
        <f>VLOOKUP(TableTERanks3343[[#This Row],[Player]],TE!B:O,7,FALSE)</f>
        <v>6.7564279731642465</v>
      </c>
      <c r="AY15" s="95">
        <f>VLOOKUP(TableTERanks3343[[#This Row],[Player]],TE!B:O,11,FALSE)</f>
        <v>128.78263794049053</v>
      </c>
      <c r="AZ15" s="140">
        <f>IF(VLOOKUP(TableTERanks3343[[#This Row],[Player]],'Ranks w Proj'!$AR:$AZ,9,FALSE)&lt;0,0,VLOOKUP(TableTERanks3343[[#This Row],[Player]],'Ranks w Proj'!$AR:$AZ,9,FALSE))</f>
        <v>9.5624068263859296</v>
      </c>
    </row>
    <row r="16" spans="1:52" x14ac:dyDescent="0.25">
      <c r="A16" s="58">
        <v>15</v>
      </c>
      <c r="B16" s="58" t="str">
        <f>VLOOKUP(TableQBRanks3040[[#This Row],[RK]],Rankings!A:T,3,FALSE)</f>
        <v>Matthew Stafford</v>
      </c>
      <c r="C16" s="58" t="str">
        <f>IFERROR(INDEX(TableQBCalcPts[TM],MATCH(TableQBRanks3040[[#This Row],[Player]],TableQBCalcPts[PLAYER],0)),"")</f>
        <v>LAR</v>
      </c>
      <c r="D16" s="58">
        <f>IFERROR(INDEX(TableQBCalcPts[BYE],MATCH(TableQBRanks3040[[#This Row],[Player]],TableQBCalcPts[PLAYER],0)),"")</f>
        <v>11</v>
      </c>
      <c r="E16" s="100">
        <f>VLOOKUP(TableQBRanks3040[[#This Row],[Player]],QB!B:O,4,FALSE)</f>
        <v>571.03200000000004</v>
      </c>
      <c r="F16" s="100">
        <f>VLOOKUP(TableQBRanks3040[[#This Row],[Player]],QB!B:O,5,FALSE)</f>
        <v>371.74183200000004</v>
      </c>
      <c r="G16" s="100">
        <f>VLOOKUP(TableQBRanks3040[[#This Row],[Player]],QB!B:O,6,FALSE)</f>
        <v>4323.3575061600004</v>
      </c>
      <c r="H16" s="100">
        <f>VLOOKUP(TableQBRanks3040[[#This Row],[Player]],QB!B:O,7,FALSE)</f>
        <v>34.571990376000002</v>
      </c>
      <c r="I16" s="100">
        <f>VLOOKUP(TableQBRanks3040[[#This Row],[Player]],QB!B:O,8,FALSE)</f>
        <v>9.7587304586020061</v>
      </c>
      <c r="J16" s="100">
        <f>VLOOKUP(TableQBRanks3040[[#This Row],[Player]],QB!B:O,9,FALSE)</f>
        <v>24.427479999999996</v>
      </c>
      <c r="K16" s="100">
        <f>VLOOKUP(TableQBRanks3040[[#This Row],[Player]],QB!B:O,10,FALSE)</f>
        <v>31.922274999999996</v>
      </c>
      <c r="L16" s="100">
        <f>VLOOKUP(TableQBRanks3040[[#This Row],[Player]],QB!B:O,11,FALSE)</f>
        <v>0.6014341666666666</v>
      </c>
      <c r="M16" s="95">
        <f>VLOOKUP(TableQBRanks3040[[#This Row],[Player]],QB!B:O,13,FALSE)</f>
        <v>414.58252774379804</v>
      </c>
      <c r="N16" s="140">
        <f>IF(VLOOKUP(TableQBRanks3040[[#This Row],[Player]],'Ranks w Proj'!$B:$N,13,FALSE)&lt;0,0,VLOOKUP(TableQBRanks3040[[#This Row],[Player]],'Ranks w Proj'!$B:$N,13,FALSE))</f>
        <v>23.277172890013631</v>
      </c>
      <c r="P16" s="58">
        <v>15</v>
      </c>
      <c r="Q16" s="58" t="str">
        <f>VLOOKUP(TableRBRanks3141[[#This Row],[RK]],Rankings!A:T,8,FALSE)</f>
        <v>Jeremiyah Love</v>
      </c>
      <c r="R16" s="58" t="str">
        <f>IFERROR(INDEX(TableRBCalcPts[TM],MATCH(TableRBRanks3141[[#This Row],[Player]],TableRBCalcPts[PLAYER],0)),"")</f>
        <v>ARI</v>
      </c>
      <c r="S16" s="58">
        <f>IFERROR(INDEX(TableRBCalcPts[BYE],MATCH(TableRBRanks3141[[#This Row],[Player]],TableRBCalcPts[PLAYER],0)),"")</f>
        <v>14</v>
      </c>
      <c r="T16" s="100">
        <f>VLOOKUP(TableRBRanks3141[[#This Row],[Player]],RB!B:O,4,FALSE)</f>
        <v>225.39168960000001</v>
      </c>
      <c r="U16" s="100">
        <f>VLOOKUP(TableRBRanks3141[[#This Row],[Player]],RB!B:O,5,FALSE)</f>
        <v>1007.3544595648907</v>
      </c>
      <c r="V16" s="100">
        <f>VLOOKUP(TableRBRanks3141[[#This Row],[Player]],RB!B:O,6,FALSE)</f>
        <v>6.0855756192000001</v>
      </c>
      <c r="W16" s="100">
        <f>VLOOKUP(TableRBRanks3141[[#This Row],[Player]],RB!B:O,7,FALSE)</f>
        <v>67.823996800000003</v>
      </c>
      <c r="X16" s="100">
        <f>VLOOKUP(TableRBRanks3141[[#This Row],[Player]],RB!B:O,8,FALSE)</f>
        <v>52.631135339598316</v>
      </c>
      <c r="Y16" s="100">
        <f>VLOOKUP(TableRBRanks3141[[#This Row],[Player]],RB!B:O,9,FALSE)</f>
        <v>394.73351504698735</v>
      </c>
      <c r="Z16" s="100">
        <f>VLOOKUP(TableRBRanks3141[[#This Row],[Player]],RB!B:O,10,FALSE)</f>
        <v>1.9473520075651376</v>
      </c>
      <c r="AA16" s="95">
        <f>VLOOKUP(TableRBRanks3141[[#This Row],[Player]],RB!B:O,14,FALSE)</f>
        <v>214.72193089157778</v>
      </c>
      <c r="AB16" s="140">
        <f>IF(VLOOKUP(TableRBRanks3141[[#This Row],[Player]],'Ranks w Proj'!$Q:$AB,12,FALSE)&lt;0,0,VLOOKUP(TableRBRanks3141[[#This Row],[Player]],'Ranks w Proj'!$Q:$AB,12,FALSE))</f>
        <v>16.640610354789246</v>
      </c>
      <c r="AD16" s="58">
        <v>15</v>
      </c>
      <c r="AE16" s="58" t="str">
        <f>VLOOKUP(TableWRRanks3242[[#This Row],[RK]],Rankings!A:T,13,FALSE)</f>
        <v>Tee Higgins</v>
      </c>
      <c r="AF16" s="58" t="str">
        <f>IFERROR(INDEX(TableWRCalcPts[TM],MATCH(TableWRRanks3242[[#This Row],[Player]],TableWRCalcPts[PLAYER],0)),"")</f>
        <v>CIN</v>
      </c>
      <c r="AG16" s="58">
        <f>IFERROR(INDEX(TableWRCalcPts[BYE],MATCH(TableWRRanks3242[[#This Row],[Player]],TableWRCalcPts[PLAYER],0)),"")</f>
        <v>6</v>
      </c>
      <c r="AH16" s="100">
        <f>VLOOKUP(TableWRRanks3242[[#This Row],[Player]],WR!B:O,4,FALSE)</f>
        <v>0</v>
      </c>
      <c r="AI16" s="100">
        <f>VLOOKUP(TableWRRanks3242[[#This Row],[Player]],WR!B:O,5,FALSE)</f>
        <v>0</v>
      </c>
      <c r="AJ16" s="100">
        <f>VLOOKUP(TableWRRanks3242[[#This Row],[Player]],WR!B:O,6,FALSE)</f>
        <v>128.44063750000001</v>
      </c>
      <c r="AK16" s="100">
        <f>VLOOKUP(TableWRRanks3242[[#This Row],[Player]],WR!B:O,7,FALSE)</f>
        <v>80.556362332031256</v>
      </c>
      <c r="AL16" s="100">
        <f>VLOOKUP(TableWRRanks3242[[#This Row],[Player]],WR!B:O,8,FALSE)</f>
        <v>1081.7836240677084</v>
      </c>
      <c r="AM16" s="100">
        <f>VLOOKUP(TableWRRanks3242[[#This Row],[Player]],WR!B:O,9,FALSE)</f>
        <v>10.311214378500001</v>
      </c>
      <c r="AN16" s="95">
        <f>VLOOKUP(TableWRRanks3242[[#This Row],[Player]],WR!B:O,13,FALSE)</f>
        <v>210.32382984378648</v>
      </c>
      <c r="AO16" s="140">
        <f>IF(VLOOKUP(TableWRRanks3242[[#This Row],[Player]],'Ranks w Proj'!$AE:$AO,11,FALSE)&lt;0,0,VLOOKUP(TableWRRanks3242[[#This Row],[Player]],'Ranks w Proj'!$AE:$AO,11,FALSE))</f>
        <v>22.552830905676924</v>
      </c>
      <c r="AQ16" s="58">
        <v>15</v>
      </c>
      <c r="AR16" s="58" t="str">
        <f>VLOOKUP(TableTERanks3343[[#This Row],[RK]],Rankings!A:T,18,FALSE)</f>
        <v>Dallas Goedert</v>
      </c>
      <c r="AS16" s="58" t="str">
        <f>IFERROR(INDEX(TableTECalcPts[TM],MATCH(TableTERanks3343[[#This Row],[Player]],TableTECalcPts[PLAYER],0)),"")</f>
        <v>PHI</v>
      </c>
      <c r="AT16" s="58">
        <f>IFERROR(INDEX(TableTECalcPts[BYE],MATCH(TableTERanks3343[[#This Row],[Player]],TableTECalcPts[PLAYER],0)),"")</f>
        <v>10</v>
      </c>
      <c r="AU16" s="100">
        <f>VLOOKUP(TableTERanks3343[[#This Row],[Player]],TE!B:O,4,FALSE)</f>
        <v>78.771443520000005</v>
      </c>
      <c r="AV16" s="100">
        <f>VLOOKUP(TableTERanks3343[[#This Row],[Player]],TE!B:O,5,FALSE)</f>
        <v>55.376324794559999</v>
      </c>
      <c r="AW16" s="100">
        <f>VLOOKUP(TableTERanks3343[[#This Row],[Player]],TE!B:O,6,FALSE)</f>
        <v>558.71150776058289</v>
      </c>
      <c r="AX16" s="100">
        <f>VLOOKUP(TableTERanks3343[[#This Row],[Player]],TE!B:O,7,FALSE)</f>
        <v>5.0946218810995196</v>
      </c>
      <c r="AY16" s="95">
        <f>VLOOKUP(TableTERanks3343[[#This Row],[Player]],TE!B:O,11,FALSE)</f>
        <v>114.12704445993541</v>
      </c>
      <c r="AZ16" s="140">
        <f>IF(VLOOKUP(TableTERanks3343[[#This Row],[Player]],'Ranks w Proj'!$AR:$AZ,9,FALSE)&lt;0,0,VLOOKUP(TableTERanks3343[[#This Row],[Player]],'Ranks w Proj'!$AR:$AZ,9,FALSE))</f>
        <v>6.8089404770453488</v>
      </c>
    </row>
    <row r="17" spans="1:52" x14ac:dyDescent="0.25">
      <c r="A17" s="58">
        <v>16</v>
      </c>
      <c r="B17" s="58" t="str">
        <f>VLOOKUP(TableQBRanks3040[[#This Row],[RK]],Rankings!A:T,3,FALSE)</f>
        <v>Kyler Murray</v>
      </c>
      <c r="C17" s="58" t="str">
        <f>IFERROR(INDEX(TableQBCalcPts[TM],MATCH(TableQBRanks3040[[#This Row],[Player]],TableQBCalcPts[PLAYER],0)),"")</f>
        <v>MIN</v>
      </c>
      <c r="D17" s="58">
        <f>IFERROR(INDEX(TableQBCalcPts[BYE],MATCH(TableQBRanks3040[[#This Row],[Player]],TableQBCalcPts[PLAYER],0)),"")</f>
        <v>6</v>
      </c>
      <c r="E17" s="100">
        <f>VLOOKUP(TableQBRanks3040[[#This Row],[Player]],QB!B:O,4,FALSE)</f>
        <v>513.69920000000002</v>
      </c>
      <c r="F17" s="100">
        <f>VLOOKUP(TableQBRanks3040[[#This Row],[Player]],QB!B:O,5,FALSE)</f>
        <v>349.842312690303</v>
      </c>
      <c r="G17" s="100">
        <f>VLOOKUP(TableQBRanks3040[[#This Row],[Player]],QB!B:O,6,FALSE)</f>
        <v>3673.3442832481815</v>
      </c>
      <c r="H17" s="100">
        <f>VLOOKUP(TableQBRanks3040[[#This Row],[Player]],QB!B:O,7,FALSE)</f>
        <v>22.739750324869696</v>
      </c>
      <c r="I17" s="100">
        <f>VLOOKUP(TableQBRanks3040[[#This Row],[Player]],QB!B:O,8,FALSE)</f>
        <v>10.218902894788569</v>
      </c>
      <c r="J17" s="100">
        <f>VLOOKUP(TableQBRanks3040[[#This Row],[Player]],QB!B:O,9,FALSE)</f>
        <v>77.734775999999982</v>
      </c>
      <c r="K17" s="100">
        <f>VLOOKUP(TableQBRanks3040[[#This Row],[Player]],QB!B:O,10,FALSE)</f>
        <v>466.85013550489185</v>
      </c>
      <c r="L17" s="100">
        <f>VLOOKUP(TableQBRanks3040[[#This Row],[Player]],QB!B:O,11,FALSE)</f>
        <v>3.7312692479999994</v>
      </c>
      <c r="M17" s="95">
        <f>VLOOKUP(TableQBRanks3040[[#This Row],[Player]],QB!B:O,13,FALSE)</f>
        <v>377.21023069187635</v>
      </c>
      <c r="N17" s="140">
        <f>IF(VLOOKUP(TableQBRanks3040[[#This Row],[Player]],'Ranks w Proj'!$B:$N,13,FALSE)&lt;0,0,VLOOKUP(TableQBRanks3040[[#This Row],[Player]],'Ranks w Proj'!$B:$N,13,FALSE))</f>
        <v>14.948735695278563</v>
      </c>
      <c r="P17" s="58">
        <v>16</v>
      </c>
      <c r="Q17" s="58" t="str">
        <f>VLOOKUP(TableRBRanks3141[[#This Row],[RK]],Rankings!A:T,8,FALSE)</f>
        <v>Javonte Williams</v>
      </c>
      <c r="R17" s="58" t="str">
        <f>IFERROR(INDEX(TableRBCalcPts[TM],MATCH(TableRBRanks3141[[#This Row],[Player]],TableRBCalcPts[PLAYER],0)),"")</f>
        <v>DAL</v>
      </c>
      <c r="S17" s="58">
        <f>IFERROR(INDEX(TableRBCalcPts[BYE],MATCH(TableRBRanks3141[[#This Row],[Player]],TableRBCalcPts[PLAYER],0)),"")</f>
        <v>14</v>
      </c>
      <c r="T17" s="100">
        <f>VLOOKUP(TableRBRanks3141[[#This Row],[Player]],RB!B:O,4,FALSE)</f>
        <v>262.13087039999999</v>
      </c>
      <c r="U17" s="100">
        <f>VLOOKUP(TableRBRanks3141[[#This Row],[Player]],RB!B:O,5,FALSE)</f>
        <v>1195.3167690239998</v>
      </c>
      <c r="V17" s="100">
        <f>VLOOKUP(TableRBRanks3141[[#This Row],[Player]],RB!B:O,6,FALSE)</f>
        <v>9.6988422048</v>
      </c>
      <c r="W17" s="100">
        <f>VLOOKUP(TableRBRanks3141[[#This Row],[Player]],RB!B:O,7,FALSE)</f>
        <v>53.043205599999993</v>
      </c>
      <c r="X17" s="100">
        <f>VLOOKUP(TableRBRanks3141[[#This Row],[Player]],RB!B:O,8,FALSE)</f>
        <v>37.638304011733325</v>
      </c>
      <c r="Y17" s="100">
        <f>VLOOKUP(TableRBRanks3141[[#This Row],[Player]],RB!B:O,9,FALSE)</f>
        <v>191.03492454933334</v>
      </c>
      <c r="Z17" s="100">
        <f>VLOOKUP(TableRBRanks3141[[#This Row],[Player]],RB!B:O,10,FALSE)</f>
        <v>1.9195535045983994</v>
      </c>
      <c r="AA17" s="95">
        <f>VLOOKUP(TableRBRanks3141[[#This Row],[Player]],RB!B:O,14,FALSE)</f>
        <v>227.16469561959036</v>
      </c>
      <c r="AB17" s="140">
        <f>IF(VLOOKUP(TableRBRanks3141[[#This Row],[Player]],'Ranks w Proj'!$Q:$AB,12,FALSE)&lt;0,0,VLOOKUP(TableRBRanks3141[[#This Row],[Player]],'Ranks w Proj'!$Q:$AB,12,FALSE))</f>
        <v>18.510789628896504</v>
      </c>
      <c r="AD17" s="58">
        <v>16</v>
      </c>
      <c r="AE17" s="58" t="str">
        <f>VLOOKUP(TableWRRanks3242[[#This Row],[RK]],Rankings!A:T,13,FALSE)</f>
        <v>Rashee Rice</v>
      </c>
      <c r="AF17" s="58" t="str">
        <f>IFERROR(INDEX(TableWRCalcPts[TM],MATCH(TableWRRanks3242[[#This Row],[Player]],TableWRCalcPts[PLAYER],0)),"")</f>
        <v>KC</v>
      </c>
      <c r="AG17" s="58">
        <f>IFERROR(INDEX(TableWRCalcPts[BYE],MATCH(TableWRRanks3242[[#This Row],[Player]],TableWRCalcPts[PLAYER],0)),"")</f>
        <v>5</v>
      </c>
      <c r="AH17" s="100">
        <f>VLOOKUP(TableWRRanks3242[[#This Row],[Player]],WR!B:O,4,FALSE)</f>
        <v>27.306853604231787</v>
      </c>
      <c r="AI17" s="100">
        <f>VLOOKUP(TableWRRanks3242[[#This Row],[Player]],WR!B:O,5,FALSE)</f>
        <v>0.41619956720365475</v>
      </c>
      <c r="AJ17" s="100">
        <f>VLOOKUP(TableWRRanks3242[[#This Row],[Player]],WR!B:O,6,FALSE)</f>
        <v>128.80482999999998</v>
      </c>
      <c r="AK17" s="100">
        <f>VLOOKUP(TableWRRanks3242[[#This Row],[Player]],WR!B:O,7,FALSE)</f>
        <v>87.587284399999987</v>
      </c>
      <c r="AL17" s="100">
        <f>VLOOKUP(TableWRRanks3242[[#This Row],[Player]],WR!B:O,8,FALSE)</f>
        <v>975.90036041213159</v>
      </c>
      <c r="AM17" s="100">
        <f>VLOOKUP(TableWRRanks3242[[#This Row],[Player]],WR!B:O,9,FALSE)</f>
        <v>8.4083793023999984</v>
      </c>
      <c r="AN17" s="95">
        <f>VLOOKUP(TableWRRanks3242[[#This Row],[Player]],WR!B:O,13,FALSE)</f>
        <v>197.06183681925825</v>
      </c>
      <c r="AO17" s="140">
        <f>IF(VLOOKUP(TableWRRanks3242[[#This Row],[Player]],'Ranks w Proj'!$AE:$AO,11,FALSE)&lt;0,0,VLOOKUP(TableWRRanks3242[[#This Row],[Player]],'Ranks w Proj'!$AE:$AO,11,FALSE))</f>
        <v>20.061191685015022</v>
      </c>
      <c r="AQ17" s="58">
        <v>16</v>
      </c>
      <c r="AR17" s="58" t="str">
        <f>VLOOKUP(TableTERanks3343[[#This Row],[RK]],Rankings!A:T,18,FALSE)</f>
        <v>T.J. Hockenson</v>
      </c>
      <c r="AS17" s="58" t="str">
        <f>IFERROR(INDEX(TableTECalcPts[TM],MATCH(TableTERanks3343[[#This Row],[Player]],TableTECalcPts[PLAYER],0)),"")</f>
        <v>MIN</v>
      </c>
      <c r="AT17" s="58">
        <f>IFERROR(INDEX(TableTECalcPts[BYE],MATCH(TableTERanks3343[[#This Row],[Player]],TableTECalcPts[PLAYER],0)),"")</f>
        <v>6</v>
      </c>
      <c r="AU17" s="100">
        <f>VLOOKUP(TableTERanks3343[[#This Row],[Player]],TE!B:O,4,FALSE)</f>
        <v>96.445672959999996</v>
      </c>
      <c r="AV17" s="100">
        <f>VLOOKUP(TableTERanks3343[[#This Row],[Player]],TE!B:O,5,FALSE)</f>
        <v>70.415039708360226</v>
      </c>
      <c r="AW17" s="100">
        <f>VLOOKUP(TableTERanks3343[[#This Row],[Player]],TE!B:O,6,FALSE)</f>
        <v>617.05294996637326</v>
      </c>
      <c r="AX17" s="100">
        <f>VLOOKUP(TableTERanks3343[[#This Row],[Player]],TE!B:O,7,FALSE)</f>
        <v>4.2249023825016137</v>
      </c>
      <c r="AY17" s="95">
        <f>VLOOKUP(TableTERanks3343[[#This Row],[Player]],TE!B:O,11,FALSE)</f>
        <v>122.26222914582712</v>
      </c>
      <c r="AZ17" s="140">
        <f>IF(VLOOKUP(TableTERanks3343[[#This Row],[Player]],'Ranks w Proj'!$AR:$AZ,9,FALSE)&lt;0,0,VLOOKUP(TableTERanks3343[[#This Row],[Player]],'Ranks w Proj'!$AR:$AZ,9,FALSE))</f>
        <v>8.3373642360690745</v>
      </c>
    </row>
    <row r="18" spans="1:52" x14ac:dyDescent="0.25">
      <c r="A18" s="58">
        <v>17</v>
      </c>
      <c r="B18" s="58" t="str">
        <f>VLOOKUP(TableQBRanks3040[[#This Row],[RK]],Rankings!A:T,3,FALSE)</f>
        <v>Malik Willis</v>
      </c>
      <c r="C18" s="58" t="str">
        <f>IFERROR(INDEX(TableQBCalcPts[TM],MATCH(TableQBRanks3040[[#This Row],[Player]],TableQBCalcPts[PLAYER],0)),"")</f>
        <v>MIA</v>
      </c>
      <c r="D18" s="58">
        <f>IFERROR(INDEX(TableQBCalcPts[BYE],MATCH(TableQBRanks3040[[#This Row],[Player]],TableQBCalcPts[PLAYER],0)),"")</f>
        <v>6</v>
      </c>
      <c r="E18" s="100">
        <f>VLOOKUP(TableQBRanks3040[[#This Row],[Player]],QB!B:O,4,FALSE)</f>
        <v>487.42209000000003</v>
      </c>
      <c r="F18" s="100">
        <f>VLOOKUP(TableQBRanks3040[[#This Row],[Player]],QB!B:O,5,FALSE)</f>
        <v>321.86930607687435</v>
      </c>
      <c r="G18" s="100">
        <f>VLOOKUP(TableQBRanks3040[[#This Row],[Player]],QB!B:O,6,FALSE)</f>
        <v>3469.7511195087054</v>
      </c>
      <c r="H18" s="100">
        <f>VLOOKUP(TableQBRanks3040[[#This Row],[Player]],QB!B:O,7,FALSE)</f>
        <v>18.024681140304963</v>
      </c>
      <c r="I18" s="100">
        <f>VLOOKUP(TableQBRanks3040[[#This Row],[Player]],QB!B:O,8,FALSE)</f>
        <v>10.257034655343029</v>
      </c>
      <c r="J18" s="100">
        <f>VLOOKUP(TableQBRanks3040[[#This Row],[Player]],QB!B:O,9,FALSE)</f>
        <v>109.2995619288657</v>
      </c>
      <c r="K18" s="100">
        <f>VLOOKUP(TableQBRanks3040[[#This Row],[Player]],QB!B:O,10,FALSE)</f>
        <v>598.9615993701841</v>
      </c>
      <c r="L18" s="100">
        <f>VLOOKUP(TableQBRanks3040[[#This Row],[Player]],QB!B:O,11,FALSE)</f>
        <v>4.6998811629412245</v>
      </c>
      <c r="M18" s="95">
        <f>VLOOKUP(TableQBRanks3040[[#This Row],[Player]],QB!B:O,13,FALSE)</f>
        <v>356.96347448918812</v>
      </c>
      <c r="N18" s="140">
        <f>IF(VLOOKUP(TableQBRanks3040[[#This Row],[Player]],'Ranks w Proj'!$B:$N,13,FALSE)&lt;0,0,VLOOKUP(TableQBRanks3040[[#This Row],[Player]],'Ranks w Proj'!$B:$N,13,FALSE))</f>
        <v>9.5179705225548545</v>
      </c>
      <c r="P18" s="58">
        <v>17</v>
      </c>
      <c r="Q18" s="58" t="str">
        <f>VLOOKUP(TableRBRanks3141[[#This Row],[RK]],Rankings!A:T,8,FALSE)</f>
        <v>Breece Hall</v>
      </c>
      <c r="R18" s="58" t="str">
        <f>IFERROR(INDEX(TableRBCalcPts[TM],MATCH(TableRBRanks3141[[#This Row],[Player]],TableRBCalcPts[PLAYER],0)),"")</f>
        <v>NYJ</v>
      </c>
      <c r="S18" s="58">
        <f>IFERROR(INDEX(TableRBCalcPts[BYE],MATCH(TableRBRanks3141[[#This Row],[Player]],TableRBCalcPts[PLAYER],0)),"")</f>
        <v>13</v>
      </c>
      <c r="T18" s="100">
        <f>VLOOKUP(TableRBRanks3141[[#This Row],[Player]],RB!B:O,4,FALSE)</f>
        <v>227.64955080000004</v>
      </c>
      <c r="U18" s="100">
        <f>VLOOKUP(TableRBRanks3141[[#This Row],[Player]],RB!B:O,5,FALSE)</f>
        <v>1013.0405010600002</v>
      </c>
      <c r="V18" s="100">
        <f>VLOOKUP(TableRBRanks3141[[#This Row],[Player]],RB!B:O,6,FALSE)</f>
        <v>6.0582160827732814</v>
      </c>
      <c r="W18" s="100">
        <f>VLOOKUP(TableRBRanks3141[[#This Row],[Player]],RB!B:O,7,FALSE)</f>
        <v>63.459983635032508</v>
      </c>
      <c r="X18" s="100">
        <f>VLOOKUP(TableRBRanks3141[[#This Row],[Player]],RB!B:O,8,FALSE)</f>
        <v>50.28863098644387</v>
      </c>
      <c r="Y18" s="100">
        <f>VLOOKUP(TableRBRanks3141[[#This Row],[Player]],RB!B:O,9,FALSE)</f>
        <v>439.2112076408128</v>
      </c>
      <c r="Z18" s="100">
        <f>VLOOKUP(TableRBRanks3141[[#This Row],[Player]],RB!B:O,10,FALSE)</f>
        <v>2.1624111324170863</v>
      </c>
      <c r="AA18" s="95">
        <f>VLOOKUP(TableRBRanks3141[[#This Row],[Player]],RB!B:O,14,FALSE)</f>
        <v>219.69324965444545</v>
      </c>
      <c r="AB18" s="140">
        <f>IF(VLOOKUP(TableRBRanks3141[[#This Row],[Player]],'Ranks w Proj'!$Q:$AB,12,FALSE)&lt;0,0,VLOOKUP(TableRBRanks3141[[#This Row],[Player]],'Ranks w Proj'!$Q:$AB,12,FALSE))</f>
        <v>17.387812244282873</v>
      </c>
      <c r="AD18" s="58">
        <v>17</v>
      </c>
      <c r="AE18" s="58" t="str">
        <f>VLOOKUP(TableWRRanks3242[[#This Row],[RK]],Rankings!A:T,13,FALSE)</f>
        <v>Emeka Egbuka</v>
      </c>
      <c r="AF18" s="58" t="str">
        <f>IFERROR(INDEX(TableWRCalcPts[TM],MATCH(TableWRRanks3242[[#This Row],[Player]],TableWRCalcPts[PLAYER],0)),"")</f>
        <v>TB</v>
      </c>
      <c r="AG18" s="58">
        <f>IFERROR(INDEX(TableWRCalcPts[BYE],MATCH(TableWRRanks3242[[#This Row],[Player]],TableWRCalcPts[PLAYER],0)),"")</f>
        <v>10</v>
      </c>
      <c r="AH18" s="100">
        <f>VLOOKUP(TableWRRanks3242[[#This Row],[Player]],WR!B:O,4,FALSE)</f>
        <v>0</v>
      </c>
      <c r="AI18" s="100">
        <f>VLOOKUP(TableWRRanks3242[[#This Row],[Player]],WR!B:O,5,FALSE)</f>
        <v>0</v>
      </c>
      <c r="AJ18" s="100">
        <f>VLOOKUP(TableWRRanks3242[[#This Row],[Player]],WR!B:O,6,FALSE)</f>
        <v>129.12802811999995</v>
      </c>
      <c r="AK18" s="100">
        <f>VLOOKUP(TableWRRanks3242[[#This Row],[Player]],WR!B:O,7,FALSE)</f>
        <v>72.440823775319984</v>
      </c>
      <c r="AL18" s="100">
        <f>VLOOKUP(TableWRRanks3242[[#This Row],[Player]],WR!B:O,8,FALSE)</f>
        <v>1062.7068847839441</v>
      </c>
      <c r="AM18" s="100">
        <f>VLOOKUP(TableWRRanks3242[[#This Row],[Player]],WR!B:O,9,FALSE)</f>
        <v>7.5338456726332783</v>
      </c>
      <c r="AN18" s="95">
        <f>VLOOKUP(TableWRRanks3242[[#This Row],[Player]],WR!B:O,13,FALSE)</f>
        <v>187.69417440185407</v>
      </c>
      <c r="AO18" s="140">
        <f>IF(VLOOKUP(TableWRRanks3242[[#This Row],[Player]],'Ranks w Proj'!$AE:$AO,11,FALSE)&lt;0,0,VLOOKUP(TableWRRanks3242[[#This Row],[Player]],'Ranks w Proj'!$AE:$AO,11,FALSE))</f>
        <v>18.301212242863642</v>
      </c>
      <c r="AQ18" s="58">
        <v>17</v>
      </c>
      <c r="AR18" s="58" t="str">
        <f>VLOOKUP(TableTERanks3343[[#This Row],[RK]],Rankings!A:T,18,FALSE)</f>
        <v>Chig Okonkwo</v>
      </c>
      <c r="AS18" s="58" t="str">
        <f>IFERROR(INDEX(TableTECalcPts[TM],MATCH(TableTERanks3343[[#This Row],[Player]],TableTECalcPts[PLAYER],0)),"")</f>
        <v>WSH</v>
      </c>
      <c r="AT18" s="58">
        <f>IFERROR(INDEX(TableTECalcPts[BYE],MATCH(TableTERanks3343[[#This Row],[Player]],TableTECalcPts[PLAYER],0)),"")</f>
        <v>7</v>
      </c>
      <c r="AU18" s="100">
        <f>VLOOKUP(TableTERanks3343[[#This Row],[Player]],TE!B:O,4,FALSE)</f>
        <v>87.118912999999978</v>
      </c>
      <c r="AV18" s="100">
        <f>VLOOKUP(TableTERanks3343[[#This Row],[Player]],TE!B:O,5,FALSE)</f>
        <v>62.290022794999985</v>
      </c>
      <c r="AW18" s="100">
        <f>VLOOKUP(TableTERanks3343[[#This Row],[Player]],TE!B:O,6,FALSE)</f>
        <v>650.30783797979984</v>
      </c>
      <c r="AX18" s="100">
        <f>VLOOKUP(TableTERanks3343[[#This Row],[Player]],TE!B:O,7,FALSE)</f>
        <v>4.2980115728549997</v>
      </c>
      <c r="AY18" s="95">
        <f>VLOOKUP(TableTERanks3343[[#This Row],[Player]],TE!B:O,11,FALSE)</f>
        <v>121.96386463260998</v>
      </c>
      <c r="AZ18" s="140">
        <f>IF(VLOOKUP(TableTERanks3343[[#This Row],[Player]],'Ranks w Proj'!$AR:$AZ,9,FALSE)&lt;0,0,VLOOKUP(TableTERanks3343[[#This Row],[Player]],'Ranks w Proj'!$AR:$AZ,9,FALSE))</f>
        <v>8.2813080519185807</v>
      </c>
    </row>
    <row r="19" spans="1:52" x14ac:dyDescent="0.25">
      <c r="A19" s="58">
        <v>18</v>
      </c>
      <c r="B19" s="58" t="str">
        <f>VLOOKUP(TableQBRanks3040[[#This Row],[RK]],Rankings!A:T,3,FALSE)</f>
        <v>Jared Goff</v>
      </c>
      <c r="C19" s="58" t="str">
        <f>IFERROR(INDEX(TableQBCalcPts[TM],MATCH(TableQBRanks3040[[#This Row],[Player]],TableQBCalcPts[PLAYER],0)),"")</f>
        <v>DET</v>
      </c>
      <c r="D19" s="58">
        <f>IFERROR(INDEX(TableQBCalcPts[BYE],MATCH(TableQBRanks3040[[#This Row],[Player]],TableQBCalcPts[PLAYER],0)),"")</f>
        <v>6</v>
      </c>
      <c r="E19" s="100">
        <f>VLOOKUP(TableQBRanks3040[[#This Row],[Player]],QB!B:O,4,FALSE)</f>
        <v>585.41279999999995</v>
      </c>
      <c r="F19" s="100">
        <f>VLOOKUP(TableQBRanks3040[[#This Row],[Player]],QB!B:O,5,FALSE)</f>
        <v>402.75215997183261</v>
      </c>
      <c r="G19" s="100">
        <f>VLOOKUP(TableQBRanks3040[[#This Row],[Player]],QB!B:O,6,FALSE)</f>
        <v>4642.5269653189362</v>
      </c>
      <c r="H19" s="100">
        <f>VLOOKUP(TableQBRanks3040[[#This Row],[Player]],QB!B:O,7,FALSE)</f>
        <v>32.220172797746606</v>
      </c>
      <c r="I19" s="100">
        <f>VLOOKUP(TableQBRanks3040[[#This Row],[Player]],QB!B:O,8,FALSE)</f>
        <v>10.980004422275686</v>
      </c>
      <c r="J19" s="100">
        <f>VLOOKUP(TableQBRanks3040[[#This Row],[Player]],QB!B:O,9,FALSE)</f>
        <v>19.431596800000001</v>
      </c>
      <c r="K19" s="100">
        <f>VLOOKUP(TableQBRanks3040[[#This Row],[Player]],QB!B:O,10,FALSE)</f>
        <v>38.992333759437948</v>
      </c>
      <c r="L19" s="100">
        <f>VLOOKUP(TableQBRanks3040[[#This Row],[Player]],QB!B:O,11,FALSE)</f>
        <v>0.49196251214456382</v>
      </c>
      <c r="M19" s="95">
        <f>VLOOKUP(TableQBRanks3040[[#This Row],[Player]],QB!B:O,13,FALSE)</f>
        <v>415.16833542295586</v>
      </c>
      <c r="N19" s="140">
        <f>IF(VLOOKUP(TableQBRanks3040[[#This Row],[Player]],'Ranks w Proj'!$B:$N,13,FALSE)&lt;0,0,VLOOKUP(TableQBRanks3040[[#This Row],[Player]],'Ranks w Proj'!$B:$N,13,FALSE))</f>
        <v>23.845131325520654</v>
      </c>
      <c r="P19" s="58">
        <v>18</v>
      </c>
      <c r="Q19" s="58" t="str">
        <f>VLOOKUP(TableRBRanks3141[[#This Row],[RK]],Rankings!A:T,8,FALSE)</f>
        <v>Cam Skattebo</v>
      </c>
      <c r="R19" s="58" t="str">
        <f>IFERROR(INDEX(TableRBCalcPts[TM],MATCH(TableRBRanks3141[[#This Row],[Player]],TableRBCalcPts[PLAYER],0)),"")</f>
        <v>NYG</v>
      </c>
      <c r="S19" s="58">
        <f>IFERROR(INDEX(TableRBCalcPts[BYE],MATCH(TableRBRanks3141[[#This Row],[Player]],TableRBCalcPts[PLAYER],0)),"")</f>
        <v>8</v>
      </c>
      <c r="T19" s="100">
        <f>VLOOKUP(TableRBRanks3141[[#This Row],[Player]],RB!B:O,4,FALSE)</f>
        <v>255.00805596000001</v>
      </c>
      <c r="U19" s="100">
        <f>VLOOKUP(TableRBRanks3141[[#This Row],[Player]],RB!B:O,5,FALSE)</f>
        <v>1083.7842378299999</v>
      </c>
      <c r="V19" s="100">
        <f>VLOOKUP(TableRBRanks3141[[#This Row],[Player]],RB!B:O,6,FALSE)</f>
        <v>8.4152658466800005</v>
      </c>
      <c r="W19" s="100">
        <f>VLOOKUP(TableRBRanks3141[[#This Row],[Player]],RB!B:O,7,FALSE)</f>
        <v>54.880489020000006</v>
      </c>
      <c r="X19" s="100">
        <f>VLOOKUP(TableRBRanks3141[[#This Row],[Player]],RB!B:O,8,FALSE)</f>
        <v>40.392039918720002</v>
      </c>
      <c r="Y19" s="100">
        <f>VLOOKUP(TableRBRanks3141[[#This Row],[Player]],RB!B:O,9,FALSE)</f>
        <v>308.19126457983361</v>
      </c>
      <c r="Z19" s="100">
        <f>VLOOKUP(TableRBRanks3141[[#This Row],[Player]],RB!B:O,10,FALSE)</f>
        <v>2.3158899697985933</v>
      </c>
      <c r="AA19" s="95">
        <f>VLOOKUP(TableRBRanks3141[[#This Row],[Player]],RB!B:O,14,FALSE)</f>
        <v>223.78050509921496</v>
      </c>
      <c r="AB19" s="140">
        <f>IF(VLOOKUP(TableRBRanks3141[[#This Row],[Player]],'Ranks w Proj'!$Q:$AB,12,FALSE)&lt;0,0,VLOOKUP(TableRBRanks3141[[#This Row],[Player]],'Ranks w Proj'!$Q:$AB,12,FALSE))</f>
        <v>18.002137162247539</v>
      </c>
      <c r="AD19" s="58">
        <v>18</v>
      </c>
      <c r="AE19" s="58" t="str">
        <f>VLOOKUP(TableWRRanks3242[[#This Row],[RK]],Rankings!A:T,13,FALSE)</f>
        <v>Ladd McConkey</v>
      </c>
      <c r="AF19" s="58" t="str">
        <f>IFERROR(INDEX(TableWRCalcPts[TM],MATCH(TableWRRanks3242[[#This Row],[Player]],TableWRCalcPts[PLAYER],0)),"")</f>
        <v>LAC</v>
      </c>
      <c r="AG19" s="58">
        <f>IFERROR(INDEX(TableWRCalcPts[BYE],MATCH(TableWRRanks3242[[#This Row],[Player]],TableWRCalcPts[PLAYER],0)),"")</f>
        <v>7</v>
      </c>
      <c r="AH19" s="100">
        <f>VLOOKUP(TableWRRanks3242[[#This Row],[Player]],WR!B:O,4,FALSE)</f>
        <v>0</v>
      </c>
      <c r="AI19" s="100">
        <f>VLOOKUP(TableWRRanks3242[[#This Row],[Player]],WR!B:O,5,FALSE)</f>
        <v>0</v>
      </c>
      <c r="AJ19" s="100">
        <f>VLOOKUP(TableWRRanks3242[[#This Row],[Player]],WR!B:O,6,FALSE)</f>
        <v>128.13756955999997</v>
      </c>
      <c r="AK19" s="100">
        <f>VLOOKUP(TableWRRanks3242[[#This Row],[Player]],WR!B:O,7,FALSE)</f>
        <v>85.17099006658664</v>
      </c>
      <c r="AL19" s="100">
        <f>VLOOKUP(TableWRRanks3242[[#This Row],[Player]],WR!B:O,8,FALSE)</f>
        <v>1129.3673282829388</v>
      </c>
      <c r="AM19" s="100">
        <f>VLOOKUP(TableWRRanks3242[[#This Row],[Player]],WR!B:O,9,FALSE)</f>
        <v>6.8136792053269311</v>
      </c>
      <c r="AN19" s="95">
        <f>VLOOKUP(TableWRRanks3242[[#This Row],[Player]],WR!B:O,13,FALSE)</f>
        <v>196.40430309354878</v>
      </c>
      <c r="AO19" s="140">
        <f>IF(VLOOKUP(TableWRRanks3242[[#This Row],[Player]],'Ranks w Proj'!$AE:$AO,11,FALSE)&lt;0,0,VLOOKUP(TableWRRanks3242[[#This Row],[Player]],'Ranks w Proj'!$AE:$AO,11,FALSE))</f>
        <v>19.937655439983413</v>
      </c>
      <c r="AQ19" s="58">
        <v>18</v>
      </c>
      <c r="AR19" s="58" t="str">
        <f>VLOOKUP(TableTERanks3343[[#This Row],[RK]],Rankings!A:T,18,FALSE)</f>
        <v>Hunter Henry</v>
      </c>
      <c r="AS19" s="58" t="str">
        <f>IFERROR(INDEX(TableTECalcPts[TM],MATCH(TableTERanks3343[[#This Row],[Player]],TableTECalcPts[PLAYER],0)),"")</f>
        <v>NE</v>
      </c>
      <c r="AT19" s="58">
        <f>IFERROR(INDEX(TableTECalcPts[BYE],MATCH(TableTERanks3343[[#This Row],[Player]],TableTECalcPts[PLAYER],0)),"")</f>
        <v>11</v>
      </c>
      <c r="AU19" s="100">
        <f>VLOOKUP(TableTERanks3343[[#This Row],[Player]],TE!B:O,4,FALSE)</f>
        <v>78.534691199999969</v>
      </c>
      <c r="AV19" s="100">
        <f>VLOOKUP(TableTERanks3343[[#This Row],[Player]],TE!B:O,5,FALSE)</f>
        <v>54.324388158843846</v>
      </c>
      <c r="AW19" s="100">
        <f>VLOOKUP(TableTERanks3343[[#This Row],[Player]],TE!B:O,6,FALSE)</f>
        <v>630.16290264258862</v>
      </c>
      <c r="AX19" s="100">
        <f>VLOOKUP(TableTERanks3343[[#This Row],[Player]],TE!B:O,7,FALSE)</f>
        <v>4.9435193224547902</v>
      </c>
      <c r="AY19" s="95">
        <f>VLOOKUP(TableTERanks3343[[#This Row],[Player]],TE!B:O,11,FALSE)</f>
        <v>119.83960027840953</v>
      </c>
      <c r="AZ19" s="140">
        <f>IF(VLOOKUP(TableTERanks3343[[#This Row],[Player]],'Ranks w Proj'!$AR:$AZ,9,FALSE)&lt;0,0,VLOOKUP(TableTERanks3343[[#This Row],[Player]],'Ranks w Proj'!$AR:$AZ,9,FALSE))</f>
        <v>7.8822051139068829</v>
      </c>
    </row>
    <row r="20" spans="1:52" x14ac:dyDescent="0.25">
      <c r="A20" s="58">
        <v>19</v>
      </c>
      <c r="B20" s="58" t="str">
        <f>VLOOKUP(TableQBRanks3040[[#This Row],[RK]],Rankings!A:T,3,FALSE)</f>
        <v>Baker Mayfield</v>
      </c>
      <c r="C20" s="58" t="str">
        <f>IFERROR(INDEX(TableQBCalcPts[TM],MATCH(TableQBRanks3040[[#This Row],[Player]],TableQBCalcPts[PLAYER],0)),"")</f>
        <v>TB</v>
      </c>
      <c r="D20" s="58">
        <f>IFERROR(INDEX(TableQBCalcPts[BYE],MATCH(TableQBRanks3040[[#This Row],[Player]],TableQBCalcPts[PLAYER],0)),"")</f>
        <v>10</v>
      </c>
      <c r="E20" s="100">
        <f>VLOOKUP(TableQBRanks3040[[#This Row],[Player]],QB!B:O,4,FALSE)</f>
        <v>551.82917999999995</v>
      </c>
      <c r="F20" s="100">
        <f>VLOOKUP(TableQBRanks3040[[#This Row],[Player]],QB!B:O,5,FALSE)</f>
        <v>360.41861641973418</v>
      </c>
      <c r="G20" s="100">
        <f>VLOOKUP(TableQBRanks3040[[#This Row],[Player]],QB!B:O,6,FALSE)</f>
        <v>3995.2922074491207</v>
      </c>
      <c r="H20" s="100">
        <f>VLOOKUP(TableQBRanks3040[[#This Row],[Player]],QB!B:O,7,FALSE)</f>
        <v>26.954512554729995</v>
      </c>
      <c r="I20" s="100">
        <f>VLOOKUP(TableQBRanks3040[[#This Row],[Player]],QB!B:O,8,FALSE)</f>
        <v>12.917319135767858</v>
      </c>
      <c r="J20" s="100">
        <f>VLOOKUP(TableQBRanks3040[[#This Row],[Player]],QB!B:O,9,FALSE)</f>
        <v>53.873975119999997</v>
      </c>
      <c r="K20" s="100">
        <f>VLOOKUP(TableQBRanks3040[[#This Row],[Player]],QB!B:O,10,FALSE)</f>
        <v>328.63124823199996</v>
      </c>
      <c r="L20" s="100">
        <f>VLOOKUP(TableQBRanks3040[[#This Row],[Player]],QB!B:O,11,FALSE)</f>
        <v>1.1614593432239577</v>
      </c>
      <c r="M20" s="95">
        <f>VLOOKUP(TableQBRanks3040[[#This Row],[Player]],QB!B:O,13,FALSE)</f>
        <v>384.49518701509407</v>
      </c>
      <c r="N20" s="140">
        <f>IF(VLOOKUP(TableQBRanks3040[[#This Row],[Player]],'Ranks w Proj'!$B:$N,13,FALSE)&lt;0,0,VLOOKUP(TableQBRanks3040[[#This Row],[Player]],'Ranks w Proj'!$B:$N,13,FALSE))</f>
        <v>16.510453800403699</v>
      </c>
      <c r="P20" s="58">
        <v>19</v>
      </c>
      <c r="Q20" s="58" t="str">
        <f>VLOOKUP(TableRBRanks3141[[#This Row],[RK]],Rankings!A:T,8,FALSE)</f>
        <v>David Montgomery</v>
      </c>
      <c r="R20" s="58" t="str">
        <f>IFERROR(INDEX(TableRBCalcPts[TM],MATCH(TableRBRanks3141[[#This Row],[Player]],TableRBCalcPts[PLAYER],0)),"")</f>
        <v>HOU</v>
      </c>
      <c r="S20" s="58">
        <f>IFERROR(INDEX(TableRBCalcPts[BYE],MATCH(TableRBRanks3141[[#This Row],[Player]],TableRBCalcPts[PLAYER],0)),"")</f>
        <v>8</v>
      </c>
      <c r="T20" s="100">
        <f>VLOOKUP(TableRBRanks3141[[#This Row],[Player]],RB!B:O,4,FALSE)</f>
        <v>247.18441510000002</v>
      </c>
      <c r="U20" s="100">
        <f>VLOOKUP(TableRBRanks3141[[#This Row],[Player]],RB!B:O,5,FALSE)</f>
        <v>1060.4211407790001</v>
      </c>
      <c r="V20" s="100">
        <f>VLOOKUP(TableRBRanks3141[[#This Row],[Player]],RB!B:O,6,FALSE)</f>
        <v>8.6514545285000022</v>
      </c>
      <c r="W20" s="100">
        <f>VLOOKUP(TableRBRanks3141[[#This Row],[Player]],RB!B:O,7,FALSE)</f>
        <v>34.946013059999999</v>
      </c>
      <c r="X20" s="100">
        <f>VLOOKUP(TableRBRanks3141[[#This Row],[Player]],RB!B:O,8,FALSE)</f>
        <v>27.397674239040001</v>
      </c>
      <c r="Y20" s="100">
        <f>VLOOKUP(TableRBRanks3141[[#This Row],[Player]],RB!B:O,9,FALSE)</f>
        <v>192.6056499004512</v>
      </c>
      <c r="Z20" s="100">
        <f>VLOOKUP(TableRBRanks3141[[#This Row],[Player]],RB!B:O,10,FALSE)</f>
        <v>0.74105833665154963</v>
      </c>
      <c r="AA20" s="95">
        <f>VLOOKUP(TableRBRanks3141[[#This Row],[Player]],RB!B:O,14,FALSE)</f>
        <v>195.35659337837441</v>
      </c>
      <c r="AB20" s="140">
        <f>IF(VLOOKUP(TableRBRanks3141[[#This Row],[Player]],'Ranks w Proj'!$Q:$AB,12,FALSE)&lt;0,0,VLOOKUP(TableRBRanks3141[[#This Row],[Player]],'Ranks w Proj'!$Q:$AB,12,FALSE))</f>
        <v>13.729950734926014</v>
      </c>
      <c r="AD20" s="58">
        <v>19</v>
      </c>
      <c r="AE20" s="58" t="str">
        <f>VLOOKUP(TableWRRanks3242[[#This Row],[RK]],Rankings!A:T,13,FALSE)</f>
        <v>Garrett Wilson</v>
      </c>
      <c r="AF20" s="58" t="str">
        <f>IFERROR(INDEX(TableWRCalcPts[TM],MATCH(TableWRRanks3242[[#This Row],[Player]],TableWRCalcPts[PLAYER],0)),"")</f>
        <v>NYJ</v>
      </c>
      <c r="AG20" s="58">
        <f>IFERROR(INDEX(TableWRCalcPts[BYE],MATCH(TableWRRanks3242[[#This Row],[Player]],TableWRCalcPts[PLAYER],0)),"")</f>
        <v>13</v>
      </c>
      <c r="AH20" s="100">
        <f>VLOOKUP(TableWRRanks3242[[#This Row],[Player]],WR!B:O,4,FALSE)</f>
        <v>0</v>
      </c>
      <c r="AI20" s="100">
        <f>VLOOKUP(TableWRRanks3242[[#This Row],[Player]],WR!B:O,5,FALSE)</f>
        <v>0</v>
      </c>
      <c r="AJ20" s="100">
        <f>VLOOKUP(TableWRRanks3242[[#This Row],[Player]],WR!B:O,6,FALSE)</f>
        <v>146.68129861471982</v>
      </c>
      <c r="AK20" s="100">
        <f>VLOOKUP(TableWRRanks3242[[#This Row],[Player]],WR!B:O,7,FALSE)</f>
        <v>95.30946951512766</v>
      </c>
      <c r="AL20" s="100">
        <f>VLOOKUP(TableWRRanks3242[[#This Row],[Player]],WR!B:O,8,FALSE)</f>
        <v>1088.9716395451674</v>
      </c>
      <c r="AM20" s="100">
        <f>VLOOKUP(TableWRRanks3242[[#This Row],[Player]],WR!B:O,9,FALSE)</f>
        <v>5.4326397623622764</v>
      </c>
      <c r="AN20" s="95">
        <f>VLOOKUP(TableWRRanks3242[[#This Row],[Player]],WR!B:O,13,FALSE)</f>
        <v>189.14773728625423</v>
      </c>
      <c r="AO20" s="140">
        <f>IF(VLOOKUP(TableWRRanks3242[[#This Row],[Player]],'Ranks w Proj'!$AE:$AO,11,FALSE)&lt;0,0,VLOOKUP(TableWRRanks3242[[#This Row],[Player]],'Ranks w Proj'!$AE:$AO,11,FALSE))</f>
        <v>18.574305003941962</v>
      </c>
      <c r="AQ20" s="58">
        <v>19</v>
      </c>
      <c r="AR20" s="58" t="str">
        <f>VLOOKUP(TableTERanks3343[[#This Row],[RK]],Rankings!A:T,18,FALSE)</f>
        <v>Greg Dulcich</v>
      </c>
      <c r="AS20" s="58" t="str">
        <f>IFERROR(INDEX(TableTECalcPts[TM],MATCH(TableTERanks3343[[#This Row],[Player]],TableTECalcPts[PLAYER],0)),"")</f>
        <v>MIA</v>
      </c>
      <c r="AT20" s="58">
        <f>IFERROR(INDEX(TableTECalcPts[BYE],MATCH(TableTERanks3343[[#This Row],[Player]],TableTECalcPts[PLAYER],0)),"")</f>
        <v>6</v>
      </c>
      <c r="AU20" s="100">
        <f>VLOOKUP(TableTERanks3343[[#This Row],[Player]],TE!B:O,4,FALSE)</f>
        <v>79.776423719999997</v>
      </c>
      <c r="AV20" s="100">
        <f>VLOOKUP(TableTERanks3343[[#This Row],[Player]],TE!B:O,5,FALSE)</f>
        <v>54.487297400759999</v>
      </c>
      <c r="AW20" s="100">
        <f>VLOOKUP(TableTERanks3343[[#This Row],[Player]],TE!B:O,6,FALSE)</f>
        <v>624.96930118671719</v>
      </c>
      <c r="AX20" s="100">
        <f>VLOOKUP(TableTERanks3343[[#This Row],[Player]],TE!B:O,7,FALSE)</f>
        <v>3.4871870336486399</v>
      </c>
      <c r="AY20" s="95">
        <f>VLOOKUP(TableTERanks3343[[#This Row],[Player]],TE!B:O,11,FALSE)</f>
        <v>110.66370102094356</v>
      </c>
      <c r="AZ20" s="140">
        <f>IF(VLOOKUP(TableTERanks3343[[#This Row],[Player]],'Ranks w Proj'!$AR:$AZ,9,FALSE)&lt;0,0,VLOOKUP(TableTERanks3343[[#This Row],[Player]],'Ranks w Proj'!$AR:$AZ,9,FALSE))</f>
        <v>6.1582537867979674</v>
      </c>
    </row>
    <row r="21" spans="1:52" x14ac:dyDescent="0.25">
      <c r="A21" s="58">
        <v>20</v>
      </c>
      <c r="B21" s="58" t="str">
        <f>VLOOKUP(TableQBRanks3040[[#This Row],[RK]],Rankings!A:T,3,FALSE)</f>
        <v>Tyler Shough</v>
      </c>
      <c r="C21" s="58" t="str">
        <f>IFERROR(INDEX(TableQBCalcPts[TM],MATCH(TableQBRanks3040[[#This Row],[Player]],TableQBCalcPts[PLAYER],0)),"")</f>
        <v>NO</v>
      </c>
      <c r="D21" s="58">
        <f>IFERROR(INDEX(TableQBCalcPts[BYE],MATCH(TableQBRanks3040[[#This Row],[Player]],TableQBCalcPts[PLAYER],0)),"")</f>
        <v>8</v>
      </c>
      <c r="E21" s="100">
        <f>VLOOKUP(TableQBRanks3040[[#This Row],[Player]],QB!B:O,4,FALSE)</f>
        <v>502.59967999999998</v>
      </c>
      <c r="F21" s="100">
        <f>VLOOKUP(TableQBRanks3040[[#This Row],[Player]],QB!B:O,5,FALSE)</f>
        <v>333.12133515137799</v>
      </c>
      <c r="G21" s="100">
        <f>VLOOKUP(TableQBRanks3040[[#This Row],[Player]],QB!B:O,6,FALSE)</f>
        <v>3631.02255315002</v>
      </c>
      <c r="H21" s="100">
        <f>VLOOKUP(TableQBRanks3040[[#This Row],[Player]],QB!B:O,7,FALSE)</f>
        <v>21.986008119990949</v>
      </c>
      <c r="I21" s="100">
        <f>VLOOKUP(TableQBRanks3040[[#This Row],[Player]],QB!B:O,8,FALSE)</f>
        <v>9.9773578308792974</v>
      </c>
      <c r="J21" s="100">
        <f>VLOOKUP(TableQBRanks3040[[#This Row],[Player]],QB!B:O,9,FALSE)</f>
        <v>75.848048639999988</v>
      </c>
      <c r="K21" s="100">
        <f>VLOOKUP(TableQBRanks3040[[#This Row],[Player]],QB!B:O,10,FALSE)</f>
        <v>312.49396039679993</v>
      </c>
      <c r="L21" s="100">
        <f>VLOOKUP(TableQBRanks3040[[#This Row],[Player]],QB!B:O,11,FALSE)</f>
        <v>4.019946577919999</v>
      </c>
      <c r="M21" s="95">
        <f>VLOOKUP(TableQBRanks3040[[#This Row],[Player]],QB!B:O,13,FALSE)</f>
        <v>355.86080203740499</v>
      </c>
      <c r="N21" s="140">
        <f>IF(VLOOKUP(TableQBRanks3040[[#This Row],[Player]],'Ranks w Proj'!$B:$N,13,FALSE)&lt;0,0,VLOOKUP(TableQBRanks3040[[#This Row],[Player]],'Ranks w Proj'!$B:$N,13,FALSE))</f>
        <v>9.2015544088506829</v>
      </c>
      <c r="P21" s="58">
        <v>20</v>
      </c>
      <c r="Q21" s="58" t="str">
        <f>VLOOKUP(TableRBRanks3141[[#This Row],[RK]],Rankings!A:T,8,FALSE)</f>
        <v>Travis Etienne</v>
      </c>
      <c r="R21" s="58" t="str">
        <f>IFERROR(INDEX(TableRBCalcPts[TM],MATCH(TableRBRanks3141[[#This Row],[Player]],TableRBCalcPts[PLAYER],0)),"")</f>
        <v>NO</v>
      </c>
      <c r="S21" s="58">
        <f>IFERROR(INDEX(TableRBCalcPts[BYE],MATCH(TableRBRanks3141[[#This Row],[Player]],TableRBCalcPts[PLAYER],0)),"")</f>
        <v>8</v>
      </c>
      <c r="T21" s="100">
        <f>VLOOKUP(TableRBRanks3141[[#This Row],[Player]],RB!B:O,4,FALSE)</f>
        <v>258.77569535999999</v>
      </c>
      <c r="U21" s="100">
        <f>VLOOKUP(TableRBRanks3141[[#This Row],[Player]],RB!B:O,5,FALSE)</f>
        <v>1099.79670528</v>
      </c>
      <c r="V21" s="100">
        <f>VLOOKUP(TableRBRanks3141[[#This Row],[Player]],RB!B:O,6,FALSE)</f>
        <v>7.1454475502010162</v>
      </c>
      <c r="W21" s="100">
        <f>VLOOKUP(TableRBRanks3141[[#This Row],[Player]],RB!B:O,7,FALSE)</f>
        <v>44.176957439999995</v>
      </c>
      <c r="X21" s="100">
        <f>VLOOKUP(TableRBRanks3141[[#This Row],[Player]],RB!B:O,8,FALSE)</f>
        <v>34.237142016</v>
      </c>
      <c r="Y21" s="100">
        <f>VLOOKUP(TableRBRanks3141[[#This Row],[Player]],RB!B:O,9,FALSE)</f>
        <v>272.87002186751999</v>
      </c>
      <c r="Z21" s="100">
        <f>VLOOKUP(TableRBRanks3141[[#This Row],[Player]],RB!B:O,10,FALSE)</f>
        <v>1.574908532736</v>
      </c>
      <c r="AA21" s="95">
        <f>VLOOKUP(TableRBRanks3141[[#This Row],[Player]],RB!B:O,14,FALSE)</f>
        <v>206.70738022037409</v>
      </c>
      <c r="AB21" s="140">
        <f>IF(VLOOKUP(TableRBRanks3141[[#This Row],[Player]],'Ranks w Proj'!$Q:$AB,12,FALSE)&lt;0,0,VLOOKUP(TableRBRanks3141[[#This Row],[Player]],'Ranks w Proj'!$Q:$AB,12,FALSE))</f>
        <v>15.43600294765702</v>
      </c>
      <c r="AD21" s="58">
        <v>20</v>
      </c>
      <c r="AE21" s="58" t="str">
        <f>VLOOKUP(TableWRRanks3242[[#This Row],[RK]],Rankings!A:T,13,FALSE)</f>
        <v>Terry McLaurin</v>
      </c>
      <c r="AF21" s="58" t="str">
        <f>IFERROR(INDEX(TableWRCalcPts[TM],MATCH(TableWRRanks3242[[#This Row],[Player]],TableWRCalcPts[PLAYER],0)),"")</f>
        <v>WSH</v>
      </c>
      <c r="AG21" s="58">
        <f>IFERROR(INDEX(TableWRCalcPts[BYE],MATCH(TableWRRanks3242[[#This Row],[Player]],TableWRCalcPts[PLAYER],0)),"")</f>
        <v>7</v>
      </c>
      <c r="AH21" s="100">
        <f>VLOOKUP(TableWRRanks3242[[#This Row],[Player]],WR!B:O,4,FALSE)</f>
        <v>0</v>
      </c>
      <c r="AI21" s="100">
        <f>VLOOKUP(TableWRRanks3242[[#This Row],[Player]],WR!B:O,5,FALSE)</f>
        <v>0</v>
      </c>
      <c r="AJ21" s="100">
        <f>VLOOKUP(TableWRRanks3242[[#This Row],[Player]],WR!B:O,6,FALSE)</f>
        <v>125.45123471999997</v>
      </c>
      <c r="AK21" s="100">
        <f>VLOOKUP(TableWRRanks3242[[#This Row],[Player]],WR!B:O,7,FALSE)</f>
        <v>82.67236368047999</v>
      </c>
      <c r="AL21" s="100">
        <f>VLOOKUP(TableWRRanks3242[[#This Row],[Player]],WR!B:O,8,FALSE)</f>
        <v>1124.3441460545278</v>
      </c>
      <c r="AM21" s="100">
        <f>VLOOKUP(TableWRRanks3242[[#This Row],[Player]],WR!B:O,9,FALSE)</f>
        <v>7.7712021859651195</v>
      </c>
      <c r="AN21" s="95">
        <f>VLOOKUP(TableWRRanks3242[[#This Row],[Player]],WR!B:O,13,FALSE)</f>
        <v>200.39780956148348</v>
      </c>
      <c r="AO21" s="140">
        <f>IF(VLOOKUP(TableWRRanks3242[[#This Row],[Player]],'Ranks w Proj'!$AE:$AO,11,FALSE)&lt;0,0,VLOOKUP(TableWRRanks3242[[#This Row],[Player]],'Ranks w Proj'!$AE:$AO,11,FALSE))</f>
        <v>20.687948199530918</v>
      </c>
      <c r="AQ21" s="58">
        <v>20</v>
      </c>
      <c r="AR21" s="58" t="str">
        <f>VLOOKUP(TableTERanks3343[[#This Row],[RK]],Rankings!A:T,18,FALSE)</f>
        <v>Brenton Strange</v>
      </c>
      <c r="AS21" s="58" t="str">
        <f>IFERROR(INDEX(TableTECalcPts[TM],MATCH(TableTERanks3343[[#This Row],[Player]],TableTECalcPts[PLAYER],0)),"")</f>
        <v>JAX</v>
      </c>
      <c r="AT21" s="58">
        <f>IFERROR(INDEX(TableTECalcPts[BYE],MATCH(TableTERanks3343[[#This Row],[Player]],TableTECalcPts[PLAYER],0)),"")</f>
        <v>7</v>
      </c>
      <c r="AU21" s="100">
        <f>VLOOKUP(TableTERanks3343[[#This Row],[Player]],TE!B:O,4,FALSE)</f>
        <v>74.996195400000005</v>
      </c>
      <c r="AV21" s="100">
        <f>VLOOKUP(TableTERanks3343[[#This Row],[Player]],TE!B:O,5,FALSE)</f>
        <v>49.572485159400003</v>
      </c>
      <c r="AW21" s="100">
        <f>VLOOKUP(TableTERanks3343[[#This Row],[Player]],TE!B:O,6,FALSE)</f>
        <v>532.90421546355003</v>
      </c>
      <c r="AX21" s="100">
        <f>VLOOKUP(TableTERanks3343[[#This Row],[Player]],TE!B:O,7,FALSE)</f>
        <v>3.5196464463173998</v>
      </c>
      <c r="AY21" s="95">
        <f>VLOOKUP(TableTERanks3343[[#This Row],[Player]],TE!B:O,11,FALSE)</f>
        <v>99.194542803959408</v>
      </c>
      <c r="AZ21" s="140">
        <f>IF(VLOOKUP(TableTERanks3343[[#This Row],[Player]],'Ranks w Proj'!$AR:$AZ,9,FALSE)&lt;0,0,VLOOKUP(TableTERanks3343[[#This Row],[Player]],'Ranks w Proj'!$AR:$AZ,9,FALSE))</f>
        <v>4.0034491214236985</v>
      </c>
    </row>
    <row r="22" spans="1:52" x14ac:dyDescent="0.25">
      <c r="A22" s="58">
        <v>21</v>
      </c>
      <c r="B22" s="58" t="str">
        <f>VLOOKUP(TableQBRanks3040[[#This Row],[RK]],Rankings!A:T,3,FALSE)</f>
        <v>Jordan Love</v>
      </c>
      <c r="C22" s="58" t="str">
        <f>IFERROR(INDEX(TableQBCalcPts[TM],MATCH(TableQBRanks3040[[#This Row],[Player]],TableQBCalcPts[PLAYER],0)),"")</f>
        <v>GB</v>
      </c>
      <c r="D22" s="58">
        <f>IFERROR(INDEX(TableQBCalcPts[BYE],MATCH(TableQBRanks3040[[#This Row],[Player]],TableQBCalcPts[PLAYER],0)),"")</f>
        <v>11</v>
      </c>
      <c r="E22" s="100">
        <f>VLOOKUP(TableQBRanks3040[[#This Row],[Player]],QB!B:O,4,FALSE)</f>
        <v>524.46636000000001</v>
      </c>
      <c r="F22" s="100">
        <f>VLOOKUP(TableQBRanks3040[[#This Row],[Player]],QB!B:O,5,FALSE)</f>
        <v>340.93206060728272</v>
      </c>
      <c r="G22" s="100">
        <f>VLOOKUP(TableQBRanks3040[[#This Row],[Player]],QB!B:O,6,FALSE)</f>
        <v>4036.6355975902275</v>
      </c>
      <c r="H22" s="100">
        <f>VLOOKUP(TableQBRanks3040[[#This Row],[Player]],QB!B:O,7,FALSE)</f>
        <v>27.274564848582617</v>
      </c>
      <c r="I22" s="100">
        <f>VLOOKUP(TableQBRanks3040[[#This Row],[Player]],QB!B:O,8,FALSE)</f>
        <v>10.353645370885355</v>
      </c>
      <c r="J22" s="100">
        <f>VLOOKUP(TableQBRanks3040[[#This Row],[Player]],QB!B:O,9,FALSE)</f>
        <v>44.803071600000003</v>
      </c>
      <c r="K22" s="100">
        <f>VLOOKUP(TableQBRanks3040[[#This Row],[Player]],QB!B:O,10,FALSE)</f>
        <v>192.6377548323905</v>
      </c>
      <c r="L22" s="100">
        <f>VLOOKUP(TableQBRanks3040[[#This Row],[Player]],QB!B:O,11,FALSE)</f>
        <v>1.1200767900000002</v>
      </c>
      <c r="M22" s="95">
        <f>VLOOKUP(TableQBRanks3040[[#This Row],[Player]],QB!B:O,13,FALSE)</f>
        <v>374.83660990818674</v>
      </c>
      <c r="N22" s="140">
        <f>IF(VLOOKUP(TableQBRanks3040[[#This Row],[Player]],'Ranks w Proj'!$B:$N,13,FALSE)&lt;0,0,VLOOKUP(TableQBRanks3040[[#This Row],[Player]],'Ranks w Proj'!$B:$N,13,FALSE))</f>
        <v>13.960710789882222</v>
      </c>
      <c r="P22" s="58">
        <v>21</v>
      </c>
      <c r="Q22" s="58" t="str">
        <f>VLOOKUP(TableRBRanks3141[[#This Row],[RK]],Rankings!A:T,8,FALSE)</f>
        <v>D'Andre Swift</v>
      </c>
      <c r="R22" s="58" t="str">
        <f>IFERROR(INDEX(TableRBCalcPts[TM],MATCH(TableRBRanks3141[[#This Row],[Player]],TableRBCalcPts[PLAYER],0)),"")</f>
        <v>CHI</v>
      </c>
      <c r="S22" s="58">
        <f>IFERROR(INDEX(TableRBCalcPts[BYE],MATCH(TableRBRanks3141[[#This Row],[Player]],TableRBCalcPts[PLAYER],0)),"")</f>
        <v>10</v>
      </c>
      <c r="T22" s="100">
        <f>VLOOKUP(TableRBRanks3141[[#This Row],[Player]],RB!B:O,4,FALSE)</f>
        <v>191.94722567999997</v>
      </c>
      <c r="U22" s="100">
        <f>VLOOKUP(TableRBRanks3141[[#This Row],[Player]],RB!B:O,5,FALSE)</f>
        <v>859.84295708886395</v>
      </c>
      <c r="V22" s="100">
        <f>VLOOKUP(TableRBRanks3141[[#This Row],[Player]],RB!B:O,6,FALSE)</f>
        <v>7.1020473501599986</v>
      </c>
      <c r="W22" s="100">
        <f>VLOOKUP(TableRBRanks3141[[#This Row],[Player]],RB!B:O,7,FALSE)</f>
        <v>46.242679840000008</v>
      </c>
      <c r="X22" s="100">
        <f>VLOOKUP(TableRBRanks3141[[#This Row],[Player]],RB!B:O,8,FALSE)</f>
        <v>33.895884322720008</v>
      </c>
      <c r="Y22" s="100">
        <f>VLOOKUP(TableRBRanks3141[[#This Row],[Player]],RB!B:O,9,FALSE)</f>
        <v>281.56231987692786</v>
      </c>
      <c r="Z22" s="100">
        <f>VLOOKUP(TableRBRanks3141[[#This Row],[Player]],RB!B:O,10,FALSE)</f>
        <v>1.0507724140043202</v>
      </c>
      <c r="AA22" s="95">
        <f>VLOOKUP(TableRBRanks3141[[#This Row],[Player]],RB!B:O,14,FALSE)</f>
        <v>180.0053884429251</v>
      </c>
      <c r="AB22" s="140">
        <f>IF(VLOOKUP(TableRBRanks3141[[#This Row],[Player]],'Ranks w Proj'!$Q:$AB,12,FALSE)&lt;0,0,VLOOKUP(TableRBRanks3141[[#This Row],[Player]],'Ranks w Proj'!$Q:$AB,12,FALSE))</f>
        <v>11.422625479613888</v>
      </c>
      <c r="AD22" s="58">
        <v>21</v>
      </c>
      <c r="AE22" s="58" t="str">
        <f>VLOOKUP(TableWRRanks3242[[#This Row],[RK]],Rankings!A:T,13,FALSE)</f>
        <v>Mike Evans</v>
      </c>
      <c r="AF22" s="58" t="str">
        <f>IFERROR(INDEX(TableWRCalcPts[TM],MATCH(TableWRRanks3242[[#This Row],[Player]],TableWRCalcPts[PLAYER],0)),"")</f>
        <v>SF</v>
      </c>
      <c r="AG22" s="58">
        <f>IFERROR(INDEX(TableWRCalcPts[BYE],MATCH(TableWRRanks3242[[#This Row],[Player]],TableWRCalcPts[PLAYER],0)),"")</f>
        <v>8</v>
      </c>
      <c r="AH22" s="100">
        <f>VLOOKUP(TableWRRanks3242[[#This Row],[Player]],WR!B:O,4,FALSE)</f>
        <v>0</v>
      </c>
      <c r="AI22" s="100">
        <f>VLOOKUP(TableWRRanks3242[[#This Row],[Player]],WR!B:O,5,FALSE)</f>
        <v>0</v>
      </c>
      <c r="AJ22" s="100">
        <f>VLOOKUP(TableWRRanks3242[[#This Row],[Player]],WR!B:O,6,FALSE)</f>
        <v>124.54598912000002</v>
      </c>
      <c r="AK22" s="100">
        <f>VLOOKUP(TableWRRanks3242[[#This Row],[Player]],WR!B:O,7,FALSE)</f>
        <v>73.606679569920004</v>
      </c>
      <c r="AL22" s="100">
        <f>VLOOKUP(TableWRRanks3242[[#This Row],[Player]],WR!B:O,8,FALSE)</f>
        <v>1052.5755178498562</v>
      </c>
      <c r="AM22" s="100">
        <f>VLOOKUP(TableWRRanks3242[[#This Row],[Player]],WR!B:O,9,FALSE)</f>
        <v>8.3911614709708804</v>
      </c>
      <c r="AN22" s="95">
        <f>VLOOKUP(TableWRRanks3242[[#This Row],[Player]],WR!B:O,13,FALSE)</f>
        <v>192.40786039577091</v>
      </c>
      <c r="AO22" s="140">
        <f>IF(VLOOKUP(TableWRRanks3242[[#This Row],[Player]],'Ranks w Proj'!$AE:$AO,11,FALSE)&lt;0,0,VLOOKUP(TableWRRanks3242[[#This Row],[Player]],'Ranks w Proj'!$AE:$AO,11,FALSE))</f>
        <v>19.186811026892986</v>
      </c>
      <c r="AQ22" s="58">
        <v>21</v>
      </c>
      <c r="AR22" s="58" t="str">
        <f>VLOOKUP(TableTERanks3343[[#This Row],[RK]],Rankings!A:T,18,FALSE)</f>
        <v>Dalton Schultz</v>
      </c>
      <c r="AS22" s="58" t="str">
        <f>IFERROR(INDEX(TableTECalcPts[TM],MATCH(TableTERanks3343[[#This Row],[Player]],TableTECalcPts[PLAYER],0)),"")</f>
        <v>HOU</v>
      </c>
      <c r="AT22" s="58">
        <f>IFERROR(INDEX(TableTECalcPts[BYE],MATCH(TableTERanks3343[[#This Row],[Player]],TableTECalcPts[PLAYER],0)),"")</f>
        <v>8</v>
      </c>
      <c r="AU22" s="100">
        <f>VLOOKUP(TableTERanks3343[[#This Row],[Player]],TE!B:O,4,FALSE)</f>
        <v>92.234559059999995</v>
      </c>
      <c r="AV22" s="100">
        <f>VLOOKUP(TableTERanks3343[[#This Row],[Player]],TE!B:O,5,FALSE)</f>
        <v>67.679544802282692</v>
      </c>
      <c r="AW22" s="100">
        <f>VLOOKUP(TableTERanks3343[[#This Row],[Player]],TE!B:O,6,FALSE)</f>
        <v>642.78639146145952</v>
      </c>
      <c r="AX22" s="100">
        <f>VLOOKUP(TableTERanks3343[[#This Row],[Player]],TE!B:O,7,FALSE)</f>
        <v>3.7223749641255481</v>
      </c>
      <c r="AY22" s="95">
        <f>VLOOKUP(TableTERanks3343[[#This Row],[Player]],TE!B:O,11,FALSE)</f>
        <v>120.45266133204058</v>
      </c>
      <c r="AZ22" s="140">
        <f>IF(VLOOKUP(TableTERanks3343[[#This Row],[Player]],'Ranks w Proj'!$AR:$AZ,9,FALSE)&lt;0,0,VLOOKUP(TableTERanks3343[[#This Row],[Player]],'Ranks w Proj'!$AR:$AZ,9,FALSE))</f>
        <v>7.9973859138863599</v>
      </c>
    </row>
    <row r="23" spans="1:52" x14ac:dyDescent="0.25">
      <c r="A23" s="58">
        <v>22</v>
      </c>
      <c r="B23" s="58" t="str">
        <f>VLOOKUP(TableQBRanks3040[[#This Row],[RK]],Rankings!A:T,3,FALSE)</f>
        <v>C.J. Stroud</v>
      </c>
      <c r="C23" s="58" t="str">
        <f>IFERROR(INDEX(TableQBCalcPts[TM],MATCH(TableQBRanks3040[[#This Row],[Player]],TableQBCalcPts[PLAYER],0)),"")</f>
        <v>HOU</v>
      </c>
      <c r="D23" s="58">
        <f>IFERROR(INDEX(TableQBCalcPts[BYE],MATCH(TableQBRanks3040[[#This Row],[Player]],TableQBCalcPts[PLAYER],0)),"")</f>
        <v>8</v>
      </c>
      <c r="E23" s="100">
        <f>VLOOKUP(TableQBRanks3040[[#This Row],[Player]],QB!B:O,4,FALSE)</f>
        <v>578.73122999999998</v>
      </c>
      <c r="F23" s="100">
        <f>VLOOKUP(TableQBRanks3040[[#This Row],[Player]],QB!B:O,5,FALSE)</f>
        <v>370.89967563996294</v>
      </c>
      <c r="G23" s="100">
        <f>VLOOKUP(TableQBRanks3040[[#This Row],[Player]],QB!B:O,6,FALSE)</f>
        <v>4147.9956605545549</v>
      </c>
      <c r="H23" s="100">
        <f>VLOOKUP(TableQBRanks3040[[#This Row],[Player]],QB!B:O,7,FALSE)</f>
        <v>24.479378592237556</v>
      </c>
      <c r="I23" s="100">
        <f>VLOOKUP(TableQBRanks3040[[#This Row],[Player]],QB!B:O,8,FALSE)</f>
        <v>12.140101997351696</v>
      </c>
      <c r="J23" s="100">
        <f>VLOOKUP(TableQBRanks3040[[#This Row],[Player]],QB!B:O,9,FALSE)</f>
        <v>53.374333880000009</v>
      </c>
      <c r="K23" s="100">
        <f>VLOOKUP(TableQBRanks3040[[#This Row],[Player]],QB!B:O,10,FALSE)</f>
        <v>225.1106944470877</v>
      </c>
      <c r="L23" s="100">
        <f>VLOOKUP(TableQBRanks3040[[#This Row],[Player]],QB!B:O,11,FALSE)</f>
        <v>1.0674866776000003</v>
      </c>
      <c r="M23" s="95">
        <f>VLOOKUP(TableQBRanks3040[[#This Row],[Player]],QB!B:O,13,FALSE)</f>
        <v>366.66195305256093</v>
      </c>
      <c r="N23" s="140">
        <f>IF(VLOOKUP(TableQBRanks3040[[#This Row],[Player]],'Ranks w Proj'!$B:$N,13,FALSE)&lt;0,0,VLOOKUP(TableQBRanks3040[[#This Row],[Player]],'Ranks w Proj'!$B:$N,13,FALSE))</f>
        <v>11.912355839758938</v>
      </c>
      <c r="P23" s="58">
        <v>22</v>
      </c>
      <c r="Q23" s="58" t="str">
        <f>VLOOKUP(TableRBRanks3141[[#This Row],[RK]],Rankings!A:T,8,FALSE)</f>
        <v>Bhayshul Tuten</v>
      </c>
      <c r="R23" s="58" t="str">
        <f>IFERROR(INDEX(TableRBCalcPts[TM],MATCH(TableRBRanks3141[[#This Row],[Player]],TableRBCalcPts[PLAYER],0)),"")</f>
        <v>JAX</v>
      </c>
      <c r="S23" s="58">
        <f>IFERROR(INDEX(TableRBCalcPts[BYE],MATCH(TableRBRanks3141[[#This Row],[Player]],TableRBCalcPts[PLAYER],0)),"")</f>
        <v>7</v>
      </c>
      <c r="T23" s="100">
        <f>VLOOKUP(TableRBRanks3141[[#This Row],[Player]],RB!B:O,4,FALSE)</f>
        <v>213.60352439999997</v>
      </c>
      <c r="U23" s="100">
        <f>VLOOKUP(TableRBRanks3141[[#This Row],[Player]],RB!B:O,5,FALSE)</f>
        <v>918.49515491999978</v>
      </c>
      <c r="V23" s="100">
        <f>VLOOKUP(TableRBRanks3141[[#This Row],[Player]],RB!B:O,6,FALSE)</f>
        <v>7.6897268783999984</v>
      </c>
      <c r="W23" s="100">
        <f>VLOOKUP(TableRBRanks3141[[#This Row],[Player]],RB!B:O,7,FALSE)</f>
        <v>52.609271399999997</v>
      </c>
      <c r="X23" s="100">
        <f>VLOOKUP(TableRBRanks3141[[#This Row],[Player]],RB!B:O,8,FALSE)</f>
        <v>37.510410508199996</v>
      </c>
      <c r="Y23" s="100">
        <f>VLOOKUP(TableRBRanks3141[[#This Row],[Player]],RB!B:O,9,FALSE)</f>
        <v>293.33141017412396</v>
      </c>
      <c r="Z23" s="100">
        <f>VLOOKUP(TableRBRanks3141[[#This Row],[Player]],RB!B:O,10,FALSE)</f>
        <v>2.1756038094756001</v>
      </c>
      <c r="AA23" s="95">
        <f>VLOOKUP(TableRBRanks3141[[#This Row],[Player]],RB!B:O,14,FALSE)</f>
        <v>199.12984589076595</v>
      </c>
      <c r="AB23" s="140">
        <f>IF(VLOOKUP(TableRBRanks3141[[#This Row],[Player]],'Ranks w Proj'!$Q:$AB,12,FALSE)&lt;0,0,VLOOKUP(TableRBRanks3141[[#This Row],[Player]],'Ranks w Proj'!$Q:$AB,12,FALSE))</f>
        <v>14.297080211284355</v>
      </c>
      <c r="AD23" s="58">
        <v>22</v>
      </c>
      <c r="AE23" s="58" t="str">
        <f>VLOOKUP(TableWRRanks3242[[#This Row],[RK]],Rankings!A:T,13,FALSE)</f>
        <v>DJ Moore</v>
      </c>
      <c r="AF23" s="58" t="str">
        <f>IFERROR(INDEX(TableWRCalcPts[TM],MATCH(TableWRRanks3242[[#This Row],[Player]],TableWRCalcPts[PLAYER],0)),"")</f>
        <v>BUF</v>
      </c>
      <c r="AG23" s="58">
        <f>IFERROR(INDEX(TableWRCalcPts[BYE],MATCH(TableWRRanks3242[[#This Row],[Player]],TableWRCalcPts[PLAYER],0)),"")</f>
        <v>7</v>
      </c>
      <c r="AH23" s="100">
        <f>VLOOKUP(TableWRRanks3242[[#This Row],[Player]],WR!B:O,4,FALSE)</f>
        <v>25.86713675</v>
      </c>
      <c r="AI23" s="100">
        <f>VLOOKUP(TableWRRanks3242[[#This Row],[Player]],WR!B:O,5,FALSE)</f>
        <v>0.15582612499999998</v>
      </c>
      <c r="AJ23" s="100">
        <f>VLOOKUP(TableWRRanks3242[[#This Row],[Player]],WR!B:O,6,FALSE)</f>
        <v>117.98472839999995</v>
      </c>
      <c r="AK23" s="100">
        <f>VLOOKUP(TableWRRanks3242[[#This Row],[Player]],WR!B:O,7,FALSE)</f>
        <v>77.113608382461507</v>
      </c>
      <c r="AL23" s="100">
        <f>VLOOKUP(TableWRRanks3242[[#This Row],[Player]],WR!B:O,8,FALSE)</f>
        <v>993.99441204992888</v>
      </c>
      <c r="AM23" s="100">
        <f>VLOOKUP(TableWRRanks3242[[#This Row],[Player]],WR!B:O,9,FALSE)</f>
        <v>7.4029064047163047</v>
      </c>
      <c r="AN23" s="95">
        <f>VLOOKUP(TableWRRanks3242[[#This Row],[Player]],WR!B:O,13,FALSE)</f>
        <v>185.89535424952149</v>
      </c>
      <c r="AO23" s="140">
        <f>IF(VLOOKUP(TableWRRanks3242[[#This Row],[Player]],'Ranks w Proj'!$AE:$AO,11,FALSE)&lt;0,0,VLOOKUP(TableWRRanks3242[[#This Row],[Player]],'Ranks w Proj'!$AE:$AO,11,FALSE))</f>
        <v>17.963253171841711</v>
      </c>
      <c r="AQ23" s="58">
        <v>22</v>
      </c>
      <c r="AR23" s="58" t="str">
        <f>VLOOKUP(TableTERanks3343[[#This Row],[RK]],Rankings!A:T,18,FALSE)</f>
        <v>Pat Freiermuth</v>
      </c>
      <c r="AS23" s="58" t="str">
        <f>IFERROR(INDEX(TableTECalcPts[TM],MATCH(TableTERanks3343[[#This Row],[Player]],TableTECalcPts[PLAYER],0)),"")</f>
        <v>PIT</v>
      </c>
      <c r="AT23" s="58">
        <f>IFERROR(INDEX(TableTECalcPts[BYE],MATCH(TableTERanks3343[[#This Row],[Player]],TableTECalcPts[PLAYER],0)),"")</f>
        <v>9</v>
      </c>
      <c r="AU23" s="100">
        <f>VLOOKUP(TableTERanks3343[[#This Row],[Player]],TE!B:O,4,FALSE)</f>
        <v>80.089128000000002</v>
      </c>
      <c r="AV23" s="100">
        <f>VLOOKUP(TableTERanks3343[[#This Row],[Player]],TE!B:O,5,FALSE)</f>
        <v>55.00196004206623</v>
      </c>
      <c r="AW23" s="100">
        <f>VLOOKUP(TableTERanks3343[[#This Row],[Player]],TE!B:O,6,FALSE)</f>
        <v>563.08809526283449</v>
      </c>
      <c r="AX23" s="100">
        <f>VLOOKUP(TableTERanks3343[[#This Row],[Player]],TE!B:O,7,FALSE)</f>
        <v>4.2098947371655635</v>
      </c>
      <c r="AY23" s="95">
        <f>VLOOKUP(TableTERanks3343[[#This Row],[Player]],TE!B:O,11,FALSE)</f>
        <v>109.06915797030996</v>
      </c>
      <c r="AZ23" s="140">
        <f>IF(VLOOKUP(TableTERanks3343[[#This Row],[Player]],'Ranks w Proj'!$AR:$AZ,9,FALSE)&lt;0,0,VLOOKUP(TableTERanks3343[[#This Row],[Player]],'Ranks w Proj'!$AR:$AZ,9,FALSE))</f>
        <v>5.8586739275230908</v>
      </c>
    </row>
    <row r="24" spans="1:52" x14ac:dyDescent="0.25">
      <c r="A24" s="58">
        <v>23</v>
      </c>
      <c r="B24" s="58" t="str">
        <f>VLOOKUP(TableQBRanks3040[[#This Row],[RK]],Rankings!A:T,3,FALSE)</f>
        <v>Cam Ward</v>
      </c>
      <c r="C24" s="58" t="str">
        <f>IFERROR(INDEX(TableQBCalcPts[TM],MATCH(TableQBRanks3040[[#This Row],[Player]],TableQBCalcPts[PLAYER],0)),"")</f>
        <v>TEN</v>
      </c>
      <c r="D24" s="58">
        <f>IFERROR(INDEX(TableQBCalcPts[BYE],MATCH(TableQBRanks3040[[#This Row],[Player]],TableQBCalcPts[PLAYER],0)),"")</f>
        <v>9</v>
      </c>
      <c r="E24" s="100">
        <f>VLOOKUP(TableQBRanks3040[[#This Row],[Player]],QB!B:O,4,FALSE)</f>
        <v>549.23904000000005</v>
      </c>
      <c r="F24" s="100">
        <f>VLOOKUP(TableQBRanks3040[[#This Row],[Player]],QB!B:O,5,FALSE)</f>
        <v>348.21755136000002</v>
      </c>
      <c r="G24" s="100">
        <f>VLOOKUP(TableQBRanks3040[[#This Row],[Player]],QB!B:O,6,FALSE)</f>
        <v>3774.6782567424002</v>
      </c>
      <c r="H24" s="100">
        <f>VLOOKUP(TableQBRanks3040[[#This Row],[Player]],QB!B:O,7,FALSE)</f>
        <v>22.982358389760002</v>
      </c>
      <c r="I24" s="100">
        <f>VLOOKUP(TableQBRanks3040[[#This Row],[Player]],QB!B:O,8,FALSE)</f>
        <v>9.1409335663914177</v>
      </c>
      <c r="J24" s="100">
        <f>VLOOKUP(TableQBRanks3040[[#This Row],[Player]],QB!B:O,9,FALSE)</f>
        <v>50.439110399999997</v>
      </c>
      <c r="K24" s="100">
        <f>VLOOKUP(TableQBRanks3040[[#This Row],[Player]],QB!B:O,10,FALSE)</f>
        <v>212.48358773351441</v>
      </c>
      <c r="L24" s="100">
        <f>VLOOKUP(TableQBRanks3040[[#This Row],[Player]],QB!B:O,11,FALSE)</f>
        <v>2.6228337407999995</v>
      </c>
      <c r="M24" s="95">
        <f>VLOOKUP(TableQBRanks3040[[#This Row],[Player]],QB!B:O,13,FALSE)</f>
        <v>351.54746339601598</v>
      </c>
      <c r="N24" s="140">
        <f>IF(VLOOKUP(TableQBRanks3040[[#This Row],[Player]],'Ranks w Proj'!$B:$N,13,FALSE)&lt;0,0,VLOOKUP(TableQBRanks3040[[#This Row],[Player]],'Ranks w Proj'!$B:$N,13,FALSE))</f>
        <v>8.3871371267846175</v>
      </c>
      <c r="P24" s="58">
        <v>23</v>
      </c>
      <c r="Q24" s="58" t="str">
        <f>VLOOKUP(TableRBRanks3141[[#This Row],[RK]],Rankings!A:T,8,FALSE)</f>
        <v>Jadarian Price</v>
      </c>
      <c r="R24" s="58" t="str">
        <f>IFERROR(INDEX(TableRBCalcPts[TM],MATCH(TableRBRanks3141[[#This Row],[Player]],TableRBCalcPts[PLAYER],0)),"")</f>
        <v>SEA</v>
      </c>
      <c r="S24" s="58">
        <f>IFERROR(INDEX(TableRBCalcPts[BYE],MATCH(TableRBRanks3141[[#This Row],[Player]],TableRBCalcPts[PLAYER],0)),"")</f>
        <v>11</v>
      </c>
      <c r="T24" s="100">
        <f>VLOOKUP(TableRBRanks3141[[#This Row],[Player]],RB!B:O,4,FALSE)</f>
        <v>235.31065086231681</v>
      </c>
      <c r="U24" s="100">
        <f>VLOOKUP(TableRBRanks3141[[#This Row],[Player]],RB!B:O,5,FALSE)</f>
        <v>990.65784013035375</v>
      </c>
      <c r="V24" s="100">
        <f>VLOOKUP(TableRBRanks3141[[#This Row],[Player]],RB!B:O,6,FALSE)</f>
        <v>8.2358727801810883</v>
      </c>
      <c r="W24" s="100">
        <f>VLOOKUP(TableRBRanks3141[[#This Row],[Player]],RB!B:O,7,FALSE)</f>
        <v>29.778918959999999</v>
      </c>
      <c r="X24" s="100">
        <f>VLOOKUP(TableRBRanks3141[[#This Row],[Player]],RB!B:O,8,FALSE)</f>
        <v>21.708831921839998</v>
      </c>
      <c r="Y24" s="100">
        <f>VLOOKUP(TableRBRanks3141[[#This Row],[Player]],RB!B:O,9,FALSE)</f>
        <v>173.88774369393838</v>
      </c>
      <c r="Z24" s="100">
        <f>VLOOKUP(TableRBRanks3141[[#This Row],[Player]],RB!B:O,10,FALSE)</f>
        <v>0.93347977263911985</v>
      </c>
      <c r="AA24" s="95">
        <f>VLOOKUP(TableRBRanks3141[[#This Row],[Player]],RB!B:O,14,FALSE)</f>
        <v>182.32508966027049</v>
      </c>
      <c r="AB24" s="140">
        <f>IF(VLOOKUP(TableRBRanks3141[[#This Row],[Player]],'Ranks w Proj'!$Q:$AB,12,FALSE)&lt;0,0,VLOOKUP(TableRBRanks3141[[#This Row],[Player]],'Ranks w Proj'!$Q:$AB,12,FALSE))</f>
        <v>11.771282489019036</v>
      </c>
      <c r="AD24" s="58">
        <v>23</v>
      </c>
      <c r="AE24" s="58" t="str">
        <f>VLOOKUP(TableWRRanks3242[[#This Row],[RK]],Rankings!A:T,13,FALSE)</f>
        <v>Jaylen Waddle</v>
      </c>
      <c r="AF24" s="58" t="str">
        <f>IFERROR(INDEX(TableWRCalcPts[TM],MATCH(TableWRRanks3242[[#This Row],[Player]],TableWRCalcPts[PLAYER],0)),"")</f>
        <v>DEN</v>
      </c>
      <c r="AG24" s="58">
        <f>IFERROR(INDEX(TableWRCalcPts[BYE],MATCH(TableWRRanks3242[[#This Row],[Player]],TableWRCalcPts[PLAYER],0)),"")</f>
        <v>10</v>
      </c>
      <c r="AH24" s="100">
        <f>VLOOKUP(TableWRRanks3242[[#This Row],[Player]],WR!B:O,4,FALSE)</f>
        <v>12.280629899999997</v>
      </c>
      <c r="AI24" s="100">
        <f>VLOOKUP(TableWRRanks3242[[#This Row],[Player]],WR!B:O,5,FALSE)</f>
        <v>3.7214029999999995E-2</v>
      </c>
      <c r="AJ24" s="100">
        <f>VLOOKUP(TableWRRanks3242[[#This Row],[Player]],WR!B:O,6,FALSE)</f>
        <v>133.53716376000003</v>
      </c>
      <c r="AK24" s="100">
        <f>VLOOKUP(TableWRRanks3242[[#This Row],[Player]],WR!B:O,7,FALSE)</f>
        <v>89.036569720560024</v>
      </c>
      <c r="AL24" s="100">
        <f>VLOOKUP(TableWRRanks3242[[#This Row],[Player]],WR!B:O,8,FALSE)</f>
        <v>1131.654801148318</v>
      </c>
      <c r="AM24" s="100">
        <f>VLOOKUP(TableWRRanks3242[[#This Row],[Player]],WR!B:O,9,FALSE)</f>
        <v>6.9448524382036823</v>
      </c>
      <c r="AN24" s="95">
        <f>VLOOKUP(TableWRRanks3242[[#This Row],[Player]],WR!B:O,13,FALSE)</f>
        <v>200.8042267743339</v>
      </c>
      <c r="AO24" s="140">
        <f>IF(VLOOKUP(TableWRRanks3242[[#This Row],[Player]],'Ranks w Proj'!$AE:$AO,11,FALSE)&lt;0,0,VLOOKUP(TableWRRanks3242[[#This Row],[Player]],'Ranks w Proj'!$AE:$AO,11,FALSE))</f>
        <v>20.76430512911287</v>
      </c>
      <c r="AQ24" s="58">
        <v>23</v>
      </c>
      <c r="AR24" s="58" t="str">
        <f>VLOOKUP(TableTERanks3343[[#This Row],[RK]],Rankings!A:T,18,FALSE)</f>
        <v>Juwan Johnson</v>
      </c>
      <c r="AS24" s="58" t="str">
        <f>IFERROR(INDEX(TableTECalcPts[TM],MATCH(TableTERanks3343[[#This Row],[Player]],TableTECalcPts[PLAYER],0)),"")</f>
        <v>NO</v>
      </c>
      <c r="AT24" s="58">
        <f>IFERROR(INDEX(TableTECalcPts[BYE],MATCH(TableTERanks3343[[#This Row],[Player]],TableTECalcPts[PLAYER],0)),"")</f>
        <v>8</v>
      </c>
      <c r="AU24" s="100">
        <f>VLOOKUP(TableTERanks3343[[#This Row],[Player]],TE!B:O,4,FALSE)</f>
        <v>75.659386879999985</v>
      </c>
      <c r="AV24" s="100">
        <f>VLOOKUP(TableTERanks3343[[#This Row],[Player]],TE!B:O,5,FALSE)</f>
        <v>52.280636334079986</v>
      </c>
      <c r="AW24" s="100">
        <f>VLOOKUP(TableTERanks3343[[#This Row],[Player]],TE!B:O,6,FALSE)</f>
        <v>568.08452249082939</v>
      </c>
      <c r="AX24" s="100">
        <f>VLOOKUP(TableTERanks3343[[#This Row],[Player]],TE!B:O,7,FALSE)</f>
        <v>2.9799962710425594</v>
      </c>
      <c r="AY24" s="95">
        <f>VLOOKUP(TableTERanks3343[[#This Row],[Player]],TE!B:O,11,FALSE)</f>
        <v>100.82874804237828</v>
      </c>
      <c r="AZ24" s="140">
        <f>IF(VLOOKUP(TableTERanks3343[[#This Row],[Player]],'Ranks w Proj'!$AR:$AZ,9,FALSE)&lt;0,0,VLOOKUP(TableTERanks3343[[#This Row],[Player]],'Ranks w Proj'!$AR:$AZ,9,FALSE))</f>
        <v>4.3104806406776035</v>
      </c>
    </row>
    <row r="25" spans="1:52" x14ac:dyDescent="0.25">
      <c r="A25" s="58">
        <v>24</v>
      </c>
      <c r="B25" s="58" t="str">
        <f>VLOOKUP(TableQBRanks3040[[#This Row],[RK]],Rankings!A:T,3,FALSE)</f>
        <v>Daniel Jones</v>
      </c>
      <c r="C25" s="58" t="str">
        <f>IFERROR(INDEX(TableQBCalcPts[TM],MATCH(TableQBRanks3040[[#This Row],[Player]],TableQBCalcPts[PLAYER],0)),"")</f>
        <v>IND</v>
      </c>
      <c r="D25" s="58">
        <f>IFERROR(INDEX(TableQBCalcPts[BYE],MATCH(TableQBRanks3040[[#This Row],[Player]],TableQBCalcPts[PLAYER],0)),"")</f>
        <v>13</v>
      </c>
      <c r="E25" s="100">
        <f>VLOOKUP(TableQBRanks3040[[#This Row],[Player]],QB!B:O,4,FALSE)</f>
        <v>479.952</v>
      </c>
      <c r="F25" s="100">
        <f>VLOOKUP(TableQBRanks3040[[#This Row],[Player]],QB!B:O,5,FALSE)</f>
        <v>318.89592338176658</v>
      </c>
      <c r="G25" s="100">
        <f>VLOOKUP(TableQBRanks3040[[#This Row],[Player]],QB!B:O,6,FALSE)</f>
        <v>3479.1545240950736</v>
      </c>
      <c r="H25" s="100">
        <f>VLOOKUP(TableQBRanks3040[[#This Row],[Player]],QB!B:O,7,FALSE)</f>
        <v>21.366026866578363</v>
      </c>
      <c r="I25" s="100">
        <f>VLOOKUP(TableQBRanks3040[[#This Row],[Player]],QB!B:O,8,FALSE)</f>
        <v>10.651129947513136</v>
      </c>
      <c r="J25" s="100">
        <f>VLOOKUP(TableQBRanks3040[[#This Row],[Player]],QB!B:O,9,FALSE)</f>
        <v>72.413768000000005</v>
      </c>
      <c r="K25" s="100">
        <f>VLOOKUP(TableQBRanks3040[[#This Row],[Player]],QB!B:O,10,FALSE)</f>
        <v>284.72435575494887</v>
      </c>
      <c r="L25" s="100">
        <f>VLOOKUP(TableQBRanks3040[[#This Row],[Player]],QB!B:O,11,FALSE)</f>
        <v>5.0689637600000008</v>
      </c>
      <c r="M25" s="95">
        <f>VLOOKUP(TableQBRanks3040[[#This Row],[Player]],QB!B:O,13,FALSE)</f>
        <v>347.48702268943157</v>
      </c>
      <c r="N25" s="140">
        <f>IF(VLOOKUP(TableQBRanks3040[[#This Row],[Player]],'Ranks w Proj'!$B:$N,13,FALSE)&lt;0,0,VLOOKUP(TableQBRanks3040[[#This Row],[Player]],'Ranks w Proj'!$B:$N,13,FALSE))</f>
        <v>7.173195690276577</v>
      </c>
      <c r="P25" s="58">
        <v>24</v>
      </c>
      <c r="Q25" s="58" t="str">
        <f>VLOOKUP(TableRBRanks3141[[#This Row],[RK]],Rankings!A:T,8,FALSE)</f>
        <v>Quinshon Judkins</v>
      </c>
      <c r="R25" s="58" t="str">
        <f>IFERROR(INDEX(TableRBCalcPts[TM],MATCH(TableRBRanks3141[[#This Row],[Player]],TableRBCalcPts[PLAYER],0)),"")</f>
        <v>CLE</v>
      </c>
      <c r="S25" s="58">
        <f>IFERROR(INDEX(TableRBCalcPts[BYE],MATCH(TableRBRanks3141[[#This Row],[Player]],TableRBCalcPts[PLAYER],0)),"")</f>
        <v>11</v>
      </c>
      <c r="T25" s="100">
        <f>VLOOKUP(TableRBRanks3141[[#This Row],[Player]],RB!B:O,4,FALSE)</f>
        <v>277.13410200000004</v>
      </c>
      <c r="U25" s="100">
        <f>VLOOKUP(TableRBRanks3141[[#This Row],[Player]],RB!B:O,5,FALSE)</f>
        <v>1136.2498182000002</v>
      </c>
      <c r="V25" s="100">
        <f>VLOOKUP(TableRBRanks3141[[#This Row],[Player]],RB!B:O,6,FALSE)</f>
        <v>7.8968420827102275</v>
      </c>
      <c r="W25" s="100">
        <f>VLOOKUP(TableRBRanks3141[[#This Row],[Player]],RB!B:O,7,FALSE)</f>
        <v>29.193317999999998</v>
      </c>
      <c r="X25" s="100">
        <f>VLOOKUP(TableRBRanks3141[[#This Row],[Player]],RB!B:O,8,FALSE)</f>
        <v>20.075148499443038</v>
      </c>
      <c r="Y25" s="100">
        <f>VLOOKUP(TableRBRanks3141[[#This Row],[Player]],RB!B:O,9,FALSE)</f>
        <v>139.75715894354431</v>
      </c>
      <c r="Z25" s="100">
        <f>VLOOKUP(TableRBRanks3141[[#This Row],[Player]],RB!B:O,10,FALSE)</f>
        <v>0.66247990048162031</v>
      </c>
      <c r="AA25" s="95">
        <f>VLOOKUP(TableRBRanks3141[[#This Row],[Player]],RB!B:O,14,FALSE)</f>
        <v>188.99420386322706</v>
      </c>
      <c r="AB25" s="140">
        <f>IF(VLOOKUP(TableRBRanks3141[[#This Row],[Player]],'Ranks w Proj'!$Q:$AB,12,FALSE)&lt;0,0,VLOOKUP(TableRBRanks3141[[#This Row],[Player]],'Ranks w Proj'!$Q:$AB,12,FALSE))</f>
        <v>12.773667363414702</v>
      </c>
      <c r="AD25" s="58">
        <v>24</v>
      </c>
      <c r="AE25" s="58" t="str">
        <f>VLOOKUP(TableWRRanks3242[[#This Row],[RK]],Rankings!A:T,13,FALSE)</f>
        <v>Luther Burden</v>
      </c>
      <c r="AF25" s="58" t="str">
        <f>IFERROR(INDEX(TableWRCalcPts[TM],MATCH(TableWRRanks3242[[#This Row],[Player]],TableWRCalcPts[PLAYER],0)),"")</f>
        <v>CHI</v>
      </c>
      <c r="AG25" s="58">
        <f>IFERROR(INDEX(TableWRCalcPts[BYE],MATCH(TableWRRanks3242[[#This Row],[Player]],TableWRCalcPts[PLAYER],0)),"")</f>
        <v>10</v>
      </c>
      <c r="AH25" s="100">
        <f>VLOOKUP(TableWRRanks3242[[#This Row],[Player]],WR!B:O,4,FALSE)</f>
        <v>49.025872562294488</v>
      </c>
      <c r="AI25" s="100">
        <f>VLOOKUP(TableWRRanks3242[[#This Row],[Player]],WR!B:O,5,FALSE)</f>
        <v>0.28516944981580605</v>
      </c>
      <c r="AJ25" s="100">
        <f>VLOOKUP(TableWRRanks3242[[#This Row],[Player]],WR!B:O,6,FALSE)</f>
        <v>130.26901272000001</v>
      </c>
      <c r="AK25" s="100">
        <f>VLOOKUP(TableWRRanks3242[[#This Row],[Player]],WR!B:O,7,FALSE)</f>
        <v>81.027325911840009</v>
      </c>
      <c r="AL25" s="100">
        <f>VLOOKUP(TableWRRanks3242[[#This Row],[Player]],WR!B:O,8,FALSE)</f>
        <v>1060.6476961859858</v>
      </c>
      <c r="AM25" s="100">
        <f>VLOOKUP(TableWRRanks3242[[#This Row],[Player]],WR!B:O,9,FALSE)</f>
        <v>6.4821860729472007</v>
      </c>
      <c r="AN25" s="95">
        <f>VLOOKUP(TableWRRanks3242[[#This Row],[Player]],WR!B:O,13,FALSE)</f>
        <v>192.08515296732605</v>
      </c>
      <c r="AO25" s="140">
        <f>IF(VLOOKUP(TableWRRanks3242[[#This Row],[Player]],'Ranks w Proj'!$AE:$AO,11,FALSE)&lt;0,0,VLOOKUP(TableWRRanks3242[[#This Row],[Player]],'Ranks w Proj'!$AE:$AO,11,FALSE))</f>
        <v>19.126181339935304</v>
      </c>
      <c r="AQ25" s="58">
        <v>24</v>
      </c>
      <c r="AR25" s="58" t="str">
        <f>VLOOKUP(TableTERanks3343[[#This Row],[RK]],Rankings!A:T,18,FALSE)</f>
        <v>Kenyon Sadiq</v>
      </c>
      <c r="AS25" s="58" t="str">
        <f>IFERROR(INDEX(TableTECalcPts[TM],MATCH(TableTERanks3343[[#This Row],[Player]],TableTECalcPts[PLAYER],0)),"")</f>
        <v>NYJ</v>
      </c>
      <c r="AT25" s="58">
        <f>IFERROR(INDEX(TableTECalcPts[BYE],MATCH(TableTERanks3343[[#This Row],[Player]],TableTECalcPts[PLAYER],0)),"")</f>
        <v>13</v>
      </c>
      <c r="AU25" s="100">
        <f>VLOOKUP(TableTERanks3343[[#This Row],[Player]],TE!B:O,4,FALSE)</f>
        <v>65.191688273208825</v>
      </c>
      <c r="AV25" s="100">
        <f>VLOOKUP(TableTERanks3343[[#This Row],[Player]],TE!B:O,5,FALSE)</f>
        <v>46.840733386225139</v>
      </c>
      <c r="AW25" s="100">
        <f>VLOOKUP(TableTERanks3343[[#This Row],[Player]],TE!B:O,6,FALSE)</f>
        <v>453.82461016603662</v>
      </c>
      <c r="AX25" s="100">
        <f>VLOOKUP(TableTERanks3343[[#This Row],[Player]],TE!B:O,7,FALSE)</f>
        <v>2.9978069367184088</v>
      </c>
      <c r="AY25" s="95">
        <f>VLOOKUP(TableTERanks3343[[#This Row],[Player]],TE!B:O,11,FALSE)</f>
        <v>86.789669330026697</v>
      </c>
      <c r="AZ25" s="140">
        <f>IF(VLOOKUP(TableTERanks3343[[#This Row],[Player]],'Ranks w Proj'!$AR:$AZ,9,FALSE)&lt;0,0,VLOOKUP(TableTERanks3343[[#This Row],[Player]],'Ranks w Proj'!$AR:$AZ,9,FALSE))</f>
        <v>1.6728439689527574</v>
      </c>
    </row>
    <row r="26" spans="1:52" x14ac:dyDescent="0.25">
      <c r="A26" s="58">
        <v>25</v>
      </c>
      <c r="B26" s="58" t="str">
        <f>VLOOKUP(TableQBRanks3040[[#This Row],[RK]],Rankings!A:T,3,FALSE)</f>
        <v>Sam Darnold</v>
      </c>
      <c r="C26" s="58" t="str">
        <f>IFERROR(INDEX(TableQBCalcPts[TM],MATCH(TableQBRanks3040[[#This Row],[Player]],TableQBCalcPts[PLAYER],0)),"")</f>
        <v>SEA</v>
      </c>
      <c r="D26" s="58">
        <f>IFERROR(INDEX(TableQBCalcPts[BYE],MATCH(TableQBRanks3040[[#This Row],[Player]],TableQBCalcPts[PLAYER],0)),"")</f>
        <v>11</v>
      </c>
      <c r="E26" s="100">
        <f>VLOOKUP(TableQBRanks3040[[#This Row],[Player]],QB!B:O,4,FALSE)</f>
        <v>504.72744</v>
      </c>
      <c r="F26" s="100">
        <f>VLOOKUP(TableQBRanks3040[[#This Row],[Player]],QB!B:O,5,FALSE)</f>
        <v>335.64374760000004</v>
      </c>
      <c r="G26" s="100">
        <f>VLOOKUP(TableQBRanks3040[[#This Row],[Player]],QB!B:O,6,FALSE)</f>
        <v>4135.1309704320001</v>
      </c>
      <c r="H26" s="100">
        <f>VLOOKUP(TableQBRanks3040[[#This Row],[Player]],QB!B:O,7,FALSE)</f>
        <v>26.515856060400004</v>
      </c>
      <c r="I26" s="100">
        <f>VLOOKUP(TableQBRanks3040[[#This Row],[Player]],QB!B:O,8,FALSE)</f>
        <v>13.01233198593386</v>
      </c>
      <c r="J26" s="100">
        <f>VLOOKUP(TableQBRanks3040[[#This Row],[Player]],QB!B:O,9,FALSE)</f>
        <v>34.843159255474909</v>
      </c>
      <c r="K26" s="100">
        <f>VLOOKUP(TableQBRanks3040[[#This Row],[Player]],QB!B:O,10,FALSE)</f>
        <v>110.34912719016842</v>
      </c>
      <c r="L26" s="100">
        <f>VLOOKUP(TableQBRanks3040[[#This Row],[Player]],QB!B:O,11,FALSE)</f>
        <v>0.86122797089993575</v>
      </c>
      <c r="M26" s="95">
        <f>VLOOKUP(TableQBRanks3040[[#This Row],[Player]],QB!B:O,13,FALSE)</f>
        <v>361.25469849816261</v>
      </c>
      <c r="N26" s="140">
        <f>IF(VLOOKUP(TableQBRanks3040[[#This Row],[Player]],'Ranks w Proj'!$B:$N,13,FALSE)&lt;0,0,VLOOKUP(TableQBRanks3040[[#This Row],[Player]],'Ranks w Proj'!$B:$N,13,FALSE))</f>
        <v>10.641242386869596</v>
      </c>
      <c r="P26" s="58">
        <v>25</v>
      </c>
      <c r="Q26" s="58" t="str">
        <f>VLOOKUP(TableRBRanks3141[[#This Row],[RK]],Rankings!A:T,8,FALSE)</f>
        <v>TreVeyon Henderson</v>
      </c>
      <c r="R26" s="58" t="str">
        <f>IFERROR(INDEX(TableRBCalcPts[TM],MATCH(TableRBRanks3141[[#This Row],[Player]],TableRBCalcPts[PLAYER],0)),"")</f>
        <v>NE</v>
      </c>
      <c r="S26" s="58">
        <f>IFERROR(INDEX(TableRBCalcPts[BYE],MATCH(TableRBRanks3141[[#This Row],[Player]],TableRBCalcPts[PLAYER],0)),"")</f>
        <v>11</v>
      </c>
      <c r="T26" s="100">
        <f>VLOOKUP(TableRBRanks3141[[#This Row],[Player]],RB!B:O,4,FALSE)</f>
        <v>175.99039919999998</v>
      </c>
      <c r="U26" s="100">
        <f>VLOOKUP(TableRBRanks3141[[#This Row],[Player]],RB!B:O,5,FALSE)</f>
        <v>824.46444890520854</v>
      </c>
      <c r="V26" s="100">
        <f>VLOOKUP(TableRBRanks3141[[#This Row],[Player]],RB!B:O,6,FALSE)</f>
        <v>7.0396159679999997</v>
      </c>
      <c r="W26" s="100">
        <f>VLOOKUP(TableRBRanks3141[[#This Row],[Player]],RB!B:O,7,FALSE)</f>
        <v>56.719499199999973</v>
      </c>
      <c r="X26" s="100">
        <f>VLOOKUP(TableRBRanks3141[[#This Row],[Player]],RB!B:O,8,FALSE)</f>
        <v>45.205440862399982</v>
      </c>
      <c r="Y26" s="100">
        <f>VLOOKUP(TableRBRanks3141[[#This Row],[Player]],RB!B:O,9,FALSE)</f>
        <v>337.68464324212783</v>
      </c>
      <c r="Z26" s="100">
        <f>VLOOKUP(TableRBRanks3141[[#This Row],[Player]],RB!B:O,10,FALSE)</f>
        <v>1.6022945799520392</v>
      </c>
      <c r="AA26" s="95">
        <f>VLOOKUP(TableRBRanks3141[[#This Row],[Player]],RB!B:O,14,FALSE)</f>
        <v>190.66909293364586</v>
      </c>
      <c r="AB26" s="140">
        <f>IF(VLOOKUP(TableRBRanks3141[[#This Row],[Player]],'Ranks w Proj'!$Q:$AB,12,FALSE)&lt;0,0,VLOOKUP(TableRBRanks3141[[#This Row],[Player]],'Ranks w Proj'!$Q:$AB,12,FALSE))</f>
        <v>13.025407462532232</v>
      </c>
      <c r="AD26" s="58">
        <v>25</v>
      </c>
      <c r="AE26" s="58" t="str">
        <f>VLOOKUP(TableWRRanks3242[[#This Row],[RK]],Rankings!A:T,13,FALSE)</f>
        <v>Malik Nabers</v>
      </c>
      <c r="AF26" s="58" t="str">
        <f>IFERROR(INDEX(TableWRCalcPts[TM],MATCH(TableWRRanks3242[[#This Row],[Player]],TableWRCalcPts[PLAYER],0)),"")</f>
        <v>NYG</v>
      </c>
      <c r="AG26" s="58">
        <f>IFERROR(INDEX(TableWRCalcPts[BYE],MATCH(TableWRRanks3242[[#This Row],[Player]],TableWRCalcPts[PLAYER],0)),"")</f>
        <v>8</v>
      </c>
      <c r="AH26" s="100">
        <f>VLOOKUP(TableWRRanks3242[[#This Row],[Player]],WR!B:O,4,FALSE)</f>
        <v>0</v>
      </c>
      <c r="AI26" s="100">
        <f>VLOOKUP(TableWRRanks3242[[#This Row],[Player]],WR!B:O,5,FALSE)</f>
        <v>0</v>
      </c>
      <c r="AJ26" s="100">
        <f>VLOOKUP(TableWRRanks3242[[#This Row],[Player]],WR!B:O,6,FALSE)</f>
        <v>105.80562748</v>
      </c>
      <c r="AK26" s="100">
        <f>VLOOKUP(TableWRRanks3242[[#This Row],[Player]],WR!B:O,7,FALSE)</f>
        <v>62.742737095639995</v>
      </c>
      <c r="AL26" s="100">
        <f>VLOOKUP(TableWRRanks3242[[#This Row],[Player]],WR!B:O,8,FALSE)</f>
        <v>836.36068548488117</v>
      </c>
      <c r="AM26" s="100">
        <f>VLOOKUP(TableWRRanks3242[[#This Row],[Player]],WR!B:O,9,FALSE)</f>
        <v>5.3433888110292518</v>
      </c>
      <c r="AN26" s="95">
        <f>VLOOKUP(TableWRRanks3242[[#This Row],[Player]],WR!B:O,13,FALSE)</f>
        <v>147.06776996248362</v>
      </c>
      <c r="AO26" s="140">
        <f>IF(VLOOKUP(TableWRRanks3242[[#This Row],[Player]],'Ranks w Proj'!$AE:$AO,11,FALSE)&lt;0,0,VLOOKUP(TableWRRanks3242[[#This Row],[Player]],'Ranks w Proj'!$AE:$AO,11,FALSE))</f>
        <v>10.668396985881625</v>
      </c>
      <c r="AQ26" s="58">
        <v>25</v>
      </c>
      <c r="AR26" s="58" t="str">
        <f>VLOOKUP(TableTERanks3343[[#This Row],[RK]],Rankings!A:T,18,FALSE)</f>
        <v>David Njoku</v>
      </c>
      <c r="AS26" s="58" t="str">
        <f>IFERROR(INDEX(TableTECalcPts[TM],MATCH(TableTERanks3343[[#This Row],[Player]],TableTECalcPts[PLAYER],0)),"")</f>
        <v>LAC</v>
      </c>
      <c r="AT26" s="58">
        <f>IFERROR(INDEX(TableTECalcPts[BYE],MATCH(TableTERanks3343[[#This Row],[Player]],TableTECalcPts[PLAYER],0)),"")</f>
        <v>7</v>
      </c>
      <c r="AU26" s="100">
        <f>VLOOKUP(TableTERanks3343[[#This Row],[Player]],TE!B:O,4,FALSE)</f>
        <v>49.978969039999988</v>
      </c>
      <c r="AV26" s="100">
        <f>VLOOKUP(TableTERanks3343[[#This Row],[Player]],TE!B:O,5,FALSE)</f>
        <v>36.084815646879989</v>
      </c>
      <c r="AW26" s="100">
        <f>VLOOKUP(TableTERanks3343[[#This Row],[Player]],TE!B:O,6,FALSE)</f>
        <v>378.89931732718867</v>
      </c>
      <c r="AX26" s="100">
        <f>VLOOKUP(TableTERanks3343[[#This Row],[Player]],TE!B:O,7,FALSE)</f>
        <v>2.6516547050858308</v>
      </c>
      <c r="AY26" s="95">
        <f>VLOOKUP(TableTERanks3343[[#This Row],[Player]],TE!B:O,11,FALSE)</f>
        <v>71.842267786673858</v>
      </c>
      <c r="AZ26" s="140">
        <f>IF(VLOOKUP(TableTERanks3343[[#This Row],[Player]],'Ranks w Proj'!$AR:$AZ,9,FALSE)&lt;0,0,VLOOKUP(TableTERanks3343[[#This Row],[Player]],'Ranks w Proj'!$AR:$AZ,9,FALSE))</f>
        <v>0</v>
      </c>
    </row>
    <row r="27" spans="1:52" x14ac:dyDescent="0.25">
      <c r="A27" s="58">
        <v>26</v>
      </c>
      <c r="B27" s="58" t="str">
        <f>VLOOKUP(TableQBRanks3040[[#This Row],[RK]],Rankings!A:T,3,FALSE)</f>
        <v>Bryce Young</v>
      </c>
      <c r="C27" s="58" t="str">
        <f>IFERROR(INDEX(TableQBCalcPts[TM],MATCH(TableQBRanks3040[[#This Row],[Player]],TableQBCalcPts[PLAYER],0)),"")</f>
        <v>CAR</v>
      </c>
      <c r="D27" s="58">
        <f>IFERROR(INDEX(TableQBCalcPts[BYE],MATCH(TableQBRanks3040[[#This Row],[Player]],TableQBCalcPts[PLAYER],0)),"")</f>
        <v>5</v>
      </c>
      <c r="E27" s="100">
        <f>VLOOKUP(TableQBRanks3040[[#This Row],[Player]],QB!B:O,4,FALSE)</f>
        <v>521.97749999999996</v>
      </c>
      <c r="F27" s="100">
        <f>VLOOKUP(TableQBRanks3040[[#This Row],[Player]],QB!B:O,5,FALSE)</f>
        <v>333.02164499999998</v>
      </c>
      <c r="G27" s="100">
        <f>VLOOKUP(TableQBRanks3040[[#This Row],[Player]],QB!B:O,6,FALSE)</f>
        <v>3466.0202038358811</v>
      </c>
      <c r="H27" s="100">
        <f>VLOOKUP(TableQBRanks3040[[#This Row],[Player]],QB!B:O,7,FALSE)</f>
        <v>23.311515150000002</v>
      </c>
      <c r="I27" s="100">
        <f>VLOOKUP(TableQBRanks3040[[#This Row],[Player]],QB!B:O,8,FALSE)</f>
        <v>12.028447647849639</v>
      </c>
      <c r="J27" s="100">
        <f>VLOOKUP(TableQBRanks3040[[#This Row],[Player]],QB!B:O,9,FALSE)</f>
        <v>52.240418999999989</v>
      </c>
      <c r="K27" s="100">
        <f>VLOOKUP(TableQBRanks3040[[#This Row],[Player]],QB!B:O,10,FALSE)</f>
        <v>245.52996929999995</v>
      </c>
      <c r="L27" s="100">
        <f>VLOOKUP(TableQBRanks3040[[#This Row],[Player]],QB!B:O,11,FALSE)</f>
        <v>2.1940975979999995</v>
      </c>
      <c r="M27" s="95">
        <f>VLOOKUP(TableQBRanks3040[[#This Row],[Player]],QB!B:O,13,FALSE)</f>
        <v>337.50119842358561</v>
      </c>
      <c r="N27" s="140">
        <f>IF(VLOOKUP(TableQBRanks3040[[#This Row],[Player]],'Ranks w Proj'!$B:$N,13,FALSE)&lt;0,0,VLOOKUP(TableQBRanks3040[[#This Row],[Player]],'Ranks w Proj'!$B:$N,13,FALSE))</f>
        <v>5.263446569531574</v>
      </c>
      <c r="P27" s="58">
        <v>26</v>
      </c>
      <c r="Q27" s="58" t="str">
        <f>VLOOKUP(TableRBRanks3141[[#This Row],[RK]],Rankings!A:T,8,FALSE)</f>
        <v>Bucky Irving</v>
      </c>
      <c r="R27" s="58" t="str">
        <f>IFERROR(INDEX(TableRBCalcPts[TM],MATCH(TableRBRanks3141[[#This Row],[Player]],TableRBCalcPts[PLAYER],0)),"")</f>
        <v>TB</v>
      </c>
      <c r="S27" s="58">
        <f>IFERROR(INDEX(TableRBCalcPts[BYE],MATCH(TableRBRanks3141[[#This Row],[Player]],TableRBCalcPts[PLAYER],0)),"")</f>
        <v>10</v>
      </c>
      <c r="T27" s="100">
        <f>VLOOKUP(TableRBRanks3141[[#This Row],[Player]],RB!B:O,4,FALSE)</f>
        <v>168.58838765999997</v>
      </c>
      <c r="U27" s="100">
        <f>VLOOKUP(TableRBRanks3141[[#This Row],[Player]],RB!B:O,5,FALSE)</f>
        <v>676.03943451659984</v>
      </c>
      <c r="V27" s="100">
        <f>VLOOKUP(TableRBRanks3141[[#This Row],[Player]],RB!B:O,6,FALSE)</f>
        <v>3.877532916179999</v>
      </c>
      <c r="W27" s="100">
        <f>VLOOKUP(TableRBRanks3141[[#This Row],[Player]],RB!B:O,7,FALSE)</f>
        <v>53.527430459999977</v>
      </c>
      <c r="X27" s="100">
        <f>VLOOKUP(TableRBRanks3141[[#This Row],[Player]],RB!B:O,8,FALSE)</f>
        <v>46.732387859187668</v>
      </c>
      <c r="Y27" s="100">
        <f>VLOOKUP(TableRBRanks3141[[#This Row],[Player]],RB!B:O,9,FALSE)</f>
        <v>393.01938189576828</v>
      </c>
      <c r="Z27" s="100">
        <f>VLOOKUP(TableRBRanks3141[[#This Row],[Player]],RB!B:O,10,FALSE)</f>
        <v>2.9441404351288232</v>
      </c>
      <c r="AA27" s="95">
        <f>VLOOKUP(TableRBRanks3141[[#This Row],[Player]],RB!B:O,14,FALSE)</f>
        <v>171.20211567868358</v>
      </c>
      <c r="AB27" s="140">
        <f>IF(VLOOKUP(TableRBRanks3141[[#This Row],[Player]],'Ranks w Proj'!$Q:$AB,12,FALSE)&lt;0,0,VLOOKUP(TableRBRanks3141[[#This Row],[Player]],'Ranks w Proj'!$Q:$AB,12,FALSE))</f>
        <v>10.099471130248716</v>
      </c>
      <c r="AD27" s="58">
        <v>26</v>
      </c>
      <c r="AE27" s="58" t="str">
        <f>VLOOKUP(TableWRRanks3242[[#This Row],[RK]],Rankings!A:T,13,FALSE)</f>
        <v>Davante Adams</v>
      </c>
      <c r="AF27" s="58" t="str">
        <f>IFERROR(INDEX(TableWRCalcPts[TM],MATCH(TableWRRanks3242[[#This Row],[Player]],TableWRCalcPts[PLAYER],0)),"")</f>
        <v>LAR</v>
      </c>
      <c r="AG27" s="58">
        <f>IFERROR(INDEX(TableWRCalcPts[BYE],MATCH(TableWRRanks3242[[#This Row],[Player]],TableWRCalcPts[PLAYER],0)),"")</f>
        <v>11</v>
      </c>
      <c r="AH27" s="100">
        <f>VLOOKUP(TableWRRanks3242[[#This Row],[Player]],WR!B:O,4,FALSE)</f>
        <v>0</v>
      </c>
      <c r="AI27" s="100">
        <f>VLOOKUP(TableWRRanks3242[[#This Row],[Player]],WR!B:O,5,FALSE)</f>
        <v>0</v>
      </c>
      <c r="AJ27" s="100">
        <f>VLOOKUP(TableWRRanks3242[[#This Row],[Player]],WR!B:O,6,FALSE)</f>
        <v>126.66263358908101</v>
      </c>
      <c r="AK27" s="100">
        <f>VLOOKUP(TableWRRanks3242[[#This Row],[Player]],WR!B:O,7,FALSE)</f>
        <v>68.651147405281918</v>
      </c>
      <c r="AL27" s="100">
        <f>VLOOKUP(TableWRRanks3242[[#This Row],[Player]],WR!B:O,8,FALSE)</f>
        <v>908.2137547965624</v>
      </c>
      <c r="AM27" s="100">
        <f>VLOOKUP(TableWRRanks3242[[#This Row],[Player]],WR!B:O,9,FALSE)</f>
        <v>10.778230142629262</v>
      </c>
      <c r="AN27" s="95">
        <f>VLOOKUP(TableWRRanks3242[[#This Row],[Player]],WR!B:O,13,FALSE)</f>
        <v>189.81633003807275</v>
      </c>
      <c r="AO27" s="140">
        <f>IF(VLOOKUP(TableWRRanks3242[[#This Row],[Player]],'Ranks w Proj'!$AE:$AO,11,FALSE)&lt;0,0,VLOOKUP(TableWRRanks3242[[#This Row],[Player]],'Ranks w Proj'!$AE:$AO,11,FALSE))</f>
        <v>18.699918998761611</v>
      </c>
      <c r="AQ27" s="58">
        <v>26</v>
      </c>
      <c r="AR27" s="58" t="str">
        <f>VLOOKUP(TableTERanks3343[[#This Row],[RK]],Rankings!A:T,18,FALSE)</f>
        <v>Oronde Gadsden</v>
      </c>
      <c r="AS27" s="58" t="str">
        <f>IFERROR(INDEX(TableTECalcPts[TM],MATCH(TableTERanks3343[[#This Row],[Player]],TableTECalcPts[PLAYER],0)),"")</f>
        <v>LAC</v>
      </c>
      <c r="AT27" s="58">
        <f>IFERROR(INDEX(TableTECalcPts[BYE],MATCH(TableTERanks3343[[#This Row],[Player]],TableTECalcPts[PLAYER],0)),"")</f>
        <v>7</v>
      </c>
      <c r="AU27" s="100">
        <f>VLOOKUP(TableTERanks3343[[#This Row],[Player]],TE!B:O,4,FALSE)</f>
        <v>64.866321519999985</v>
      </c>
      <c r="AV27" s="100">
        <f>VLOOKUP(TableTERanks3343[[#This Row],[Player]],TE!B:O,5,FALSE)</f>
        <v>46.119954600719986</v>
      </c>
      <c r="AW27" s="100">
        <f>VLOOKUP(TableTERanks3343[[#This Row],[Player]],TE!B:O,6,FALSE)</f>
        <v>531.30187700029421</v>
      </c>
      <c r="AX27" s="100">
        <f>VLOOKUP(TableTERanks3343[[#This Row],[Player]],TE!B:O,7,FALSE)</f>
        <v>3.5973564588561588</v>
      </c>
      <c r="AY27" s="95">
        <f>VLOOKUP(TableTERanks3343[[#This Row],[Player]],TE!B:O,11,FALSE)</f>
        <v>97.774303753526368</v>
      </c>
      <c r="AZ27" s="140">
        <f>IF(VLOOKUP(TableTERanks3343[[#This Row],[Player]],'Ranks w Proj'!$AR:$AZ,9,FALSE)&lt;0,0,VLOOKUP(TableTERanks3343[[#This Row],[Player]],'Ranks w Proj'!$AR:$AZ,9,FALSE))</f>
        <v>3.7366171818932177</v>
      </c>
    </row>
    <row r="28" spans="1:52" x14ac:dyDescent="0.25">
      <c r="A28" s="58">
        <v>27</v>
      </c>
      <c r="B28" s="58" t="str">
        <f>VLOOKUP(TableQBRanks3040[[#This Row],[RK]],Rankings!A:T,3,FALSE)</f>
        <v>Aaron Rodgers</v>
      </c>
      <c r="C28" s="58" t="str">
        <f>IFERROR(INDEX(TableQBCalcPts[TM],MATCH(TableQBRanks3040[[#This Row],[Player]],TableQBCalcPts[PLAYER],0)),"")</f>
        <v>PIT</v>
      </c>
      <c r="D28" s="58">
        <f>IFERROR(INDEX(TableQBCalcPts[BYE],MATCH(TableQBRanks3040[[#This Row],[Player]],TableQBCalcPts[PLAYER],0)),"")</f>
        <v>9</v>
      </c>
      <c r="E28" s="100">
        <f>VLOOKUP(TableQBRanks3040[[#This Row],[Player]],QB!B:O,4,FALSE)</f>
        <v>550.62</v>
      </c>
      <c r="F28" s="100">
        <f>VLOOKUP(TableQBRanks3040[[#This Row],[Player]],QB!B:O,5,FALSE)</f>
        <v>353.45392324136321</v>
      </c>
      <c r="G28" s="100">
        <f>VLOOKUP(TableQBRanks3040[[#This Row],[Player]],QB!B:O,6,FALSE)</f>
        <v>3666.8336314867825</v>
      </c>
      <c r="H28" s="100">
        <f>VLOOKUP(TableQBRanks3040[[#This Row],[Player]],QB!B:O,7,FALSE)</f>
        <v>23.103741815921587</v>
      </c>
      <c r="I28" s="100">
        <f>VLOOKUP(TableQBRanks3040[[#This Row],[Player]],QB!B:O,8,FALSE)</f>
        <v>9.89020019921462</v>
      </c>
      <c r="J28" s="100">
        <f>VLOOKUP(TableQBRanks3040[[#This Row],[Player]],QB!B:O,9,FALSE)</f>
        <v>20.083139999999997</v>
      </c>
      <c r="K28" s="100">
        <f>VLOOKUP(TableQBRanks3040[[#This Row],[Player]],QB!B:O,10,FALSE)</f>
        <v>65.069373599999992</v>
      </c>
      <c r="L28" s="100">
        <f>VLOOKUP(TableQBRanks3040[[#This Row],[Player]],QB!B:O,11,FALSE)</f>
        <v>0.67320386565188584</v>
      </c>
      <c r="M28" s="95">
        <f>VLOOKUP(TableQBRanks3040[[#This Row],[Player]],QB!B:O,13,FALSE)</f>
        <v>321.29714883383383</v>
      </c>
      <c r="N28" s="140">
        <f>IF(VLOOKUP(TableQBRanks3040[[#This Row],[Player]],'Ranks w Proj'!$B:$N,13,FALSE)&lt;0,0,VLOOKUP(TableQBRanks3040[[#This Row],[Player]],'Ranks w Proj'!$B:$N,13,FALSE))</f>
        <v>2.1718542546556341</v>
      </c>
      <c r="P28" s="58">
        <v>27</v>
      </c>
      <c r="Q28" s="58" t="str">
        <f>VLOOKUP(TableRBRanks3141[[#This Row],[RK]],Rankings!A:T,8,FALSE)</f>
        <v>Rhamondre Stevenson</v>
      </c>
      <c r="R28" s="58" t="str">
        <f>IFERROR(INDEX(TableRBCalcPts[TM],MATCH(TableRBRanks3141[[#This Row],[Player]],TableRBCalcPts[PLAYER],0)),"")</f>
        <v>NE</v>
      </c>
      <c r="S28" s="58">
        <f>IFERROR(INDEX(TableRBCalcPts[BYE],MATCH(TableRBRanks3141[[#This Row],[Player]],TableRBCalcPts[PLAYER],0)),"")</f>
        <v>11</v>
      </c>
      <c r="T28" s="100">
        <f>VLOOKUP(TableRBRanks3141[[#This Row],[Player]],RB!B:O,4,FALSE)</f>
        <v>160.43569219999998</v>
      </c>
      <c r="U28" s="100">
        <f>VLOOKUP(TableRBRanks3141[[#This Row],[Player]],RB!B:O,5,FALSE)</f>
        <v>717.14754413399987</v>
      </c>
      <c r="V28" s="100">
        <f>VLOOKUP(TableRBRanks3141[[#This Row],[Player]],RB!B:O,6,FALSE)</f>
        <v>7.2196061489999988</v>
      </c>
      <c r="W28" s="100">
        <f>VLOOKUP(TableRBRanks3141[[#This Row],[Player]],RB!B:O,7,FALSE)</f>
        <v>53.447220399999971</v>
      </c>
      <c r="X28" s="100">
        <f>VLOOKUP(TableRBRanks3141[[#This Row],[Player]],RB!B:O,8,FALSE)</f>
        <v>44.361192931999973</v>
      </c>
      <c r="Y28" s="100">
        <f>VLOOKUP(TableRBRanks3141[[#This Row],[Player]],RB!B:O,9,FALSE)</f>
        <v>388.60405008431974</v>
      </c>
      <c r="Z28" s="100">
        <f>VLOOKUP(TableRBRanks3141[[#This Row],[Player]],RB!B:O,10,FALSE)</f>
        <v>2.1634115036045016</v>
      </c>
      <c r="AA28" s="95">
        <f>VLOOKUP(TableRBRanks3141[[#This Row],[Player]],RB!B:O,14,FALSE)</f>
        <v>189.05386180345894</v>
      </c>
      <c r="AB28" s="140">
        <f>IF(VLOOKUP(TableRBRanks3141[[#This Row],[Player]],'Ranks w Proj'!$Q:$AB,12,FALSE)&lt;0,0,VLOOKUP(TableRBRanks3141[[#This Row],[Player]],'Ranks w Proj'!$Q:$AB,12,FALSE))</f>
        <v>12.782634103990164</v>
      </c>
      <c r="AD28" s="58">
        <v>27</v>
      </c>
      <c r="AE28" s="58" t="str">
        <f>VLOOKUP(TableWRRanks3242[[#This Row],[RK]],Rankings!A:T,13,FALSE)</f>
        <v>Christian Watson</v>
      </c>
      <c r="AF28" s="58" t="str">
        <f>IFERROR(INDEX(TableWRCalcPts[TM],MATCH(TableWRRanks3242[[#This Row],[Player]],TableWRCalcPts[PLAYER],0)),"")</f>
        <v>GB</v>
      </c>
      <c r="AG28" s="58">
        <f>IFERROR(INDEX(TableWRCalcPts[BYE],MATCH(TableWRRanks3242[[#This Row],[Player]],TableWRCalcPts[PLAYER],0)),"")</f>
        <v>11</v>
      </c>
      <c r="AH28" s="100">
        <f>VLOOKUP(TableWRRanks3242[[#This Row],[Player]],WR!B:O,4,FALSE)</f>
        <v>11.407058163795424</v>
      </c>
      <c r="AI28" s="100">
        <f>VLOOKUP(TableWRRanks3242[[#This Row],[Player]],WR!B:O,5,FALSE)</f>
        <v>2.3580563999999998E-2</v>
      </c>
      <c r="AJ28" s="100">
        <f>VLOOKUP(TableWRRanks3242[[#This Row],[Player]],WR!B:O,6,FALSE)</f>
        <v>109.051520080402</v>
      </c>
      <c r="AK28" s="100">
        <f>VLOOKUP(TableWRRanks3242[[#This Row],[Player]],WR!B:O,7,FALSE)</f>
        <v>63.540685700180887</v>
      </c>
      <c r="AL28" s="100">
        <f>VLOOKUP(TableWRRanks3242[[#This Row],[Player]],WR!B:O,8,FALSE)</f>
        <v>1032.5361426279394</v>
      </c>
      <c r="AM28" s="100">
        <f>VLOOKUP(TableWRRanks3242[[#This Row],[Player]],WR!B:O,9,FALSE)</f>
        <v>7.3707195412209829</v>
      </c>
      <c r="AN28" s="95">
        <f>VLOOKUP(TableWRRanks3242[[#This Row],[Player]],WR!B:O,13,FALSE)</f>
        <v>180.53046356058982</v>
      </c>
      <c r="AO28" s="140">
        <f>IF(VLOOKUP(TableWRRanks3242[[#This Row],[Player]],'Ranks w Proj'!$AE:$AO,11,FALSE)&lt;0,0,VLOOKUP(TableWRRanks3242[[#This Row],[Player]],'Ranks w Proj'!$AE:$AO,11,FALSE))</f>
        <v>16.955307229600386</v>
      </c>
      <c r="AQ28" s="58">
        <v>27</v>
      </c>
      <c r="AR28" s="58" t="str">
        <f>VLOOKUP(TableTERanks3343[[#This Row],[RK]],Rankings!A:T,18,FALSE)</f>
        <v>Terrance Ferguson</v>
      </c>
      <c r="AS28" s="58" t="str">
        <f>IFERROR(INDEX(TableTECalcPts[TM],MATCH(TableTERanks3343[[#This Row],[Player]],TableTECalcPts[PLAYER],0)),"")</f>
        <v>LAR</v>
      </c>
      <c r="AT28" s="58">
        <f>IFERROR(INDEX(TableTECalcPts[BYE],MATCH(TableTERanks3343[[#This Row],[Player]],TableTECalcPts[PLAYER],0)),"")</f>
        <v>11</v>
      </c>
      <c r="AU28" s="100">
        <f>VLOOKUP(TableTERanks3343[[#This Row],[Player]],TE!B:O,4,FALSE)</f>
        <v>62.200400423209423</v>
      </c>
      <c r="AV28" s="100">
        <f>VLOOKUP(TableTERanks3343[[#This Row],[Player]],TE!B:O,5,FALSE)</f>
        <v>41.736468683973527</v>
      </c>
      <c r="AW28" s="100">
        <f>VLOOKUP(TableTERanks3343[[#This Row],[Player]],TE!B:O,6,FALSE)</f>
        <v>505.84600044975912</v>
      </c>
      <c r="AX28" s="100">
        <f>VLOOKUP(TableTERanks3343[[#This Row],[Player]],TE!B:O,7,FALSE)</f>
        <v>4.6744844926050355</v>
      </c>
      <c r="AY28" s="95">
        <f>VLOOKUP(TableTERanks3343[[#This Row],[Player]],TE!B:O,11,FALSE)</f>
        <v>99.499741342592898</v>
      </c>
      <c r="AZ28" s="140">
        <f>IF(VLOOKUP(TableTERanks3343[[#This Row],[Player]],'Ranks w Proj'!$AR:$AZ,9,FALSE)&lt;0,0,VLOOKUP(TableTERanks3343[[#This Row],[Player]],'Ranks w Proj'!$AR:$AZ,9,FALSE))</f>
        <v>4.0607892698871648</v>
      </c>
    </row>
    <row r="29" spans="1:52" x14ac:dyDescent="0.25">
      <c r="A29" s="58">
        <v>28</v>
      </c>
      <c r="B29" s="58" t="str">
        <f>VLOOKUP(TableQBRanks3040[[#This Row],[RK]],Rankings!A:T,3,FALSE)</f>
        <v>Jacoby Brissett</v>
      </c>
      <c r="C29" s="58" t="str">
        <f>IFERROR(INDEX(TableQBCalcPts[TM],MATCH(TableQBRanks3040[[#This Row],[Player]],TableQBCalcPts[PLAYER],0)),"")</f>
        <v>ARI</v>
      </c>
      <c r="D29" s="58">
        <f>IFERROR(INDEX(TableQBCalcPts[BYE],MATCH(TableQBRanks3040[[#This Row],[Player]],TableQBCalcPts[PLAYER],0)),"")</f>
        <v>14</v>
      </c>
      <c r="E29" s="100">
        <f>VLOOKUP(TableQBRanks3040[[#This Row],[Player]],QB!B:O,4,FALSE)</f>
        <v>482.18800000000005</v>
      </c>
      <c r="F29" s="100">
        <f>VLOOKUP(TableQBRanks3040[[#This Row],[Player]],QB!B:O,5,FALSE)</f>
        <v>309.56469600000003</v>
      </c>
      <c r="G29" s="100">
        <f>VLOOKUP(TableQBRanks3040[[#This Row],[Player]],QB!B:O,6,FALSE)</f>
        <v>3231.8554262400003</v>
      </c>
      <c r="H29" s="100">
        <f>VLOOKUP(TableQBRanks3040[[#This Row],[Player]],QB!B:O,7,FALSE)</f>
        <v>21.979093416000001</v>
      </c>
      <c r="I29" s="100">
        <f>VLOOKUP(TableQBRanks3040[[#This Row],[Player]],QB!B:O,8,FALSE)</f>
        <v>7.9524469492371814</v>
      </c>
      <c r="J29" s="100">
        <f>VLOOKUP(TableQBRanks3040[[#This Row],[Player]],QB!B:O,9,FALSE)</f>
        <v>44.117365599999999</v>
      </c>
      <c r="K29" s="100">
        <f>VLOOKUP(TableQBRanks3040[[#This Row],[Player]],QB!B:O,10,FALSE)</f>
        <v>208.64678278208768</v>
      </c>
      <c r="L29" s="100">
        <f>VLOOKUP(TableQBRanks3040[[#This Row],[Player]],QB!B:O,11,FALSE)</f>
        <v>1.1095870803243719</v>
      </c>
      <c r="M29" s="95">
        <f>VLOOKUP(TableQBRanks3040[[#This Row],[Player]],QB!B:O,13,FALSE)</f>
        <v>311.67500095651786</v>
      </c>
      <c r="N29" s="140">
        <f>IF(VLOOKUP(TableQBRanks3040[[#This Row],[Player]],'Ranks w Proj'!$B:$N,13,FALSE)&lt;0,0,VLOOKUP(TableQBRanks3040[[#This Row],[Player]],'Ranks w Proj'!$B:$N,13,FALSE))</f>
        <v>0.28800227899591035</v>
      </c>
      <c r="P29" s="58">
        <v>28</v>
      </c>
      <c r="Q29" s="58" t="str">
        <f>VLOOKUP(TableRBRanks3141[[#This Row],[RK]],Rankings!A:T,8,FALSE)</f>
        <v>Tony Pollard</v>
      </c>
      <c r="R29" s="58" t="str">
        <f>IFERROR(INDEX(TableRBCalcPts[TM],MATCH(TableRBRanks3141[[#This Row],[Player]],TableRBCalcPts[PLAYER],0)),"")</f>
        <v>TEN</v>
      </c>
      <c r="S29" s="58">
        <f>IFERROR(INDEX(TableRBCalcPts[BYE],MATCH(TableRBRanks3141[[#This Row],[Player]],TableRBCalcPts[PLAYER],0)),"")</f>
        <v>9</v>
      </c>
      <c r="T29" s="100">
        <f>VLOOKUP(TableRBRanks3141[[#This Row],[Player]],RB!B:O,4,FALSE)</f>
        <v>231.14270592</v>
      </c>
      <c r="U29" s="100">
        <f>VLOOKUP(TableRBRanks3141[[#This Row],[Player]],RB!B:O,5,FALSE)</f>
        <v>1007.7821978112</v>
      </c>
      <c r="V29" s="100">
        <f>VLOOKUP(TableRBRanks3141[[#This Row],[Player]],RB!B:O,6,FALSE)</f>
        <v>6.0097103539200001</v>
      </c>
      <c r="W29" s="100">
        <f>VLOOKUP(TableRBRanks3141[[#This Row],[Player]],RB!B:O,7,FALSE)</f>
        <v>42.840645120000005</v>
      </c>
      <c r="X29" s="100">
        <f>VLOOKUP(TableRBRanks3141[[#This Row],[Player]],RB!B:O,8,FALSE)</f>
        <v>32.473209000960004</v>
      </c>
      <c r="Y29" s="100">
        <f>VLOOKUP(TableRBRanks3141[[#This Row],[Player]],RB!B:O,9,FALSE)</f>
        <v>218.21996448645123</v>
      </c>
      <c r="Z29" s="100">
        <f>VLOOKUP(TableRBRanks3141[[#This Row],[Player]],RB!B:O,10,FALSE)</f>
        <v>1.0391426880307202</v>
      </c>
      <c r="AA29" s="95">
        <f>VLOOKUP(TableRBRanks3141[[#This Row],[Player]],RB!B:O,14,FALSE)</f>
        <v>181.12993898194946</v>
      </c>
      <c r="AB29" s="140">
        <f>IF(VLOOKUP(TableRBRanks3141[[#This Row],[Player]],'Ranks w Proj'!$Q:$AB,12,FALSE)&lt;0,0,VLOOKUP(TableRBRanks3141[[#This Row],[Player]],'Ranks w Proj'!$Q:$AB,12,FALSE))</f>
        <v>11.591648293814879</v>
      </c>
      <c r="AD29" s="58">
        <v>28</v>
      </c>
      <c r="AE29" s="58" t="str">
        <f>VLOOKUP(TableWRRanks3242[[#This Row],[RK]],Rankings!A:T,13,FALSE)</f>
        <v>Marvin Harrison</v>
      </c>
      <c r="AF29" s="58" t="str">
        <f>IFERROR(INDEX(TableWRCalcPts[TM],MATCH(TableWRRanks3242[[#This Row],[Player]],TableWRCalcPts[PLAYER],0)),"")</f>
        <v>ARI</v>
      </c>
      <c r="AG29" s="58">
        <f>IFERROR(INDEX(TableWRCalcPts[BYE],MATCH(TableWRRanks3242[[#This Row],[Player]],TableWRCalcPts[PLAYER],0)),"")</f>
        <v>14</v>
      </c>
      <c r="AH29" s="100">
        <f>VLOOKUP(TableWRRanks3242[[#This Row],[Player]],WR!B:O,4,FALSE)</f>
        <v>0</v>
      </c>
      <c r="AI29" s="100">
        <f>VLOOKUP(TableWRRanks3242[[#This Row],[Player]],WR!B:O,5,FALSE)</f>
        <v>0</v>
      </c>
      <c r="AJ29" s="100">
        <f>VLOOKUP(TableWRRanks3242[[#This Row],[Player]],WR!B:O,6,FALSE)</f>
        <v>122.86150240000002</v>
      </c>
      <c r="AK29" s="100">
        <f>VLOOKUP(TableWRRanks3242[[#This Row],[Player]],WR!B:O,7,FALSE)</f>
        <v>67.205241812800011</v>
      </c>
      <c r="AL29" s="100">
        <f>VLOOKUP(TableWRRanks3242[[#This Row],[Player]],WR!B:O,8,FALSE)</f>
        <v>923.40002250787222</v>
      </c>
      <c r="AM29" s="100">
        <f>VLOOKUP(TableWRRanks3242[[#This Row],[Player]],WR!B:O,9,FALSE)</f>
        <v>5.5108298286496016</v>
      </c>
      <c r="AN29" s="95">
        <f>VLOOKUP(TableWRRanks3242[[#This Row],[Player]],WR!B:O,13,FALSE)</f>
        <v>159.00760212908483</v>
      </c>
      <c r="AO29" s="140">
        <f>IF(VLOOKUP(TableWRRanks3242[[#This Row],[Player]],'Ranks w Proj'!$AE:$AO,11,FALSE)&lt;0,0,VLOOKUP(TableWRRanks3242[[#This Row],[Player]],'Ranks w Proj'!$AE:$AO,11,FALSE))</f>
        <v>12.911631020117774</v>
      </c>
      <c r="AQ29" s="58">
        <v>28</v>
      </c>
      <c r="AR29" s="58" t="str">
        <f>VLOOKUP(TableTERanks3343[[#This Row],[RK]],Rankings!A:T,18,FALSE)</f>
        <v>Gunnar Helm</v>
      </c>
      <c r="AS29" s="58" t="str">
        <f>IFERROR(INDEX(TableTECalcPts[TM],MATCH(TableTERanks3343[[#This Row],[Player]],TableTECalcPts[PLAYER],0)),"")</f>
        <v>TEN</v>
      </c>
      <c r="AT29" s="58">
        <f>IFERROR(INDEX(TableTECalcPts[BYE],MATCH(TableTERanks3343[[#This Row],[Player]],TableTECalcPts[PLAYER],0)),"")</f>
        <v>9</v>
      </c>
      <c r="AU29" s="100">
        <f>VLOOKUP(TableTERanks3343[[#This Row],[Player]],TE!B:O,4,FALSE)</f>
        <v>62.064011520000015</v>
      </c>
      <c r="AV29" s="100">
        <f>VLOOKUP(TableTERanks3343[[#This Row],[Player]],TE!B:O,5,FALSE)</f>
        <v>43.568936087040008</v>
      </c>
      <c r="AW29" s="100">
        <f>VLOOKUP(TableTERanks3343[[#This Row],[Player]],TE!B:O,6,FALSE)</f>
        <v>378.02372776164873</v>
      </c>
      <c r="AX29" s="100">
        <f>VLOOKUP(TableTERanks3343[[#This Row],[Player]],TE!B:O,7,FALSE)</f>
        <v>3.0498255260928007</v>
      </c>
      <c r="AY29" s="95">
        <f>VLOOKUP(TableTERanks3343[[#This Row],[Player]],TE!B:O,11,FALSE)</f>
        <v>77.885793976241686</v>
      </c>
      <c r="AZ29" s="140">
        <f>IF(VLOOKUP(TableTERanks3343[[#This Row],[Player]],'Ranks w Proj'!$AR:$AZ,9,FALSE)&lt;0,0,VLOOKUP(TableTERanks3343[[#This Row],[Player]],'Ranks w Proj'!$AR:$AZ,9,FALSE))</f>
        <v>0</v>
      </c>
    </row>
    <row r="30" spans="1:52" x14ac:dyDescent="0.25">
      <c r="A30" s="58">
        <v>29</v>
      </c>
      <c r="B30" s="58" t="str">
        <f>VLOOKUP(TableQBRanks3040[[#This Row],[RK]],Rankings!A:T,3,FALSE)</f>
        <v>Tua Tagovailoa</v>
      </c>
      <c r="C30" s="58" t="str">
        <f>IFERROR(INDEX(TableQBCalcPts[TM],MATCH(TableQBRanks3040[[#This Row],[Player]],TableQBCalcPts[PLAYER],0)),"")</f>
        <v>ATL</v>
      </c>
      <c r="D30" s="58">
        <f>IFERROR(INDEX(TableQBCalcPts[BYE],MATCH(TableQBRanks3040[[#This Row],[Player]],TableQBCalcPts[PLAYER],0)),"")</f>
        <v>11</v>
      </c>
      <c r="E30" s="100">
        <f>VLOOKUP(TableQBRanks3040[[#This Row],[Player]],QB!B:O,4,FALSE)</f>
        <v>521.31780000000003</v>
      </c>
      <c r="F30" s="100">
        <f>VLOOKUP(TableQBRanks3040[[#This Row],[Player]],QB!B:O,5,FALSE)</f>
        <v>348.04812762756814</v>
      </c>
      <c r="G30" s="100">
        <f>VLOOKUP(TableQBRanks3040[[#This Row],[Player]],QB!B:O,6,FALSE)</f>
        <v>3842.4513290083519</v>
      </c>
      <c r="H30" s="100">
        <f>VLOOKUP(TableQBRanks3040[[#This Row],[Player]],QB!B:O,7,FALSE)</f>
        <v>20.698284366937415</v>
      </c>
      <c r="I30" s="100">
        <f>VLOOKUP(TableQBRanks3040[[#This Row],[Player]],QB!B:O,8,FALSE)</f>
        <v>12.815002775919732</v>
      </c>
      <c r="J30" s="100">
        <f>VLOOKUP(TableQBRanks3040[[#This Row],[Player]],QB!B:O,9,FALSE)</f>
        <v>12.039519520000001</v>
      </c>
      <c r="K30" s="100">
        <f>VLOOKUP(TableQBRanks3040[[#This Row],[Player]],QB!B:O,10,FALSE)</f>
        <v>32.117807809089577</v>
      </c>
      <c r="L30" s="100">
        <f>VLOOKUP(TableQBRanks3040[[#This Row],[Player]],QB!B:O,11,FALSE)</f>
        <v>0.18059279280000001</v>
      </c>
      <c r="M30" s="95">
        <f>VLOOKUP(TableQBRanks3040[[#This Row],[Player]],QB!B:O,13,FALSE)</f>
        <v>304.17290688650468</v>
      </c>
      <c r="N30" s="140">
        <f>IF(VLOOKUP(TableQBRanks3040[[#This Row],[Player]],'Ranks w Proj'!$B:$N,13,FALSE)&lt;0,0,VLOOKUP(TableQBRanks3040[[#This Row],[Player]],'Ranks w Proj'!$B:$N,13,FALSE))</f>
        <v>0</v>
      </c>
      <c r="P30" s="58">
        <v>29</v>
      </c>
      <c r="Q30" s="58" t="str">
        <f>VLOOKUP(TableRBRanks3141[[#This Row],[RK]],Rankings!A:T,8,FALSE)</f>
        <v>RJ Harvey</v>
      </c>
      <c r="R30" s="58" t="str">
        <f>IFERROR(INDEX(TableRBCalcPts[TM],MATCH(TableRBRanks3141[[#This Row],[Player]],TableRBCalcPts[PLAYER],0)),"")</f>
        <v>DEN</v>
      </c>
      <c r="S30" s="58">
        <f>IFERROR(INDEX(TableRBCalcPts[BYE],MATCH(TableRBRanks3141[[#This Row],[Player]],TableRBCalcPts[PLAYER],0)),"")</f>
        <v>10</v>
      </c>
      <c r="T30" s="100">
        <f>VLOOKUP(TableRBRanks3141[[#This Row],[Player]],RB!B:O,4,FALSE)</f>
        <v>142.00873847999998</v>
      </c>
      <c r="U30" s="100">
        <f>VLOOKUP(TableRBRanks3141[[#This Row],[Player]],RB!B:O,5,FALSE)</f>
        <v>576.55547822879987</v>
      </c>
      <c r="V30" s="100">
        <f>VLOOKUP(TableRBRanks3141[[#This Row],[Player]],RB!B:O,6,FALSE)</f>
        <v>5.1123145852799992</v>
      </c>
      <c r="W30" s="100">
        <f>VLOOKUP(TableRBRanks3141[[#This Row],[Player]],RB!B:O,7,FALSE)</f>
        <v>60.491193840000008</v>
      </c>
      <c r="X30" s="100">
        <f>VLOOKUP(TableRBRanks3141[[#This Row],[Player]],RB!B:O,8,FALSE)</f>
        <v>47.630766029615998</v>
      </c>
      <c r="Y30" s="100">
        <f>VLOOKUP(TableRBRanks3141[[#This Row],[Player]],RB!B:O,9,FALSE)</f>
        <v>339.28814059593606</v>
      </c>
      <c r="Z30" s="100">
        <f>VLOOKUP(TableRBRanks3141[[#This Row],[Player]],RB!B:O,10,FALSE)</f>
        <v>3.3341536220731203</v>
      </c>
      <c r="AA30" s="95">
        <f>VLOOKUP(TableRBRanks3141[[#This Row],[Player]],RB!B:O,14,FALSE)</f>
        <v>166.0785541414003</v>
      </c>
      <c r="AB30" s="140">
        <f>IF(VLOOKUP(TableRBRanks3141[[#This Row],[Player]],'Ranks w Proj'!$Q:$AB,12,FALSE)&lt;0,0,VLOOKUP(TableRBRanks3141[[#This Row],[Player]],'Ranks w Proj'!$Q:$AB,12,FALSE))</f>
        <v>9.3293867634625922</v>
      </c>
      <c r="AD30" s="58">
        <v>29</v>
      </c>
      <c r="AE30" s="58" t="str">
        <f>VLOOKUP(TableWRRanks3242[[#This Row],[RK]],Rankings!A:T,13,FALSE)</f>
        <v>Carnell Tate</v>
      </c>
      <c r="AF30" s="58" t="str">
        <f>IFERROR(INDEX(TableWRCalcPts[TM],MATCH(TableWRRanks3242[[#This Row],[Player]],TableWRCalcPts[PLAYER],0)),"")</f>
        <v>TEN</v>
      </c>
      <c r="AG30" s="58">
        <f>IFERROR(INDEX(TableWRCalcPts[BYE],MATCH(TableWRRanks3242[[#This Row],[Player]],TableWRCalcPts[PLAYER],0)),"")</f>
        <v>9</v>
      </c>
      <c r="AH30" s="100">
        <f>VLOOKUP(TableWRRanks3242[[#This Row],[Player]],WR!B:O,4,FALSE)</f>
        <v>0</v>
      </c>
      <c r="AI30" s="100">
        <f>VLOOKUP(TableWRRanks3242[[#This Row],[Player]],WR!B:O,5,FALSE)</f>
        <v>0</v>
      </c>
      <c r="AJ30" s="100">
        <f>VLOOKUP(TableWRRanks3242[[#This Row],[Player]],WR!B:O,6,FALSE)</f>
        <v>130.71889152</v>
      </c>
      <c r="AK30" s="100">
        <f>VLOOKUP(TableWRRanks3242[[#This Row],[Player]],WR!B:O,7,FALSE)</f>
        <v>80.784274959360005</v>
      </c>
      <c r="AL30" s="100">
        <f>VLOOKUP(TableWRRanks3242[[#This Row],[Player]],WR!B:O,8,FALSE)</f>
        <v>1075.2386997090816</v>
      </c>
      <c r="AM30" s="100">
        <f>VLOOKUP(TableWRRanks3242[[#This Row],[Player]],WR!B:O,9,FALSE)</f>
        <v>6.4627419967488002</v>
      </c>
      <c r="AN30" s="95">
        <f>VLOOKUP(TableWRRanks3242[[#This Row],[Player]],WR!B:O,13,FALSE)</f>
        <v>186.69245943108095</v>
      </c>
      <c r="AO30" s="140">
        <f>IF(VLOOKUP(TableWRRanks3242[[#This Row],[Player]],'Ranks w Proj'!$AE:$AO,11,FALSE)&lt;0,0,VLOOKUP(TableWRRanks3242[[#This Row],[Player]],'Ranks w Proj'!$AE:$AO,11,FALSE))</f>
        <v>18.113011849115409</v>
      </c>
      <c r="AQ30" s="58">
        <v>29</v>
      </c>
      <c r="AR30" s="58" t="str">
        <f>VLOOKUP(TableTERanks3343[[#This Row],[RK]],Rankings!A:T,18,FALSE)</f>
        <v>AJ Barner</v>
      </c>
      <c r="AS30" s="58" t="str">
        <f>IFERROR(INDEX(TableTECalcPts[TM],MATCH(TableTERanks3343[[#This Row],[Player]],TableTECalcPts[PLAYER],0)),"")</f>
        <v>SEA</v>
      </c>
      <c r="AT30" s="58">
        <f>IFERROR(INDEX(TableTECalcPts[BYE],MATCH(TableTERanks3343[[#This Row],[Player]],TableTECalcPts[PLAYER],0)),"")</f>
        <v>11</v>
      </c>
      <c r="AU30" s="100">
        <f>VLOOKUP(TableTERanks3343[[#This Row],[Player]],TE!B:O,4,FALSE)</f>
        <v>59.557837919999997</v>
      </c>
      <c r="AV30" s="100">
        <f>VLOOKUP(TableTERanks3343[[#This Row],[Player]],TE!B:O,5,FALSE)</f>
        <v>40.742325764313591</v>
      </c>
      <c r="AW30" s="100">
        <f>VLOOKUP(TableTERanks3343[[#This Row],[Player]],TE!B:O,6,FALSE)</f>
        <v>415.97914605364178</v>
      </c>
      <c r="AX30" s="100">
        <f>VLOOKUP(TableTERanks3343[[#This Row],[Player]],TE!B:O,7,FALSE)</f>
        <v>3.7482939703168503</v>
      </c>
      <c r="AY30" s="95">
        <f>VLOOKUP(TableTERanks3343[[#This Row],[Player]],TE!B:O,11,FALSE)</f>
        <v>84.45884130942207</v>
      </c>
      <c r="AZ30" s="140">
        <f>IF(VLOOKUP(TableTERanks3343[[#This Row],[Player]],'Ranks w Proj'!$AR:$AZ,9,FALSE)&lt;0,0,VLOOKUP(TableTERanks3343[[#This Row],[Player]],'Ranks w Proj'!$AR:$AZ,9,FALSE))</f>
        <v>1.2349322235601128</v>
      </c>
    </row>
    <row r="31" spans="1:52" x14ac:dyDescent="0.25">
      <c r="A31" s="58">
        <v>30</v>
      </c>
      <c r="B31" s="58" t="str">
        <f>VLOOKUP(TableQBRanks3040[[#This Row],[RK]],Rankings!A:T,3,FALSE)</f>
        <v>Geno Smith</v>
      </c>
      <c r="C31" s="58" t="str">
        <f>IFERROR(INDEX(TableQBCalcPts[TM],MATCH(TableQBRanks3040[[#This Row],[Player]],TableQBCalcPts[PLAYER],0)),"")</f>
        <v>NYJ</v>
      </c>
      <c r="D31" s="58">
        <f>IFERROR(INDEX(TableQBCalcPts[BYE],MATCH(TableQBRanks3040[[#This Row],[Player]],TableQBCalcPts[PLAYER],0)),"")</f>
        <v>13</v>
      </c>
      <c r="E31" s="100">
        <f>VLOOKUP(TableQBRanks3040[[#This Row],[Player]],QB!B:O,4,FALSE)</f>
        <v>516.07799999999997</v>
      </c>
      <c r="F31" s="100">
        <f>VLOOKUP(TableQBRanks3040[[#This Row],[Player]],QB!B:O,5,FALSE)</f>
        <v>353.25066783130609</v>
      </c>
      <c r="G31" s="100">
        <f>VLOOKUP(TableQBRanks3040[[#This Row],[Player]],QB!B:O,6,FALSE)</f>
        <v>3634.3919552186435</v>
      </c>
      <c r="H31" s="100">
        <f>VLOOKUP(TableQBRanks3040[[#This Row],[Player]],QB!B:O,7,FALSE)</f>
        <v>20.135288066384447</v>
      </c>
      <c r="I31" s="100">
        <f>VLOOKUP(TableQBRanks3040[[#This Row],[Player]],QB!B:O,8,FALSE)</f>
        <v>15.203887356812446</v>
      </c>
      <c r="J31" s="100">
        <f>VLOOKUP(TableQBRanks3040[[#This Row],[Player]],QB!B:O,9,FALSE)</f>
        <v>41.544983200000004</v>
      </c>
      <c r="K31" s="100">
        <f>VLOOKUP(TableQBRanks3040[[#This Row],[Player]],QB!B:O,10,FALSE)</f>
        <v>140.9459324385553</v>
      </c>
      <c r="L31" s="100">
        <f>VLOOKUP(TableQBRanks3040[[#This Row],[Player]],QB!B:O,11,FALSE)</f>
        <v>0.74780969760000005</v>
      </c>
      <c r="M31" s="95">
        <f>VLOOKUP(TableQBRanks3040[[#This Row],[Player]],QB!B:O,13,FALSE)</f>
        <v>304.89003746282606</v>
      </c>
      <c r="N31" s="140">
        <f>IF(VLOOKUP(TableQBRanks3040[[#This Row],[Player]],'Ranks w Proj'!$B:$N,13,FALSE)&lt;0,0,VLOOKUP(TableQBRanks3040[[#This Row],[Player]],'Ranks w Proj'!$B:$N,13,FALSE))</f>
        <v>0</v>
      </c>
      <c r="P31" s="58">
        <v>30</v>
      </c>
      <c r="Q31" s="58" t="str">
        <f>VLOOKUP(TableRBRanks3141[[#This Row],[RK]],Rankings!A:T,8,FALSE)</f>
        <v>Kenneth Gainwell</v>
      </c>
      <c r="R31" s="58" t="str">
        <f>IFERROR(INDEX(TableRBCalcPts[TM],MATCH(TableRBRanks3141[[#This Row],[Player]],TableRBCalcPts[PLAYER],0)),"")</f>
        <v>TB</v>
      </c>
      <c r="S31" s="58">
        <f>IFERROR(INDEX(TableRBCalcPts[BYE],MATCH(TableRBRanks3141[[#This Row],[Player]],TableRBCalcPts[PLAYER],0)),"")</f>
        <v>10</v>
      </c>
      <c r="T31" s="100">
        <f>VLOOKUP(TableRBRanks3141[[#This Row],[Player]],RB!B:O,4,FALSE)</f>
        <v>175.09041913999999</v>
      </c>
      <c r="U31" s="100">
        <f>VLOOKUP(TableRBRanks3141[[#This Row],[Player]],RB!B:O,5,FALSE)</f>
        <v>754.6397064933999</v>
      </c>
      <c r="V31" s="100">
        <f>VLOOKUP(TableRBRanks3141[[#This Row],[Player]],RB!B:O,6,FALSE)</f>
        <v>5.7779838316200003</v>
      </c>
      <c r="W31" s="100">
        <f>VLOOKUP(TableRBRanks3141[[#This Row],[Player]],RB!B:O,7,FALSE)</f>
        <v>57.390234719999974</v>
      </c>
      <c r="X31" s="100">
        <f>VLOOKUP(TableRBRanks3141[[#This Row],[Player]],RB!B:O,8,FALSE)</f>
        <v>48.93924133279998</v>
      </c>
      <c r="Y31" s="100">
        <f>VLOOKUP(TableRBRanks3141[[#This Row],[Player]],RB!B:O,9,FALSE)</f>
        <v>354.80949966279985</v>
      </c>
      <c r="Z31" s="100">
        <f>VLOOKUP(TableRBRanks3141[[#This Row],[Player]],RB!B:O,10,FALSE)</f>
        <v>1.9575696533119993</v>
      </c>
      <c r="AA31" s="95">
        <f>VLOOKUP(TableRBRanks3141[[#This Row],[Player]],RB!B:O,14,FALSE)</f>
        <v>181.82786219161196</v>
      </c>
      <c r="AB31" s="140">
        <f>IF(VLOOKUP(TableRBRanks3141[[#This Row],[Player]],'Ranks w Proj'!$Q:$AB,12,FALSE)&lt;0,0,VLOOKUP(TableRBRanks3141[[#This Row],[Player]],'Ranks w Proj'!$Q:$AB,12,FALSE))</f>
        <v>11.696547932292388</v>
      </c>
      <c r="AD31" s="58">
        <v>30</v>
      </c>
      <c r="AE31" s="58" t="str">
        <f>VLOOKUP(TableWRRanks3242[[#This Row],[RK]],Rankings!A:T,13,FALSE)</f>
        <v>Jordyn Tyson</v>
      </c>
      <c r="AF31" s="58" t="str">
        <f>IFERROR(INDEX(TableWRCalcPts[TM],MATCH(TableWRRanks3242[[#This Row],[Player]],TableWRCalcPts[PLAYER],0)),"")</f>
        <v>NO</v>
      </c>
      <c r="AG31" s="58">
        <f>IFERROR(INDEX(TableWRCalcPts[BYE],MATCH(TableWRRanks3242[[#This Row],[Player]],TableWRCalcPts[PLAYER],0)),"")</f>
        <v>8</v>
      </c>
      <c r="AH31" s="100">
        <f>VLOOKUP(TableWRRanks3242[[#This Row],[Player]],WR!B:O,4,FALSE)</f>
        <v>0</v>
      </c>
      <c r="AI31" s="100">
        <f>VLOOKUP(TableWRRanks3242[[#This Row],[Player]],WR!B:O,5,FALSE)</f>
        <v>0</v>
      </c>
      <c r="AJ31" s="100">
        <f>VLOOKUP(TableWRRanks3242[[#This Row],[Player]],WR!B:O,6,FALSE)</f>
        <v>114.75853312000001</v>
      </c>
      <c r="AK31" s="100">
        <f>VLOOKUP(TableWRRanks3242[[#This Row],[Player]],WR!B:O,7,FALSE)</f>
        <v>70.920773468160007</v>
      </c>
      <c r="AL31" s="100">
        <f>VLOOKUP(TableWRRanks3242[[#This Row],[Player]],WR!B:O,8,FALSE)</f>
        <v>919.13322414735376</v>
      </c>
      <c r="AM31" s="100">
        <f>VLOOKUP(TableWRRanks3242[[#This Row],[Player]],WR!B:O,9,FALSE)</f>
        <v>6.0991865182617602</v>
      </c>
      <c r="AN31" s="95">
        <f>VLOOKUP(TableWRRanks3242[[#This Row],[Player]],WR!B:O,13,FALSE)</f>
        <v>163.96882825838594</v>
      </c>
      <c r="AO31" s="140">
        <f>IF(VLOOKUP(TableWRRanks3242[[#This Row],[Player]],'Ranks w Proj'!$AE:$AO,11,FALSE)&lt;0,0,VLOOKUP(TableWRRanks3242[[#This Row],[Player]],'Ranks w Proj'!$AE:$AO,11,FALSE))</f>
        <v>13.843737196276692</v>
      </c>
      <c r="AQ31" s="58">
        <v>30</v>
      </c>
      <c r="AR31" s="58" t="str">
        <f>VLOOKUP(TableTERanks3343[[#This Row],[RK]],Rankings!A:T,18,FALSE)</f>
        <v>Cade Otton</v>
      </c>
      <c r="AS31" s="58" t="str">
        <f>IFERROR(INDEX(TableTECalcPts[TM],MATCH(TableTERanks3343[[#This Row],[Player]],TableTECalcPts[PLAYER],0)),"")</f>
        <v>TB</v>
      </c>
      <c r="AT31" s="58">
        <f>IFERROR(INDEX(TableTECalcPts[BYE],MATCH(TableTERanks3343[[#This Row],[Player]],TableTECalcPts[PLAYER],0)),"")</f>
        <v>10</v>
      </c>
      <c r="AU31" s="100">
        <f>VLOOKUP(TableTERanks3343[[#This Row],[Player]],TE!B:O,4,FALSE)</f>
        <v>73.393280939999983</v>
      </c>
      <c r="AV31" s="100">
        <f>VLOOKUP(TableTERanks3343[[#This Row],[Player]],TE!B:O,5,FALSE)</f>
        <v>48.586351982279993</v>
      </c>
      <c r="AW31" s="100">
        <f>VLOOKUP(TableTERanks3343[[#This Row],[Player]],TE!B:O,6,FALSE)</f>
        <v>469.83002366864753</v>
      </c>
      <c r="AX31" s="100">
        <f>VLOOKUP(TableTERanks3343[[#This Row],[Player]],TE!B:O,7,FALSE)</f>
        <v>2.7694220629899595</v>
      </c>
      <c r="AY31" s="95">
        <f>VLOOKUP(TableTERanks3343[[#This Row],[Player]],TE!B:O,11,FALSE)</f>
        <v>87.892710735944519</v>
      </c>
      <c r="AZ31" s="140">
        <f>IF(VLOOKUP(TableTERanks3343[[#This Row],[Player]],'Ranks w Proj'!$AR:$AZ,9,FALSE)&lt;0,0,VLOOKUP(TableTERanks3343[[#This Row],[Player]],'Ranks w Proj'!$AR:$AZ,9,FALSE))</f>
        <v>1.8800813897473332</v>
      </c>
    </row>
    <row r="32" spans="1:52" x14ac:dyDescent="0.25">
      <c r="A32" s="58">
        <v>31</v>
      </c>
      <c r="B32" s="58" t="str">
        <f>VLOOKUP(TableQBRanks3040[[#This Row],[RK]],Rankings!A:T,3,FALSE)</f>
        <v>Kirk Cousins</v>
      </c>
      <c r="C32" s="58" t="str">
        <f>IFERROR(INDEX(TableQBCalcPts[TM],MATCH(TableQBRanks3040[[#This Row],[Player]],TableQBCalcPts[PLAYER],0)),"")</f>
        <v>LV</v>
      </c>
      <c r="D32" s="58">
        <f>IFERROR(INDEX(TableQBCalcPts[BYE],MATCH(TableQBRanks3040[[#This Row],[Player]],TableQBCalcPts[PLAYER],0)),"")</f>
        <v>13</v>
      </c>
      <c r="E32" s="100">
        <f>VLOOKUP(TableQBRanks3040[[#This Row],[Player]],QB!B:O,4,FALSE)</f>
        <v>361.01520000000005</v>
      </c>
      <c r="F32" s="100">
        <f>VLOOKUP(TableQBRanks3040[[#This Row],[Player]],QB!B:O,5,FALSE)</f>
        <v>231.41074320000004</v>
      </c>
      <c r="G32" s="100">
        <f>VLOOKUP(TableQBRanks3040[[#This Row],[Player]],QB!B:O,6,FALSE)</f>
        <v>2420.5563738720007</v>
      </c>
      <c r="H32" s="100">
        <f>VLOOKUP(TableQBRanks3040[[#This Row],[Player]],QB!B:O,7,FALSE)</f>
        <v>13.421823105600003</v>
      </c>
      <c r="I32" s="100">
        <f>VLOOKUP(TableQBRanks3040[[#This Row],[Player]],QB!B:O,8,FALSE)</f>
        <v>9.2329876300190143</v>
      </c>
      <c r="J32" s="100">
        <f>VLOOKUP(TableQBRanks3040[[#This Row],[Player]],QB!B:O,9,FALSE)</f>
        <v>2.2177007999999994</v>
      </c>
      <c r="K32" s="100">
        <f>VLOOKUP(TableQBRanks3040[[#This Row],[Player]],QB!B:O,10,FALSE)</f>
        <v>3.4338593032258053</v>
      </c>
      <c r="L32" s="100">
        <f>VLOOKUP(TableQBRanks3040[[#This Row],[Player]],QB!B:O,11,FALSE)</f>
        <v>2.3846245161290313E-2</v>
      </c>
      <c r="M32" s="95">
        <f>VLOOKUP(TableQBRanks3040[[#This Row],[Player]],QB!B:O,13,FALSE)</f>
        <v>191.74774367975132</v>
      </c>
      <c r="N32" s="140">
        <f>IF(VLOOKUP(TableQBRanks3040[[#This Row],[Player]],'Ranks w Proj'!$B:$N,13,FALSE)&lt;0,0,VLOOKUP(TableQBRanks3040[[#This Row],[Player]],'Ranks w Proj'!$B:$N,13,FALSE))</f>
        <v>0</v>
      </c>
      <c r="P32" s="58">
        <v>31</v>
      </c>
      <c r="Q32" s="58" t="str">
        <f>VLOOKUP(TableRBRanks3141[[#This Row],[RK]],Rankings!A:T,8,FALSE)</f>
        <v>Chuba Hubbard</v>
      </c>
      <c r="R32" s="58" t="str">
        <f>IFERROR(INDEX(TableRBCalcPts[TM],MATCH(TableRBRanks3141[[#This Row],[Player]],TableRBCalcPts[PLAYER],0)),"")</f>
        <v>CAR</v>
      </c>
      <c r="S32" s="58">
        <f>IFERROR(INDEX(TableRBCalcPts[BYE],MATCH(TableRBRanks3141[[#This Row],[Player]],TableRBCalcPts[PLAYER],0)),"")</f>
        <v>5</v>
      </c>
      <c r="T32" s="100">
        <f>VLOOKUP(TableRBRanks3141[[#This Row],[Player]],RB!B:O,4,FALSE)</f>
        <v>191.69211599999997</v>
      </c>
      <c r="U32" s="100">
        <f>VLOOKUP(TableRBRanks3141[[#This Row],[Player]],RB!B:O,5,FALSE)</f>
        <v>805.10688719999996</v>
      </c>
      <c r="V32" s="100">
        <f>VLOOKUP(TableRBRanks3141[[#This Row],[Player]],RB!B:O,6,FALSE)</f>
        <v>4.7923028999999993</v>
      </c>
      <c r="W32" s="100">
        <f>VLOOKUP(TableRBRanks3141[[#This Row],[Player]],RB!B:O,7,FALSE)</f>
        <v>55.999943999999992</v>
      </c>
      <c r="X32" s="100">
        <f>VLOOKUP(TableRBRanks3141[[#This Row],[Player]],RB!B:O,8,FALSE)</f>
        <v>42.223957775999992</v>
      </c>
      <c r="Y32" s="100">
        <f>VLOOKUP(TableRBRanks3141[[#This Row],[Player]],RB!B:O,9,FALSE)</f>
        <v>268.52151761299984</v>
      </c>
      <c r="Z32" s="100">
        <f>VLOOKUP(TableRBRanks3141[[#This Row],[Player]],RB!B:O,10,FALSE)</f>
        <v>2.0689739310239998</v>
      </c>
      <c r="AA32" s="95">
        <f>VLOOKUP(TableRBRanks3141[[#This Row],[Player]],RB!B:O,14,FALSE)</f>
        <v>169.64248035544395</v>
      </c>
      <c r="AB32" s="140">
        <f>IF(VLOOKUP(TableRBRanks3141[[#This Row],[Player]],'Ranks w Proj'!$Q:$AB,12,FALSE)&lt;0,0,VLOOKUP(TableRBRanks3141[[#This Row],[Player]],'Ranks w Proj'!$Q:$AB,12,FALSE))</f>
        <v>9.8650539632888918</v>
      </c>
      <c r="AD32" s="58">
        <v>31</v>
      </c>
      <c r="AE32" s="58" t="str">
        <f>VLOOKUP(TableWRRanks3242[[#This Row],[RK]],Rankings!A:T,13,FALSE)</f>
        <v>Makai Lemon</v>
      </c>
      <c r="AF32" s="58" t="str">
        <f>IFERROR(INDEX(TableWRCalcPts[TM],MATCH(TableWRRanks3242[[#This Row],[Player]],TableWRCalcPts[PLAYER],0)),"")</f>
        <v>PHI</v>
      </c>
      <c r="AG32" s="58">
        <f>IFERROR(INDEX(TableWRCalcPts[BYE],MATCH(TableWRRanks3242[[#This Row],[Player]],TableWRCalcPts[PLAYER],0)),"")</f>
        <v>10</v>
      </c>
      <c r="AH32" s="100">
        <f>VLOOKUP(TableWRRanks3242[[#This Row],[Player]],WR!B:O,4,FALSE)</f>
        <v>26.058086755555557</v>
      </c>
      <c r="AI32" s="100">
        <f>VLOOKUP(TableWRRanks3242[[#This Row],[Player]],WR!B:O,5,FALSE)</f>
        <v>0.2368916977777778</v>
      </c>
      <c r="AJ32" s="100">
        <f>VLOOKUP(TableWRRanks3242[[#This Row],[Player]],WR!B:O,6,FALSE)</f>
        <v>109.03120535999999</v>
      </c>
      <c r="AK32" s="100">
        <f>VLOOKUP(TableWRRanks3242[[#This Row],[Player]],WR!B:O,7,FALSE)</f>
        <v>73.923157234079994</v>
      </c>
      <c r="AL32" s="100">
        <f>VLOOKUP(TableWRRanks3242[[#This Row],[Player]],WR!B:O,8,FALSE)</f>
        <v>918.12561284727349</v>
      </c>
      <c r="AM32" s="100">
        <f>VLOOKUP(TableWRRanks3242[[#This Row],[Player]],WR!B:O,9,FALSE)</f>
        <v>6.1010253945364816</v>
      </c>
      <c r="AN32" s="95">
        <f>VLOOKUP(TableWRRanks3242[[#This Row],[Player]],WR!B:O,13,FALSE)</f>
        <v>169.40745113120846</v>
      </c>
      <c r="AO32" s="140">
        <f>IF(VLOOKUP(TableWRRanks3242[[#This Row],[Player]],'Ranks w Proj'!$AE:$AO,11,FALSE)&lt;0,0,VLOOKUP(TableWRRanks3242[[#This Row],[Player]],'Ranks w Proj'!$AE:$AO,11,FALSE))</f>
        <v>14.865535807635528</v>
      </c>
      <c r="AQ32" s="58">
        <v>31</v>
      </c>
      <c r="AR32" s="58" t="str">
        <f>VLOOKUP(TableTERanks3343[[#This Row],[RK]],Rankings!A:T,18,FALSE)</f>
        <v>Mike Gesicki</v>
      </c>
      <c r="AS32" s="58" t="str">
        <f>IFERROR(INDEX(TableTECalcPts[TM],MATCH(TableTERanks3343[[#This Row],[Player]],TableTECalcPts[PLAYER],0)),"")</f>
        <v>CIN</v>
      </c>
      <c r="AT32" s="58">
        <f>IFERROR(INDEX(TableTECalcPts[BYE],MATCH(TableTERanks3343[[#This Row],[Player]],TableTECalcPts[PLAYER],0)),"")</f>
        <v>6</v>
      </c>
      <c r="AU32" s="100">
        <f>VLOOKUP(TableTERanks3343[[#This Row],[Player]],TE!B:O,4,FALSE)</f>
        <v>61.373112500000005</v>
      </c>
      <c r="AV32" s="100">
        <f>VLOOKUP(TableTERanks3343[[#This Row],[Player]],TE!B:O,5,FALSE)</f>
        <v>42.427763056172843</v>
      </c>
      <c r="AW32" s="100">
        <f>VLOOKUP(TableTERanks3343[[#This Row],[Player]],TE!B:O,6,FALSE)</f>
        <v>435.01981948109574</v>
      </c>
      <c r="AX32" s="100">
        <f>VLOOKUP(TableTERanks3343[[#This Row],[Player]],TE!B:O,7,FALSE)</f>
        <v>3.8184986750555558</v>
      </c>
      <c r="AY32" s="95">
        <f>VLOOKUP(TableTERanks3343[[#This Row],[Player]],TE!B:O,11,FALSE)</f>
        <v>87.626855526529326</v>
      </c>
      <c r="AZ32" s="140">
        <f>IF(VLOOKUP(TableTERanks3343[[#This Row],[Player]],'Ranks w Proj'!$AR:$AZ,9,FALSE)&lt;0,0,VLOOKUP(TableTERanks3343[[#This Row],[Player]],'Ranks w Proj'!$AR:$AZ,9,FALSE))</f>
        <v>1.8301329946930582</v>
      </c>
    </row>
    <row r="33" spans="1:52" x14ac:dyDescent="0.25">
      <c r="A33" s="58">
        <v>32</v>
      </c>
      <c r="B33" s="58" t="str">
        <f>VLOOKUP(TableQBRanks3040[[#This Row],[RK]],Rankings!A:T,3,FALSE)</f>
        <v>Deshaun Watson</v>
      </c>
      <c r="C33" s="58" t="str">
        <f>IFERROR(INDEX(TableQBCalcPts[TM],MATCH(TableQBRanks3040[[#This Row],[Player]],TableQBCalcPts[PLAYER],0)),"")</f>
        <v>CLE</v>
      </c>
      <c r="D33" s="58">
        <f>IFERROR(INDEX(TableQBCalcPts[BYE],MATCH(TableQBRanks3040[[#This Row],[Player]],TableQBCalcPts[PLAYER],0)),"")</f>
        <v>11</v>
      </c>
      <c r="E33" s="100">
        <f>VLOOKUP(TableQBRanks3040[[#This Row],[Player]],QB!B:O,4,FALSE)</f>
        <v>242.35199999999998</v>
      </c>
      <c r="F33" s="100">
        <f>VLOOKUP(TableQBRanks3040[[#This Row],[Player]],QB!B:O,5,FALSE)</f>
        <v>147.35001599999998</v>
      </c>
      <c r="G33" s="100">
        <f>VLOOKUP(TableQBRanks3040[[#This Row],[Player]],QB!B:O,6,FALSE)</f>
        <v>1611.9485293795922</v>
      </c>
      <c r="H33" s="100">
        <f>VLOOKUP(TableQBRanks3040[[#This Row],[Player]],QB!B:O,7,FALSE)</f>
        <v>9.1357009919999985</v>
      </c>
      <c r="I33" s="100">
        <f>VLOOKUP(TableQBRanks3040[[#This Row],[Player]],QB!B:O,8,FALSE)</f>
        <v>6.0999914062062128</v>
      </c>
      <c r="J33" s="100">
        <f>VLOOKUP(TableQBRanks3040[[#This Row],[Player]],QB!B:O,9,FALSE)</f>
        <v>32.811870000000006</v>
      </c>
      <c r="K33" s="100">
        <f>VLOOKUP(TableQBRanks3040[[#This Row],[Player]],QB!B:O,10,FALSE)</f>
        <v>145.09293616257241</v>
      </c>
      <c r="L33" s="100">
        <f>VLOOKUP(TableQBRanks3040[[#This Row],[Player]],QB!B:O,11,FALSE)</f>
        <v>0.95389752307357867</v>
      </c>
      <c r="M33" s="95">
        <f>VLOOKUP(TableQBRanks3040[[#This Row],[Player]],QB!B:O,13,FALSE)</f>
        <v>148.1598360756762</v>
      </c>
      <c r="N33" s="140">
        <f>IF(VLOOKUP(TableQBRanks3040[[#This Row],[Player]],'Ranks w Proj'!$B:$N,13,FALSE)&lt;0,0,VLOOKUP(TableQBRanks3040[[#This Row],[Player]],'Ranks w Proj'!$B:$N,13,FALSE))</f>
        <v>0</v>
      </c>
      <c r="P33" s="58">
        <v>32</v>
      </c>
      <c r="Q33" s="58" t="str">
        <f>VLOOKUP(TableRBRanks3141[[#This Row],[RK]],Rankings!A:T,8,FALSE)</f>
        <v>Jaylen Warren</v>
      </c>
      <c r="R33" s="58" t="str">
        <f>IFERROR(INDEX(TableRBCalcPts[TM],MATCH(TableRBRanks3141[[#This Row],[Player]],TableRBCalcPts[PLAYER],0)),"")</f>
        <v>PIT</v>
      </c>
      <c r="S33" s="58">
        <f>IFERROR(INDEX(TableRBCalcPts[BYE],MATCH(TableRBRanks3141[[#This Row],[Player]],TableRBCalcPts[PLAYER],0)),"")</f>
        <v>9</v>
      </c>
      <c r="T33" s="100">
        <f>VLOOKUP(TableRBRanks3141[[#This Row],[Player]],RB!B:O,4,FALSE)</f>
        <v>182.08713599999996</v>
      </c>
      <c r="U33" s="100">
        <f>VLOOKUP(TableRBRanks3141[[#This Row],[Player]],RB!B:O,5,FALSE)</f>
        <v>803.00426975999983</v>
      </c>
      <c r="V33" s="100">
        <f>VLOOKUP(TableRBRanks3141[[#This Row],[Player]],RB!B:O,6,FALSE)</f>
        <v>4.7342655359999988</v>
      </c>
      <c r="W33" s="100">
        <f>VLOOKUP(TableRBRanks3141[[#This Row],[Player]],RB!B:O,7,FALSE)</f>
        <v>49.984704000000001</v>
      </c>
      <c r="X33" s="100">
        <f>VLOOKUP(TableRBRanks3141[[#This Row],[Player]],RB!B:O,8,FALSE)</f>
        <v>39.822704675887856</v>
      </c>
      <c r="Y33" s="100">
        <f>VLOOKUP(TableRBRanks3141[[#This Row],[Player]],RB!B:O,9,FALSE)</f>
        <v>294.97266269786917</v>
      </c>
      <c r="Z33" s="100">
        <f>VLOOKUP(TableRBRanks3141[[#This Row],[Player]],RB!B:O,10,FALSE)</f>
        <v>1.225793114915888</v>
      </c>
      <c r="AA33" s="95">
        <f>VLOOKUP(TableRBRanks3141[[#This Row],[Player]],RB!B:O,14,FALSE)</f>
        <v>165.46939748922614</v>
      </c>
      <c r="AB33" s="140">
        <f>IF(VLOOKUP(TableRBRanks3141[[#This Row],[Player]],'Ranks w Proj'!$Q:$AB,12,FALSE)&lt;0,0,VLOOKUP(TableRBRanks3141[[#This Row],[Player]],'Ranks w Proj'!$Q:$AB,12,FALSE))</f>
        <v>9.237828964976222</v>
      </c>
      <c r="AD33" s="58">
        <v>32</v>
      </c>
      <c r="AE33" s="58" t="str">
        <f>VLOOKUP(TableWRRanks3242[[#This Row],[RK]],Rankings!A:T,13,FALSE)</f>
        <v>Parker Washington</v>
      </c>
      <c r="AF33" s="58" t="str">
        <f>IFERROR(INDEX(TableWRCalcPts[TM],MATCH(TableWRRanks3242[[#This Row],[Player]],TableWRCalcPts[PLAYER],0)),"")</f>
        <v>JAX</v>
      </c>
      <c r="AG33" s="58">
        <f>IFERROR(INDEX(TableWRCalcPts[BYE],MATCH(TableWRRanks3242[[#This Row],[Player]],TableWRCalcPts[PLAYER],0)),"")</f>
        <v>7</v>
      </c>
      <c r="AH33" s="100">
        <f>VLOOKUP(TableWRRanks3242[[#This Row],[Player]],WR!B:O,4,FALSE)</f>
        <v>22.757878499999997</v>
      </c>
      <c r="AI33" s="100">
        <f>VLOOKUP(TableWRRanks3242[[#This Row],[Player]],WR!B:O,5,FALSE)</f>
        <v>0.17949876000000001</v>
      </c>
      <c r="AJ33" s="100">
        <f>VLOOKUP(TableWRRanks3242[[#This Row],[Player]],WR!B:O,6,FALSE)</f>
        <v>125.92644750000001</v>
      </c>
      <c r="AK33" s="100">
        <f>VLOOKUP(TableWRRanks3242[[#This Row],[Player]],WR!B:O,7,FALSE)</f>
        <v>78.578103240000004</v>
      </c>
      <c r="AL33" s="100">
        <f>VLOOKUP(TableWRRanks3242[[#This Row],[Player]],WR!B:O,8,FALSE)</f>
        <v>1057.6612696104</v>
      </c>
      <c r="AM33" s="100">
        <f>VLOOKUP(TableWRRanks3242[[#This Row],[Player]],WR!B:O,9,FALSE)</f>
        <v>6.6005606721600012</v>
      </c>
      <c r="AN33" s="95">
        <f>VLOOKUP(TableWRRanks3242[[#This Row],[Player]],WR!B:O,13,FALSE)</f>
        <v>188.01132302400001</v>
      </c>
      <c r="AO33" s="140">
        <f>IF(VLOOKUP(TableWRRanks3242[[#This Row],[Player]],'Ranks w Proj'!$AE:$AO,11,FALSE)&lt;0,0,VLOOKUP(TableWRRanks3242[[#This Row],[Player]],'Ranks w Proj'!$AE:$AO,11,FALSE))</f>
        <v>18.360797551365625</v>
      </c>
      <c r="AQ33" s="58">
        <v>32</v>
      </c>
      <c r="AR33" s="58" t="str">
        <f>VLOOKUP(TableTERanks3343[[#This Row],[RK]],Rankings!A:T,18,FALSE)</f>
        <v>Evan Engram</v>
      </c>
      <c r="AS33" s="58" t="str">
        <f>IFERROR(INDEX(TableTECalcPts[TM],MATCH(TableTERanks3343[[#This Row],[Player]],TableTECalcPts[PLAYER],0)),"")</f>
        <v>DEN</v>
      </c>
      <c r="AT33" s="58">
        <f>IFERROR(INDEX(TableTECalcPts[BYE],MATCH(TableTERanks3343[[#This Row],[Player]],TableTECalcPts[PLAYER],0)),"")</f>
        <v>10</v>
      </c>
      <c r="AU33" s="100">
        <f>VLOOKUP(TableTERanks3343[[#This Row],[Player]],TE!B:O,4,FALSE)</f>
        <v>61.632537120000009</v>
      </c>
      <c r="AV33" s="100">
        <f>VLOOKUP(TableTERanks3343[[#This Row],[Player]],TE!B:O,5,FALSE)</f>
        <v>42.013152766337917</v>
      </c>
      <c r="AW33" s="100">
        <f>VLOOKUP(TableTERanks3343[[#This Row],[Player]],TE!B:O,6,FALSE)</f>
        <v>375.23544398160726</v>
      </c>
      <c r="AX33" s="100">
        <f>VLOOKUP(TableTERanks3343[[#This Row],[Player]],TE!B:O,7,FALSE)</f>
        <v>2.1006576383168958</v>
      </c>
      <c r="AY33" s="95">
        <f>VLOOKUP(TableTERanks3343[[#This Row],[Player]],TE!B:O,11,FALSE)</f>
        <v>71.134066611231063</v>
      </c>
      <c r="AZ33" s="140">
        <f>IF(VLOOKUP(TableTERanks3343[[#This Row],[Player]],'Ranks w Proj'!$AR:$AZ,9,FALSE)&lt;0,0,VLOOKUP(TableTERanks3343[[#This Row],[Player]],'Ranks w Proj'!$AR:$AZ,9,FALSE))</f>
        <v>0</v>
      </c>
    </row>
    <row r="34" spans="1:52" x14ac:dyDescent="0.25">
      <c r="A34" s="58">
        <v>33</v>
      </c>
      <c r="B34" s="58" t="str">
        <f>VLOOKUP(TableQBRanks3040[[#This Row],[RK]],Rankings!A:T,3,FALSE)</f>
        <v>Shedeur Sanders</v>
      </c>
      <c r="C34" s="58" t="str">
        <f>IFERROR(INDEX(TableQBCalcPts[TM],MATCH(TableQBRanks3040[[#This Row],[Player]],TableQBCalcPts[PLAYER],0)),"")</f>
        <v>CLE</v>
      </c>
      <c r="D34" s="58">
        <f>IFERROR(INDEX(TableQBCalcPts[BYE],MATCH(TableQBRanks3040[[#This Row],[Player]],TableQBCalcPts[PLAYER],0)),"")</f>
        <v>11</v>
      </c>
      <c r="E34" s="100">
        <f>VLOOKUP(TableQBRanks3040[[#This Row],[Player]],QB!B:O,4,FALSE)</f>
        <v>252.45</v>
      </c>
      <c r="F34" s="100">
        <f>VLOOKUP(TableQBRanks3040[[#This Row],[Player]],QB!B:O,5,FALSE)</f>
        <v>149.45039999999997</v>
      </c>
      <c r="G34" s="100">
        <f>VLOOKUP(TableQBRanks3040[[#This Row],[Player]],QB!B:O,6,FALSE)</f>
        <v>1652.9214239999999</v>
      </c>
      <c r="H34" s="100">
        <f>VLOOKUP(TableQBRanks3040[[#This Row],[Player]],QB!B:O,7,FALSE)</f>
        <v>8.9670239999999986</v>
      </c>
      <c r="I34" s="100">
        <f>VLOOKUP(TableQBRanks3040[[#This Row],[Player]],QB!B:O,8,FALSE)</f>
        <v>8.9204641658318629</v>
      </c>
      <c r="J34" s="100">
        <f>VLOOKUP(TableQBRanks3040[[#This Row],[Player]],QB!B:O,9,FALSE)</f>
        <v>31.297476000000003</v>
      </c>
      <c r="K34" s="100">
        <f>VLOOKUP(TableQBRanks3040[[#This Row],[Player]],QB!B:O,10,FALSE)</f>
        <v>216.26555916000004</v>
      </c>
      <c r="L34" s="100">
        <f>VLOOKUP(TableQBRanks3040[[#This Row],[Player]],QB!B:O,11,FALSE)</f>
        <v>1.4664492175644104</v>
      </c>
      <c r="M34" s="95">
        <f>VLOOKUP(TableQBRanks3040[[#This Row],[Player]],QB!B:O,13,FALSE)</f>
        <v>156.36882801555461</v>
      </c>
      <c r="N34" s="140">
        <f>IF(VLOOKUP(TableQBRanks3040[[#This Row],[Player]],'Ranks w Proj'!$B:$N,13,FALSE)&lt;0,0,VLOOKUP(TableQBRanks3040[[#This Row],[Player]],'Ranks w Proj'!$B:$N,13,FALSE))</f>
        <v>0</v>
      </c>
      <c r="P34" s="58">
        <v>33</v>
      </c>
      <c r="Q34" s="58" t="str">
        <f>VLOOKUP(TableRBRanks3141[[#This Row],[RK]],Rankings!A:T,8,FALSE)</f>
        <v>Rico Dowdle</v>
      </c>
      <c r="R34" s="58" t="str">
        <f>IFERROR(INDEX(TableRBCalcPts[TM],MATCH(TableRBRanks3141[[#This Row],[Player]],TableRBCalcPts[PLAYER],0)),"")</f>
        <v>PIT</v>
      </c>
      <c r="S34" s="58">
        <f>IFERROR(INDEX(TableRBCalcPts[BYE],MATCH(TableRBRanks3141[[#This Row],[Player]],TableRBCalcPts[PLAYER],0)),"")</f>
        <v>9</v>
      </c>
      <c r="T34" s="100">
        <f>VLOOKUP(TableRBRanks3141[[#This Row],[Player]],RB!B:O,4,FALSE)</f>
        <v>212.88128399999997</v>
      </c>
      <c r="U34" s="100">
        <f>VLOOKUP(TableRBRanks3141[[#This Row],[Player]],RB!B:O,5,FALSE)</f>
        <v>926.03358539999977</v>
      </c>
      <c r="V34" s="100">
        <f>VLOOKUP(TableRBRanks3141[[#This Row],[Player]],RB!B:O,6,FALSE)</f>
        <v>6.3864385199999987</v>
      </c>
      <c r="W34" s="100">
        <f>VLOOKUP(TableRBRanks3141[[#This Row],[Player]],RB!B:O,7,FALSE)</f>
        <v>32.944464000000004</v>
      </c>
      <c r="X34" s="100">
        <f>VLOOKUP(TableRBRanks3141[[#This Row],[Player]],RB!B:O,8,FALSE)</f>
        <v>26.388515664000003</v>
      </c>
      <c r="Y34" s="100">
        <f>VLOOKUP(TableRBRanks3141[[#This Row],[Player]],RB!B:O,9,FALSE)</f>
        <v>196.51585093837056</v>
      </c>
      <c r="Z34" s="100">
        <f>VLOOKUP(TableRBRanks3141[[#This Row],[Player]],RB!B:O,10,FALSE)</f>
        <v>0.79952816634499868</v>
      </c>
      <c r="AA34" s="95">
        <f>VLOOKUP(TableRBRanks3141[[#This Row],[Player]],RB!B:O,14,FALSE)</f>
        <v>168.56500158390702</v>
      </c>
      <c r="AB34" s="140">
        <f>IF(VLOOKUP(TableRBRanks3141[[#This Row],[Player]],'Ranks w Proj'!$Q:$AB,12,FALSE)&lt;0,0,VLOOKUP(TableRBRanks3141[[#This Row],[Player]],'Ranks w Proj'!$Q:$AB,12,FALSE))</f>
        <v>9.703106155798622</v>
      </c>
      <c r="AD34" s="58">
        <v>33</v>
      </c>
      <c r="AE34" s="58" t="str">
        <f>VLOOKUP(TableWRRanks3242[[#This Row],[RK]],Rankings!A:T,13,FALSE)</f>
        <v>Rome Odunze</v>
      </c>
      <c r="AF34" s="58" t="str">
        <f>IFERROR(INDEX(TableWRCalcPts[TM],MATCH(TableWRRanks3242[[#This Row],[Player]],TableWRCalcPts[PLAYER],0)),"")</f>
        <v>CHI</v>
      </c>
      <c r="AG34" s="58">
        <f>IFERROR(INDEX(TableWRCalcPts[BYE],MATCH(TableWRRanks3242[[#This Row],[Player]],TableWRCalcPts[PLAYER],0)),"")</f>
        <v>10</v>
      </c>
      <c r="AH34" s="100">
        <f>VLOOKUP(TableWRRanks3242[[#This Row],[Player]],WR!B:O,4,FALSE)</f>
        <v>0</v>
      </c>
      <c r="AI34" s="100">
        <f>VLOOKUP(TableWRRanks3242[[#This Row],[Player]],WR!B:O,5,FALSE)</f>
        <v>0</v>
      </c>
      <c r="AJ34" s="100">
        <f>VLOOKUP(TableWRRanks3242[[#This Row],[Player]],WR!B:O,6,FALSE)</f>
        <v>128.57720736000002</v>
      </c>
      <c r="AK34" s="100">
        <f>VLOOKUP(TableWRRanks3242[[#This Row],[Player]],WR!B:O,7,FALSE)</f>
        <v>66.021181549176006</v>
      </c>
      <c r="AL34" s="100">
        <f>VLOOKUP(TableWRRanks3242[[#This Row],[Player]],WR!B:O,8,FALSE)</f>
        <v>982.39518145173906</v>
      </c>
      <c r="AM34" s="100">
        <f>VLOOKUP(TableWRRanks3242[[#This Row],[Player]],WR!B:O,9,FALSE)</f>
        <v>7.1302876073110086</v>
      </c>
      <c r="AN34" s="95">
        <f>VLOOKUP(TableWRRanks3242[[#This Row],[Player]],WR!B:O,13,FALSE)</f>
        <v>174.03183456362797</v>
      </c>
      <c r="AO34" s="140">
        <f>IF(VLOOKUP(TableWRRanks3242[[#This Row],[Player]],'Ranks w Proj'!$AE:$AO,11,FALSE)&lt;0,0,VLOOKUP(TableWRRanks3242[[#This Row],[Player]],'Ranks w Proj'!$AE:$AO,11,FALSE))</f>
        <v>15.734356588213899</v>
      </c>
      <c r="AQ34" s="58">
        <v>33</v>
      </c>
      <c r="AR34" s="58" t="str">
        <f>VLOOKUP(TableTERanks3343[[#This Row],[RK]],Rankings!A:T,18,FALSE)</f>
        <v>Mason Taylor</v>
      </c>
      <c r="AS34" s="58" t="str">
        <f>IFERROR(INDEX(TableTECalcPts[TM],MATCH(TableTERanks3343[[#This Row],[Player]],TableTECalcPts[PLAYER],0)),"")</f>
        <v>NYJ</v>
      </c>
      <c r="AT34" s="58">
        <f>IFERROR(INDEX(TableTECalcPts[BYE],MATCH(TableTERanks3343[[#This Row],[Player]],TableTECalcPts[PLAYER],0)),"")</f>
        <v>13</v>
      </c>
      <c r="AU34" s="100">
        <f>VLOOKUP(TableTERanks3343[[#This Row],[Player]],TE!B:O,4,FALSE)</f>
        <v>51.141755455706921</v>
      </c>
      <c r="AV34" s="100">
        <f>VLOOKUP(TableTERanks3343[[#This Row],[Player]],TE!B:O,5,FALSE)</f>
        <v>38.867734146337263</v>
      </c>
      <c r="AW34" s="100">
        <f>VLOOKUP(TableTERanks3343[[#This Row],[Player]],TE!B:O,6,FALSE)</f>
        <v>325.93094124496713</v>
      </c>
      <c r="AX34" s="100">
        <f>VLOOKUP(TableTERanks3343[[#This Row],[Player]],TE!B:O,7,FALSE)</f>
        <v>2.0988576439022122</v>
      </c>
      <c r="AY34" s="95">
        <f>VLOOKUP(TableTERanks3343[[#This Row],[Player]],TE!B:O,11,FALSE)</f>
        <v>64.620107061078613</v>
      </c>
      <c r="AZ34" s="140">
        <f>IF(VLOOKUP(TableTERanks3343[[#This Row],[Player]],'Ranks w Proj'!$AR:$AZ,9,FALSE)&lt;0,0,VLOOKUP(TableTERanks3343[[#This Row],[Player]],'Ranks w Proj'!$AR:$AZ,9,FALSE))</f>
        <v>0</v>
      </c>
    </row>
    <row r="35" spans="1:52" x14ac:dyDescent="0.25">
      <c r="A35" s="58">
        <v>34</v>
      </c>
      <c r="B35" s="58" t="str">
        <f>VLOOKUP(TableQBRanks3040[[#This Row],[RK]],Rankings!A:T,3,FALSE)</f>
        <v>Fernando Mendoza</v>
      </c>
      <c r="C35" s="58" t="str">
        <f>IFERROR(INDEX(TableQBCalcPts[TM],MATCH(TableQBRanks3040[[#This Row],[Player]],TableQBCalcPts[PLAYER],0)),"")</f>
        <v>LV</v>
      </c>
      <c r="D35" s="58">
        <f>IFERROR(INDEX(TableQBCalcPts[BYE],MATCH(TableQBRanks3040[[#This Row],[Player]],TableQBCalcPts[PLAYER],0)),"")</f>
        <v>13</v>
      </c>
      <c r="E35" s="100">
        <f>VLOOKUP(TableQBRanks3040[[#This Row],[Player]],QB!B:O,4,FALSE)</f>
        <v>194.39279999999999</v>
      </c>
      <c r="F35" s="100">
        <f>VLOOKUP(TableQBRanks3040[[#This Row],[Player]],QB!B:O,5,FALSE)</f>
        <v>121.4572833129313</v>
      </c>
      <c r="G35" s="100">
        <f>VLOOKUP(TableQBRanks3040[[#This Row],[Player]],QB!B:O,6,FALSE)</f>
        <v>1332.3863979428563</v>
      </c>
      <c r="H35" s="100">
        <f>VLOOKUP(TableQBRanks3040[[#This Row],[Player]],QB!B:O,7,FALSE)</f>
        <v>7.6518088487146718</v>
      </c>
      <c r="I35" s="100">
        <f>VLOOKUP(TableQBRanks3040[[#This Row],[Player]],QB!B:O,8,FALSE)</f>
        <v>4.7474164219327459</v>
      </c>
      <c r="J35" s="100">
        <f>VLOOKUP(TableQBRanks3040[[#This Row],[Player]],QB!B:O,9,FALSE)</f>
        <v>38.587993919999988</v>
      </c>
      <c r="K35" s="100">
        <f>VLOOKUP(TableQBRanks3040[[#This Row],[Player]],QB!B:O,10,FALSE)</f>
        <v>176.02969565291352</v>
      </c>
      <c r="L35" s="100">
        <f>VLOOKUP(TableQBRanks3040[[#This Row],[Player]],QB!B:O,11,FALSE)</f>
        <v>1.6783488461494951</v>
      </c>
      <c r="M35" s="95">
        <f>VLOOKUP(TableQBRanks3040[[#This Row],[Player]],QB!B:O,13,FALSE)</f>
        <v>134.27768356155099</v>
      </c>
      <c r="N35" s="140">
        <f>IF(VLOOKUP(TableQBRanks3040[[#This Row],[Player]],'Ranks w Proj'!$B:$N,13,FALSE)&lt;0,0,VLOOKUP(TableQBRanks3040[[#This Row],[Player]],'Ranks w Proj'!$B:$N,13,FALSE))</f>
        <v>0</v>
      </c>
      <c r="P35" s="58">
        <v>34</v>
      </c>
      <c r="Q35" s="58" t="str">
        <f>VLOOKUP(TableRBRanks3141[[#This Row],[RK]],Rankings!A:T,8,FALSE)</f>
        <v>J.K. Dobbins</v>
      </c>
      <c r="R35" s="58" t="str">
        <f>IFERROR(INDEX(TableRBCalcPts[TM],MATCH(TableRBRanks3141[[#This Row],[Player]],TableRBCalcPts[PLAYER],0)),"")</f>
        <v>DEN</v>
      </c>
      <c r="S35" s="58">
        <f>IFERROR(INDEX(TableRBCalcPts[BYE],MATCH(TableRBRanks3141[[#This Row],[Player]],TableRBCalcPts[PLAYER],0)),"")</f>
        <v>10</v>
      </c>
      <c r="T35" s="100">
        <f>VLOOKUP(TableRBRanks3141[[#This Row],[Player]],RB!B:O,4,FALSE)</f>
        <v>154.06608419999998</v>
      </c>
      <c r="U35" s="100">
        <f>VLOOKUP(TableRBRanks3141[[#This Row],[Player]],RB!B:O,5,FALSE)</f>
        <v>735.81051523953079</v>
      </c>
      <c r="V35" s="100">
        <f>VLOOKUP(TableRBRanks3141[[#This Row],[Player]],RB!B:O,6,FALSE)</f>
        <v>4.7760486101999993</v>
      </c>
      <c r="W35" s="100">
        <f>VLOOKUP(TableRBRanks3141[[#This Row],[Player]],RB!B:O,7,FALSE)</f>
        <v>21.68552232</v>
      </c>
      <c r="X35" s="100">
        <f>VLOOKUP(TableRBRanks3141[[#This Row],[Player]],RB!B:O,8,FALSE)</f>
        <v>15.256422089159999</v>
      </c>
      <c r="Y35" s="100">
        <f>VLOOKUP(TableRBRanks3141[[#This Row],[Player]],RB!B:O,9,FALSE)</f>
        <v>74.466112235760008</v>
      </c>
      <c r="Z35" s="100">
        <f>VLOOKUP(TableRBRanks3141[[#This Row],[Player]],RB!B:O,10,FALSE)</f>
        <v>0.50303840412000012</v>
      </c>
      <c r="AA35" s="95">
        <f>VLOOKUP(TableRBRanks3141[[#This Row],[Player]],RB!B:O,14,FALSE)</f>
        <v>120.33039587802907</v>
      </c>
      <c r="AB35" s="140">
        <f>IF(VLOOKUP(TableRBRanks3141[[#This Row],[Player]],'Ranks w Proj'!$Q:$AB,12,FALSE)&lt;0,0,VLOOKUP(TableRBRanks3141[[#This Row],[Player]],'Ranks w Proj'!$Q:$AB,12,FALSE))</f>
        <v>2.4533218950078144</v>
      </c>
      <c r="AD35" s="58">
        <v>34</v>
      </c>
      <c r="AE35" s="58" t="str">
        <f>VLOOKUP(TableWRRanks3242[[#This Row],[RK]],Rankings!A:T,13,FALSE)</f>
        <v>Jameson Williams</v>
      </c>
      <c r="AF35" s="58" t="str">
        <f>IFERROR(INDEX(TableWRCalcPts[TM],MATCH(TableWRRanks3242[[#This Row],[Player]],TableWRCalcPts[PLAYER],0)),"")</f>
        <v>DET</v>
      </c>
      <c r="AG35" s="58">
        <f>IFERROR(INDEX(TableWRCalcPts[BYE],MATCH(TableWRRanks3242[[#This Row],[Player]],TableWRCalcPts[PLAYER],0)),"")</f>
        <v>6</v>
      </c>
      <c r="AH35" s="100">
        <f>VLOOKUP(TableWRRanks3242[[#This Row],[Player]],WR!B:O,4,FALSE)</f>
        <v>37.578100758581314</v>
      </c>
      <c r="AI35" s="100">
        <f>VLOOKUP(TableWRRanks3242[[#This Row],[Player]],WR!B:O,5,FALSE)</f>
        <v>0.46233416661379362</v>
      </c>
      <c r="AJ35" s="100">
        <f>VLOOKUP(TableWRRanks3242[[#This Row],[Player]],WR!B:O,6,FALSE)</f>
        <v>104.78889119999998</v>
      </c>
      <c r="AK35" s="100">
        <f>VLOOKUP(TableWRRanks3242[[#This Row],[Player]],WR!B:O,7,FALSE)</f>
        <v>65.691819008519786</v>
      </c>
      <c r="AL35" s="100">
        <f>VLOOKUP(TableWRRanks3242[[#This Row],[Player]],WR!B:O,8,FALSE)</f>
        <v>1079.9735045000655</v>
      </c>
      <c r="AM35" s="100">
        <f>VLOOKUP(TableWRRanks3242[[#This Row],[Player]],WR!B:O,9,FALSE)</f>
        <v>6.1093391677923403</v>
      </c>
      <c r="AN35" s="95">
        <f>VLOOKUP(TableWRRanks3242[[#This Row],[Player]],WR!B:O,13,FALSE)</f>
        <v>184.03111003656136</v>
      </c>
      <c r="AO35" s="140">
        <f>IF(VLOOKUP(TableWRRanks3242[[#This Row],[Player]],'Ranks w Proj'!$AE:$AO,11,FALSE)&lt;0,0,VLOOKUP(TableWRRanks3242[[#This Row],[Player]],'Ranks w Proj'!$AE:$AO,11,FALSE))</f>
        <v>17.613002346847882</v>
      </c>
      <c r="AQ35" s="58">
        <v>34</v>
      </c>
      <c r="AR35" s="58" t="str">
        <f>VLOOKUP(TableTERanks3343[[#This Row],[RK]],Rankings!A:T,18,FALSE)</f>
        <v>Dawson Knox</v>
      </c>
      <c r="AS35" s="58" t="str">
        <f>IFERROR(INDEX(TableTECalcPts[TM],MATCH(TableTERanks3343[[#This Row],[Player]],TableTECalcPts[PLAYER],0)),"")</f>
        <v>BUF</v>
      </c>
      <c r="AT35" s="58">
        <f>IFERROR(INDEX(TableTECalcPts[BYE],MATCH(TableTERanks3343[[#This Row],[Player]],TableTECalcPts[PLAYER],0)),"")</f>
        <v>7</v>
      </c>
      <c r="AU35" s="100">
        <f>VLOOKUP(TableTERanks3343[[#This Row],[Player]],TE!B:O,4,FALSE)</f>
        <v>39.838999199999989</v>
      </c>
      <c r="AV35" s="100">
        <f>VLOOKUP(TableTERanks3343[[#This Row],[Player]],TE!B:O,5,FALSE)</f>
        <v>28.006816437599991</v>
      </c>
      <c r="AW35" s="100">
        <f>VLOOKUP(TableTERanks3343[[#This Row],[Player]],TE!B:O,6,FALSE)</f>
        <v>313.38478405489178</v>
      </c>
      <c r="AX35" s="100">
        <f>VLOOKUP(TableTERanks3343[[#This Row],[Player]],TE!B:O,7,FALSE)</f>
        <v>2.6886543780095993</v>
      </c>
      <c r="AY35" s="95">
        <f>VLOOKUP(TableTERanks3343[[#This Row],[Player]],TE!B:O,11,FALSE)</f>
        <v>61.473812892346771</v>
      </c>
      <c r="AZ35" s="140">
        <f>IF(VLOOKUP(TableTERanks3343[[#This Row],[Player]],'Ranks w Proj'!$AR:$AZ,9,FALSE)&lt;0,0,VLOOKUP(TableTERanks3343[[#This Row],[Player]],'Ranks w Proj'!$AR:$AZ,9,FALSE))</f>
        <v>0</v>
      </c>
    </row>
    <row r="36" spans="1:52" x14ac:dyDescent="0.25">
      <c r="A36" s="58">
        <v>35</v>
      </c>
      <c r="B36" s="58" t="str">
        <f>VLOOKUP(TableQBRanks3040[[#This Row],[RK]],Rankings!A:T,3,FALSE)</f>
        <v>Michael Penix</v>
      </c>
      <c r="C36" s="58" t="str">
        <f>IFERROR(INDEX(TableQBCalcPts[TM],MATCH(TableQBRanks3040[[#This Row],[Player]],TableQBCalcPts[PLAYER],0)),"")</f>
        <v>ATL</v>
      </c>
      <c r="D36" s="58">
        <f>IFERROR(INDEX(TableQBCalcPts[BYE],MATCH(TableQBRanks3040[[#This Row],[Player]],TableQBCalcPts[PLAYER],0)),"")</f>
        <v>11</v>
      </c>
      <c r="E36" s="100">
        <f>VLOOKUP(TableQBRanks3040[[#This Row],[Player]],QB!B:O,4,FALSE)</f>
        <v>57.924199999999999</v>
      </c>
      <c r="F36" s="100">
        <f>VLOOKUP(TableQBRanks3040[[#This Row],[Player]],QB!B:O,5,FALSE)</f>
        <v>34.758412400683376</v>
      </c>
      <c r="G36" s="100">
        <f>VLOOKUP(TableQBRanks3040[[#This Row],[Player]],QB!B:O,6,FALSE)</f>
        <v>410.14926632806385</v>
      </c>
      <c r="H36" s="100">
        <f>VLOOKUP(TableQBRanks3040[[#This Row],[Player]],QB!B:O,7,FALSE)</f>
        <v>1.9369641366742598</v>
      </c>
      <c r="I36" s="100">
        <f>VLOOKUP(TableQBRanks3040[[#This Row],[Player]],QB!B:O,8,FALSE)</f>
        <v>1.0238992984054669</v>
      </c>
      <c r="J36" s="100">
        <f>VLOOKUP(TableQBRanks3040[[#This Row],[Player]],QB!B:O,9,FALSE)</f>
        <v>17.1993136</v>
      </c>
      <c r="K36" s="100">
        <f>VLOOKUP(TableQBRanks3040[[#This Row],[Player]],QB!B:O,10,FALSE)</f>
        <v>60.240657920054332</v>
      </c>
      <c r="L36" s="100">
        <f>VLOOKUP(TableQBRanks3040[[#This Row],[Player]],QB!B:O,11,FALSE)</f>
        <v>0.90791590080624651</v>
      </c>
      <c r="M36" s="95">
        <f>VLOOKUP(TableQBRanks3040[[#This Row],[Player]],QB!B:O,13,FALSE)</f>
        <v>41.951258611673893</v>
      </c>
      <c r="N36" s="140">
        <f>IF(VLOOKUP(TableQBRanks3040[[#This Row],[Player]],'Ranks w Proj'!$B:$N,13,FALSE)&lt;0,0,VLOOKUP(TableQBRanks3040[[#This Row],[Player]],'Ranks w Proj'!$B:$N,13,FALSE))</f>
        <v>0</v>
      </c>
      <c r="P36" s="58">
        <v>35</v>
      </c>
      <c r="Q36" s="58" t="str">
        <f>VLOOKUP(TableRBRanks3141[[#This Row],[RK]],Rankings!A:T,8,FALSE)</f>
        <v>Jordan Mason</v>
      </c>
      <c r="R36" s="58" t="str">
        <f>IFERROR(INDEX(TableRBCalcPts[TM],MATCH(TableRBRanks3141[[#This Row],[Player]],TableRBCalcPts[PLAYER],0)),"")</f>
        <v>MIN</v>
      </c>
      <c r="S36" s="58">
        <f>IFERROR(INDEX(TableRBCalcPts[BYE],MATCH(TableRBRanks3141[[#This Row],[Player]],TableRBCalcPts[PLAYER],0)),"")</f>
        <v>6</v>
      </c>
      <c r="T36" s="100">
        <f>VLOOKUP(TableRBRanks3141[[#This Row],[Player]],RB!B:O,4,FALSE)</f>
        <v>175.01429568</v>
      </c>
      <c r="U36" s="100">
        <f>VLOOKUP(TableRBRanks3141[[#This Row],[Player]],RB!B:O,5,FALSE)</f>
        <v>796.2577264688789</v>
      </c>
      <c r="V36" s="100">
        <f>VLOOKUP(TableRBRanks3141[[#This Row],[Player]],RB!B:O,6,FALSE)</f>
        <v>6.6505432358399998</v>
      </c>
      <c r="W36" s="100">
        <f>VLOOKUP(TableRBRanks3141[[#This Row],[Player]],RB!B:O,7,FALSE)</f>
        <v>13.248032</v>
      </c>
      <c r="X36" s="100">
        <f>VLOOKUP(TableRBRanks3141[[#This Row],[Player]],RB!B:O,8,FALSE)</f>
        <v>9.9360239999999997</v>
      </c>
      <c r="Y36" s="100">
        <f>VLOOKUP(TableRBRanks3141[[#This Row],[Player]],RB!B:O,9,FALSE)</f>
        <v>61.404628319999993</v>
      </c>
      <c r="Z36" s="100">
        <f>VLOOKUP(TableRBRanks3141[[#This Row],[Player]],RB!B:O,10,FALSE)</f>
        <v>0.27820867199999999</v>
      </c>
      <c r="AA36" s="95">
        <f>VLOOKUP(TableRBRanks3141[[#This Row],[Player]],RB!B:O,14,FALSE)</f>
        <v>132.30675892592791</v>
      </c>
      <c r="AB36" s="140">
        <f>IF(VLOOKUP(TableRBRanks3141[[#This Row],[Player]],'Ranks w Proj'!$Q:$AB,12,FALSE)&lt;0,0,VLOOKUP(TableRBRanks3141[[#This Row],[Player]],'Ranks w Proj'!$Q:$AB,12,FALSE))</f>
        <v>4.2533998070284129</v>
      </c>
      <c r="AD36" s="58">
        <v>35</v>
      </c>
      <c r="AE36" s="58" t="str">
        <f>VLOOKUP(TableWRRanks3242[[#This Row],[RK]],Rankings!A:T,13,FALSE)</f>
        <v>Alec Pierce</v>
      </c>
      <c r="AF36" s="58" t="str">
        <f>IFERROR(INDEX(TableWRCalcPts[TM],MATCH(TableWRRanks3242[[#This Row],[Player]],TableWRCalcPts[PLAYER],0)),"")</f>
        <v>IND</v>
      </c>
      <c r="AG36" s="58">
        <f>IFERROR(INDEX(TableWRCalcPts[BYE],MATCH(TableWRRanks3242[[#This Row],[Player]],TableWRCalcPts[PLAYER],0)),"")</f>
        <v>13</v>
      </c>
      <c r="AH36" s="100">
        <f>VLOOKUP(TableWRRanks3242[[#This Row],[Player]],WR!B:O,4,FALSE)</f>
        <v>0</v>
      </c>
      <c r="AI36" s="100">
        <f>VLOOKUP(TableWRRanks3242[[#This Row],[Player]],WR!B:O,5,FALSE)</f>
        <v>0</v>
      </c>
      <c r="AJ36" s="100">
        <f>VLOOKUP(TableWRRanks3242[[#This Row],[Player]],WR!B:O,6,FALSE)</f>
        <v>117.06562559999999</v>
      </c>
      <c r="AK36" s="100">
        <f>VLOOKUP(TableWRRanks3242[[#This Row],[Player]],WR!B:O,7,FALSE)</f>
        <v>62.957348956398128</v>
      </c>
      <c r="AL36" s="100">
        <f>VLOOKUP(TableWRRanks3242[[#This Row],[Player]],WR!B:O,8,FALSE)</f>
        <v>1044.6940058485879</v>
      </c>
      <c r="AM36" s="100">
        <f>VLOOKUP(TableWRRanks3242[[#This Row],[Player]],WR!B:O,9,FALSE)</f>
        <v>6.1068628487706187</v>
      </c>
      <c r="AN36" s="95">
        <f>VLOOKUP(TableWRRanks3242[[#This Row],[Player]],WR!B:O,13,FALSE)</f>
        <v>172.58925215568158</v>
      </c>
      <c r="AO36" s="140">
        <f>IF(VLOOKUP(TableWRRanks3242[[#This Row],[Player]],'Ranks w Proj'!$AE:$AO,11,FALSE)&lt;0,0,VLOOKUP(TableWRRanks3242[[#This Row],[Player]],'Ranks w Proj'!$AE:$AO,11,FALSE))</f>
        <v>15.463326819156697</v>
      </c>
      <c r="AQ36" s="58">
        <v>35</v>
      </c>
      <c r="AR36" s="58" t="str">
        <f>VLOOKUP(TableTERanks3343[[#This Row],[RK]],Rankings!A:T,18,FALSE)</f>
        <v>Jake Tonges</v>
      </c>
      <c r="AS36" s="58" t="str">
        <f>IFERROR(INDEX(TableTECalcPts[TM],MATCH(TableTERanks3343[[#This Row],[Player]],TableTECalcPts[PLAYER],0)),"")</f>
        <v>SF</v>
      </c>
      <c r="AT36" s="58">
        <f>IFERROR(INDEX(TableTECalcPts[BYE],MATCH(TableTERanks3343[[#This Row],[Player]],TableTECalcPts[PLAYER],0)),"")</f>
        <v>8</v>
      </c>
      <c r="AU36" s="100">
        <f>VLOOKUP(TableTERanks3343[[#This Row],[Player]],TE!B:O,4,FALSE)</f>
        <v>22.547118720000004</v>
      </c>
      <c r="AV36" s="100">
        <f>VLOOKUP(TableTERanks3343[[#This Row],[Player]],TE!B:O,5,FALSE)</f>
        <v>15.67129135848889</v>
      </c>
      <c r="AW36" s="100">
        <f>VLOOKUP(TableTERanks3343[[#This Row],[Player]],TE!B:O,6,FALSE)</f>
        <v>158.59346854790755</v>
      </c>
      <c r="AX36" s="100">
        <f>VLOOKUP(TableTERanks3343[[#This Row],[Player]],TE!B:O,7,FALSE)</f>
        <v>1.410416222264</v>
      </c>
      <c r="AY36" s="95">
        <f>VLOOKUP(TableTERanks3343[[#This Row],[Player]],TE!B:O,11,FALSE)</f>
        <v>32.157489867619205</v>
      </c>
      <c r="AZ36" s="140">
        <f>IF(VLOOKUP(TableTERanks3343[[#This Row],[Player]],'Ranks w Proj'!$AR:$AZ,9,FALSE)&lt;0,0,VLOOKUP(TableTERanks3343[[#This Row],[Player]],'Ranks w Proj'!$AR:$AZ,9,FALSE))</f>
        <v>0</v>
      </c>
    </row>
    <row r="37" spans="1:52" x14ac:dyDescent="0.25">
      <c r="A37" s="58">
        <v>36</v>
      </c>
      <c r="B37" s="58" t="str">
        <f>VLOOKUP(TableQBRanks3040[[#This Row],[RK]],Rankings!A:T,3,FALSE)</f>
        <v>Anthony Richardson</v>
      </c>
      <c r="C37" s="58" t="str">
        <f>IFERROR(INDEX(TableQBCalcPts[TM],MATCH(TableQBRanks3040[[#This Row],[Player]],TableQBCalcPts[PLAYER],0)),"")</f>
        <v>IND</v>
      </c>
      <c r="D37" s="58">
        <f>IFERROR(INDEX(TableQBCalcPts[BYE],MATCH(TableQBRanks3040[[#This Row],[Player]],TableQBCalcPts[PLAYER],0)),"")</f>
        <v>13</v>
      </c>
      <c r="E37" s="100">
        <f>VLOOKUP(TableQBRanks3040[[#This Row],[Player]],QB!B:O,4,FALSE)</f>
        <v>26.664000000000001</v>
      </c>
      <c r="F37" s="100">
        <f>VLOOKUP(TableQBRanks3040[[#This Row],[Player]],QB!B:O,5,FALSE)</f>
        <v>14.66897010976982</v>
      </c>
      <c r="G37" s="100">
        <f>VLOOKUP(TableQBRanks3040[[#This Row],[Player]],QB!B:O,6,FALSE)</f>
        <v>196.27082006872021</v>
      </c>
      <c r="H37" s="100">
        <f>VLOOKUP(TableQBRanks3040[[#This Row],[Player]],QB!B:O,7,FALSE)</f>
        <v>0.79212438592757028</v>
      </c>
      <c r="I37" s="100">
        <f>VLOOKUP(TableQBRanks3040[[#This Row],[Player]],QB!B:O,8,FALSE)</f>
        <v>0.38917262140055342</v>
      </c>
      <c r="J37" s="100">
        <f>VLOOKUP(TableQBRanks3040[[#This Row],[Player]],QB!B:O,9,FALSE)</f>
        <v>23.359279999999998</v>
      </c>
      <c r="K37" s="100">
        <f>VLOOKUP(TableQBRanks3040[[#This Row],[Player]],QB!B:O,10,FALSE)</f>
        <v>119.13232799999999</v>
      </c>
      <c r="L37" s="100">
        <f>VLOOKUP(TableQBRanks3040[[#This Row],[Player]],QB!B:O,11,FALSE)</f>
        <v>1.4249160799999998</v>
      </c>
      <c r="M37" s="95">
        <f>VLOOKUP(TableQBRanks3040[[#This Row],[Player]],QB!B:O,13,FALSE)</f>
        <v>34.144032787890652</v>
      </c>
      <c r="N37" s="140">
        <f>IF(VLOOKUP(TableQBRanks3040[[#This Row],[Player]],'Ranks w Proj'!$B:$N,13,FALSE)&lt;0,0,VLOOKUP(TableQBRanks3040[[#This Row],[Player]],'Ranks w Proj'!$B:$N,13,FALSE))</f>
        <v>0</v>
      </c>
      <c r="P37" s="58">
        <v>36</v>
      </c>
      <c r="Q37" s="58" t="str">
        <f>VLOOKUP(TableRBRanks3141[[#This Row],[RK]],Rankings!A:T,8,FALSE)</f>
        <v>Kyle Monangai</v>
      </c>
      <c r="R37" s="58" t="str">
        <f>IFERROR(INDEX(TableRBCalcPts[TM],MATCH(TableRBRanks3141[[#This Row],[Player]],TableRBCalcPts[PLAYER],0)),"")</f>
        <v>CHI</v>
      </c>
      <c r="S37" s="58">
        <f>IFERROR(INDEX(TableRBCalcPts[BYE],MATCH(TableRBRanks3141[[#This Row],[Player]],TableRBCalcPts[PLAYER],0)),"")</f>
        <v>10</v>
      </c>
      <c r="T37" s="100">
        <f>VLOOKUP(TableRBRanks3141[[#This Row],[Player]],RB!B:O,4,FALSE)</f>
        <v>175.60135487999997</v>
      </c>
      <c r="U37" s="100">
        <f>VLOOKUP(TableRBRanks3141[[#This Row],[Player]],RB!B:O,5,FALSE)</f>
        <v>758.92623990733705</v>
      </c>
      <c r="V37" s="100">
        <f>VLOOKUP(TableRBRanks3141[[#This Row],[Player]],RB!B:O,6,FALSE)</f>
        <v>6.672851485439999</v>
      </c>
      <c r="W37" s="100">
        <f>VLOOKUP(TableRBRanks3141[[#This Row],[Player]],RB!B:O,7,FALSE)</f>
        <v>31.016431600000001</v>
      </c>
      <c r="X37" s="100">
        <f>VLOOKUP(TableRBRanks3141[[#This Row],[Player]],RB!B:O,8,FALSE)</f>
        <v>21.773534983199998</v>
      </c>
      <c r="Y37" s="100">
        <f>VLOOKUP(TableRBRanks3141[[#This Row],[Player]],RB!B:O,9,FALSE)</f>
        <v>166.47993232787942</v>
      </c>
      <c r="Z37" s="100">
        <f>VLOOKUP(TableRBRanks3141[[#This Row],[Player]],RB!B:O,10,FALSE)</f>
        <v>0.6961283018646286</v>
      </c>
      <c r="AA37" s="95">
        <f>VLOOKUP(TableRBRanks3141[[#This Row],[Player]],RB!B:O,14,FALSE)</f>
        <v>147.64126343894941</v>
      </c>
      <c r="AB37" s="140">
        <f>IF(VLOOKUP(TableRBRanks3141[[#This Row],[Player]],'Ranks w Proj'!$Q:$AB,12,FALSE)&lt;0,0,VLOOKUP(TableRBRanks3141[[#This Row],[Player]],'Ranks w Proj'!$Q:$AB,12,FALSE))</f>
        <v>6.558214946254922</v>
      </c>
      <c r="AD37" s="58">
        <v>36</v>
      </c>
      <c r="AE37" s="58" t="str">
        <f>VLOOKUP(TableWRRanks3242[[#This Row],[RK]],Rankings!A:T,13,FALSE)</f>
        <v>Courtland Sutton</v>
      </c>
      <c r="AF37" s="58" t="str">
        <f>IFERROR(INDEX(TableWRCalcPts[TM],MATCH(TableWRRanks3242[[#This Row],[Player]],TableWRCalcPts[PLAYER],0)),"")</f>
        <v>DEN</v>
      </c>
      <c r="AG37" s="58">
        <f>IFERROR(INDEX(TableWRCalcPts[BYE],MATCH(TableWRRanks3242[[#This Row],[Player]],TableWRCalcPts[PLAYER],0)),"")</f>
        <v>10</v>
      </c>
      <c r="AH37" s="100">
        <f>VLOOKUP(TableWRRanks3242[[#This Row],[Player]],WR!B:O,4,FALSE)</f>
        <v>0</v>
      </c>
      <c r="AI37" s="100">
        <f>VLOOKUP(TableWRRanks3242[[#This Row],[Player]],WR!B:O,5,FALSE)</f>
        <v>0</v>
      </c>
      <c r="AJ37" s="100">
        <f>VLOOKUP(TableWRRanks3242[[#This Row],[Player]],WR!B:O,6,FALSE)</f>
        <v>123.26507424000002</v>
      </c>
      <c r="AK37" s="100">
        <f>VLOOKUP(TableWRRanks3242[[#This Row],[Player]],WR!B:O,7,FALSE)</f>
        <v>69.962432445293402</v>
      </c>
      <c r="AL37" s="100">
        <f>VLOOKUP(TableWRRanks3242[[#This Row],[Player]],WR!B:O,8,FALSE)</f>
        <v>930.5003515224023</v>
      </c>
      <c r="AM37" s="100">
        <f>VLOOKUP(TableWRRanks3242[[#This Row],[Player]],WR!B:O,9,FALSE)</f>
        <v>7.0662056769746338</v>
      </c>
      <c r="AN37" s="95">
        <f>VLOOKUP(TableWRRanks3242[[#This Row],[Player]],WR!B:O,13,FALSE)</f>
        <v>170.42848543673475</v>
      </c>
      <c r="AO37" s="140">
        <f>IF(VLOOKUP(TableWRRanks3242[[#This Row],[Player]],'Ranks w Proj'!$AE:$AO,11,FALSE)&lt;0,0,VLOOKUP(TableWRRanks3242[[#This Row],[Player]],'Ranks w Proj'!$AE:$AO,11,FALSE))</f>
        <v>15.057365882993382</v>
      </c>
      <c r="AQ37" s="58">
        <v>36</v>
      </c>
      <c r="AR37" s="58" t="str">
        <f>VLOOKUP(TableTERanks3343[[#This Row],[RK]],Rankings!A:T,18,FALSE)</f>
        <v>Eli Stowers</v>
      </c>
      <c r="AS37" s="58" t="str">
        <f>IFERROR(INDEX(TableTECalcPts[TM],MATCH(TableTERanks3343[[#This Row],[Player]],TableTECalcPts[PLAYER],0)),"")</f>
        <v>PHI</v>
      </c>
      <c r="AT37" s="58">
        <f>IFERROR(INDEX(TableTECalcPts[BYE],MATCH(TableTERanks3343[[#This Row],[Player]],TableTECalcPts[PLAYER],0)),"")</f>
        <v>10</v>
      </c>
      <c r="AU37" s="100">
        <f>VLOOKUP(TableTERanks3343[[#This Row],[Player]],TE!B:O,4,FALSE)</f>
        <v>23.05505664</v>
      </c>
      <c r="AV37" s="100">
        <f>VLOOKUP(TableTERanks3343[[#This Row],[Player]],TE!B:O,5,FALSE)</f>
        <v>16.39214527104</v>
      </c>
      <c r="AW37" s="100">
        <f>VLOOKUP(TableTERanks3343[[#This Row],[Player]],TE!B:O,6,FALSE)</f>
        <v>168.09825787902821</v>
      </c>
      <c r="AX37" s="100">
        <f>VLOOKUP(TableTERanks3343[[#This Row],[Player]],TE!B:O,7,FALSE)</f>
        <v>1.1802344595148799</v>
      </c>
      <c r="AY37" s="95">
        <f>VLOOKUP(TableTERanks3343[[#This Row],[Player]],TE!B:O,11,FALSE)</f>
        <v>32.087305180512104</v>
      </c>
      <c r="AZ37" s="140">
        <f>IF(VLOOKUP(TableTERanks3343[[#This Row],[Player]],'Ranks w Proj'!$AR:$AZ,9,FALSE)&lt;0,0,VLOOKUP(TableTERanks3343[[#This Row],[Player]],'Ranks w Proj'!$AR:$AZ,9,FALSE))</f>
        <v>0</v>
      </c>
    </row>
    <row r="38" spans="1:52" x14ac:dyDescent="0.25">
      <c r="A38" s="58">
        <v>37</v>
      </c>
      <c r="B38" s="58" t="str">
        <f>VLOOKUP(TableQBRanks3040[[#This Row],[RK]],Rankings!A:T,3,FALSE)</f>
        <v>Justin Fields</v>
      </c>
      <c r="C38" s="58" t="str">
        <f>IFERROR(INDEX(TableQBCalcPts[TM],MATCH(TableQBRanks3040[[#This Row],[Player]],TableQBCalcPts[PLAYER],0)),"")</f>
        <v>KC</v>
      </c>
      <c r="D38" s="58">
        <f>IFERROR(INDEX(TableQBCalcPts[BYE],MATCH(TableQBRanks3040[[#This Row],[Player]],TableQBCalcPts[PLAYER],0)),"")</f>
        <v>5</v>
      </c>
      <c r="E38" s="100">
        <f>VLOOKUP(TableQBRanks3040[[#This Row],[Player]],QB!B:O,4,FALSE)</f>
        <v>29.87125</v>
      </c>
      <c r="F38" s="100">
        <f>VLOOKUP(TableQBRanks3040[[#This Row],[Player]],QB!B:O,5,FALSE)</f>
        <v>18.916116027884559</v>
      </c>
      <c r="G38" s="100">
        <f>VLOOKUP(TableQBRanks3040[[#This Row],[Player]],QB!B:O,6,FALSE)</f>
        <v>187.64787099661481</v>
      </c>
      <c r="H38" s="100">
        <f>VLOOKUP(TableQBRanks3040[[#This Row],[Player]],QB!B:O,7,FALSE)</f>
        <v>1.1605429784513495</v>
      </c>
      <c r="I38" s="100">
        <f>VLOOKUP(TableQBRanks3040[[#This Row],[Player]],QB!B:O,8,FALSE)</f>
        <v>0.46715527487029007</v>
      </c>
      <c r="J38" s="100">
        <f>VLOOKUP(TableQBRanks3040[[#This Row],[Player]],QB!B:O,9,FALSE)</f>
        <v>6.4911525000000001</v>
      </c>
      <c r="K38" s="100">
        <f>VLOOKUP(TableQBRanks3040[[#This Row],[Player]],QB!B:O,10,FALSE)</f>
        <v>32.823096448834477</v>
      </c>
      <c r="L38" s="100">
        <f>VLOOKUP(TableQBRanks3040[[#This Row],[Player]],QB!B:O,11,FALSE)</f>
        <v>0.25551597218149824</v>
      </c>
      <c r="M38" s="95">
        <f>VLOOKUP(TableQBRanks3040[[#This Row],[Player]],QB!B:O,13,FALSE)</f>
        <v>20.709034516463291</v>
      </c>
      <c r="N38" s="140">
        <f>IF(VLOOKUP(TableQBRanks3040[[#This Row],[Player]],'Ranks w Proj'!$B:$N,13,FALSE)&lt;0,0,VLOOKUP(TableQBRanks3040[[#This Row],[Player]],'Ranks w Proj'!$B:$N,13,FALSE))</f>
        <v>0</v>
      </c>
      <c r="P38" s="58">
        <v>37</v>
      </c>
      <c r="Q38" s="58" t="str">
        <f>VLOOKUP(TableRBRanks3141[[#This Row],[RK]],Rankings!A:T,8,FALSE)</f>
        <v>Blake Corum</v>
      </c>
      <c r="R38" s="58" t="str">
        <f>IFERROR(INDEX(TableRBCalcPts[TM],MATCH(TableRBRanks3141[[#This Row],[Player]],TableRBCalcPts[PLAYER],0)),"")</f>
        <v>LAR</v>
      </c>
      <c r="S38" s="58">
        <f>IFERROR(INDEX(TableRBCalcPts[BYE],MATCH(TableRBRanks3141[[#This Row],[Player]],TableRBCalcPts[PLAYER],0)),"")</f>
        <v>11</v>
      </c>
      <c r="T38" s="100">
        <f>VLOOKUP(TableRBRanks3141[[#This Row],[Player]],RB!B:O,4,FALSE)</f>
        <v>155.89173599999995</v>
      </c>
      <c r="U38" s="100">
        <f>VLOOKUP(TableRBRanks3141[[#This Row],[Player]],RB!B:O,5,FALSE)</f>
        <v>743.60358071999974</v>
      </c>
      <c r="V38" s="100">
        <f>VLOOKUP(TableRBRanks3141[[#This Row],[Player]],RB!B:O,6,FALSE)</f>
        <v>6.5258998274671915</v>
      </c>
      <c r="W38" s="100">
        <f>VLOOKUP(TableRBRanks3141[[#This Row],[Player]],RB!B:O,7,FALSE)</f>
        <v>20.921952869624988</v>
      </c>
      <c r="X38" s="100">
        <f>VLOOKUP(TableRBRanks3141[[#This Row],[Player]],RB!B:O,8,FALSE)</f>
        <v>12.636859533253492</v>
      </c>
      <c r="Y38" s="100">
        <f>VLOOKUP(TableRBRanks3141[[#This Row],[Player]],RB!B:O,9,FALSE)</f>
        <v>81.245423197401081</v>
      </c>
      <c r="Z38" s="100">
        <f>VLOOKUP(TableRBRanks3141[[#This Row],[Player]],RB!B:O,10,FALSE)</f>
        <v>0.70766413386219562</v>
      </c>
      <c r="AA38" s="95">
        <f>VLOOKUP(TableRBRanks3141[[#This Row],[Player]],RB!B:O,14,FALSE)</f>
        <v>132.20471392634317</v>
      </c>
      <c r="AB38" s="140">
        <f>IF(VLOOKUP(TableRBRanks3141[[#This Row],[Player]],'Ranks w Proj'!$Q:$AB,12,FALSE)&lt;0,0,VLOOKUP(TableRBRanks3141[[#This Row],[Player]],'Ranks w Proj'!$Q:$AB,12,FALSE))</f>
        <v>4.2380621833232883</v>
      </c>
      <c r="AD38" s="58">
        <v>37</v>
      </c>
      <c r="AE38" s="58" t="str">
        <f>VLOOKUP(TableWRRanks3242[[#This Row],[RK]],Rankings!A:T,13,FALSE)</f>
        <v>Brian Thomas</v>
      </c>
      <c r="AF38" s="58" t="str">
        <f>IFERROR(INDEX(TableWRCalcPts[TM],MATCH(TableWRRanks3242[[#This Row],[Player]],TableWRCalcPts[PLAYER],0)),"")</f>
        <v>JAX</v>
      </c>
      <c r="AG38" s="58">
        <f>IFERROR(INDEX(TableWRCalcPts[BYE],MATCH(TableWRRanks3242[[#This Row],[Player]],TableWRCalcPts[PLAYER],0)),"")</f>
        <v>7</v>
      </c>
      <c r="AH38" s="100">
        <f>VLOOKUP(TableWRRanks3242[[#This Row],[Player]],WR!B:O,4,FALSE)</f>
        <v>0</v>
      </c>
      <c r="AI38" s="100">
        <f>VLOOKUP(TableWRRanks3242[[#This Row],[Player]],WR!B:O,5,FALSE)</f>
        <v>0</v>
      </c>
      <c r="AJ38" s="100">
        <f>VLOOKUP(TableWRRanks3242[[#This Row],[Player]],WR!B:O,6,FALSE)</f>
        <v>104.0991966</v>
      </c>
      <c r="AK38" s="100">
        <f>VLOOKUP(TableWRRanks3242[[#This Row],[Player]],WR!B:O,7,FALSE)</f>
        <v>56.525863753800003</v>
      </c>
      <c r="AL38" s="100">
        <f>VLOOKUP(TableWRRanks3242[[#This Row],[Player]],WR!B:O,8,FALSE)</f>
        <v>842.80062856915811</v>
      </c>
      <c r="AM38" s="100">
        <f>VLOOKUP(TableWRRanks3242[[#This Row],[Player]],WR!B:O,9,FALSE)</f>
        <v>5.4830087841186002</v>
      </c>
      <c r="AN38" s="95">
        <f>VLOOKUP(TableWRRanks3242[[#This Row],[Player]],WR!B:O,13,FALSE)</f>
        <v>145.44104743852742</v>
      </c>
      <c r="AO38" s="140">
        <f>IF(VLOOKUP(TableWRRanks3242[[#This Row],[Player]],'Ranks w Proj'!$AE:$AO,11,FALSE)&lt;0,0,VLOOKUP(TableWRRanks3242[[#This Row],[Player]],'Ranks w Proj'!$AE:$AO,11,FALSE))</f>
        <v>10.362771305463385</v>
      </c>
      <c r="AQ38" s="58">
        <v>37</v>
      </c>
      <c r="AR38" s="58" t="str">
        <f>VLOOKUP(TableTERanks3343[[#This Row],[RK]],Rankings!A:T,18,FALSE)</f>
        <v>Darnell Washington</v>
      </c>
      <c r="AS38" s="58" t="str">
        <f>IFERROR(INDEX(TableTECalcPts[TM],MATCH(TableTERanks3343[[#This Row],[Player]],TableTECalcPts[PLAYER],0)),"")</f>
        <v>PIT</v>
      </c>
      <c r="AT38" s="58">
        <f>IFERROR(INDEX(TableTECalcPts[BYE],MATCH(TableTERanks3343[[#This Row],[Player]],TableTECalcPts[PLAYER],0)),"")</f>
        <v>9</v>
      </c>
      <c r="AU38" s="100">
        <f>VLOOKUP(TableTERanks3343[[#This Row],[Player]],TE!B:O,4,FALSE)</f>
        <v>43.736615999999998</v>
      </c>
      <c r="AV38" s="100">
        <f>VLOOKUP(TableTERanks3343[[#This Row],[Player]],TE!B:O,5,FALSE)</f>
        <v>31.315417055999998</v>
      </c>
      <c r="AW38" s="100">
        <f>VLOOKUP(TableTERanks3343[[#This Row],[Player]],TE!B:O,6,FALSE)</f>
        <v>340.2005542619471</v>
      </c>
      <c r="AX38" s="100">
        <f>VLOOKUP(TableTERanks3343[[#This Row],[Player]],TE!B:O,7,FALSE)</f>
        <v>2.2730634797775009</v>
      </c>
      <c r="AY38" s="95">
        <f>VLOOKUP(TableTERanks3343[[#This Row],[Player]],TE!B:O,11,FALSE)</f>
        <v>63.316144832859713</v>
      </c>
      <c r="AZ38" s="140">
        <f>IF(VLOOKUP(TableTERanks3343[[#This Row],[Player]],'Ranks w Proj'!$AR:$AZ,9,FALSE)&lt;0,0,VLOOKUP(TableTERanks3343[[#This Row],[Player]],'Ranks w Proj'!$AR:$AZ,9,FALSE))</f>
        <v>0</v>
      </c>
    </row>
    <row r="39" spans="1:52" x14ac:dyDescent="0.25">
      <c r="A39" s="58">
        <v>38</v>
      </c>
      <c r="B39" s="58" t="str">
        <f>VLOOKUP(TableQBRanks3040[[#This Row],[RK]],Rankings!A:T,3,FALSE)</f>
        <v>Marcus Mariota</v>
      </c>
      <c r="C39" s="58" t="str">
        <f>IFERROR(INDEX(TableQBCalcPts[TM],MATCH(TableQBRanks3040[[#This Row],[Player]],TableQBCalcPts[PLAYER],0)),"")</f>
        <v>WSH</v>
      </c>
      <c r="D39" s="58">
        <f>IFERROR(INDEX(TableQBCalcPts[BYE],MATCH(TableQBRanks3040[[#This Row],[Player]],TableQBCalcPts[PLAYER],0)),"")</f>
        <v>7</v>
      </c>
      <c r="E39" s="100">
        <f>VLOOKUP(TableQBRanks3040[[#This Row],[Player]],QB!B:O,4,FALSE)</f>
        <v>25.399100000000001</v>
      </c>
      <c r="F39" s="100">
        <f>VLOOKUP(TableQBRanks3040[[#This Row],[Player]],QB!B:O,5,FALSE)</f>
        <v>16.507009111068687</v>
      </c>
      <c r="G39" s="100">
        <f>VLOOKUP(TableQBRanks3040[[#This Row],[Player]],QB!B:O,6,FALSE)</f>
        <v>191.81144587061812</v>
      </c>
      <c r="H39" s="100">
        <f>VLOOKUP(TableQBRanks3040[[#This Row],[Player]],QB!B:O,7,FALSE)</f>
        <v>1.2503162322118277</v>
      </c>
      <c r="I39" s="100">
        <f>VLOOKUP(TableQBRanks3040[[#This Row],[Player]],QB!B:O,8,FALSE)</f>
        <v>0.62814216439281578</v>
      </c>
      <c r="J39" s="100">
        <f>VLOOKUP(TableQBRanks3040[[#This Row],[Player]],QB!B:O,9,FALSE)</f>
        <v>4.9981764000000011</v>
      </c>
      <c r="K39" s="100">
        <f>VLOOKUP(TableQBRanks3040[[#This Row],[Player]],QB!B:O,10,FALSE)</f>
        <v>31.521258817216651</v>
      </c>
      <c r="L39" s="100">
        <f>VLOOKUP(TableQBRanks3040[[#This Row],[Player]],QB!B:O,11,FALSE)</f>
        <v>0.12310190559540891</v>
      </c>
      <c r="M39" s="95">
        <f>VLOOKUP(TableQBRanks3040[[#This Row],[Player]],QB!B:O,13,FALSE)</f>
        <v>20.087651290103864</v>
      </c>
      <c r="N39" s="140">
        <f>IF(VLOOKUP(TableQBRanks3040[[#This Row],[Player]],'Ranks w Proj'!$B:$N,13,FALSE)&lt;0,0,VLOOKUP(TableQBRanks3040[[#This Row],[Player]],'Ranks w Proj'!$B:$N,13,FALSE))</f>
        <v>0</v>
      </c>
      <c r="P39" s="58">
        <v>38</v>
      </c>
      <c r="Q39" s="58" t="str">
        <f>VLOOKUP(TableRBRanks3141[[#This Row],[RK]],Rankings!A:T,8,FALSE)</f>
        <v>Rachaad White</v>
      </c>
      <c r="R39" s="58" t="str">
        <f>IFERROR(INDEX(TableRBCalcPts[TM],MATCH(TableRBRanks3141[[#This Row],[Player]],TableRBCalcPts[PLAYER],0)),"")</f>
        <v>WSH</v>
      </c>
      <c r="S39" s="58">
        <f>IFERROR(INDEX(TableRBCalcPts[BYE],MATCH(TableRBRanks3141[[#This Row],[Player]],TableRBCalcPts[PLAYER],0)),"")</f>
        <v>7</v>
      </c>
      <c r="T39" s="100">
        <f>VLOOKUP(TableRBRanks3141[[#This Row],[Player]],RB!B:O,4,FALSE)</f>
        <v>107.96061024000002</v>
      </c>
      <c r="U39" s="100">
        <f>VLOOKUP(TableRBRanks3141[[#This Row],[Player]],RB!B:O,5,FALSE)</f>
        <v>457.75298741760014</v>
      </c>
      <c r="V39" s="100">
        <f>VLOOKUP(TableRBRanks3141[[#This Row],[Player]],RB!B:O,6,FALSE)</f>
        <v>3.1308576969600006</v>
      </c>
      <c r="W39" s="100">
        <f>VLOOKUP(TableRBRanks3141[[#This Row],[Player]],RB!B:O,7,FALSE)</f>
        <v>51.275703079999985</v>
      </c>
      <c r="X39" s="100">
        <f>VLOOKUP(TableRBRanks3141[[#This Row],[Player]],RB!B:O,8,FALSE)</f>
        <v>41.430768088639994</v>
      </c>
      <c r="Y39" s="100">
        <f>VLOOKUP(TableRBRanks3141[[#This Row],[Player]],RB!B:O,9,FALSE)</f>
        <v>283.38645372629753</v>
      </c>
      <c r="Z39" s="100">
        <f>VLOOKUP(TableRBRanks3141[[#This Row],[Player]],RB!B:O,10,FALSE)</f>
        <v>1.7369826536675053</v>
      </c>
      <c r="AA39" s="95">
        <f>VLOOKUP(TableRBRanks3141[[#This Row],[Player]],RB!B:O,14,FALSE)</f>
        <v>124.03637026247482</v>
      </c>
      <c r="AB39" s="140">
        <f>IF(VLOOKUP(TableRBRanks3141[[#This Row],[Player]],'Ranks w Proj'!$Q:$AB,12,FALSE)&lt;0,0,VLOOKUP(TableRBRanks3141[[#This Row],[Player]],'Ranks w Proj'!$Q:$AB,12,FALSE))</f>
        <v>3.0103392971418717</v>
      </c>
      <c r="AD39" s="58">
        <v>38</v>
      </c>
      <c r="AE39" s="58" t="str">
        <f>VLOOKUP(TableWRRanks3242[[#This Row],[RK]],Rankings!A:T,13,FALSE)</f>
        <v>DK Metcalf</v>
      </c>
      <c r="AF39" s="58" t="str">
        <f>IFERROR(INDEX(TableWRCalcPts[TM],MATCH(TableWRRanks3242[[#This Row],[Player]],TableWRCalcPts[PLAYER],0)),"")</f>
        <v>PIT</v>
      </c>
      <c r="AG39" s="58">
        <f>IFERROR(INDEX(TableWRCalcPts[BYE],MATCH(TableWRRanks3242[[#This Row],[Player]],TableWRCalcPts[PLAYER],0)),"")</f>
        <v>9</v>
      </c>
      <c r="AH39" s="100">
        <f>VLOOKUP(TableWRRanks3242[[#This Row],[Player]],WR!B:O,4,FALSE)</f>
        <v>0</v>
      </c>
      <c r="AI39" s="100">
        <f>VLOOKUP(TableWRRanks3242[[#This Row],[Player]],WR!B:O,5,FALSE)</f>
        <v>0</v>
      </c>
      <c r="AJ39" s="100">
        <f>VLOOKUP(TableWRRanks3242[[#This Row],[Player]],WR!B:O,6,FALSE)</f>
        <v>120.985704</v>
      </c>
      <c r="AK39" s="100">
        <f>VLOOKUP(TableWRRanks3242[[#This Row],[Player]],WR!B:O,7,FALSE)</f>
        <v>66.387960727646018</v>
      </c>
      <c r="AL39" s="100">
        <f>VLOOKUP(TableWRRanks3242[[#This Row],[Player]],WR!B:O,8,FALSE)</f>
        <v>934.74248704525598</v>
      </c>
      <c r="AM39" s="100">
        <f>VLOOKUP(TableWRRanks3242[[#This Row],[Player]],WR!B:O,9,FALSE)</f>
        <v>6.0413044262157873</v>
      </c>
      <c r="AN39" s="95">
        <f>VLOOKUP(TableWRRanks3242[[#This Row],[Player]],WR!B:O,13,FALSE)</f>
        <v>162.91605562564334</v>
      </c>
      <c r="AO39" s="140">
        <f>IF(VLOOKUP(TableWRRanks3242[[#This Row],[Player]],'Ranks w Proj'!$AE:$AO,11,FALSE)&lt;0,0,VLOOKUP(TableWRRanks3242[[#This Row],[Player]],'Ranks w Proj'!$AE:$AO,11,FALSE))</f>
        <v>13.645944181506632</v>
      </c>
      <c r="AQ39" s="58">
        <v>38</v>
      </c>
      <c r="AR39" s="58" t="str">
        <f>VLOOKUP(TableTERanks3343[[#This Row],[RK]],Rankings!A:T,18,FALSE)</f>
        <v>Colby Parkinson</v>
      </c>
      <c r="AS39" s="58" t="str">
        <f>IFERROR(INDEX(TableTECalcPts[TM],MATCH(TableTERanks3343[[#This Row],[Player]],TableTECalcPts[PLAYER],0)),"")</f>
        <v>LAR</v>
      </c>
      <c r="AT39" s="58">
        <f>IFERROR(INDEX(TableTECalcPts[BYE],MATCH(TableTERanks3343[[#This Row],[Player]],TableTECalcPts[PLAYER],0)),"")</f>
        <v>11</v>
      </c>
      <c r="AU39" s="100">
        <f>VLOOKUP(TableTERanks3343[[#This Row],[Player]],TE!B:O,4,FALSE)</f>
        <v>40.147531182253346</v>
      </c>
      <c r="AV39" s="100">
        <f>VLOOKUP(TableTERanks3343[[#This Row],[Player]],TE!B:O,5,FALSE)</f>
        <v>29.267550231862689</v>
      </c>
      <c r="AW39" s="100">
        <f>VLOOKUP(TableTERanks3343[[#This Row],[Player]],TE!B:O,6,FALSE)</f>
        <v>277.20682944280912</v>
      </c>
      <c r="AX39" s="100">
        <f>VLOOKUP(TableTERanks3343[[#This Row],[Player]],TE!B:O,7,FALSE)</f>
        <v>3.1236112677785943</v>
      </c>
      <c r="AY39" s="95">
        <f>VLOOKUP(TableTERanks3343[[#This Row],[Player]],TE!B:O,11,FALSE)</f>
        <v>61.096125666883822</v>
      </c>
      <c r="AZ39" s="140">
        <f>IF(VLOOKUP(TableTERanks3343[[#This Row],[Player]],'Ranks w Proj'!$AR:$AZ,9,FALSE)&lt;0,0,VLOOKUP(TableTERanks3343[[#This Row],[Player]],'Ranks w Proj'!$AR:$AZ,9,FALSE))</f>
        <v>0</v>
      </c>
    </row>
    <row r="40" spans="1:52" x14ac:dyDescent="0.25">
      <c r="A40" s="58">
        <v>39</v>
      </c>
      <c r="B40" s="58" t="str">
        <f>VLOOKUP(TableQBRanks3040[[#This Row],[RK]],Rankings!A:T,3,FALSE)</f>
        <v>Tyler Huntley</v>
      </c>
      <c r="C40" s="58" t="str">
        <f>IFERROR(INDEX(TableQBCalcPts[TM],MATCH(TableQBRanks3040[[#This Row],[Player]],TableQBCalcPts[PLAYER],0)),"")</f>
        <v>BAL</v>
      </c>
      <c r="D40" s="58">
        <f>IFERROR(INDEX(TableQBCalcPts[BYE],MATCH(TableQBRanks3040[[#This Row],[Player]],TableQBCalcPts[PLAYER],0)),"")</f>
        <v>13</v>
      </c>
      <c r="E40" s="100">
        <f>VLOOKUP(TableQBRanks3040[[#This Row],[Player]],QB!B:O,4,FALSE)</f>
        <v>23.977599999999999</v>
      </c>
      <c r="F40" s="100">
        <f>VLOOKUP(TableQBRanks3040[[#This Row],[Player]],QB!B:O,5,FALSE)</f>
        <v>17.184053790823391</v>
      </c>
      <c r="G40" s="100">
        <f>VLOOKUP(TableQBRanks3040[[#This Row],[Player]],QB!B:O,6,FALSE)</f>
        <v>177.33943512129741</v>
      </c>
      <c r="H40" s="100">
        <f>VLOOKUP(TableQBRanks3040[[#This Row],[Player]],QB!B:O,7,FALSE)</f>
        <v>1.0091095563597374</v>
      </c>
      <c r="I40" s="100">
        <f>VLOOKUP(TableQBRanks3040[[#This Row],[Player]],QB!B:O,8,FALSE)</f>
        <v>0.34172605995621669</v>
      </c>
      <c r="J40" s="100">
        <f>VLOOKUP(TableQBRanks3040[[#This Row],[Player]],QB!B:O,9,FALSE)</f>
        <v>4.5397286451340211</v>
      </c>
      <c r="K40" s="100">
        <f>VLOOKUP(TableQBRanks3040[[#This Row],[Player]],QB!B:O,10,FALSE)</f>
        <v>24.394805576599303</v>
      </c>
      <c r="L40" s="100">
        <f>VLOOKUP(TableQBRanks3040[[#This Row],[Player]],QB!B:O,11,FALSE)</f>
        <v>0.14966138390551717</v>
      </c>
      <c r="M40" s="95">
        <f>VLOOKUP(TableQBRanks3040[[#This Row],[Player]],QB!B:O,13,FALSE)</f>
        <v>17.862362923229476</v>
      </c>
      <c r="N40" s="140">
        <f>IF(VLOOKUP(TableQBRanks3040[[#This Row],[Player]],'Ranks w Proj'!$B:$N,13,FALSE)&lt;0,0,VLOOKUP(TableQBRanks3040[[#This Row],[Player]],'Ranks w Proj'!$B:$N,13,FALSE))</f>
        <v>0</v>
      </c>
      <c r="P40" s="58">
        <v>39</v>
      </c>
      <c r="Q40" s="58" t="str">
        <f>VLOOKUP(TableRBRanks3141[[#This Row],[RK]],Rankings!A:T,8,FALSE)</f>
        <v>Alvin Kamara</v>
      </c>
      <c r="R40" s="58" t="str">
        <f>IFERROR(INDEX(TableRBCalcPts[TM],MATCH(TableRBRanks3141[[#This Row],[Player]],TableRBCalcPts[PLAYER],0)),"")</f>
        <v>NO</v>
      </c>
      <c r="S40" s="58">
        <f>IFERROR(INDEX(TableRBCalcPts[BYE],MATCH(TableRBRanks3141[[#This Row],[Player]],TableRBCalcPts[PLAYER],0)),"")</f>
        <v>8</v>
      </c>
      <c r="T40" s="100">
        <f>VLOOKUP(TableRBRanks3141[[#This Row],[Player]],RB!B:O,4,FALSE)</f>
        <v>121.95176447999999</v>
      </c>
      <c r="U40" s="100">
        <f>VLOOKUP(TableRBRanks3141[[#This Row],[Player]],RB!B:O,5,FALSE)</f>
        <v>476.83139911680001</v>
      </c>
      <c r="V40" s="100">
        <f>VLOOKUP(TableRBRanks3141[[#This Row],[Player]],RB!B:O,6,FALSE)</f>
        <v>2.4500325132714935</v>
      </c>
      <c r="W40" s="100">
        <f>VLOOKUP(TableRBRanks3141[[#This Row],[Player]],RB!B:O,7,FALSE)</f>
        <v>39.60692736</v>
      </c>
      <c r="X40" s="100">
        <f>VLOOKUP(TableRBRanks3141[[#This Row],[Player]],RB!B:O,8,FALSE)</f>
        <v>29.625981665280001</v>
      </c>
      <c r="Y40" s="100">
        <f>VLOOKUP(TableRBRanks3141[[#This Row],[Player]],RB!B:O,9,FALSE)</f>
        <v>209.45569037352962</v>
      </c>
      <c r="Z40" s="100">
        <f>VLOOKUP(TableRBRanks3141[[#This Row],[Player]],RB!B:O,10,FALSE)</f>
        <v>0.97765739495424009</v>
      </c>
      <c r="AA40" s="95">
        <f>VLOOKUP(TableRBRanks3141[[#This Row],[Player]],RB!B:O,14,FALSE)</f>
        <v>104.00783923102738</v>
      </c>
      <c r="AB40" s="140">
        <f>IF(VLOOKUP(TableRBRanks3141[[#This Row],[Player]],'Ranks w Proj'!$Q:$AB,12,FALSE)&lt;0,0,VLOOKUP(TableRBRanks3141[[#This Row],[Player]],'Ranks w Proj'!$Q:$AB,12,FALSE))</f>
        <v>0</v>
      </c>
      <c r="AD40" s="58">
        <v>39</v>
      </c>
      <c r="AE40" s="58" t="str">
        <f>VLOOKUP(TableWRRanks3242[[#This Row],[RK]],Rankings!A:T,13,FALSE)</f>
        <v>Jordan Addison</v>
      </c>
      <c r="AF40" s="58" t="str">
        <f>IFERROR(INDEX(TableWRCalcPts[TM],MATCH(TableWRRanks3242[[#This Row],[Player]],TableWRCalcPts[PLAYER],0)),"")</f>
        <v>MIN</v>
      </c>
      <c r="AG40" s="58">
        <f>IFERROR(INDEX(TableWRCalcPts[BYE],MATCH(TableWRRanks3242[[#This Row],[Player]],TableWRCalcPts[PLAYER],0)),"")</f>
        <v>6</v>
      </c>
      <c r="AH40" s="100">
        <f>VLOOKUP(TableWRRanks3242[[#This Row],[Player]],WR!B:O,4,FALSE)</f>
        <v>35.867021374824645</v>
      </c>
      <c r="AI40" s="100">
        <f>VLOOKUP(TableWRRanks3242[[#This Row],[Player]],WR!B:O,5,FALSE)</f>
        <v>0.133259616</v>
      </c>
      <c r="AJ40" s="100">
        <f>VLOOKUP(TableWRRanks3242[[#This Row],[Player]],WR!B:O,6,FALSE)</f>
        <v>113.40315391999999</v>
      </c>
      <c r="AK40" s="100">
        <f>VLOOKUP(TableWRRanks3242[[#This Row],[Player]],WR!B:O,7,FALSE)</f>
        <v>71.557390123519994</v>
      </c>
      <c r="AL40" s="100">
        <f>VLOOKUP(TableWRRanks3242[[#This Row],[Player]],WR!B:O,8,FALSE)</f>
        <v>935.9706628156415</v>
      </c>
      <c r="AM40" s="100">
        <f>VLOOKUP(TableWRRanks3242[[#This Row],[Player]],WR!B:O,9,FALSE)</f>
        <v>5.7961486000051199</v>
      </c>
      <c r="AN40" s="95">
        <f>VLOOKUP(TableWRRanks3242[[#This Row],[Player]],WR!B:O,13,FALSE)</f>
        <v>168.53891277683735</v>
      </c>
      <c r="AO40" s="140">
        <f>IF(VLOOKUP(TableWRRanks3242[[#This Row],[Player]],'Ranks w Proj'!$AE:$AO,11,FALSE)&lt;0,0,VLOOKUP(TableWRRanks3242[[#This Row],[Player]],'Ranks w Proj'!$AE:$AO,11,FALSE))</f>
        <v>14.702356395280407</v>
      </c>
      <c r="AQ40" s="58">
        <v>39</v>
      </c>
      <c r="AR40" s="58" t="str">
        <f>VLOOKUP(TableTERanks3343[[#This Row],[RK]],Rankings!A:T,18,FALSE)</f>
        <v>Eli Raridon</v>
      </c>
      <c r="AS40" s="58" t="str">
        <f>IFERROR(INDEX(TableTECalcPts[TM],MATCH(TableTERanks3343[[#This Row],[Player]],TableTECalcPts[PLAYER],0)),"")</f>
        <v>NE</v>
      </c>
      <c r="AT40" s="58">
        <f>IFERROR(INDEX(TableTECalcPts[BYE],MATCH(TableTERanks3343[[#This Row],[Player]],TableTECalcPts[PLAYER],0)),"")</f>
        <v>11</v>
      </c>
      <c r="AU40" s="100">
        <f>VLOOKUP(TableTERanks3343[[#This Row],[Player]],TE!B:O,4,FALSE)</f>
        <v>37.085826399999988</v>
      </c>
      <c r="AV40" s="100">
        <f>VLOOKUP(TableTERanks3343[[#This Row],[Player]],TE!B:O,5,FALSE)</f>
        <v>26.850138313599992</v>
      </c>
      <c r="AW40" s="100">
        <f>VLOOKUP(TableTERanks3343[[#This Row],[Player]],TE!B:O,6,FALSE)</f>
        <v>268.12218195686313</v>
      </c>
      <c r="AX40" s="100">
        <f>VLOOKUP(TableTERanks3343[[#This Row],[Player]],TE!B:O,7,FALSE)</f>
        <v>1.6915587137567996</v>
      </c>
      <c r="AY40" s="95">
        <f>VLOOKUP(TableTERanks3343[[#This Row],[Player]],TE!B:O,11,FALSE)</f>
        <v>50.386639635027102</v>
      </c>
      <c r="AZ40" s="140">
        <f>IF(VLOOKUP(TableTERanks3343[[#This Row],[Player]],'Ranks w Proj'!$AR:$AZ,9,FALSE)&lt;0,0,VLOOKUP(TableTERanks3343[[#This Row],[Player]],'Ranks w Proj'!$AR:$AZ,9,FALSE))</f>
        <v>0</v>
      </c>
    </row>
    <row r="41" spans="1:52" x14ac:dyDescent="0.25">
      <c r="A41" s="58">
        <v>40</v>
      </c>
      <c r="B41" s="58" t="str">
        <f>VLOOKUP(TableQBRanks3040[[#This Row],[RK]],Rankings!A:T,3,FALSE)</f>
        <v>J.J. McCarthy</v>
      </c>
      <c r="C41" s="58" t="str">
        <f>IFERROR(INDEX(TableQBCalcPts[TM],MATCH(TableQBRanks3040[[#This Row],[Player]],TableQBCalcPts[PLAYER],0)),"")</f>
        <v>MIN</v>
      </c>
      <c r="D41" s="58">
        <f>IFERROR(INDEX(TableQBCalcPts[BYE],MATCH(TableQBRanks3040[[#This Row],[Player]],TableQBCalcPts[PLAYER],0)),"")</f>
        <v>6</v>
      </c>
      <c r="E41" s="100">
        <f>VLOOKUP(TableQBRanks3040[[#This Row],[Player]],QB!B:O,4,FALSE)</f>
        <v>27.036799999999999</v>
      </c>
      <c r="F41" s="100">
        <f>VLOOKUP(TableQBRanks3040[[#This Row],[Player]],QB!B:O,5,FALSE)</f>
        <v>16.463851816721146</v>
      </c>
      <c r="G41" s="100">
        <f>VLOOKUP(TableQBRanks3040[[#This Row],[Player]],QB!B:O,6,FALSE)</f>
        <v>195.28242185162608</v>
      </c>
      <c r="H41" s="100">
        <f>VLOOKUP(TableQBRanks3040[[#This Row],[Player]],QB!B:O,7,FALSE)</f>
        <v>1.1923814504958721</v>
      </c>
      <c r="I41" s="100">
        <f>VLOOKUP(TableQBRanks3040[[#This Row],[Player]],QB!B:O,8,FALSE)</f>
        <v>0.71153415701700917</v>
      </c>
      <c r="J41" s="100">
        <f>VLOOKUP(TableQBRanks3040[[#This Row],[Player]],QB!B:O,9,FALSE)</f>
        <v>2.2209935999999999</v>
      </c>
      <c r="K41" s="100">
        <f>VLOOKUP(TableQBRanks3040[[#This Row],[Player]],QB!B:O,10,FALSE)</f>
        <v>10.391375895047979</v>
      </c>
      <c r="L41" s="100">
        <f>VLOOKUP(TableQBRanks3040[[#This Row],[Player]],QB!B:O,11,FALSE)</f>
        <v>0.11993365439999999</v>
      </c>
      <c r="M41" s="95">
        <f>VLOOKUP(TableQBRanks3040[[#This Row],[Player]],QB!B:O,13,FALSE)</f>
        <v>17.659176117600179</v>
      </c>
      <c r="N41" s="140">
        <f>IF(VLOOKUP(TableQBRanks3040[[#This Row],[Player]],'Ranks w Proj'!$B:$N,13,FALSE)&lt;0,0,VLOOKUP(TableQBRanks3040[[#This Row],[Player]],'Ranks w Proj'!$B:$N,13,FALSE))</f>
        <v>0</v>
      </c>
      <c r="P41" s="58">
        <v>40</v>
      </c>
      <c r="Q41" s="58" t="str">
        <f>VLOOKUP(TableRBRanks3141[[#This Row],[RK]],Rankings!A:T,8,FALSE)</f>
        <v>Jonathon Brooks</v>
      </c>
      <c r="R41" s="58" t="str">
        <f>IFERROR(INDEX(TableRBCalcPts[TM],MATCH(TableRBRanks3141[[#This Row],[Player]],TableRBCalcPts[PLAYER],0)),"")</f>
        <v>CAR</v>
      </c>
      <c r="S41" s="58">
        <f>IFERROR(INDEX(TableRBCalcPts[BYE],MATCH(TableRBRanks3141[[#This Row],[Player]],TableRBCalcPts[PLAYER],0)),"")</f>
        <v>5</v>
      </c>
      <c r="T41" s="100">
        <f>VLOOKUP(TableRBRanks3141[[#This Row],[Player]],RB!B:O,4,FALSE)</f>
        <v>147.22299899999999</v>
      </c>
      <c r="U41" s="100">
        <f>VLOOKUP(TableRBRanks3141[[#This Row],[Player]],RB!B:O,5,FALSE)</f>
        <v>634.53112568999984</v>
      </c>
      <c r="V41" s="100">
        <f>VLOOKUP(TableRBRanks3141[[#This Row],[Player]],RB!B:O,6,FALSE)</f>
        <v>3.6805749749999999</v>
      </c>
      <c r="W41" s="100">
        <f>VLOOKUP(TableRBRanks3141[[#This Row],[Player]],RB!B:O,7,FALSE)</f>
        <v>40.384574999999991</v>
      </c>
      <c r="X41" s="100">
        <f>VLOOKUP(TableRBRanks3141[[#This Row],[Player]],RB!B:O,8,FALSE)</f>
        <v>28.551894524999991</v>
      </c>
      <c r="Y41" s="100">
        <f>VLOOKUP(TableRBRanks3141[[#This Row],[Player]],RB!B:O,9,FALSE)</f>
        <v>210.26686729007403</v>
      </c>
      <c r="Z41" s="100">
        <f>VLOOKUP(TableRBRanks3141[[#This Row],[Player]],RB!B:O,10,FALSE)</f>
        <v>0.91366062479999977</v>
      </c>
      <c r="AA41" s="95">
        <f>VLOOKUP(TableRBRanks3141[[#This Row],[Player]],RB!B:O,14,FALSE)</f>
        <v>126.32116015930738</v>
      </c>
      <c r="AB41" s="140">
        <f>IF(VLOOKUP(TableRBRanks3141[[#This Row],[Player]],'Ranks w Proj'!$Q:$AB,12,FALSE)&lt;0,0,VLOOKUP(TableRBRanks3141[[#This Row],[Player]],'Ranks w Proj'!$Q:$AB,12,FALSE))</f>
        <v>3.3537490460320143</v>
      </c>
      <c r="AD41" s="58">
        <v>40</v>
      </c>
      <c r="AE41" s="58" t="str">
        <f>VLOOKUP(TableWRRanks3242[[#This Row],[RK]],Rankings!A:T,13,FALSE)</f>
        <v>Michael Pittman</v>
      </c>
      <c r="AF41" s="58" t="str">
        <f>IFERROR(INDEX(TableWRCalcPts[TM],MATCH(TableWRRanks3242[[#This Row],[Player]],TableWRCalcPts[PLAYER],0)),"")</f>
        <v>PIT</v>
      </c>
      <c r="AG41" s="58">
        <f>IFERROR(INDEX(TableWRCalcPts[BYE],MATCH(TableWRRanks3242[[#This Row],[Player]],TableWRCalcPts[PLAYER],0)),"")</f>
        <v>9</v>
      </c>
      <c r="AH41" s="100">
        <f>VLOOKUP(TableWRRanks3242[[#This Row],[Player]],WR!B:O,4,FALSE)</f>
        <v>0</v>
      </c>
      <c r="AI41" s="100">
        <f>VLOOKUP(TableWRRanks3242[[#This Row],[Player]],WR!B:O,5,FALSE)</f>
        <v>0</v>
      </c>
      <c r="AJ41" s="100">
        <f>VLOOKUP(TableWRRanks3242[[#This Row],[Player]],WR!B:O,6,FALSE)</f>
        <v>133.48187999999999</v>
      </c>
      <c r="AK41" s="100">
        <f>VLOOKUP(TableWRRanks3242[[#This Row],[Player]],WR!B:O,7,FALSE)</f>
        <v>85.14690356462151</v>
      </c>
      <c r="AL41" s="100">
        <f>VLOOKUP(TableWRRanks3242[[#This Row],[Player]],WR!B:O,8,FALSE)</f>
        <v>860.83519503832338</v>
      </c>
      <c r="AM41" s="100">
        <f>VLOOKUP(TableWRRanks3242[[#This Row],[Player]],WR!B:O,9,FALSE)</f>
        <v>5.4494018281357768</v>
      </c>
      <c r="AN41" s="95">
        <f>VLOOKUP(TableWRRanks3242[[#This Row],[Player]],WR!B:O,13,FALSE)</f>
        <v>161.35338225495778</v>
      </c>
      <c r="AO41" s="140">
        <f>IF(VLOOKUP(TableWRRanks3242[[#This Row],[Player]],'Ranks w Proj'!$AE:$AO,11,FALSE)&lt;0,0,VLOOKUP(TableWRRanks3242[[#This Row],[Player]],'Ranks w Proj'!$AE:$AO,11,FALSE))</f>
        <v>13.352351939957208</v>
      </c>
      <c r="AQ41" s="58">
        <v>40</v>
      </c>
      <c r="AR41" s="58" t="str">
        <f>VLOOKUP(TableTERanks3343[[#This Row],[RK]],Rankings!A:T,18,FALSE)</f>
        <v>Max Klare</v>
      </c>
      <c r="AS41" s="58" t="str">
        <f>IFERROR(INDEX(TableTECalcPts[TM],MATCH(TableTERanks3343[[#This Row],[Player]],TableTECalcPts[PLAYER],0)),"")</f>
        <v>LAR</v>
      </c>
      <c r="AT41" s="58">
        <f>IFERROR(INDEX(TableTECalcPts[BYE],MATCH(TableTERanks3343[[#This Row],[Player]],TableTECalcPts[PLAYER],0)),"")</f>
        <v>11</v>
      </c>
      <c r="AU41" s="100">
        <f>VLOOKUP(TableTERanks3343[[#This Row],[Player]],TE!B:O,4,FALSE)</f>
        <v>26.576534726280389</v>
      </c>
      <c r="AV41" s="100">
        <f>VLOOKUP(TableTERanks3343[[#This Row],[Player]],TE!B:O,5,FALSE)</f>
        <v>18.576997773669991</v>
      </c>
      <c r="AW41" s="100">
        <f>VLOOKUP(TableTERanks3343[[#This Row],[Player]],TE!B:O,6,FALSE)</f>
        <v>194.5696082610699</v>
      </c>
      <c r="AX41" s="100">
        <f>VLOOKUP(TableTERanks3343[[#This Row],[Player]],TE!B:O,7,FALSE)</f>
        <v>1.1732840699159994</v>
      </c>
      <c r="AY41" s="95">
        <f>VLOOKUP(TableTERanks3343[[#This Row],[Player]],TE!B:O,11,FALSE)</f>
        <v>35.785164132437984</v>
      </c>
      <c r="AZ41" s="140">
        <f>IF(VLOOKUP(TableTERanks3343[[#This Row],[Player]],'Ranks w Proj'!$AR:$AZ,9,FALSE)&lt;0,0,VLOOKUP(TableTERanks3343[[#This Row],[Player]],'Ranks w Proj'!$AR:$AZ,9,FALSE))</f>
        <v>0</v>
      </c>
    </row>
    <row r="42" spans="1:52" x14ac:dyDescent="0.25">
      <c r="A42" s="58">
        <v>41</v>
      </c>
      <c r="B42" s="58">
        <f>VLOOKUP(TableQBRanks3040[[#This Row],[RK]],Rankings!A:T,3,FALSE)</f>
        <v>0</v>
      </c>
      <c r="C42" s="58" t="str">
        <f>IFERROR(INDEX(TableQBCalcPts[TM],MATCH(TableQBRanks3040[[#This Row],[Player]],TableQBCalcPts[PLAYER],0)),"")</f>
        <v/>
      </c>
      <c r="D42" s="58" t="str">
        <f>IFERROR(INDEX(TableQBCalcPts[BYE],MATCH(TableQBRanks3040[[#This Row],[Player]],TableQBCalcPts[PLAYER],0)),"")</f>
        <v/>
      </c>
      <c r="E42" s="100">
        <f>VLOOKUP(TableQBRanks3040[[#This Row],[Player]],QB!B:O,4,FALSE)</f>
        <v>0</v>
      </c>
      <c r="F42" s="100">
        <f>VLOOKUP(TableQBRanks3040[[#This Row],[Player]],QB!B:O,5,FALSE)</f>
        <v>0</v>
      </c>
      <c r="G42" s="100">
        <f>VLOOKUP(TableQBRanks3040[[#This Row],[Player]],QB!B:O,6,FALSE)</f>
        <v>0</v>
      </c>
      <c r="H42" s="100">
        <f>VLOOKUP(TableQBRanks3040[[#This Row],[Player]],QB!B:O,7,FALSE)</f>
        <v>0</v>
      </c>
      <c r="I42" s="100">
        <f>VLOOKUP(TableQBRanks3040[[#This Row],[Player]],QB!B:O,8,FALSE)</f>
        <v>0</v>
      </c>
      <c r="J42" s="100">
        <f>VLOOKUP(TableQBRanks3040[[#This Row],[Player]],QB!B:O,9,FALSE)</f>
        <v>0</v>
      </c>
      <c r="K42" s="100">
        <f>VLOOKUP(TableQBRanks3040[[#This Row],[Player]],QB!B:O,10,FALSE)</f>
        <v>0</v>
      </c>
      <c r="L42" s="100">
        <f>VLOOKUP(TableQBRanks3040[[#This Row],[Player]],QB!B:O,11,FALSE)</f>
        <v>0</v>
      </c>
      <c r="M42" s="95">
        <f>VLOOKUP(TableQBRanks3040[[#This Row],[Player]],QB!B:O,13,FALSE)</f>
        <v>0</v>
      </c>
      <c r="N42" s="140" t="e">
        <f>IF(VLOOKUP(TableQBRanks3040[[#This Row],[Player]],'Ranks w Proj'!$B:$N,13,FALSE)&lt;0,0,VLOOKUP(TableQBRanks3040[[#This Row],[Player]],'Ranks w Proj'!$B:$N,13,FALSE))</f>
        <v>#N/A</v>
      </c>
      <c r="P42" s="58">
        <v>41</v>
      </c>
      <c r="Q42" s="58" t="str">
        <f>VLOOKUP(TableRBRanks3141[[#This Row],[RK]],Rankings!A:T,8,FALSE)</f>
        <v>Tyrone Tracy</v>
      </c>
      <c r="R42" s="58" t="str">
        <f>IFERROR(INDEX(TableRBCalcPts[TM],MATCH(TableRBRanks3141[[#This Row],[Player]],TableRBCalcPts[PLAYER],0)),"")</f>
        <v>NYG</v>
      </c>
      <c r="S42" s="58">
        <f>IFERROR(INDEX(TableRBCalcPts[BYE],MATCH(TableRBRanks3141[[#This Row],[Player]],TableRBCalcPts[PLAYER],0)),"")</f>
        <v>8</v>
      </c>
      <c r="T42" s="100">
        <f>VLOOKUP(TableRBRanks3141[[#This Row],[Player]],RB!B:O,4,FALSE)</f>
        <v>109.42874431999999</v>
      </c>
      <c r="U42" s="100">
        <f>VLOOKUP(TableRBRanks3141[[#This Row],[Player]],RB!B:O,5,FALSE)</f>
        <v>448.65785171199991</v>
      </c>
      <c r="V42" s="100">
        <f>VLOOKUP(TableRBRanks3141[[#This Row],[Player]],RB!B:O,6,FALSE)</f>
        <v>3.1734335852799997</v>
      </c>
      <c r="W42" s="100">
        <f>VLOOKUP(TableRBRanks3141[[#This Row],[Player]],RB!B:O,7,FALSE)</f>
        <v>22.2488469</v>
      </c>
      <c r="X42" s="100">
        <f>VLOOKUP(TableRBRanks3141[[#This Row],[Player]],RB!B:O,8,FALSE)</f>
        <v>17.72104533232174</v>
      </c>
      <c r="Y42" s="100">
        <f>VLOOKUP(TableRBRanks3141[[#This Row],[Player]],RB!B:O,9,FALSE)</f>
        <v>127.94594729936296</v>
      </c>
      <c r="Z42" s="100">
        <f>VLOOKUP(TableRBRanks3141[[#This Row],[Player]],RB!B:O,10,FALSE)</f>
        <v>0.8103094530391306</v>
      </c>
      <c r="AA42" s="95">
        <f>VLOOKUP(TableRBRanks3141[[#This Row],[Player]],RB!B:O,14,FALSE)</f>
        <v>90.423360797211956</v>
      </c>
      <c r="AB42" s="140">
        <f>IF(VLOOKUP(TableRBRanks3141[[#This Row],[Player]],'Ranks w Proj'!$Q:$AB,12,FALSE)&lt;0,0,VLOOKUP(TableRBRanks3141[[#This Row],[Player]],'Ranks w Proj'!$Q:$AB,12,FALSE))</f>
        <v>0</v>
      </c>
      <c r="AD42" s="58">
        <v>41</v>
      </c>
      <c r="AE42" s="58" t="str">
        <f>VLOOKUP(TableWRRanks3242[[#This Row],[RK]],Rankings!A:T,13,FALSE)</f>
        <v>Michael Wilson</v>
      </c>
      <c r="AF42" s="58" t="str">
        <f>IFERROR(INDEX(TableWRCalcPts[TM],MATCH(TableWRRanks3242[[#This Row],[Player]],TableWRCalcPts[PLAYER],0)),"")</f>
        <v>ARI</v>
      </c>
      <c r="AG42" s="58">
        <f>IFERROR(INDEX(TableWRCalcPts[BYE],MATCH(TableWRRanks3242[[#This Row],[Player]],TableWRCalcPts[PLAYER],0)),"")</f>
        <v>14</v>
      </c>
      <c r="AH42" s="100">
        <f>VLOOKUP(TableWRRanks3242[[#This Row],[Player]],WR!B:O,4,FALSE)</f>
        <v>0</v>
      </c>
      <c r="AI42" s="100">
        <f>VLOOKUP(TableWRRanks3242[[#This Row],[Player]],WR!B:O,5,FALSE)</f>
        <v>0</v>
      </c>
      <c r="AJ42" s="100">
        <f>VLOOKUP(TableWRRanks3242[[#This Row],[Player]],WR!B:O,6,FALSE)</f>
        <v>112.29874880000001</v>
      </c>
      <c r="AK42" s="100">
        <f>VLOOKUP(TableWRRanks3242[[#This Row],[Player]],WR!B:O,7,FALSE)</f>
        <v>66.274717090252423</v>
      </c>
      <c r="AL42" s="100">
        <f>VLOOKUP(TableWRRanks3242[[#This Row],[Player]],WR!B:O,8,FALSE)</f>
        <v>804.57506547566447</v>
      </c>
      <c r="AM42" s="100">
        <f>VLOOKUP(TableWRRanks3242[[#This Row],[Player]],WR!B:O,9,FALSE)</f>
        <v>4.9706037817689319</v>
      </c>
      <c r="AN42" s="95">
        <f>VLOOKUP(TableWRRanks3242[[#This Row],[Player]],WR!B:O,13,FALSE)</f>
        <v>143.41848778330626</v>
      </c>
      <c r="AO42" s="140">
        <f>IF(VLOOKUP(TableWRRanks3242[[#This Row],[Player]],'Ranks w Proj'!$AE:$AO,11,FALSE)&lt;0,0,VLOOKUP(TableWRRanks3242[[#This Row],[Player]],'Ranks w Proj'!$AE:$AO,11,FALSE))</f>
        <v>9.982776462021917</v>
      </c>
      <c r="AQ42" s="58">
        <v>41</v>
      </c>
      <c r="AR42" s="58" t="str">
        <f>VLOOKUP(TableTERanks3343[[#This Row],[RK]],Rankings!A:T,18,FALSE)</f>
        <v>Ja'Tavion Sanders</v>
      </c>
      <c r="AS42" s="58" t="str">
        <f>IFERROR(INDEX(TableTECalcPts[TM],MATCH(TableTERanks3343[[#This Row],[Player]],TableTECalcPts[PLAYER],0)),"")</f>
        <v>CAR</v>
      </c>
      <c r="AT42" s="58">
        <f>IFERROR(INDEX(TableTECalcPts[BYE],MATCH(TableTERanks3343[[#This Row],[Player]],TableTECalcPts[PLAYER],0)),"")</f>
        <v>5</v>
      </c>
      <c r="AU42" s="100">
        <f>VLOOKUP(TableTERanks3343[[#This Row],[Player]],TE!B:O,4,FALSE)</f>
        <v>43.076879999999996</v>
      </c>
      <c r="AV42" s="100">
        <f>VLOOKUP(TableTERanks3343[[#This Row],[Player]],TE!B:O,5,FALSE)</f>
        <v>31.532276159999995</v>
      </c>
      <c r="AW42" s="100">
        <f>VLOOKUP(TableTERanks3343[[#This Row],[Player]],TE!B:O,6,FALSE)</f>
        <v>250.18732053957442</v>
      </c>
      <c r="AX42" s="100">
        <f>VLOOKUP(TableTERanks3343[[#This Row],[Player]],TE!B:O,7,FALSE)</f>
        <v>1.8919365695999997</v>
      </c>
      <c r="AY42" s="95">
        <f>VLOOKUP(TableTERanks3343[[#This Row],[Player]],TE!B:O,11,FALSE)</f>
        <v>52.136489551557439</v>
      </c>
      <c r="AZ42" s="140">
        <f>IF(VLOOKUP(TableTERanks3343[[#This Row],[Player]],'Ranks w Proj'!$AR:$AZ,9,FALSE)&lt;0,0,VLOOKUP(TableTERanks3343[[#This Row],[Player]],'Ranks w Proj'!$AR:$AZ,9,FALSE))</f>
        <v>0</v>
      </c>
    </row>
    <row r="43" spans="1:52" x14ac:dyDescent="0.25">
      <c r="A43" s="58">
        <v>42</v>
      </c>
      <c r="B43" s="58">
        <f>VLOOKUP(TableQBRanks3040[[#This Row],[RK]],Rankings!A:T,3,FALSE)</f>
        <v>0</v>
      </c>
      <c r="C43" s="58" t="str">
        <f>IFERROR(INDEX(TableQBCalcPts[TM],MATCH(TableQBRanks3040[[#This Row],[Player]],TableQBCalcPts[PLAYER],0)),"")</f>
        <v/>
      </c>
      <c r="D43" s="58" t="str">
        <f>IFERROR(INDEX(TableQBCalcPts[BYE],MATCH(TableQBRanks3040[[#This Row],[Player]],TableQBCalcPts[PLAYER],0)),"")</f>
        <v/>
      </c>
      <c r="E43" s="100">
        <f>VLOOKUP(TableQBRanks3040[[#This Row],[Player]],QB!B:O,4,FALSE)</f>
        <v>0</v>
      </c>
      <c r="F43" s="100">
        <f>VLOOKUP(TableQBRanks3040[[#This Row],[Player]],QB!B:O,5,FALSE)</f>
        <v>0</v>
      </c>
      <c r="G43" s="100">
        <f>VLOOKUP(TableQBRanks3040[[#This Row],[Player]],QB!B:O,6,FALSE)</f>
        <v>0</v>
      </c>
      <c r="H43" s="100">
        <f>VLOOKUP(TableQBRanks3040[[#This Row],[Player]],QB!B:O,7,FALSE)</f>
        <v>0</v>
      </c>
      <c r="I43" s="100">
        <f>VLOOKUP(TableQBRanks3040[[#This Row],[Player]],QB!B:O,8,FALSE)</f>
        <v>0</v>
      </c>
      <c r="J43" s="100">
        <f>VLOOKUP(TableQBRanks3040[[#This Row],[Player]],QB!B:O,9,FALSE)</f>
        <v>0</v>
      </c>
      <c r="K43" s="100">
        <f>VLOOKUP(TableQBRanks3040[[#This Row],[Player]],QB!B:O,10,FALSE)</f>
        <v>0</v>
      </c>
      <c r="L43" s="100">
        <f>VLOOKUP(TableQBRanks3040[[#This Row],[Player]],QB!B:O,11,FALSE)</f>
        <v>0</v>
      </c>
      <c r="M43" s="95">
        <f>VLOOKUP(TableQBRanks3040[[#This Row],[Player]],QB!B:O,13,FALSE)</f>
        <v>0</v>
      </c>
      <c r="N43" s="140" t="e">
        <f>IF(VLOOKUP(TableQBRanks3040[[#This Row],[Player]],'Ranks w Proj'!$B:$N,13,FALSE)&lt;0,0,VLOOKUP(TableQBRanks3040[[#This Row],[Player]],'Ranks w Proj'!$B:$N,13,FALSE))</f>
        <v>#N/A</v>
      </c>
      <c r="P43" s="58">
        <v>42</v>
      </c>
      <c r="Q43" s="58" t="str">
        <f>VLOOKUP(TableRBRanks3141[[#This Row],[RK]],Rankings!A:T,8,FALSE)</f>
        <v>Aaron Jones</v>
      </c>
      <c r="R43" s="58" t="str">
        <f>IFERROR(INDEX(TableRBCalcPts[TM],MATCH(TableRBRanks3141[[#This Row],[Player]],TableRBCalcPts[PLAYER],0)),"")</f>
        <v>MIN</v>
      </c>
      <c r="S43" s="58">
        <f>IFERROR(INDEX(TableRBCalcPts[BYE],MATCH(TableRBRanks3141[[#This Row],[Player]],TableRBCalcPts[PLAYER],0)),"")</f>
        <v>6</v>
      </c>
      <c r="T43" s="100">
        <f>VLOOKUP(TableRBRanks3141[[#This Row],[Player]],RB!B:O,4,FALSE)</f>
        <v>154.58115455999996</v>
      </c>
      <c r="U43" s="100">
        <f>VLOOKUP(TableRBRanks3141[[#This Row],[Player]],RB!B:O,5,FALSE)</f>
        <v>643.0218554919503</v>
      </c>
      <c r="V43" s="100">
        <f>VLOOKUP(TableRBRanks3141[[#This Row],[Player]],RB!B:O,6,FALSE)</f>
        <v>3.8645288639999991</v>
      </c>
      <c r="W43" s="100">
        <f>VLOOKUP(TableRBRanks3141[[#This Row],[Player]],RB!B:O,7,FALSE)</f>
        <v>39.744095999999999</v>
      </c>
      <c r="X43" s="100">
        <f>VLOOKUP(TableRBRanks3141[[#This Row],[Player]],RB!B:O,8,FALSE)</f>
        <v>30.129396994327276</v>
      </c>
      <c r="Y43" s="100">
        <f>VLOOKUP(TableRBRanks3141[[#This Row],[Player]],RB!B:O,9,FALSE)</f>
        <v>215.69120899199999</v>
      </c>
      <c r="Z43" s="100">
        <f>VLOOKUP(TableRBRanks3141[[#This Row],[Player]],RB!B:O,10,FALSE)</f>
        <v>1.1330680459636364</v>
      </c>
      <c r="AA43" s="95">
        <f>VLOOKUP(TableRBRanks3141[[#This Row],[Player]],RB!B:O,14,FALSE)</f>
        <v>130.92158640534046</v>
      </c>
      <c r="AB43" s="140">
        <f>IF(VLOOKUP(TableRBRanks3141[[#This Row],[Player]],'Ranks w Proj'!$Q:$AB,12,FALSE)&lt;0,0,VLOOKUP(TableRBRanks3141[[#This Row],[Player]],'Ranks w Proj'!$Q:$AB,12,FALSE))</f>
        <v>4.0452048442776132</v>
      </c>
      <c r="AD43" s="58">
        <v>42</v>
      </c>
      <c r="AE43" s="58" t="str">
        <f>VLOOKUP(TableWRRanks3242[[#This Row],[RK]],Rankings!A:T,13,FALSE)</f>
        <v>Chris Godwin</v>
      </c>
      <c r="AF43" s="58" t="str">
        <f>IFERROR(INDEX(TableWRCalcPts[TM],MATCH(TableWRRanks3242[[#This Row],[Player]],TableWRCalcPts[PLAYER],0)),"")</f>
        <v>TB</v>
      </c>
      <c r="AG43" s="58">
        <f>IFERROR(INDEX(TableWRCalcPts[BYE],MATCH(TableWRRanks3242[[#This Row],[Player]],TableWRCalcPts[PLAYER],0)),"")</f>
        <v>10</v>
      </c>
      <c r="AH43" s="100">
        <f>VLOOKUP(TableWRRanks3242[[#This Row],[Player]],WR!B:O,4,FALSE)</f>
        <v>0</v>
      </c>
      <c r="AI43" s="100">
        <f>VLOOKUP(TableWRRanks3242[[#This Row],[Player]],WR!B:O,5,FALSE)</f>
        <v>0</v>
      </c>
      <c r="AJ43" s="100">
        <f>VLOOKUP(TableWRRanks3242[[#This Row],[Player]],WR!B:O,6,FALSE)</f>
        <v>105.95120255999994</v>
      </c>
      <c r="AK43" s="100">
        <f>VLOOKUP(TableWRRanks3242[[#This Row],[Player]],WR!B:O,7,FALSE)</f>
        <v>69.503988879359966</v>
      </c>
      <c r="AL43" s="100">
        <f>VLOOKUP(TableWRRanks3242[[#This Row],[Player]],WR!B:O,8,FALSE)</f>
        <v>777.05459567124444</v>
      </c>
      <c r="AM43" s="100">
        <f>VLOOKUP(TableWRRanks3242[[#This Row],[Player]],WR!B:O,9,FALSE)</f>
        <v>5.3518071437107171</v>
      </c>
      <c r="AN43" s="95">
        <f>VLOOKUP(TableWRRanks3242[[#This Row],[Player]],WR!B:O,13,FALSE)</f>
        <v>144.56829686906872</v>
      </c>
      <c r="AO43" s="140">
        <f>IF(VLOOKUP(TableWRRanks3242[[#This Row],[Player]],'Ranks w Proj'!$AE:$AO,11,FALSE)&lt;0,0,VLOOKUP(TableWRRanks3242[[#This Row],[Player]],'Ranks w Proj'!$AE:$AO,11,FALSE))</f>
        <v>10.198800509769526</v>
      </c>
      <c r="AQ43" s="58">
        <v>42</v>
      </c>
      <c r="AR43" s="58" t="str">
        <f>VLOOKUP(TableTERanks3343[[#This Row],[RK]],Rankings!A:T,18,FALSE)</f>
        <v>Cole Kmet</v>
      </c>
      <c r="AS43" s="58" t="str">
        <f>IFERROR(INDEX(TableTECalcPts[TM],MATCH(TableTERanks3343[[#This Row],[Player]],TableTECalcPts[PLAYER],0)),"")</f>
        <v>CHI</v>
      </c>
      <c r="AT43" s="58">
        <f>IFERROR(INDEX(TableTECalcPts[BYE],MATCH(TableTERanks3343[[#This Row],[Player]],TableTECalcPts[PLAYER],0)),"")</f>
        <v>10</v>
      </c>
      <c r="AU43" s="100">
        <f>VLOOKUP(TableTERanks3343[[#This Row],[Player]],TE!B:O,4,FALSE)</f>
        <v>34.963977440000008</v>
      </c>
      <c r="AV43" s="100">
        <f>VLOOKUP(TableTERanks3343[[#This Row],[Player]],TE!B:O,5,FALSE)</f>
        <v>23.425864884800006</v>
      </c>
      <c r="AW43" s="100">
        <f>VLOOKUP(TableTERanks3343[[#This Row],[Player]],TE!B:O,6,FALSE)</f>
        <v>251.82804751160006</v>
      </c>
      <c r="AX43" s="100">
        <f>VLOOKUP(TableTERanks3343[[#This Row],[Player]],TE!B:O,7,FALSE)</f>
        <v>1.7803657312448005</v>
      </c>
      <c r="AY43" s="95">
        <f>VLOOKUP(TableTERanks3343[[#This Row],[Player]],TE!B:O,11,FALSE)</f>
        <v>47.577931581028814</v>
      </c>
      <c r="AZ43" s="140">
        <f>IF(VLOOKUP(TableTERanks3343[[#This Row],[Player]],'Ranks w Proj'!$AR:$AZ,9,FALSE)&lt;0,0,VLOOKUP(TableTERanks3343[[#This Row],[Player]],'Ranks w Proj'!$AR:$AZ,9,FALSE))</f>
        <v>0</v>
      </c>
    </row>
    <row r="44" spans="1:52" x14ac:dyDescent="0.25">
      <c r="A44" s="58">
        <v>43</v>
      </c>
      <c r="B44" s="58">
        <f>VLOOKUP(TableQBRanks3040[[#This Row],[RK]],Rankings!A:T,3,FALSE)</f>
        <v>0</v>
      </c>
      <c r="C44" s="58" t="str">
        <f>IFERROR(INDEX(TableQBCalcPts[TM],MATCH(TableQBRanks3040[[#This Row],[Player]],TableQBCalcPts[PLAYER],0)),"")</f>
        <v/>
      </c>
      <c r="D44" s="58" t="str">
        <f>IFERROR(INDEX(TableQBCalcPts[BYE],MATCH(TableQBRanks3040[[#This Row],[Player]],TableQBCalcPts[PLAYER],0)),"")</f>
        <v/>
      </c>
      <c r="E44" s="100">
        <f>VLOOKUP(TableQBRanks3040[[#This Row],[Player]],QB!B:O,4,FALSE)</f>
        <v>0</v>
      </c>
      <c r="F44" s="100">
        <f>VLOOKUP(TableQBRanks3040[[#This Row],[Player]],QB!B:O,5,FALSE)</f>
        <v>0</v>
      </c>
      <c r="G44" s="100">
        <f>VLOOKUP(TableQBRanks3040[[#This Row],[Player]],QB!B:O,6,FALSE)</f>
        <v>0</v>
      </c>
      <c r="H44" s="100">
        <f>VLOOKUP(TableQBRanks3040[[#This Row],[Player]],QB!B:O,7,FALSE)</f>
        <v>0</v>
      </c>
      <c r="I44" s="100">
        <f>VLOOKUP(TableQBRanks3040[[#This Row],[Player]],QB!B:O,8,FALSE)</f>
        <v>0</v>
      </c>
      <c r="J44" s="100">
        <f>VLOOKUP(TableQBRanks3040[[#This Row],[Player]],QB!B:O,9,FALSE)</f>
        <v>0</v>
      </c>
      <c r="K44" s="100">
        <f>VLOOKUP(TableQBRanks3040[[#This Row],[Player]],QB!B:O,10,FALSE)</f>
        <v>0</v>
      </c>
      <c r="L44" s="100">
        <f>VLOOKUP(TableQBRanks3040[[#This Row],[Player]],QB!B:O,11,FALSE)</f>
        <v>0</v>
      </c>
      <c r="M44" s="95">
        <f>VLOOKUP(TableQBRanks3040[[#This Row],[Player]],QB!B:O,13,FALSE)</f>
        <v>0</v>
      </c>
      <c r="N44" s="140" t="e">
        <f>IF(VLOOKUP(TableQBRanks3040[[#This Row],[Player]],'Ranks w Proj'!$B:$N,13,FALSE)&lt;0,0,VLOOKUP(TableQBRanks3040[[#This Row],[Player]],'Ranks w Proj'!$B:$N,13,FALSE))</f>
        <v>#N/A</v>
      </c>
      <c r="P44" s="58">
        <v>43</v>
      </c>
      <c r="Q44" s="58" t="str">
        <f>VLOOKUP(TableRBRanks3141[[#This Row],[RK]],Rankings!A:T,8,FALSE)</f>
        <v>Jacory Croskey-Merritt</v>
      </c>
      <c r="R44" s="58" t="str">
        <f>IFERROR(INDEX(TableRBCalcPts[TM],MATCH(TableRBRanks3141[[#This Row],[Player]],TableRBCalcPts[PLAYER],0)),"")</f>
        <v>WSH</v>
      </c>
      <c r="S44" s="58">
        <f>IFERROR(INDEX(TableRBCalcPts[BYE],MATCH(TableRBRanks3141[[#This Row],[Player]],TableRBCalcPts[PLAYER],0)),"")</f>
        <v>7</v>
      </c>
      <c r="T44" s="100">
        <f>VLOOKUP(TableRBRanks3141[[#This Row],[Player]],RB!B:O,4,FALSE)</f>
        <v>151.44474492000003</v>
      </c>
      <c r="U44" s="100">
        <f>VLOOKUP(TableRBRanks3141[[#This Row],[Player]],RB!B:O,5,FALSE)</f>
        <v>682.10886620784333</v>
      </c>
      <c r="V44" s="100">
        <f>VLOOKUP(TableRBRanks3141[[#This Row],[Player]],RB!B:O,6,FALSE)</f>
        <v>5.720327142783229</v>
      </c>
      <c r="W44" s="100">
        <f>VLOOKUP(TableRBRanks3141[[#This Row],[Player]],RB!B:O,7,FALSE)</f>
        <v>20.410716759999996</v>
      </c>
      <c r="X44" s="100">
        <f>VLOOKUP(TableRBRanks3141[[#This Row],[Player]],RB!B:O,8,FALSE)</f>
        <v>15.165162552679996</v>
      </c>
      <c r="Y44" s="100">
        <f>VLOOKUP(TableRBRanks3141[[#This Row],[Player]],RB!B:O,9,FALSE)</f>
        <v>108.88586712824237</v>
      </c>
      <c r="Z44" s="100">
        <f>VLOOKUP(TableRBRanks3141[[#This Row],[Player]],RB!B:O,10,FALSE)</f>
        <v>0.45306709700952691</v>
      </c>
      <c r="AA44" s="95">
        <f>VLOOKUP(TableRBRanks3141[[#This Row],[Player]],RB!B:O,14,FALSE)</f>
        <v>123.7224200487051</v>
      </c>
      <c r="AB44" s="140">
        <f>IF(VLOOKUP(TableRBRanks3141[[#This Row],[Player]],'Ranks w Proj'!$Q:$AB,12,FALSE)&lt;0,0,VLOOKUP(TableRBRanks3141[[#This Row],[Player]],'Ranks w Proj'!$Q:$AB,12,FALSE))</f>
        <v>2.9631517792768252</v>
      </c>
      <c r="AD44" s="58">
        <v>43</v>
      </c>
      <c r="AE44" s="58" t="str">
        <f>VLOOKUP(TableWRRanks3242[[#This Row],[RK]],Rankings!A:T,13,FALSE)</f>
        <v>Quentin Johnston</v>
      </c>
      <c r="AF44" s="58" t="str">
        <f>IFERROR(INDEX(TableWRCalcPts[TM],MATCH(TableWRRanks3242[[#This Row],[Player]],TableWRCalcPts[PLAYER],0)),"")</f>
        <v>LAC</v>
      </c>
      <c r="AG44" s="58">
        <f>IFERROR(INDEX(TableWRCalcPts[BYE],MATCH(TableWRRanks3242[[#This Row],[Player]],TableWRCalcPts[PLAYER],0)),"")</f>
        <v>7</v>
      </c>
      <c r="AH44" s="100">
        <f>VLOOKUP(TableWRRanks3242[[#This Row],[Player]],WR!B:O,4,FALSE)</f>
        <v>0</v>
      </c>
      <c r="AI44" s="100">
        <f>VLOOKUP(TableWRRanks3242[[#This Row],[Player]],WR!B:O,5,FALSE)</f>
        <v>0</v>
      </c>
      <c r="AJ44" s="100">
        <f>VLOOKUP(TableWRRanks3242[[#This Row],[Player]],WR!B:O,6,FALSE)</f>
        <v>108.46499663999998</v>
      </c>
      <c r="AK44" s="100">
        <f>VLOOKUP(TableWRRanks3242[[#This Row],[Player]],WR!B:O,7,FALSE)</f>
        <v>61.233610819884383</v>
      </c>
      <c r="AL44" s="100">
        <f>VLOOKUP(TableWRRanks3242[[#This Row],[Player]],WR!B:O,8,FALSE)</f>
        <v>879.68748673771267</v>
      </c>
      <c r="AM44" s="100">
        <f>VLOOKUP(TableWRRanks3242[[#This Row],[Player]],WR!B:O,9,FALSE)</f>
        <v>7.6542013524855479</v>
      </c>
      <c r="AN44" s="95">
        <f>VLOOKUP(TableWRRanks3242[[#This Row],[Player]],WR!B:O,13,FALSE)</f>
        <v>164.51076219862676</v>
      </c>
      <c r="AO44" s="140">
        <f>IF(VLOOKUP(TableWRRanks3242[[#This Row],[Player]],'Ranks w Proj'!$AE:$AO,11,FALSE)&lt;0,0,VLOOKUP(TableWRRanks3242[[#This Row],[Player]],'Ranks w Proj'!$AE:$AO,11,FALSE))</f>
        <v>13.945554763064314</v>
      </c>
      <c r="AQ44" s="58">
        <v>43</v>
      </c>
      <c r="AR44" s="58" t="str">
        <f>VLOOKUP(TableTERanks3343[[#This Row],[RK]],Rankings!A:T,18,FALSE)</f>
        <v>Elijah Arroyo</v>
      </c>
      <c r="AS44" s="58" t="str">
        <f>IFERROR(INDEX(TableTECalcPts[TM],MATCH(TableTERanks3343[[#This Row],[Player]],TableTECalcPts[PLAYER],0)),"")</f>
        <v>SEA</v>
      </c>
      <c r="AT44" s="58">
        <f>IFERROR(INDEX(TableTECalcPts[BYE],MATCH(TableTERanks3343[[#This Row],[Player]],TableTECalcPts[PLAYER],0)),"")</f>
        <v>11</v>
      </c>
      <c r="AU44" s="100">
        <f>VLOOKUP(TableTERanks3343[[#This Row],[Player]],TE!B:O,4,FALSE)</f>
        <v>32.302556160000002</v>
      </c>
      <c r="AV44" s="100">
        <f>VLOOKUP(TableTERanks3343[[#This Row],[Player]],TE!B:O,5,FALSE)</f>
        <v>19.575349032960002</v>
      </c>
      <c r="AW44" s="100">
        <f>VLOOKUP(TableTERanks3343[[#This Row],[Player]],TE!B:O,6,FALSE)</f>
        <v>216.89486728519682</v>
      </c>
      <c r="AX44" s="100">
        <f>VLOOKUP(TableTERanks3343[[#This Row],[Player]],TE!B:O,7,FALSE)</f>
        <v>1.6802121398522076</v>
      </c>
      <c r="AY44" s="95">
        <f>VLOOKUP(TableTERanks3343[[#This Row],[Player]],TE!B:O,11,FALSE)</f>
        <v>41.558434084112932</v>
      </c>
      <c r="AZ44" s="140">
        <f>IF(VLOOKUP(TableTERanks3343[[#This Row],[Player]],'Ranks w Proj'!$AR:$AZ,9,FALSE)&lt;0,0,VLOOKUP(TableTERanks3343[[#This Row],[Player]],'Ranks w Proj'!$AR:$AZ,9,FALSE))</f>
        <v>0</v>
      </c>
    </row>
    <row r="45" spans="1:52" x14ac:dyDescent="0.25">
      <c r="A45" s="58">
        <v>44</v>
      </c>
      <c r="B45" s="58">
        <f>VLOOKUP(TableQBRanks3040[[#This Row],[RK]],Rankings!A:T,3,FALSE)</f>
        <v>0</v>
      </c>
      <c r="C45" s="58" t="str">
        <f>IFERROR(INDEX(TableQBCalcPts[TM],MATCH(TableQBRanks3040[[#This Row],[Player]],TableQBCalcPts[PLAYER],0)),"")</f>
        <v/>
      </c>
      <c r="D45" s="58" t="str">
        <f>IFERROR(INDEX(TableQBCalcPts[BYE],MATCH(TableQBRanks3040[[#This Row],[Player]],TableQBCalcPts[PLAYER],0)),"")</f>
        <v/>
      </c>
      <c r="E45" s="100">
        <f>VLOOKUP(TableQBRanks3040[[#This Row],[Player]],QB!B:O,4,FALSE)</f>
        <v>0</v>
      </c>
      <c r="F45" s="100">
        <f>VLOOKUP(TableQBRanks3040[[#This Row],[Player]],QB!B:O,5,FALSE)</f>
        <v>0</v>
      </c>
      <c r="G45" s="100">
        <f>VLOOKUP(TableQBRanks3040[[#This Row],[Player]],QB!B:O,6,FALSE)</f>
        <v>0</v>
      </c>
      <c r="H45" s="100">
        <f>VLOOKUP(TableQBRanks3040[[#This Row],[Player]],QB!B:O,7,FALSE)</f>
        <v>0</v>
      </c>
      <c r="I45" s="100">
        <f>VLOOKUP(TableQBRanks3040[[#This Row],[Player]],QB!B:O,8,FALSE)</f>
        <v>0</v>
      </c>
      <c r="J45" s="100">
        <f>VLOOKUP(TableQBRanks3040[[#This Row],[Player]],QB!B:O,9,FALSE)</f>
        <v>0</v>
      </c>
      <c r="K45" s="100">
        <f>VLOOKUP(TableQBRanks3040[[#This Row],[Player]],QB!B:O,10,FALSE)</f>
        <v>0</v>
      </c>
      <c r="L45" s="100">
        <f>VLOOKUP(TableQBRanks3040[[#This Row],[Player]],QB!B:O,11,FALSE)</f>
        <v>0</v>
      </c>
      <c r="M45" s="95">
        <f>VLOOKUP(TableQBRanks3040[[#This Row],[Player]],QB!B:O,13,FALSE)</f>
        <v>0</v>
      </c>
      <c r="N45" s="140" t="e">
        <f>IF(VLOOKUP(TableQBRanks3040[[#This Row],[Player]],'Ranks w Proj'!$B:$N,13,FALSE)&lt;0,0,VLOOKUP(TableQBRanks3040[[#This Row],[Player]],'Ranks w Proj'!$B:$N,13,FALSE))</f>
        <v>#N/A</v>
      </c>
      <c r="P45" s="58">
        <v>44</v>
      </c>
      <c r="Q45" s="58" t="str">
        <f>VLOOKUP(TableRBRanks3141[[#This Row],[RK]],Rankings!A:T,8,FALSE)</f>
        <v>Chris Rodriguez</v>
      </c>
      <c r="R45" s="58" t="str">
        <f>IFERROR(INDEX(TableRBCalcPts[TM],MATCH(TableRBRanks3141[[#This Row],[Player]],TableRBCalcPts[PLAYER],0)),"")</f>
        <v>JAX</v>
      </c>
      <c r="S45" s="58">
        <f>IFERROR(INDEX(TableRBCalcPts[BYE],MATCH(TableRBRanks3141[[#This Row],[Player]],TableRBCalcPts[PLAYER],0)),"")</f>
        <v>7</v>
      </c>
      <c r="T45" s="100">
        <f>VLOOKUP(TableRBRanks3141[[#This Row],[Player]],RB!B:O,4,FALSE)</f>
        <v>134.17532309999999</v>
      </c>
      <c r="U45" s="100">
        <f>VLOOKUP(TableRBRanks3141[[#This Row],[Player]],RB!B:O,5,FALSE)</f>
        <v>554.14408440299997</v>
      </c>
      <c r="V45" s="100">
        <f>VLOOKUP(TableRBRanks3141[[#This Row],[Player]],RB!B:O,6,FALSE)</f>
        <v>4.964486954699999</v>
      </c>
      <c r="W45" s="100">
        <f>VLOOKUP(TableRBRanks3141[[#This Row],[Player]],RB!B:O,7,FALSE)</f>
        <v>14.551500600000001</v>
      </c>
      <c r="X45" s="100">
        <f>VLOOKUP(TableRBRanks3141[[#This Row],[Player]],RB!B:O,8,FALSE)</f>
        <v>10.098741416399999</v>
      </c>
      <c r="Y45" s="100">
        <f>VLOOKUP(TableRBRanks3141[[#This Row],[Player]],RB!B:O,9,FALSE)</f>
        <v>68.62928965127324</v>
      </c>
      <c r="Z45" s="100">
        <f>VLOOKUP(TableRBRanks3141[[#This Row],[Player]],RB!B:O,10,FALSE)</f>
        <v>0.30296224249199999</v>
      </c>
      <c r="AA45" s="95">
        <f>VLOOKUP(TableRBRanks3141[[#This Row],[Player]],RB!B:O,14,FALSE)</f>
        <v>98.931403296779322</v>
      </c>
      <c r="AB45" s="140">
        <f>IF(VLOOKUP(TableRBRanks3141[[#This Row],[Player]],'Ranks w Proj'!$Q:$AB,12,FALSE)&lt;0,0,VLOOKUP(TableRBRanks3141[[#This Row],[Player]],'Ranks w Proj'!$Q:$AB,12,FALSE))</f>
        <v>0</v>
      </c>
      <c r="AD45" s="58">
        <v>44</v>
      </c>
      <c r="AE45" s="58" t="str">
        <f>VLOOKUP(TableWRRanks3242[[#This Row],[RK]],Rankings!A:T,13,FALSE)</f>
        <v>Josh Downs</v>
      </c>
      <c r="AF45" s="58" t="str">
        <f>IFERROR(INDEX(TableWRCalcPts[TM],MATCH(TableWRRanks3242[[#This Row],[Player]],TableWRCalcPts[PLAYER],0)),"")</f>
        <v>IND</v>
      </c>
      <c r="AG45" s="58">
        <f>IFERROR(INDEX(TableWRCalcPts[BYE],MATCH(TableWRRanks3242[[#This Row],[Player]],TableWRCalcPts[PLAYER],0)),"")</f>
        <v>13</v>
      </c>
      <c r="AH45" s="100">
        <f>VLOOKUP(TableWRRanks3242[[#This Row],[Player]],WR!B:O,4,FALSE)</f>
        <v>9.8198247133757945</v>
      </c>
      <c r="AI45" s="100">
        <f>VLOOKUP(TableWRRanks3242[[#This Row],[Player]],WR!B:O,5,FALSE)</f>
        <v>3.5425053078556257E-2</v>
      </c>
      <c r="AJ45" s="100">
        <f>VLOOKUP(TableWRRanks3242[[#This Row],[Player]],WR!B:O,6,FALSE)</f>
        <v>111.31686719999999</v>
      </c>
      <c r="AK45" s="100">
        <f>VLOOKUP(TableWRRanks3242[[#This Row],[Player]],WR!B:O,7,FALSE)</f>
        <v>79.066049385931024</v>
      </c>
      <c r="AL45" s="100">
        <f>VLOOKUP(TableWRRanks3242[[#This Row],[Player]],WR!B:O,8,FALSE)</f>
        <v>781.39030299409649</v>
      </c>
      <c r="AM45" s="100">
        <f>VLOOKUP(TableWRRanks3242[[#This Row],[Player]],WR!B:O,9,FALSE)</f>
        <v>4.9811611113136545</v>
      </c>
      <c r="AN45" s="95">
        <f>VLOOKUP(TableWRRanks3242[[#This Row],[Player]],WR!B:O,13,FALSE)</f>
        <v>148.75355445006602</v>
      </c>
      <c r="AO45" s="140">
        <f>IF(VLOOKUP(TableWRRanks3242[[#This Row],[Player]],'Ranks w Proj'!$AE:$AO,11,FALSE)&lt;0,0,VLOOKUP(TableWRRanks3242[[#This Row],[Player]],'Ranks w Proj'!$AE:$AO,11,FALSE))</f>
        <v>10.985119121014337</v>
      </c>
      <c r="AQ45" s="58">
        <v>44</v>
      </c>
      <c r="AR45" s="58" t="str">
        <f>VLOOKUP(TableTERanks3343[[#This Row],[RK]],Rankings!A:T,18,FALSE)</f>
        <v>Michael Mayer</v>
      </c>
      <c r="AS45" s="58" t="str">
        <f>IFERROR(INDEX(TableTECalcPts[TM],MATCH(TableTERanks3343[[#This Row],[Player]],TableTECalcPts[PLAYER],0)),"")</f>
        <v>LV</v>
      </c>
      <c r="AT45" s="58">
        <f>IFERROR(INDEX(TableTECalcPts[BYE],MATCH(TableTERanks3343[[#This Row],[Player]],TableTECalcPts[PLAYER],0)),"")</f>
        <v>13</v>
      </c>
      <c r="AU45" s="100">
        <f>VLOOKUP(TableTERanks3343[[#This Row],[Player]],TE!B:O,4,FALSE)</f>
        <v>37.012389120000002</v>
      </c>
      <c r="AV45" s="100">
        <f>VLOOKUP(TableTERanks3343[[#This Row],[Player]],TE!B:O,5,FALSE)</f>
        <v>25.463831894202613</v>
      </c>
      <c r="AW45" s="100">
        <f>VLOOKUP(TableTERanks3343[[#This Row],[Player]],TE!B:O,6,FALSE)</f>
        <v>245.35985491558876</v>
      </c>
      <c r="AX45" s="100">
        <f>VLOOKUP(TableTERanks3343[[#This Row],[Player]],TE!B:O,7,FALSE)</f>
        <v>1.5023660817579541</v>
      </c>
      <c r="AY45" s="95">
        <f>VLOOKUP(TableTERanks3343[[#This Row],[Player]],TE!B:O,11,FALSE)</f>
        <v>46.282097929207907</v>
      </c>
      <c r="AZ45" s="140">
        <f>IF(VLOOKUP(TableTERanks3343[[#This Row],[Player]],'Ranks w Proj'!$AR:$AZ,9,FALSE)&lt;0,0,VLOOKUP(TableTERanks3343[[#This Row],[Player]],'Ranks w Proj'!$AR:$AZ,9,FALSE))</f>
        <v>0</v>
      </c>
    </row>
    <row r="46" spans="1:52" x14ac:dyDescent="0.25">
      <c r="A46" s="58">
        <v>45</v>
      </c>
      <c r="B46" s="58">
        <f>VLOOKUP(TableQBRanks3040[[#This Row],[RK]],Rankings!A:T,3,FALSE)</f>
        <v>0</v>
      </c>
      <c r="C46" s="58" t="str">
        <f>IFERROR(INDEX(TableQBCalcPts[TM],MATCH(TableQBRanks3040[[#This Row],[Player]],TableQBCalcPts[PLAYER],0)),"")</f>
        <v/>
      </c>
      <c r="D46" s="58" t="str">
        <f>IFERROR(INDEX(TableQBCalcPts[BYE],MATCH(TableQBRanks3040[[#This Row],[Player]],TableQBCalcPts[PLAYER],0)),"")</f>
        <v/>
      </c>
      <c r="E46" s="100">
        <f>VLOOKUP(TableQBRanks3040[[#This Row],[Player]],QB!B:O,4,FALSE)</f>
        <v>0</v>
      </c>
      <c r="F46" s="100">
        <f>VLOOKUP(TableQBRanks3040[[#This Row],[Player]],QB!B:O,5,FALSE)</f>
        <v>0</v>
      </c>
      <c r="G46" s="100">
        <f>VLOOKUP(TableQBRanks3040[[#This Row],[Player]],QB!B:O,6,FALSE)</f>
        <v>0</v>
      </c>
      <c r="H46" s="100">
        <f>VLOOKUP(TableQBRanks3040[[#This Row],[Player]],QB!B:O,7,FALSE)</f>
        <v>0</v>
      </c>
      <c r="I46" s="100">
        <f>VLOOKUP(TableQBRanks3040[[#This Row],[Player]],QB!B:O,8,FALSE)</f>
        <v>0</v>
      </c>
      <c r="J46" s="100">
        <f>VLOOKUP(TableQBRanks3040[[#This Row],[Player]],QB!B:O,9,FALSE)</f>
        <v>0</v>
      </c>
      <c r="K46" s="100">
        <f>VLOOKUP(TableQBRanks3040[[#This Row],[Player]],QB!B:O,10,FALSE)</f>
        <v>0</v>
      </c>
      <c r="L46" s="100">
        <f>VLOOKUP(TableQBRanks3040[[#This Row],[Player]],QB!B:O,11,FALSE)</f>
        <v>0</v>
      </c>
      <c r="M46" s="95">
        <f>VLOOKUP(TableQBRanks3040[[#This Row],[Player]],QB!B:O,13,FALSE)</f>
        <v>0</v>
      </c>
      <c r="N46" s="140" t="e">
        <f>IF(VLOOKUP(TableQBRanks3040[[#This Row],[Player]],'Ranks w Proj'!$B:$N,13,FALSE)&lt;0,0,VLOOKUP(TableQBRanks3040[[#This Row],[Player]],'Ranks w Proj'!$B:$N,13,FALSE))</f>
        <v>#N/A</v>
      </c>
      <c r="P46" s="58">
        <v>45</v>
      </c>
      <c r="Q46" s="58" t="str">
        <f>VLOOKUP(TableRBRanks3141[[#This Row],[RK]],Rankings!A:T,8,FALSE)</f>
        <v>Isiah Pacheco</v>
      </c>
      <c r="R46" s="58" t="str">
        <f>IFERROR(INDEX(TableRBCalcPts[TM],MATCH(TableRBRanks3141[[#This Row],[Player]],TableRBCalcPts[PLAYER],0)),"")</f>
        <v>DET</v>
      </c>
      <c r="S46" s="58">
        <f>IFERROR(INDEX(TableRBCalcPts[BYE],MATCH(TableRBRanks3141[[#This Row],[Player]],TableRBCalcPts[PLAYER],0)),"")</f>
        <v>6</v>
      </c>
      <c r="T46" s="100">
        <f>VLOOKUP(TableRBRanks3141[[#This Row],[Player]],RB!B:O,4,FALSE)</f>
        <v>127.1886336</v>
      </c>
      <c r="U46" s="100">
        <f>VLOOKUP(TableRBRanks3141[[#This Row],[Player]],RB!B:O,5,FALSE)</f>
        <v>530.376602112</v>
      </c>
      <c r="V46" s="100">
        <f>VLOOKUP(TableRBRanks3141[[#This Row],[Player]],RB!B:O,6,FALSE)</f>
        <v>5.3419226112000002</v>
      </c>
      <c r="W46" s="100">
        <f>VLOOKUP(TableRBRanks3141[[#This Row],[Player]],RB!B:O,7,FALSE)</f>
        <v>21.660273599999996</v>
      </c>
      <c r="X46" s="100">
        <f>VLOOKUP(TableRBRanks3141[[#This Row],[Player]],RB!B:O,8,FALSE)</f>
        <v>14.241722457271793</v>
      </c>
      <c r="Y46" s="100">
        <f>VLOOKUP(TableRBRanks3141[[#This Row],[Player]],RB!B:O,9,FALSE)</f>
        <v>95.731004090256391</v>
      </c>
      <c r="Z46" s="100">
        <f>VLOOKUP(TableRBRanks3141[[#This Row],[Player]],RB!B:O,10,FALSE)</f>
        <v>0.77458619437948706</v>
      </c>
      <c r="AA46" s="95">
        <f>VLOOKUP(TableRBRanks3141[[#This Row],[Player]],RB!B:O,14,FALSE)</f>
        <v>106.43067468233848</v>
      </c>
      <c r="AB46" s="140">
        <f>IF(VLOOKUP(TableRBRanks3141[[#This Row],[Player]],'Ranks w Proj'!$Q:$AB,12,FALSE)&lt;0,0,VLOOKUP(TableRBRanks3141[[#This Row],[Player]],'Ranks w Proj'!$Q:$AB,12,FALSE))</f>
        <v>0.36415834781584444</v>
      </c>
      <c r="AD46" s="58">
        <v>45</v>
      </c>
      <c r="AE46" s="58" t="str">
        <f>VLOOKUP(TableWRRanks3242[[#This Row],[RK]],Rankings!A:T,13,FALSE)</f>
        <v>Deebo Samuel</v>
      </c>
      <c r="AF46" s="58" t="str">
        <f>IFERROR(INDEX(TableWRCalcPts[TM],MATCH(TableWRRanks3242[[#This Row],[Player]],TableWRCalcPts[PLAYER],0)),"")</f>
        <v>SF</v>
      </c>
      <c r="AG46" s="58">
        <f>IFERROR(INDEX(TableWRCalcPts[BYE],MATCH(TableWRRanks3242[[#This Row],[Player]],TableWRCalcPts[PLAYER],0)),"")</f>
        <v>8</v>
      </c>
      <c r="AH46" s="100">
        <f>VLOOKUP(TableWRRanks3242[[#This Row],[Player]],WR!B:O,4,FALSE)</f>
        <v>14.2321676</v>
      </c>
      <c r="AI46" s="100">
        <f>VLOOKUP(TableWRRanks3242[[#This Row],[Player]],WR!B:O,5,FALSE)</f>
        <v>2.904524E-2</v>
      </c>
      <c r="AJ46" s="100">
        <f>VLOOKUP(TableWRRanks3242[[#This Row],[Player]],WR!B:O,6,FALSE)</f>
        <v>99.851525760000001</v>
      </c>
      <c r="AK46" s="100">
        <f>VLOOKUP(TableWRRanks3242[[#This Row],[Player]],WR!B:O,7,FALSE)</f>
        <v>65.003343269760009</v>
      </c>
      <c r="AL46" s="100">
        <f>VLOOKUP(TableWRRanks3242[[#This Row],[Player]],WR!B:O,8,FALSE)</f>
        <v>900.94633771887368</v>
      </c>
      <c r="AM46" s="100">
        <f>VLOOKUP(TableWRRanks3242[[#This Row],[Player]],WR!B:O,9,FALSE)</f>
        <v>4.4202273423436811</v>
      </c>
      <c r="AN46" s="95">
        <f>VLOOKUP(TableWRRanks3242[[#This Row],[Player]],WR!B:O,13,FALSE)</f>
        <v>150.71515766082945</v>
      </c>
      <c r="AO46" s="140">
        <f>IF(VLOOKUP(TableWRRanks3242[[#This Row],[Player]],'Ranks w Proj'!$AE:$AO,11,FALSE)&lt;0,0,VLOOKUP(TableWRRanks3242[[#This Row],[Player]],'Ranks w Proj'!$AE:$AO,11,FALSE))</f>
        <v>11.353661578115226</v>
      </c>
      <c r="AQ46" s="58">
        <v>45</v>
      </c>
      <c r="AR46" s="58" t="str">
        <f>VLOOKUP(TableTERanks3343[[#This Row],[RK]],Rankings!A:T,18,FALSE)</f>
        <v>Erick All</v>
      </c>
      <c r="AS46" s="58" t="str">
        <f>IFERROR(INDEX(TableTECalcPts[TM],MATCH(TableTERanks3343[[#This Row],[Player]],TableTECalcPts[PLAYER],0)),"")</f>
        <v>CIN</v>
      </c>
      <c r="AT46" s="58">
        <f>IFERROR(INDEX(TableTECalcPts[BYE],MATCH(TableTERanks3343[[#This Row],[Player]],TableTECalcPts[PLAYER],0)),"")</f>
        <v>6</v>
      </c>
      <c r="AU46" s="100">
        <f>VLOOKUP(TableTERanks3343[[#This Row],[Player]],TE!B:O,4,FALSE)</f>
        <v>21.512225000000001</v>
      </c>
      <c r="AV46" s="100">
        <f>VLOOKUP(TableTERanks3343[[#This Row],[Player]],TE!B:O,5,FALSE)</f>
        <v>17.265258896052632</v>
      </c>
      <c r="AW46" s="100">
        <f>VLOOKUP(TableTERanks3343[[#This Row],[Player]],TE!B:O,6,FALSE)</f>
        <v>164.53791727938159</v>
      </c>
      <c r="AX46" s="100">
        <f>VLOOKUP(TableTERanks3343[[#This Row],[Player]],TE!B:O,7,FALSE)</f>
        <v>0.93597049122807019</v>
      </c>
      <c r="AY46" s="95">
        <f>VLOOKUP(TableTERanks3343[[#This Row],[Player]],TE!B:O,11,FALSE)</f>
        <v>30.702244123332896</v>
      </c>
      <c r="AZ46" s="140">
        <f>IF(VLOOKUP(TableTERanks3343[[#This Row],[Player]],'Ranks w Proj'!$AR:$AZ,9,FALSE)&lt;0,0,VLOOKUP(TableTERanks3343[[#This Row],[Player]],'Ranks w Proj'!$AR:$AZ,9,FALSE))</f>
        <v>0</v>
      </c>
    </row>
    <row r="47" spans="1:52" x14ac:dyDescent="0.25">
      <c r="A47" s="58">
        <v>46</v>
      </c>
      <c r="B47" s="58">
        <f>VLOOKUP(TableQBRanks3040[[#This Row],[RK]],Rankings!A:T,3,FALSE)</f>
        <v>0</v>
      </c>
      <c r="C47" s="58" t="str">
        <f>IFERROR(INDEX(TableQBCalcPts[TM],MATCH(TableQBRanks3040[[#This Row],[Player]],TableQBCalcPts[PLAYER],0)),"")</f>
        <v/>
      </c>
      <c r="D47" s="58" t="str">
        <f>IFERROR(INDEX(TableQBCalcPts[BYE],MATCH(TableQBRanks3040[[#This Row],[Player]],TableQBCalcPts[PLAYER],0)),"")</f>
        <v/>
      </c>
      <c r="E47" s="100">
        <f>VLOOKUP(TableQBRanks3040[[#This Row],[Player]],QB!B:O,4,FALSE)</f>
        <v>0</v>
      </c>
      <c r="F47" s="100">
        <f>VLOOKUP(TableQBRanks3040[[#This Row],[Player]],QB!B:O,5,FALSE)</f>
        <v>0</v>
      </c>
      <c r="G47" s="100">
        <f>VLOOKUP(TableQBRanks3040[[#This Row],[Player]],QB!B:O,6,FALSE)</f>
        <v>0</v>
      </c>
      <c r="H47" s="100">
        <f>VLOOKUP(TableQBRanks3040[[#This Row],[Player]],QB!B:O,7,FALSE)</f>
        <v>0</v>
      </c>
      <c r="I47" s="100">
        <f>VLOOKUP(TableQBRanks3040[[#This Row],[Player]],QB!B:O,8,FALSE)</f>
        <v>0</v>
      </c>
      <c r="J47" s="100">
        <f>VLOOKUP(TableQBRanks3040[[#This Row],[Player]],QB!B:O,9,FALSE)</f>
        <v>0</v>
      </c>
      <c r="K47" s="100">
        <f>VLOOKUP(TableQBRanks3040[[#This Row],[Player]],QB!B:O,10,FALSE)</f>
        <v>0</v>
      </c>
      <c r="L47" s="100">
        <f>VLOOKUP(TableQBRanks3040[[#This Row],[Player]],QB!B:O,11,FALSE)</f>
        <v>0</v>
      </c>
      <c r="M47" s="95">
        <f>VLOOKUP(TableQBRanks3040[[#This Row],[Player]],QB!B:O,13,FALSE)</f>
        <v>0</v>
      </c>
      <c r="N47" s="140" t="e">
        <f>IF(VLOOKUP(TableQBRanks3040[[#This Row],[Player]],'Ranks w Proj'!$B:$N,13,FALSE)&lt;0,0,VLOOKUP(TableQBRanks3040[[#This Row],[Player]],'Ranks w Proj'!$B:$N,13,FALSE))</f>
        <v>#N/A</v>
      </c>
      <c r="P47" s="58">
        <v>46</v>
      </c>
      <c r="Q47" s="58" t="str">
        <f>VLOOKUP(TableRBRanks3141[[#This Row],[RK]],Rankings!A:T,8,FALSE)</f>
        <v>Emanuel Wilson</v>
      </c>
      <c r="R47" s="58" t="str">
        <f>IFERROR(INDEX(TableRBCalcPts[TM],MATCH(TableRBRanks3141[[#This Row],[Player]],TableRBCalcPts[PLAYER],0)),"")</f>
        <v>SEA</v>
      </c>
      <c r="S47" s="58">
        <f>IFERROR(INDEX(TableRBCalcPts[BYE],MATCH(TableRBRanks3141[[#This Row],[Player]],TableRBCalcPts[PLAYER],0)),"")</f>
        <v>11</v>
      </c>
      <c r="T47" s="100">
        <f>VLOOKUP(TableRBRanks3141[[#This Row],[Player]],RB!B:O,4,FALSE)</f>
        <v>130.78117309589214</v>
      </c>
      <c r="U47" s="100">
        <f>VLOOKUP(TableRBRanks3141[[#This Row],[Player]],RB!B:O,5,FALSE)</f>
        <v>564.97466777425404</v>
      </c>
      <c r="V47" s="100">
        <f>VLOOKUP(TableRBRanks3141[[#This Row],[Player]],RB!B:O,6,FALSE)</f>
        <v>4.7081222314521165</v>
      </c>
      <c r="W47" s="100">
        <f>VLOOKUP(TableRBRanks3141[[#This Row],[Player]],RB!B:O,7,FALSE)</f>
        <v>23.72218968</v>
      </c>
      <c r="X47" s="100">
        <f>VLOOKUP(TableRBRanks3141[[#This Row],[Player]],RB!B:O,8,FALSE)</f>
        <v>18.266086053599999</v>
      </c>
      <c r="Y47" s="100">
        <f>VLOOKUP(TableRBRanks3141[[#This Row],[Player]],RB!B:O,9,FALSE)</f>
        <v>148.68594047630401</v>
      </c>
      <c r="Z47" s="100">
        <f>VLOOKUP(TableRBRanks3141[[#This Row],[Player]],RB!B:O,10,FALSE)</f>
        <v>0.8037077863583999</v>
      </c>
      <c r="AA47" s="95">
        <f>VLOOKUP(TableRBRanks3141[[#This Row],[Player]],RB!B:O,14,FALSE)</f>
        <v>113.57008395871891</v>
      </c>
      <c r="AB47" s="140">
        <f>IF(VLOOKUP(TableRBRanks3141[[#This Row],[Player]],'Ranks w Proj'!$Q:$AB,12,FALSE)&lt;0,0,VLOOKUP(TableRBRanks3141[[#This Row],[Player]],'Ranks w Proj'!$Q:$AB,12,FALSE))</f>
        <v>1.4372297712428488</v>
      </c>
      <c r="AD47" s="58">
        <v>46</v>
      </c>
      <c r="AE47" s="58" t="str">
        <f>VLOOKUP(TableWRRanks3242[[#This Row],[RK]],Rankings!A:T,13,FALSE)</f>
        <v>Wan'Dale Robinson</v>
      </c>
      <c r="AF47" s="58" t="str">
        <f>IFERROR(INDEX(TableWRCalcPts[TM],MATCH(TableWRRanks3242[[#This Row],[Player]],TableWRCalcPts[PLAYER],0)),"")</f>
        <v>TEN</v>
      </c>
      <c r="AG47" s="58">
        <f>IFERROR(INDEX(TableWRCalcPts[BYE],MATCH(TableWRRanks3242[[#This Row],[Player]],TableWRCalcPts[PLAYER],0)),"")</f>
        <v>9</v>
      </c>
      <c r="AH47" s="100">
        <f>VLOOKUP(TableWRRanks3242[[#This Row],[Player]],WR!B:O,4,FALSE)</f>
        <v>23.809766399999994</v>
      </c>
      <c r="AI47" s="100">
        <f>VLOOKUP(TableWRRanks3242[[#This Row],[Player]],WR!B:O,5,FALSE)</f>
        <v>0.12531455999999999</v>
      </c>
      <c r="AJ47" s="100">
        <f>VLOOKUP(TableWRRanks3242[[#This Row],[Player]],WR!B:O,6,FALSE)</f>
        <v>115.34019840000001</v>
      </c>
      <c r="AK47" s="100">
        <f>VLOOKUP(TableWRRanks3242[[#This Row],[Player]],WR!B:O,7,FALSE)</f>
        <v>76.470551539200002</v>
      </c>
      <c r="AL47" s="100">
        <f>VLOOKUP(TableWRRanks3242[[#This Row],[Player]],WR!B:O,8,FALSE)</f>
        <v>827.4113676541441</v>
      </c>
      <c r="AM47" s="100">
        <f>VLOOKUP(TableWRRanks3242[[#This Row],[Player]],WR!B:O,9,FALSE)</f>
        <v>4.6647036438912002</v>
      </c>
      <c r="AN47" s="95">
        <f>VLOOKUP(TableWRRanks3242[[#This Row],[Player]],WR!B:O,13,FALSE)</f>
        <v>152.09749839836161</v>
      </c>
      <c r="AO47" s="140">
        <f>IF(VLOOKUP(TableWRRanks3242[[#This Row],[Player]],'Ranks w Proj'!$AE:$AO,11,FALSE)&lt;0,0,VLOOKUP(TableWRRanks3242[[#This Row],[Player]],'Ranks w Proj'!$AE:$AO,11,FALSE))</f>
        <v>11.613373251284074</v>
      </c>
      <c r="AQ47" s="58">
        <v>46</v>
      </c>
      <c r="AR47" s="58" t="str">
        <f>VLOOKUP(TableTERanks3343[[#This Row],[RK]],Rankings!A:T,18,FALSE)</f>
        <v>Theo Johnson</v>
      </c>
      <c r="AS47" s="58" t="str">
        <f>IFERROR(INDEX(TableTECalcPts[TM],MATCH(TableTERanks3343[[#This Row],[Player]],TableTECalcPts[PLAYER],0)),"")</f>
        <v>NYG</v>
      </c>
      <c r="AT47" s="58">
        <f>IFERROR(INDEX(TableTECalcPts[BYE],MATCH(TableTERanks3343[[#This Row],[Player]],TableTECalcPts[PLAYER],0)),"")</f>
        <v>8</v>
      </c>
      <c r="AU47" s="100">
        <f>VLOOKUP(TableTERanks3343[[#This Row],[Player]],TE!B:O,4,FALSE)</f>
        <v>30.653966840000002</v>
      </c>
      <c r="AV47" s="100">
        <f>VLOOKUP(TableTERanks3343[[#This Row],[Player]],TE!B:O,5,FALSE)</f>
        <v>20.292926048080002</v>
      </c>
      <c r="AW47" s="100">
        <f>VLOOKUP(TableTERanks3343[[#This Row],[Player]],TE!B:O,6,FALSE)</f>
        <v>217.47903885757958</v>
      </c>
      <c r="AX47" s="100">
        <f>VLOOKUP(TableTERanks3343[[#This Row],[Player]],TE!B:O,7,FALSE)</f>
        <v>1.521969453606</v>
      </c>
      <c r="AY47" s="95">
        <f>VLOOKUP(TableTERanks3343[[#This Row],[Player]],TE!B:O,11,FALSE)</f>
        <v>41.026183631433959</v>
      </c>
      <c r="AZ47" s="140">
        <f>IF(VLOOKUP(TableTERanks3343[[#This Row],[Player]],'Ranks w Proj'!$AR:$AZ,9,FALSE)&lt;0,0,VLOOKUP(TableTERanks3343[[#This Row],[Player]],'Ranks w Proj'!$AR:$AZ,9,FALSE))</f>
        <v>0</v>
      </c>
    </row>
    <row r="48" spans="1:52" x14ac:dyDescent="0.25">
      <c r="A48" s="58">
        <v>47</v>
      </c>
      <c r="B48" s="58">
        <f>VLOOKUP(TableQBRanks3040[[#This Row],[RK]],Rankings!A:T,3,FALSE)</f>
        <v>0</v>
      </c>
      <c r="C48" s="58" t="str">
        <f>IFERROR(INDEX(TableQBCalcPts[TM],MATCH(TableQBRanks3040[[#This Row],[Player]],TableQBCalcPts[PLAYER],0)),"")</f>
        <v/>
      </c>
      <c r="D48" s="58" t="str">
        <f>IFERROR(INDEX(TableQBCalcPts[BYE],MATCH(TableQBRanks3040[[#This Row],[Player]],TableQBCalcPts[PLAYER],0)),"")</f>
        <v/>
      </c>
      <c r="E48" s="100">
        <f>VLOOKUP(TableQBRanks3040[[#This Row],[Player]],QB!B:O,4,FALSE)</f>
        <v>0</v>
      </c>
      <c r="F48" s="100">
        <f>VLOOKUP(TableQBRanks3040[[#This Row],[Player]],QB!B:O,5,FALSE)</f>
        <v>0</v>
      </c>
      <c r="G48" s="100">
        <f>VLOOKUP(TableQBRanks3040[[#This Row],[Player]],QB!B:O,6,FALSE)</f>
        <v>0</v>
      </c>
      <c r="H48" s="100">
        <f>VLOOKUP(TableQBRanks3040[[#This Row],[Player]],QB!B:O,7,FALSE)</f>
        <v>0</v>
      </c>
      <c r="I48" s="100">
        <f>VLOOKUP(TableQBRanks3040[[#This Row],[Player]],QB!B:O,8,FALSE)</f>
        <v>0</v>
      </c>
      <c r="J48" s="100">
        <f>VLOOKUP(TableQBRanks3040[[#This Row],[Player]],QB!B:O,9,FALSE)</f>
        <v>0</v>
      </c>
      <c r="K48" s="100">
        <f>VLOOKUP(TableQBRanks3040[[#This Row],[Player]],QB!B:O,10,FALSE)</f>
        <v>0</v>
      </c>
      <c r="L48" s="100">
        <f>VLOOKUP(TableQBRanks3040[[#This Row],[Player]],QB!B:O,11,FALSE)</f>
        <v>0</v>
      </c>
      <c r="M48" s="95">
        <f>VLOOKUP(TableQBRanks3040[[#This Row],[Player]],QB!B:O,13,FALSE)</f>
        <v>0</v>
      </c>
      <c r="N48" s="140" t="e">
        <f>IF(VLOOKUP(TableQBRanks3040[[#This Row],[Player]],'Ranks w Proj'!$B:$N,13,FALSE)&lt;0,0,VLOOKUP(TableQBRanks3040[[#This Row],[Player]],'Ranks w Proj'!$B:$N,13,FALSE))</f>
        <v>#N/A</v>
      </c>
      <c r="P48" s="58">
        <v>47</v>
      </c>
      <c r="Q48" s="58" t="str">
        <f>VLOOKUP(TableRBRanks3141[[#This Row],[RK]],Rankings!A:T,8,FALSE)</f>
        <v>Tyler Allgeier</v>
      </c>
      <c r="R48" s="58" t="str">
        <f>IFERROR(INDEX(TableRBCalcPts[TM],MATCH(TableRBRanks3141[[#This Row],[Player]],TableRBCalcPts[PLAYER],0)),"")</f>
        <v>ARI</v>
      </c>
      <c r="S48" s="58">
        <f>IFERROR(INDEX(TableRBCalcPts[BYE],MATCH(TableRBRanks3141[[#This Row],[Player]],TableRBCalcPts[PLAYER],0)),"")</f>
        <v>14</v>
      </c>
      <c r="T48" s="100">
        <f>VLOOKUP(TableRBRanks3141[[#This Row],[Player]],RB!B:O,4,FALSE)</f>
        <v>109.63820559999999</v>
      </c>
      <c r="U48" s="100">
        <f>VLOOKUP(TableRBRanks3141[[#This Row],[Player]],RB!B:O,5,FALSE)</f>
        <v>451.43669207096968</v>
      </c>
      <c r="V48" s="100">
        <f>VLOOKUP(TableRBRanks3141[[#This Row],[Player]],RB!B:O,6,FALSE)</f>
        <v>2.9602315511999997</v>
      </c>
      <c r="W48" s="100">
        <f>VLOOKUP(TableRBRanks3141[[#This Row],[Player]],RB!B:O,7,FALSE)</f>
        <v>16.678032000000002</v>
      </c>
      <c r="X48" s="100">
        <f>VLOOKUP(TableRBRanks3141[[#This Row],[Player]],RB!B:O,8,FALSE)</f>
        <v>13.025542992000002</v>
      </c>
      <c r="Y48" s="100">
        <f>VLOOKUP(TableRBRanks3141[[#This Row],[Player]],RB!B:O,9,FALSE)</f>
        <v>84.666029448000018</v>
      </c>
      <c r="Z48" s="100">
        <f>VLOOKUP(TableRBRanks3141[[#This Row],[Player]],RB!B:O,10,FALSE)</f>
        <v>0.39076628976000005</v>
      </c>
      <c r="AA48" s="95">
        <f>VLOOKUP(TableRBRanks3141[[#This Row],[Player]],RB!B:O,14,FALSE)</f>
        <v>80.229030693656966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VLOOKUP(TableWRRanks3242[[#This Row],[RK]],Rankings!A:T,13,FALSE)</f>
        <v>Romeo Doubs</v>
      </c>
      <c r="AF48" s="58" t="str">
        <f>IFERROR(INDEX(TableWRCalcPts[TM],MATCH(TableWRRanks3242[[#This Row],[Player]],TableWRCalcPts[PLAYER],0)),"")</f>
        <v>NE</v>
      </c>
      <c r="AG48" s="58">
        <f>IFERROR(INDEX(TableWRCalcPts[BYE],MATCH(TableWRRanks3242[[#This Row],[Player]],TableWRCalcPts[PLAYER],0)),"")</f>
        <v>11</v>
      </c>
      <c r="AH48" s="100">
        <f>VLOOKUP(TableWRRanks3242[[#This Row],[Player]],WR!B:O,4,FALSE)</f>
        <v>0</v>
      </c>
      <c r="AI48" s="100">
        <f>VLOOKUP(TableWRRanks3242[[#This Row],[Player]],WR!B:O,5,FALSE)</f>
        <v>0</v>
      </c>
      <c r="AJ48" s="100">
        <f>VLOOKUP(TableWRRanks3242[[#This Row],[Player]],WR!B:O,6,FALSE)</f>
        <v>84.533868999999967</v>
      </c>
      <c r="AK48" s="100">
        <f>VLOOKUP(TableWRRanks3242[[#This Row],[Player]],WR!B:O,7,FALSE)</f>
        <v>53.002735862999977</v>
      </c>
      <c r="AL48" s="100">
        <f>VLOOKUP(TableWRRanks3242[[#This Row],[Player]],WR!B:O,8,FALSE)</f>
        <v>694.33583980529966</v>
      </c>
      <c r="AM48" s="100">
        <f>VLOOKUP(TableWRRanks3242[[#This Row],[Player]],WR!B:O,9,FALSE)</f>
        <v>5.9363064166559978</v>
      </c>
      <c r="AN48" s="95">
        <f>VLOOKUP(TableWRRanks3242[[#This Row],[Player]],WR!B:O,13,FALSE)</f>
        <v>131.55279041196593</v>
      </c>
      <c r="AO48" s="140">
        <f>IF(VLOOKUP(TableWRRanks3242[[#This Row],[Player]],'Ranks w Proj'!$AE:$AO,11,FALSE)&lt;0,0,VLOOKUP(TableWRRanks3242[[#This Row],[Player]],'Ranks w Proj'!$AE:$AO,11,FALSE))</f>
        <v>7.7534707387980042</v>
      </c>
      <c r="AQ48" s="58">
        <v>47</v>
      </c>
      <c r="AR48" s="58" t="str">
        <f>VLOOKUP(TableTERanks3343[[#This Row],[RK]],Rankings!A:T,18,FALSE)</f>
        <v>Tommy Tremble</v>
      </c>
      <c r="AS48" s="58" t="str">
        <f>IFERROR(INDEX(TableTECalcPts[TM],MATCH(TableTERanks3343[[#This Row],[Player]],TableTECalcPts[PLAYER],0)),"")</f>
        <v>CAR</v>
      </c>
      <c r="AT48" s="58">
        <f>IFERROR(INDEX(TableTECalcPts[BYE],MATCH(TableTERanks3343[[#This Row],[Player]],TableTECalcPts[PLAYER],0)),"")</f>
        <v>5</v>
      </c>
      <c r="AU48" s="100">
        <f>VLOOKUP(TableTERanks3343[[#This Row],[Player]],TE!B:O,4,FALSE)</f>
        <v>32.846120999999997</v>
      </c>
      <c r="AV48" s="100">
        <f>VLOOKUP(TableTERanks3343[[#This Row],[Player]],TE!B:O,5,FALSE)</f>
        <v>23.583514877999995</v>
      </c>
      <c r="AW48" s="100">
        <f>VLOOKUP(TableTERanks3343[[#This Row],[Player]],TE!B:O,6,FALSE)</f>
        <v>189.37562447033994</v>
      </c>
      <c r="AX48" s="100">
        <f>VLOOKUP(TableTERanks3343[[#This Row],[Player]],TE!B:O,7,FALSE)</f>
        <v>1.7215965860939995</v>
      </c>
      <c r="AY48" s="95">
        <f>VLOOKUP(TableTERanks3343[[#This Row],[Player]],TE!B:O,11,FALSE)</f>
        <v>41.058899402597987</v>
      </c>
      <c r="AZ48" s="140">
        <f>IF(VLOOKUP(TableTERanks3343[[#This Row],[Player]],'Ranks w Proj'!$AR:$AZ,9,FALSE)&lt;0,0,VLOOKUP(TableTERanks3343[[#This Row],[Player]],'Ranks w Proj'!$AR:$AZ,9,FALSE))</f>
        <v>0</v>
      </c>
    </row>
    <row r="49" spans="1:52" x14ac:dyDescent="0.25">
      <c r="A49" s="58">
        <v>48</v>
      </c>
      <c r="B49" s="58">
        <f>VLOOKUP(TableQBRanks3040[[#This Row],[RK]],Rankings!A:T,3,FALSE)</f>
        <v>0</v>
      </c>
      <c r="C49" s="58" t="str">
        <f>IFERROR(INDEX(TableQBCalcPts[TM],MATCH(TableQBRanks3040[[#This Row],[Player]],TableQBCalcPts[PLAYER],0)),"")</f>
        <v/>
      </c>
      <c r="D49" s="58" t="str">
        <f>IFERROR(INDEX(TableQBCalcPts[BYE],MATCH(TableQBRanks3040[[#This Row],[Player]],TableQBCalcPts[PLAYER],0)),"")</f>
        <v/>
      </c>
      <c r="E49" s="100">
        <f>VLOOKUP(TableQBRanks3040[[#This Row],[Player]],QB!B:O,4,FALSE)</f>
        <v>0</v>
      </c>
      <c r="F49" s="100">
        <f>VLOOKUP(TableQBRanks3040[[#This Row],[Player]],QB!B:O,5,FALSE)</f>
        <v>0</v>
      </c>
      <c r="G49" s="100">
        <f>VLOOKUP(TableQBRanks3040[[#This Row],[Player]],QB!B:O,6,FALSE)</f>
        <v>0</v>
      </c>
      <c r="H49" s="100">
        <f>VLOOKUP(TableQBRanks3040[[#This Row],[Player]],QB!B:O,7,FALSE)</f>
        <v>0</v>
      </c>
      <c r="I49" s="100">
        <f>VLOOKUP(TableQBRanks3040[[#This Row],[Player]],QB!B:O,8,FALSE)</f>
        <v>0</v>
      </c>
      <c r="J49" s="100">
        <f>VLOOKUP(TableQBRanks3040[[#This Row],[Player]],QB!B:O,9,FALSE)</f>
        <v>0</v>
      </c>
      <c r="K49" s="100">
        <f>VLOOKUP(TableQBRanks3040[[#This Row],[Player]],QB!B:O,10,FALSE)</f>
        <v>0</v>
      </c>
      <c r="L49" s="100">
        <f>VLOOKUP(TableQBRanks3040[[#This Row],[Player]],QB!B:O,11,FALSE)</f>
        <v>0</v>
      </c>
      <c r="M49" s="95">
        <f>VLOOKUP(TableQBRanks3040[[#This Row],[Player]],QB!B:O,13,FALSE)</f>
        <v>0</v>
      </c>
      <c r="N49" s="140" t="e">
        <f>IF(VLOOKUP(TableQBRanks3040[[#This Row],[Player]],'Ranks w Proj'!$B:$N,13,FALSE)&lt;0,0,VLOOKUP(TableQBRanks3040[[#This Row],[Player]],'Ranks w Proj'!$B:$N,13,FALSE))</f>
        <v>#N/A</v>
      </c>
      <c r="P49" s="58">
        <v>48</v>
      </c>
      <c r="Q49" s="58" t="str">
        <f>VLOOKUP(TableRBRanks3141[[#This Row],[RK]],Rankings!A:T,8,FALSE)</f>
        <v>Braelon Allen</v>
      </c>
      <c r="R49" s="58" t="str">
        <f>IFERROR(INDEX(TableRBCalcPts[TM],MATCH(TableRBRanks3141[[#This Row],[Player]],TableRBCalcPts[PLAYER],0)),"")</f>
        <v>NYJ</v>
      </c>
      <c r="S49" s="58">
        <f>IFERROR(INDEX(TableRBCalcPts[BYE],MATCH(TableRBRanks3141[[#This Row],[Player]],TableRBCalcPts[PLAYER],0)),"")</f>
        <v>13</v>
      </c>
      <c r="T49" s="100">
        <f>VLOOKUP(TableRBRanks3141[[#This Row],[Player]],RB!B:O,4,FALSE)</f>
        <v>118.27602360000002</v>
      </c>
      <c r="U49" s="100">
        <f>VLOOKUP(TableRBRanks3141[[#This Row],[Player]],RB!B:O,5,FALSE)</f>
        <v>507.40414124400007</v>
      </c>
      <c r="V49" s="100">
        <f>VLOOKUP(TableRBRanks3141[[#This Row],[Player]],RB!B:O,6,FALSE)</f>
        <v>4.139660826000001</v>
      </c>
      <c r="W49" s="100">
        <f>VLOOKUP(TableRBRanks3141[[#This Row],[Player]],RB!B:O,7,FALSE)</f>
        <v>17.421916693702357</v>
      </c>
      <c r="X49" s="100">
        <f>VLOOKUP(TableRBRanks3141[[#This Row],[Player]],RB!B:O,8,FALSE)</f>
        <v>12.926632015944589</v>
      </c>
      <c r="Y49" s="100">
        <f>VLOOKUP(TableRBRanks3141[[#This Row],[Player]],RB!B:O,9,FALSE)</f>
        <v>99.888236735255546</v>
      </c>
      <c r="Z49" s="100">
        <f>VLOOKUP(TableRBRanks3141[[#This Row],[Player]],RB!B:O,10,FALSE)</f>
        <v>0.26240417736193672</v>
      </c>
      <c r="AA49" s="95">
        <f>VLOOKUP(TableRBRanks3141[[#This Row],[Player]],RB!B:O,14,FALSE)</f>
        <v>93.604943826069501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VLOOKUP(TableWRRanks3242[[#This Row],[RK]],Rankings!A:T,13,FALSE)</f>
        <v>Jayden Higgins</v>
      </c>
      <c r="AF49" s="58" t="str">
        <f>IFERROR(INDEX(TableWRCalcPts[TM],MATCH(TableWRRanks3242[[#This Row],[Player]],TableWRCalcPts[PLAYER],0)),"")</f>
        <v>HOU</v>
      </c>
      <c r="AG49" s="58">
        <f>IFERROR(INDEX(TableWRCalcPts[BYE],MATCH(TableWRRanks3242[[#This Row],[Player]],TableWRCalcPts[PLAYER],0)),"")</f>
        <v>8</v>
      </c>
      <c r="AH49" s="100">
        <f>VLOOKUP(TableWRRanks3242[[#This Row],[Player]],WR!B:O,4,FALSE)</f>
        <v>0</v>
      </c>
      <c r="AI49" s="100">
        <f>VLOOKUP(TableWRRanks3242[[#This Row],[Player]],WR!B:O,5,FALSE)</f>
        <v>0</v>
      </c>
      <c r="AJ49" s="100">
        <f>VLOOKUP(TableWRRanks3242[[#This Row],[Player]],WR!B:O,6,FALSE)</f>
        <v>111.71266469999999</v>
      </c>
      <c r="AK49" s="100">
        <f>VLOOKUP(TableWRRanks3242[[#This Row],[Player]],WR!B:O,7,FALSE)</f>
        <v>67.474449478799997</v>
      </c>
      <c r="AL49" s="100">
        <f>VLOOKUP(TableWRRanks3242[[#This Row],[Player]],WR!B:O,8,FALSE)</f>
        <v>843.43061848499997</v>
      </c>
      <c r="AM49" s="100">
        <f>VLOOKUP(TableWRRanks3242[[#This Row],[Player]],WR!B:O,9,FALSE)</f>
        <v>5.7353282056979999</v>
      </c>
      <c r="AN49" s="95">
        <f>VLOOKUP(TableWRRanks3242[[#This Row],[Player]],WR!B:O,13,FALSE)</f>
        <v>152.492255822088</v>
      </c>
      <c r="AO49" s="140">
        <f>IF(VLOOKUP(TableWRRanks3242[[#This Row],[Player]],'Ranks w Proj'!$AE:$AO,11,FALSE)&lt;0,0,VLOOKUP(TableWRRanks3242[[#This Row],[Player]],'Ranks w Proj'!$AE:$AO,11,FALSE))</f>
        <v>11.687539560811228</v>
      </c>
      <c r="AQ49" s="58">
        <v>48</v>
      </c>
      <c r="AR49" s="58" t="str">
        <f>VLOOKUP(TableTERanks3343[[#This Row],[RK]],Rankings!A:T,18,FALSE)</f>
        <v>Will Kacmarek</v>
      </c>
      <c r="AS49" s="58" t="str">
        <f>IFERROR(INDEX(TableTECalcPts[TM],MATCH(TableTERanks3343[[#This Row],[Player]],TableTECalcPts[PLAYER],0)),"")</f>
        <v>MIA</v>
      </c>
      <c r="AT49" s="58">
        <f>IFERROR(INDEX(TableTECalcPts[BYE],MATCH(TableTERanks3343[[#This Row],[Player]],TableTECalcPts[PLAYER],0)),"")</f>
        <v>6</v>
      </c>
      <c r="AU49" s="100">
        <f>VLOOKUP(TableTERanks3343[[#This Row],[Player]],TE!B:O,4,FALSE)</f>
        <v>16.743200039999998</v>
      </c>
      <c r="AV49" s="100">
        <f>VLOOKUP(TableTERanks3343[[#This Row],[Player]],TE!B:O,5,FALSE)</f>
        <v>11.54568326162553</v>
      </c>
      <c r="AW49" s="100">
        <f>VLOOKUP(TableTERanks3343[[#This Row],[Player]],TE!B:O,6,FALSE)</f>
        <v>119.84419225567302</v>
      </c>
      <c r="AX49" s="100">
        <f>VLOOKUP(TableTERanks3343[[#This Row],[Player]],TE!B:O,7,FALSE)</f>
        <v>0.69585214350638291</v>
      </c>
      <c r="AY49" s="95">
        <f>VLOOKUP(TableTERanks3343[[#This Row],[Player]],TE!B:O,11,FALSE)</f>
        <v>21.932373717418365</v>
      </c>
      <c r="AZ49" s="140">
        <f>IF(VLOOKUP(TableTERanks3343[[#This Row],[Player]],'Ranks w Proj'!$AR:$AZ,9,FALSE)&lt;0,0,VLOOKUP(TableTERanks3343[[#This Row],[Player]],'Ranks w Proj'!$AR:$AZ,9,FALSE))</f>
        <v>0</v>
      </c>
    </row>
    <row r="50" spans="1:52" x14ac:dyDescent="0.25">
      <c r="A50" s="58">
        <v>49</v>
      </c>
      <c r="B50" s="58">
        <f>VLOOKUP(TableQBRanks3040[[#This Row],[RK]],Rankings!A:T,3,FALSE)</f>
        <v>0</v>
      </c>
      <c r="C50" s="58" t="str">
        <f>IFERROR(INDEX(TableQBCalcPts[TM],MATCH(TableQBRanks3040[[#This Row],[Player]],TableQBCalcPts[PLAYER],0)),"")</f>
        <v/>
      </c>
      <c r="D50" s="58" t="str">
        <f>IFERROR(INDEX(TableQBCalcPts[BYE],MATCH(TableQBRanks3040[[#This Row],[Player]],TableQBCalcPts[PLAYER],0)),"")</f>
        <v/>
      </c>
      <c r="E50" s="100">
        <f>VLOOKUP(TableQBRanks3040[[#This Row],[Player]],QB!B:O,4,FALSE)</f>
        <v>0</v>
      </c>
      <c r="F50" s="100">
        <f>VLOOKUP(TableQBRanks3040[[#This Row],[Player]],QB!B:O,5,FALSE)</f>
        <v>0</v>
      </c>
      <c r="G50" s="100">
        <f>VLOOKUP(TableQBRanks3040[[#This Row],[Player]],QB!B:O,6,FALSE)</f>
        <v>0</v>
      </c>
      <c r="H50" s="100">
        <f>VLOOKUP(TableQBRanks3040[[#This Row],[Player]],QB!B:O,7,FALSE)</f>
        <v>0</v>
      </c>
      <c r="I50" s="100">
        <f>VLOOKUP(TableQBRanks3040[[#This Row],[Player]],QB!B:O,8,FALSE)</f>
        <v>0</v>
      </c>
      <c r="J50" s="100">
        <f>VLOOKUP(TableQBRanks3040[[#This Row],[Player]],QB!B:O,9,FALSE)</f>
        <v>0</v>
      </c>
      <c r="K50" s="100">
        <f>VLOOKUP(TableQBRanks3040[[#This Row],[Player]],QB!B:O,10,FALSE)</f>
        <v>0</v>
      </c>
      <c r="L50" s="100">
        <f>VLOOKUP(TableQBRanks3040[[#This Row],[Player]],QB!B:O,11,FALSE)</f>
        <v>0</v>
      </c>
      <c r="M50" s="95">
        <f>VLOOKUP(TableQBRanks3040[[#This Row],[Player]],QB!B:O,13,FALSE)</f>
        <v>0</v>
      </c>
      <c r="N50" s="140" t="e">
        <f>IF(VLOOKUP(TableQBRanks3040[[#This Row],[Player]],'Ranks w Proj'!$B:$N,13,FALSE)&lt;0,0,VLOOKUP(TableQBRanks3040[[#This Row],[Player]],'Ranks w Proj'!$B:$N,13,FALSE))</f>
        <v>#N/A</v>
      </c>
      <c r="P50" s="58">
        <v>49</v>
      </c>
      <c r="Q50" s="58" t="str">
        <f>VLOOKUP(TableRBRanks3141[[#This Row],[RK]],Rankings!A:T,8,FALSE)</f>
        <v>Brian Robinson</v>
      </c>
      <c r="R50" s="58" t="str">
        <f>IFERROR(INDEX(TableRBCalcPts[TM],MATCH(TableRBRanks3141[[#This Row],[Player]],TableRBCalcPts[PLAYER],0)),"")</f>
        <v>ATL</v>
      </c>
      <c r="S50" s="58">
        <f>IFERROR(INDEX(TableRBCalcPts[BYE],MATCH(TableRBRanks3141[[#This Row],[Player]],TableRBCalcPts[PLAYER],0)),"")</f>
        <v>11</v>
      </c>
      <c r="T50" s="100">
        <f>VLOOKUP(TableRBRanks3141[[#This Row],[Player]],RB!B:O,4,FALSE)</f>
        <v>110.50558988000002</v>
      </c>
      <c r="U50" s="100">
        <f>VLOOKUP(TableRBRanks3141[[#This Row],[Player]],RB!B:O,5,FALSE)</f>
        <v>471.85886878760004</v>
      </c>
      <c r="V50" s="100">
        <f>VLOOKUP(TableRBRanks3141[[#This Row],[Player]],RB!B:O,6,FALSE)</f>
        <v>4.5307291850800011</v>
      </c>
      <c r="W50" s="100">
        <f>VLOOKUP(TableRBRanks3141[[#This Row],[Player]],RB!B:O,7,FALSE)</f>
        <v>10.785486040000002</v>
      </c>
      <c r="X50" s="100">
        <f>VLOOKUP(TableRBRanks3141[[#This Row],[Player]],RB!B:O,8,FALSE)</f>
        <v>8.0891145300000016</v>
      </c>
      <c r="Y50" s="100">
        <f>VLOOKUP(TableRBRanks3141[[#This Row],[Player]],RB!B:O,9,FALSE)</f>
        <v>54.636638549268255</v>
      </c>
      <c r="Z50" s="100">
        <f>VLOOKUP(TableRBRanks3141[[#This Row],[Player]],RB!B:O,10,FALSE)</f>
        <v>0.24267343590000004</v>
      </c>
      <c r="AA50" s="95">
        <f>VLOOKUP(TableRBRanks3141[[#This Row],[Player]],RB!B:O,14,FALSE)</f>
        <v>85.334523724566836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VLOOKUP(TableWRRanks3242[[#This Row],[RK]],Rankings!A:T,13,FALSE)</f>
        <v>Jayden Reed</v>
      </c>
      <c r="AF50" s="58" t="str">
        <f>IFERROR(INDEX(TableWRCalcPts[TM],MATCH(TableWRRanks3242[[#This Row],[Player]],TableWRCalcPts[PLAYER],0)),"")</f>
        <v>GB</v>
      </c>
      <c r="AG50" s="58">
        <f>IFERROR(INDEX(TableWRCalcPts[BYE],MATCH(TableWRRanks3242[[#This Row],[Player]],TableWRCalcPts[PLAYER],0)),"")</f>
        <v>11</v>
      </c>
      <c r="AH50" s="100">
        <f>VLOOKUP(TableWRRanks3242[[#This Row],[Player]],WR!B:O,4,FALSE)</f>
        <v>103.7772294035012</v>
      </c>
      <c r="AI50" s="100">
        <f>VLOOKUP(TableWRRanks3242[[#This Row],[Player]],WR!B:O,5,FALSE)</f>
        <v>0.56593353600000007</v>
      </c>
      <c r="AJ50" s="100">
        <f>VLOOKUP(TableWRRanks3242[[#This Row],[Player]],WR!B:O,6,FALSE)</f>
        <v>89.223970974874362</v>
      </c>
      <c r="AK50" s="100">
        <f>VLOOKUP(TableWRRanks3242[[#This Row],[Player]],WR!B:O,7,FALSE)</f>
        <v>61.022436755073535</v>
      </c>
      <c r="AL50" s="100">
        <f>VLOOKUP(TableWRRanks3242[[#This Row],[Player]],WR!B:O,8,FALSE)</f>
        <v>746.91462588210004</v>
      </c>
      <c r="AM50" s="100">
        <f>VLOOKUP(TableWRRanks3242[[#This Row],[Player]],WR!B:O,9,FALSE)</f>
        <v>5.0038398139160298</v>
      </c>
      <c r="AN50" s="95">
        <f>VLOOKUP(TableWRRanks3242[[#This Row],[Player]],WR!B:O,13,FALSE)</f>
        <v>148.99904400559308</v>
      </c>
      <c r="AO50" s="140">
        <f>IF(VLOOKUP(TableWRRanks3242[[#This Row],[Player]],'Ranks w Proj'!$AE:$AO,11,FALSE)&lt;0,0,VLOOKUP(TableWRRanks3242[[#This Row],[Player]],'Ranks w Proj'!$AE:$AO,11,FALSE))</f>
        <v>11.031241253915688</v>
      </c>
      <c r="AQ50" s="58">
        <v>49</v>
      </c>
      <c r="AR50" s="58" t="str">
        <f>VLOOKUP(TableTERanks3343[[#This Row],[RK]],Rankings!A:T,18,FALSE)</f>
        <v>Luke Musgrave</v>
      </c>
      <c r="AS50" s="58" t="str">
        <f>IFERROR(INDEX(TableTECalcPts[TM],MATCH(TableTERanks3343[[#This Row],[Player]],TableTECalcPts[PLAYER],0)),"")</f>
        <v>GB</v>
      </c>
      <c r="AT50" s="58">
        <f>IFERROR(INDEX(TableTECalcPts[BYE],MATCH(TableTERanks3343[[#This Row],[Player]],TableTECalcPts[PLAYER],0)),"")</f>
        <v>11</v>
      </c>
      <c r="AU50" s="100">
        <f>VLOOKUP(TableTERanks3343[[#This Row],[Player]],TE!B:O,4,FALSE)</f>
        <v>20.871104321608037</v>
      </c>
      <c r="AV50" s="100">
        <f>VLOOKUP(TableTERanks3343[[#This Row],[Player]],TE!B:O,5,FALSE)</f>
        <v>16.279461370854268</v>
      </c>
      <c r="AW50" s="100">
        <f>VLOOKUP(TableTERanks3343[[#This Row],[Player]],TE!B:O,6,FALSE)</f>
        <v>157.70550039039088</v>
      </c>
      <c r="AX50" s="100">
        <f>VLOOKUP(TableTERanks3343[[#This Row],[Player]],TE!B:O,7,FALSE)</f>
        <v>0.97676768225125599</v>
      </c>
      <c r="AY50" s="95">
        <f>VLOOKUP(TableTERanks3343[[#This Row],[Player]],TE!B:O,11,FALSE)</f>
        <v>29.770886817973757</v>
      </c>
      <c r="AZ50" s="140">
        <f>IF(VLOOKUP(TableTERanks3343[[#This Row],[Player]],'Ranks w Proj'!$AR:$AZ,9,FALSE)&lt;0,0,VLOOKUP(TableTERanks3343[[#This Row],[Player]],'Ranks w Proj'!$AR:$AZ,9,FALSE))</f>
        <v>0</v>
      </c>
    </row>
    <row r="51" spans="1:52" x14ac:dyDescent="0.25">
      <c r="A51" s="58">
        <v>50</v>
      </c>
      <c r="B51" s="58">
        <f>VLOOKUP(TableQBRanks3040[[#This Row],[RK]],Rankings!A:T,3,FALSE)</f>
        <v>0</v>
      </c>
      <c r="C51" s="58" t="str">
        <f>IFERROR(INDEX(TableQBCalcPts[TM],MATCH(TableQBRanks3040[[#This Row],[Player]],TableQBCalcPts[PLAYER],0)),"")</f>
        <v/>
      </c>
      <c r="D51" s="58" t="str">
        <f>IFERROR(INDEX(TableQBCalcPts[BYE],MATCH(TableQBRanks3040[[#This Row],[Player]],TableQBCalcPts[PLAYER],0)),"")</f>
        <v/>
      </c>
      <c r="E51" s="100">
        <f>VLOOKUP(TableQBRanks3040[[#This Row],[Player]],QB!B:O,4,FALSE)</f>
        <v>0</v>
      </c>
      <c r="F51" s="100">
        <f>VLOOKUP(TableQBRanks3040[[#This Row],[Player]],QB!B:O,5,FALSE)</f>
        <v>0</v>
      </c>
      <c r="G51" s="100">
        <f>VLOOKUP(TableQBRanks3040[[#This Row],[Player]],QB!B:O,6,FALSE)</f>
        <v>0</v>
      </c>
      <c r="H51" s="100">
        <f>VLOOKUP(TableQBRanks3040[[#This Row],[Player]],QB!B:O,7,FALSE)</f>
        <v>0</v>
      </c>
      <c r="I51" s="100">
        <f>VLOOKUP(TableQBRanks3040[[#This Row],[Player]],QB!B:O,8,FALSE)</f>
        <v>0</v>
      </c>
      <c r="J51" s="100">
        <f>VLOOKUP(TableQBRanks3040[[#This Row],[Player]],QB!B:O,9,FALSE)</f>
        <v>0</v>
      </c>
      <c r="K51" s="100">
        <f>VLOOKUP(TableQBRanks3040[[#This Row],[Player]],QB!B:O,10,FALSE)</f>
        <v>0</v>
      </c>
      <c r="L51" s="100">
        <f>VLOOKUP(TableQBRanks3040[[#This Row],[Player]],QB!B:O,11,FALSE)</f>
        <v>0</v>
      </c>
      <c r="M51" s="95">
        <f>VLOOKUP(TableQBRanks3040[[#This Row],[Player]],QB!B:O,13,FALSE)</f>
        <v>0</v>
      </c>
      <c r="N51" s="140" t="e">
        <f>IF(VLOOKUP(TableQBRanks3040[[#This Row],[Player]],'Ranks w Proj'!$B:$N,13,FALSE)&lt;0,0,VLOOKUP(TableQBRanks3040[[#This Row],[Player]],'Ranks w Proj'!$B:$N,13,FALSE))</f>
        <v>#N/A</v>
      </c>
      <c r="P51" s="58">
        <v>50</v>
      </c>
      <c r="Q51" s="58" t="str">
        <f>VLOOKUP(TableRBRanks3141[[#This Row],[RK]],Rankings!A:T,8,FALSE)</f>
        <v>Keaton Mitchell</v>
      </c>
      <c r="R51" s="58" t="str">
        <f>IFERROR(INDEX(TableRBCalcPts[TM],MATCH(TableRBRanks3141[[#This Row],[Player]],TableRBCalcPts[PLAYER],0)),"")</f>
        <v>LAC</v>
      </c>
      <c r="S51" s="58">
        <f>IFERROR(INDEX(TableRBCalcPts[BYE],MATCH(TableRBRanks3141[[#This Row],[Player]],TableRBCalcPts[PLAYER],0)),"")</f>
        <v>7</v>
      </c>
      <c r="T51" s="100">
        <f>VLOOKUP(TableRBRanks3141[[#This Row],[Player]],RB!B:O,4,FALSE)</f>
        <v>93.00278987999998</v>
      </c>
      <c r="U51" s="100">
        <f>VLOOKUP(TableRBRanks3141[[#This Row],[Player]],RB!B:O,5,FALSE)</f>
        <v>408.28224757319987</v>
      </c>
      <c r="V51" s="100">
        <f>VLOOKUP(TableRBRanks3141[[#This Row],[Player]],RB!B:O,6,FALSE)</f>
        <v>2.6970809065199997</v>
      </c>
      <c r="W51" s="100">
        <f>VLOOKUP(TableRBRanks3141[[#This Row],[Player]],RB!B:O,7,FALSE)</f>
        <v>21.799337559999998</v>
      </c>
      <c r="X51" s="100">
        <f>VLOOKUP(TableRBRanks3141[[#This Row],[Player]],RB!B:O,8,FALSE)</f>
        <v>14.987258291495687</v>
      </c>
      <c r="Y51" s="100">
        <f>VLOOKUP(TableRBRanks3141[[#This Row],[Player]],RB!B:O,9,FALSE)</f>
        <v>111.65507427164287</v>
      </c>
      <c r="Z51" s="100">
        <f>VLOOKUP(TableRBRanks3141[[#This Row],[Player]],RB!B:O,10,FALSE)</f>
        <v>0.4945795236193577</v>
      </c>
      <c r="AA51" s="95">
        <f>VLOOKUP(TableRBRanks3141[[#This Row],[Player]],RB!B:O,14,FALSE)</f>
        <v>78.637323911068265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VLOOKUP(TableWRRanks3242[[#This Row],[RK]],Rankings!A:T,13,FALSE)</f>
        <v>Jalen Coker</v>
      </c>
      <c r="AF51" s="58" t="str">
        <f>IFERROR(INDEX(TableWRCalcPts[TM],MATCH(TableWRRanks3242[[#This Row],[Player]],TableWRCalcPts[PLAYER],0)),"")</f>
        <v>CAR</v>
      </c>
      <c r="AG51" s="58">
        <f>IFERROR(INDEX(TableWRCalcPts[BYE],MATCH(TableWRRanks3242[[#This Row],[Player]],TableWRCalcPts[PLAYER],0)),"")</f>
        <v>5</v>
      </c>
      <c r="AH51" s="100">
        <f>VLOOKUP(TableWRRanks3242[[#This Row],[Player]],WR!B:O,4,FALSE)</f>
        <v>0</v>
      </c>
      <c r="AI51" s="100">
        <f>VLOOKUP(TableWRRanks3242[[#This Row],[Player]],WR!B:O,5,FALSE)</f>
        <v>0</v>
      </c>
      <c r="AJ51" s="100">
        <f>VLOOKUP(TableWRRanks3242[[#This Row],[Player]],WR!B:O,6,FALSE)</f>
        <v>99.615284999999986</v>
      </c>
      <c r="AK51" s="100">
        <f>VLOOKUP(TableWRRanks3242[[#This Row],[Player]],WR!B:O,7,FALSE)</f>
        <v>62.558398979999993</v>
      </c>
      <c r="AL51" s="100">
        <f>VLOOKUP(TableWRRanks3242[[#This Row],[Player]],WR!B:O,8,FALSE)</f>
        <v>770.09389144379998</v>
      </c>
      <c r="AM51" s="100">
        <f>VLOOKUP(TableWRRanks3242[[#This Row],[Player]],WR!B:O,9,FALSE)</f>
        <v>4.629321524519999</v>
      </c>
      <c r="AN51" s="95">
        <f>VLOOKUP(TableWRRanks3242[[#This Row],[Player]],WR!B:O,13,FALSE)</f>
        <v>136.0645177815</v>
      </c>
      <c r="AO51" s="140">
        <f>IF(VLOOKUP(TableWRRanks3242[[#This Row],[Player]],'Ranks w Proj'!$AE:$AO,11,FALSE)&lt;0,0,VLOOKUP(TableWRRanks3242[[#This Row],[Player]],'Ranks w Proj'!$AE:$AO,11,FALSE))</f>
        <v>8.601125902397726</v>
      </c>
      <c r="AQ51" s="58">
        <v>50</v>
      </c>
      <c r="AR51" s="58" t="str">
        <f>VLOOKUP(TableTERanks3343[[#This Row],[RK]],Rankings!A:T,18,FALSE)</f>
        <v>Justin Joly</v>
      </c>
      <c r="AS51" s="58" t="str">
        <f>IFERROR(INDEX(TableTECalcPts[TM],MATCH(TableTERanks3343[[#This Row],[Player]],TableTECalcPts[PLAYER],0)),"")</f>
        <v>DEN</v>
      </c>
      <c r="AT51" s="58">
        <f>IFERROR(INDEX(TableTECalcPts[BYE],MATCH(TableTERanks3343[[#This Row],[Player]],TableTECalcPts[PLAYER],0)),"")</f>
        <v>10</v>
      </c>
      <c r="AU51" s="100">
        <f>VLOOKUP(TableTERanks3343[[#This Row],[Player]],TE!B:O,4,FALSE)</f>
        <v>27.392238720000005</v>
      </c>
      <c r="AV51" s="100">
        <f>VLOOKUP(TableTERanks3343[[#This Row],[Player]],TE!B:O,5,FALSE)</f>
        <v>20.270256652800004</v>
      </c>
      <c r="AW51" s="100">
        <f>VLOOKUP(TableTERanks3343[[#This Row],[Player]],TE!B:O,6,FALSE)</f>
        <v>161.75627420081466</v>
      </c>
      <c r="AX51" s="100">
        <f>VLOOKUP(TableTERanks3343[[#This Row],[Player]],TE!B:O,7,FALSE)</f>
        <v>1.0135128326400002</v>
      </c>
      <c r="AY51" s="95">
        <f>VLOOKUP(TableTERanks3343[[#This Row],[Player]],TE!B:O,11,FALSE)</f>
        <v>32.391832742321469</v>
      </c>
      <c r="AZ51" s="140">
        <f>IF(VLOOKUP(TableTERanks3343[[#This Row],[Player]],'Ranks w Proj'!$AR:$AZ,9,FALSE)&lt;0,0,VLOOKUP(TableTERanks3343[[#This Row],[Player]],'Ranks w Proj'!$AR:$AZ,9,FALSE))</f>
        <v>0</v>
      </c>
    </row>
    <row r="52" spans="1:52" x14ac:dyDescent="0.25">
      <c r="A52" s="58">
        <v>51</v>
      </c>
      <c r="B52" s="58">
        <f>VLOOKUP(TableQBRanks3040[[#This Row],[RK]],Rankings!A:T,3,FALSE)</f>
        <v>0</v>
      </c>
      <c r="C52" s="58" t="str">
        <f>IFERROR(INDEX(TableQBCalcPts[TM],MATCH(TableQBRanks3040[[#This Row],[Player]],TableQBCalcPts[PLAYER],0)),"")</f>
        <v/>
      </c>
      <c r="D52" s="58" t="str">
        <f>IFERROR(INDEX(TableQBCalcPts[BYE],MATCH(TableQBRanks3040[[#This Row],[Player]],TableQBCalcPts[PLAYER],0)),"")</f>
        <v/>
      </c>
      <c r="E52" s="100">
        <f>VLOOKUP(TableQBRanks3040[[#This Row],[Player]],QB!B:O,4,FALSE)</f>
        <v>0</v>
      </c>
      <c r="F52" s="100">
        <f>VLOOKUP(TableQBRanks3040[[#This Row],[Player]],QB!B:O,5,FALSE)</f>
        <v>0</v>
      </c>
      <c r="G52" s="100">
        <f>VLOOKUP(TableQBRanks3040[[#This Row],[Player]],QB!B:O,6,FALSE)</f>
        <v>0</v>
      </c>
      <c r="H52" s="100">
        <f>VLOOKUP(TableQBRanks3040[[#This Row],[Player]],QB!B:O,7,FALSE)</f>
        <v>0</v>
      </c>
      <c r="I52" s="100">
        <f>VLOOKUP(TableQBRanks3040[[#This Row],[Player]],QB!B:O,8,FALSE)</f>
        <v>0</v>
      </c>
      <c r="J52" s="100">
        <f>VLOOKUP(TableQBRanks3040[[#This Row],[Player]],QB!B:O,9,FALSE)</f>
        <v>0</v>
      </c>
      <c r="K52" s="100">
        <f>VLOOKUP(TableQBRanks3040[[#This Row],[Player]],QB!B:O,10,FALSE)</f>
        <v>0</v>
      </c>
      <c r="L52" s="100">
        <f>VLOOKUP(TableQBRanks3040[[#This Row],[Player]],QB!B:O,11,FALSE)</f>
        <v>0</v>
      </c>
      <c r="M52" s="95">
        <f>VLOOKUP(TableQBRanks3040[[#This Row],[Player]],QB!B:O,13,FALSE)</f>
        <v>0</v>
      </c>
      <c r="N52" s="140" t="e">
        <f>IF(VLOOKUP(TableQBRanks3040[[#This Row],[Player]],'Ranks w Proj'!$B:$N,13,FALSE)&lt;0,0,VLOOKUP(TableQBRanks3040[[#This Row],[Player]],'Ranks w Proj'!$B:$N,13,FALSE))</f>
        <v>#N/A</v>
      </c>
      <c r="P52" s="58">
        <v>51</v>
      </c>
      <c r="Q52" s="58" t="str">
        <f>VLOOKUP(TableRBRanks3141[[#This Row],[RK]],Rankings!A:T,8,FALSE)</f>
        <v>Dylan Sampson</v>
      </c>
      <c r="R52" s="58" t="str">
        <f>IFERROR(INDEX(TableRBCalcPts[TM],MATCH(TableRBRanks3141[[#This Row],[Player]],TableRBCalcPts[PLAYER],0)),"")</f>
        <v>CLE</v>
      </c>
      <c r="S52" s="58">
        <f>IFERROR(INDEX(TableRBCalcPts[BYE],MATCH(TableRBRanks3141[[#This Row],[Player]],TableRBCalcPts[PLAYER],0)),"")</f>
        <v>11</v>
      </c>
      <c r="T52" s="100">
        <f>VLOOKUP(TableRBRanks3141[[#This Row],[Player]],RB!B:O,4,FALSE)</f>
        <v>99.950004000000007</v>
      </c>
      <c r="U52" s="100">
        <f>VLOOKUP(TableRBRanks3141[[#This Row],[Player]],RB!B:O,5,FALSE)</f>
        <v>376.81151508000005</v>
      </c>
      <c r="V52" s="100">
        <f>VLOOKUP(TableRBRanks3141[[#This Row],[Player]],RB!B:O,6,FALSE)</f>
        <v>1.5263641160310031</v>
      </c>
      <c r="W52" s="100">
        <f>VLOOKUP(TableRBRanks3141[[#This Row],[Player]],RB!B:O,7,FALSE)</f>
        <v>38.099753999999997</v>
      </c>
      <c r="X52" s="100">
        <f>VLOOKUP(TableRBRanks3141[[#This Row],[Player]],RB!B:O,8,FALSE)</f>
        <v>28.612915253999997</v>
      </c>
      <c r="Y52" s="100">
        <f>VLOOKUP(TableRBRanks3141[[#This Row],[Player]],RB!B:O,9,FALSE)</f>
        <v>220.70434522354418</v>
      </c>
      <c r="Z52" s="100">
        <f>VLOOKUP(TableRBRanks3141[[#This Row],[Player]],RB!B:O,10,FALSE)</f>
        <v>1.3161941016839998</v>
      </c>
      <c r="AA52" s="95">
        <f>VLOOKUP(TableRBRanks3141[[#This Row],[Player]],RB!B:O,14,FALSE)</f>
        <v>91.113392963644444</v>
      </c>
      <c r="AB52" s="140">
        <f>IF(VLOOKUP(TableRBRanks3141[[#This Row],[Player]],'Ranks w Proj'!$Q:$AB,12,FALSE)&lt;0,0,VLOOKUP(TableRBRanks3141[[#This Row],[Player]],'Ranks w Proj'!$Q:$AB,12,FALSE))</f>
        <v>0</v>
      </c>
      <c r="AD52" s="58">
        <v>51</v>
      </c>
      <c r="AE52" s="58" t="str">
        <f>VLOOKUP(TableWRRanks3242[[#This Row],[RK]],Rankings!A:T,13,FALSE)</f>
        <v>Jerry Jeudy</v>
      </c>
      <c r="AF52" s="58" t="str">
        <f>IFERROR(INDEX(TableWRCalcPts[TM],MATCH(TableWRRanks3242[[#This Row],[Player]],TableWRCalcPts[PLAYER],0)),"")</f>
        <v>CLE</v>
      </c>
      <c r="AG52" s="58">
        <f>IFERROR(INDEX(TableWRCalcPts[BYE],MATCH(TableWRRanks3242[[#This Row],[Player]],TableWRCalcPts[PLAYER],0)),"")</f>
        <v>11</v>
      </c>
      <c r="AH52" s="100">
        <f>VLOOKUP(TableWRRanks3242[[#This Row],[Player]],WR!B:O,4,FALSE)</f>
        <v>0</v>
      </c>
      <c r="AI52" s="100">
        <f>VLOOKUP(TableWRRanks3242[[#This Row],[Player]],WR!B:O,5,FALSE)</f>
        <v>0</v>
      </c>
      <c r="AJ52" s="100">
        <f>VLOOKUP(TableWRRanks3242[[#This Row],[Player]],WR!B:O,6,FALSE)</f>
        <v>83.126735999999994</v>
      </c>
      <c r="AK52" s="100">
        <f>VLOOKUP(TableWRRanks3242[[#This Row],[Player]],WR!B:O,7,FALSE)</f>
        <v>45.054690911999998</v>
      </c>
      <c r="AL52" s="100">
        <f>VLOOKUP(TableWRRanks3242[[#This Row],[Player]],WR!B:O,8,FALSE)</f>
        <v>554.17269821759999</v>
      </c>
      <c r="AM52" s="100">
        <f>VLOOKUP(TableWRRanks3242[[#This Row],[Player]],WR!B:O,9,FALSE)</f>
        <v>2.8835002183679999</v>
      </c>
      <c r="AN52" s="95">
        <f>VLOOKUP(TableWRRanks3242[[#This Row],[Player]],WR!B:O,13,FALSE)</f>
        <v>95.245616587967987</v>
      </c>
      <c r="AO52" s="140">
        <f>IF(VLOOKUP(TableWRRanks3242[[#This Row],[Player]],'Ranks w Proj'!$AE:$AO,11,FALSE)&lt;0,0,VLOOKUP(TableWRRanks3242[[#This Row],[Player]],'Ranks w Proj'!$AE:$AO,11,FALSE))</f>
        <v>0.93214470401972305</v>
      </c>
      <c r="AQ52" s="58">
        <v>51</v>
      </c>
      <c r="AR52" s="58">
        <f>VLOOKUP(TableTERanks3343[[#This Row],[RK]],Rankings!A:T,18,FALSE)</f>
        <v>0</v>
      </c>
      <c r="AS52" s="58" t="str">
        <f>IFERROR(INDEX(TableTECalcPts[TM],MATCH(TableTERanks3343[[#This Row],[Player]],TableTECalcPts[PLAYER],0)),"")</f>
        <v/>
      </c>
      <c r="AT52" s="58" t="str">
        <f>IFERROR(INDEX(TableTECalcPts[BYE],MATCH(TableTERanks3343[[#This Row],[Player]],TableTECalcPts[PLAYER],0)),"")</f>
        <v/>
      </c>
      <c r="AU52" s="100">
        <f>VLOOKUP(TableTERanks3343[[#This Row],[Player]],TE!B:O,4,FALSE)</f>
        <v>0</v>
      </c>
      <c r="AV52" s="100">
        <f>VLOOKUP(TableTERanks3343[[#This Row],[Player]],TE!B:O,5,FALSE)</f>
        <v>0</v>
      </c>
      <c r="AW52" s="100">
        <f>VLOOKUP(TableTERanks3343[[#This Row],[Player]],TE!B:O,6,FALSE)</f>
        <v>0</v>
      </c>
      <c r="AX52" s="100">
        <f>VLOOKUP(TableTERanks3343[[#This Row],[Player]],TE!B:O,7,FALSE)</f>
        <v>0</v>
      </c>
      <c r="AY52" s="95">
        <f>VLOOKUP(TableTERanks3343[[#This Row],[Player]],TE!B:O,11,FALSE)</f>
        <v>0</v>
      </c>
      <c r="AZ52" s="140" t="e">
        <f>IF(VLOOKUP(TableTERanks3343[[#This Row],[Player]],'Ranks w Proj'!$AR:$AZ,9,FALSE)&lt;0,0,VLOOKUP(TableTERanks3343[[#This Row],[Player]],'Ranks w Proj'!$AR:$AZ,9,FALSE))</f>
        <v>#N/A</v>
      </c>
    </row>
    <row r="53" spans="1:52" x14ac:dyDescent="0.25">
      <c r="A53" s="58">
        <v>52</v>
      </c>
      <c r="B53" s="58">
        <f>VLOOKUP(TableQBRanks3040[[#This Row],[RK]],Rankings!A:T,3,FALSE)</f>
        <v>0</v>
      </c>
      <c r="C53" s="58" t="str">
        <f>IFERROR(INDEX(TableQBCalcPts[TM],MATCH(TableQBRanks3040[[#This Row],[Player]],TableQBCalcPts[PLAYER],0)),"")</f>
        <v/>
      </c>
      <c r="D53" s="58" t="str">
        <f>IFERROR(INDEX(TableQBCalcPts[BYE],MATCH(TableQBRanks3040[[#This Row],[Player]],TableQBCalcPts[PLAYER],0)),"")</f>
        <v/>
      </c>
      <c r="E53" s="100">
        <f>VLOOKUP(TableQBRanks3040[[#This Row],[Player]],QB!B:O,4,FALSE)</f>
        <v>0</v>
      </c>
      <c r="F53" s="100">
        <f>VLOOKUP(TableQBRanks3040[[#This Row],[Player]],QB!B:O,5,FALSE)</f>
        <v>0</v>
      </c>
      <c r="G53" s="100">
        <f>VLOOKUP(TableQBRanks3040[[#This Row],[Player]],QB!B:O,6,FALSE)</f>
        <v>0</v>
      </c>
      <c r="H53" s="100">
        <f>VLOOKUP(TableQBRanks3040[[#This Row],[Player]],QB!B:O,7,FALSE)</f>
        <v>0</v>
      </c>
      <c r="I53" s="100">
        <f>VLOOKUP(TableQBRanks3040[[#This Row],[Player]],QB!B:O,8,FALSE)</f>
        <v>0</v>
      </c>
      <c r="J53" s="100">
        <f>VLOOKUP(TableQBRanks3040[[#This Row],[Player]],QB!B:O,9,FALSE)</f>
        <v>0</v>
      </c>
      <c r="K53" s="100">
        <f>VLOOKUP(TableQBRanks3040[[#This Row],[Player]],QB!B:O,10,FALSE)</f>
        <v>0</v>
      </c>
      <c r="L53" s="100">
        <f>VLOOKUP(TableQBRanks3040[[#This Row],[Player]],QB!B:O,11,FALSE)</f>
        <v>0</v>
      </c>
      <c r="M53" s="95">
        <f>VLOOKUP(TableQBRanks3040[[#This Row],[Player]],QB!B:O,13,FALSE)</f>
        <v>0</v>
      </c>
      <c r="N53" s="140" t="e">
        <f>IF(VLOOKUP(TableQBRanks3040[[#This Row],[Player]],'Ranks w Proj'!$B:$N,13,FALSE)&lt;0,0,VLOOKUP(TableQBRanks3040[[#This Row],[Player]],'Ranks w Proj'!$B:$N,13,FALSE))</f>
        <v>#N/A</v>
      </c>
      <c r="P53" s="58">
        <v>52</v>
      </c>
      <c r="Q53" s="58" t="str">
        <f>VLOOKUP(TableRBRanks3141[[#This Row],[RK]],Rankings!A:T,8,FALSE)</f>
        <v>Woody Marks</v>
      </c>
      <c r="R53" s="58" t="str">
        <f>IFERROR(INDEX(TableRBCalcPts[TM],MATCH(TableRBRanks3141[[#This Row],[Player]],TableRBCalcPts[PLAYER],0)),"")</f>
        <v>HOU</v>
      </c>
      <c r="S53" s="58">
        <f>IFERROR(INDEX(TableRBCalcPts[BYE],MATCH(TableRBRanks3141[[#This Row],[Player]],TableRBCalcPts[PLAYER],0)),"")</f>
        <v>8</v>
      </c>
      <c r="T53" s="100">
        <f>VLOOKUP(TableRBRanks3141[[#This Row],[Player]],RB!B:O,4,FALSE)</f>
        <v>111.99860224000001</v>
      </c>
      <c r="U53" s="100">
        <f>VLOOKUP(TableRBRanks3141[[#This Row],[Player]],RB!B:O,5,FALSE)</f>
        <v>434.55457669120005</v>
      </c>
      <c r="V53" s="100">
        <f>VLOOKUP(TableRBRanks3141[[#This Row],[Player]],RB!B:O,6,FALSE)</f>
        <v>3.2479594649600005</v>
      </c>
      <c r="W53" s="100">
        <f>VLOOKUP(TableRBRanks3141[[#This Row],[Player]],RB!B:O,7,FALSE)</f>
        <v>32.081585759999996</v>
      </c>
      <c r="X53" s="100">
        <f>VLOOKUP(TableRBRanks3141[[#This Row],[Player]],RB!B:O,8,FALSE)</f>
        <v>22.427235116159999</v>
      </c>
      <c r="Y53" s="100">
        <f>VLOOKUP(TableRBRanks3141[[#This Row],[Player]],RB!B:O,9,FALSE)</f>
        <v>165.96153985958401</v>
      </c>
      <c r="Z53" s="100">
        <f>VLOOKUP(TableRBRanks3141[[#This Row],[Player]],RB!B:O,10,FALSE)</f>
        <v>0.71767152371711995</v>
      </c>
      <c r="AA53" s="95">
        <f>VLOOKUP(TableRBRanks3141[[#This Row],[Player]],RB!B:O,14,FALSE)</f>
        <v>95.059015145221139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VLOOKUP(TableWRRanks3242[[#This Row],[RK]],Rankings!A:T,13,FALSE)</f>
        <v>Jakobi Meyers</v>
      </c>
      <c r="AF53" s="58" t="str">
        <f>IFERROR(INDEX(TableWRCalcPts[TM],MATCH(TableWRRanks3242[[#This Row],[Player]],TableWRCalcPts[PLAYER],0)),"")</f>
        <v>JAX</v>
      </c>
      <c r="AG53" s="58">
        <f>IFERROR(INDEX(TableWRCalcPts[BYE],MATCH(TableWRRanks3242[[#This Row],[Player]],TableWRCalcPts[PLAYER],0)),"")</f>
        <v>7</v>
      </c>
      <c r="AH53" s="100">
        <f>VLOOKUP(TableWRRanks3242[[#This Row],[Player]],WR!B:O,4,FALSE)</f>
        <v>10.894215331920902</v>
      </c>
      <c r="AI53" s="100">
        <f>VLOOKUP(TableWRRanks3242[[#This Row],[Player]],WR!B:O,5,FALSE)</f>
        <v>3.018206214689265E-2</v>
      </c>
      <c r="AJ53" s="100">
        <f>VLOOKUP(TableWRRanks3242[[#This Row],[Player]],WR!B:O,6,FALSE)</f>
        <v>102.97985039999999</v>
      </c>
      <c r="AK53" s="100">
        <f>VLOOKUP(TableWRRanks3242[[#This Row],[Player]],WR!B:O,7,FALSE)</f>
        <v>65.495184854399994</v>
      </c>
      <c r="AL53" s="100">
        <f>VLOOKUP(TableWRRanks3242[[#This Row],[Player]],WR!B:O,8,FALSE)</f>
        <v>740.75054070326394</v>
      </c>
      <c r="AM53" s="100">
        <f>VLOOKUP(TableWRRanks3242[[#This Row],[Player]],WR!B:O,9,FALSE)</f>
        <v>4.9121388640799992</v>
      </c>
      <c r="AN53" s="95">
        <f>VLOOKUP(TableWRRanks3242[[#This Row],[Player]],WR!B:O,13,FALSE)</f>
        <v>137.56599358807983</v>
      </c>
      <c r="AO53" s="140">
        <f>IF(VLOOKUP(TableWRRanks3242[[#This Row],[Player]],'Ranks w Proj'!$AE:$AO,11,FALSE)&lt;0,0,VLOOKUP(TableWRRanks3242[[#This Row],[Player]],'Ranks w Proj'!$AE:$AO,11,FALSE))</f>
        <v>8.8832204564839774</v>
      </c>
      <c r="AQ53" s="58">
        <v>52</v>
      </c>
      <c r="AR53" s="58">
        <f>VLOOKUP(TableTERanks3343[[#This Row],[RK]],Rankings!A:T,18,FALSE)</f>
        <v>0</v>
      </c>
      <c r="AS53" s="58" t="str">
        <f>IFERROR(INDEX(TableTECalcPts[TM],MATCH(TableTERanks3343[[#This Row],[Player]],TableTECalcPts[PLAYER],0)),"")</f>
        <v/>
      </c>
      <c r="AT53" s="58" t="str">
        <f>IFERROR(INDEX(TableTECalcPts[BYE],MATCH(TableTERanks3343[[#This Row],[Player]],TableTECalcPts[PLAYER],0)),"")</f>
        <v/>
      </c>
      <c r="AU53" s="100">
        <f>VLOOKUP(TableTERanks3343[[#This Row],[Player]],TE!B:O,4,FALSE)</f>
        <v>0</v>
      </c>
      <c r="AV53" s="100">
        <f>VLOOKUP(TableTERanks3343[[#This Row],[Player]],TE!B:O,5,FALSE)</f>
        <v>0</v>
      </c>
      <c r="AW53" s="100">
        <f>VLOOKUP(TableTERanks3343[[#This Row],[Player]],TE!B:O,6,FALSE)</f>
        <v>0</v>
      </c>
      <c r="AX53" s="100">
        <f>VLOOKUP(TableTERanks3343[[#This Row],[Player]],TE!B:O,7,FALSE)</f>
        <v>0</v>
      </c>
      <c r="AY53" s="95">
        <f>VLOOKUP(TableTERanks3343[[#This Row],[Player]],TE!B:O,11,FALSE)</f>
        <v>0</v>
      </c>
      <c r="AZ53" s="140" t="e">
        <f>IF(VLOOKUP(TableTERanks3343[[#This Row],[Player]],'Ranks w Proj'!$AR:$AZ,9,FALSE)&lt;0,0,VLOOKUP(TableTERanks3343[[#This Row],[Player]],'Ranks w Proj'!$AR:$AZ,9,FALSE))</f>
        <v>#N/A</v>
      </c>
    </row>
    <row r="54" spans="1:52" x14ac:dyDescent="0.25">
      <c r="A54" s="58">
        <v>53</v>
      </c>
      <c r="B54" s="58">
        <f>VLOOKUP(TableQBRanks3040[[#This Row],[RK]],Rankings!A:T,3,FALSE)</f>
        <v>0</v>
      </c>
      <c r="C54" s="58" t="str">
        <f>IFERROR(INDEX(TableQBCalcPts[TM],MATCH(TableQBRanks3040[[#This Row],[Player]],TableQBCalcPts[PLAYER],0)),"")</f>
        <v/>
      </c>
      <c r="D54" s="58" t="str">
        <f>IFERROR(INDEX(TableQBCalcPts[BYE],MATCH(TableQBRanks3040[[#This Row],[Player]],TableQBCalcPts[PLAYER],0)),"")</f>
        <v/>
      </c>
      <c r="E54" s="100">
        <f>VLOOKUP(TableQBRanks3040[[#This Row],[Player]],QB!B:O,4,FALSE)</f>
        <v>0</v>
      </c>
      <c r="F54" s="100">
        <f>VLOOKUP(TableQBRanks3040[[#This Row],[Player]],QB!B:O,5,FALSE)</f>
        <v>0</v>
      </c>
      <c r="G54" s="100">
        <f>VLOOKUP(TableQBRanks3040[[#This Row],[Player]],QB!B:O,6,FALSE)</f>
        <v>0</v>
      </c>
      <c r="H54" s="100">
        <f>VLOOKUP(TableQBRanks3040[[#This Row],[Player]],QB!B:O,7,FALSE)</f>
        <v>0</v>
      </c>
      <c r="I54" s="100">
        <f>VLOOKUP(TableQBRanks3040[[#This Row],[Player]],QB!B:O,8,FALSE)</f>
        <v>0</v>
      </c>
      <c r="J54" s="100">
        <f>VLOOKUP(TableQBRanks3040[[#This Row],[Player]],QB!B:O,9,FALSE)</f>
        <v>0</v>
      </c>
      <c r="K54" s="100">
        <f>VLOOKUP(TableQBRanks3040[[#This Row],[Player]],QB!B:O,10,FALSE)</f>
        <v>0</v>
      </c>
      <c r="L54" s="100">
        <f>VLOOKUP(TableQBRanks3040[[#This Row],[Player]],QB!B:O,11,FALSE)</f>
        <v>0</v>
      </c>
      <c r="M54" s="95">
        <f>VLOOKUP(TableQBRanks3040[[#This Row],[Player]],QB!B:O,13,FALSE)</f>
        <v>0</v>
      </c>
      <c r="N54" s="140" t="e">
        <f>IF(VLOOKUP(TableQBRanks3040[[#This Row],[Player]],'Ranks w Proj'!$B:$N,13,FALSE)&lt;0,0,VLOOKUP(TableQBRanks3040[[#This Row],[Player]],'Ranks w Proj'!$B:$N,13,FALSE))</f>
        <v>#N/A</v>
      </c>
      <c r="P54" s="58">
        <v>53</v>
      </c>
      <c r="Q54" s="58" t="str">
        <f>VLOOKUP(TableRBRanks3141[[#This Row],[RK]],Rankings!A:T,8,FALSE)</f>
        <v>Justice Hill</v>
      </c>
      <c r="R54" s="58" t="str">
        <f>IFERROR(INDEX(TableRBCalcPts[TM],MATCH(TableRBRanks3141[[#This Row],[Player]],TableRBCalcPts[PLAYER],0)),"")</f>
        <v>BAL</v>
      </c>
      <c r="S54" s="58">
        <f>IFERROR(INDEX(TableRBCalcPts[BYE],MATCH(TableRBRanks3141[[#This Row],[Player]],TableRBCalcPts[PLAYER],0)),"")</f>
        <v>13</v>
      </c>
      <c r="T54" s="100">
        <f>VLOOKUP(TableRBRanks3141[[#This Row],[Player]],RB!B:O,4,FALSE)</f>
        <v>39.288948859551994</v>
      </c>
      <c r="U54" s="100">
        <f>VLOOKUP(TableRBRanks3141[[#This Row],[Player]],RB!B:O,5,FALSE)</f>
        <v>189.68282377937382</v>
      </c>
      <c r="V54" s="100">
        <f>VLOOKUP(TableRBRanks3141[[#This Row],[Player]],RB!B:O,6,FALSE)</f>
        <v>1.4480090584472696</v>
      </c>
      <c r="W54" s="100">
        <f>VLOOKUP(TableRBRanks3141[[#This Row],[Player]],RB!B:O,7,FALSE)</f>
        <v>47.936017919999991</v>
      </c>
      <c r="X54" s="100">
        <f>VLOOKUP(TableRBRanks3141[[#This Row],[Player]],RB!B:O,8,FALSE)</f>
        <v>38.38817232966062</v>
      </c>
      <c r="Y54" s="100">
        <f>VLOOKUP(TableRBRanks3141[[#This Row],[Player]],RB!B:O,9,FALSE)</f>
        <v>328.26147760575321</v>
      </c>
      <c r="Z54" s="100">
        <f>VLOOKUP(TableRBRanks3141[[#This Row],[Player]],RB!B:O,10,FALSE)</f>
        <v>2.1497376504609949</v>
      </c>
      <c r="AA54" s="95">
        <f>VLOOKUP(TableRBRanks3141[[#This Row],[Player]],RB!B:O,14,FALSE)</f>
        <v>92.574996556792598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VLOOKUP(TableWRRanks3242[[#This Row],[RK]],Rankings!A:T,13,FALSE)</f>
        <v>Khalil Shakir</v>
      </c>
      <c r="AF54" s="58" t="str">
        <f>IFERROR(INDEX(TableWRCalcPts[TM],MATCH(TableWRRanks3242[[#This Row],[Player]],TableWRCalcPts[PLAYER],0)),"")</f>
        <v>BUF</v>
      </c>
      <c r="AG54" s="58">
        <f>IFERROR(INDEX(TableWRCalcPts[BYE],MATCH(TableWRRanks3242[[#This Row],[Player]],TableWRCalcPts[PLAYER],0)),"")</f>
        <v>7</v>
      </c>
      <c r="AH54" s="100">
        <f>VLOOKUP(TableWRRanks3242[[#This Row],[Player]],WR!B:O,4,FALSE)</f>
        <v>0</v>
      </c>
      <c r="AI54" s="100">
        <f>VLOOKUP(TableWRRanks3242[[#This Row],[Player]],WR!B:O,5,FALSE)</f>
        <v>0</v>
      </c>
      <c r="AJ54" s="100">
        <f>VLOOKUP(TableWRRanks3242[[#This Row],[Player]],WR!B:O,6,FALSE)</f>
        <v>90.403882799999963</v>
      </c>
      <c r="AK54" s="100">
        <f>VLOOKUP(TableWRRanks3242[[#This Row],[Player]],WR!B:O,7,FALSE)</f>
        <v>64.457968436399966</v>
      </c>
      <c r="AL54" s="100">
        <f>VLOOKUP(TableWRRanks3242[[#This Row],[Player]],WR!B:O,8,FALSE)</f>
        <v>705.95057284349139</v>
      </c>
      <c r="AM54" s="100">
        <f>VLOOKUP(TableWRRanks3242[[#This Row],[Player]],WR!B:O,9,FALSE)</f>
        <v>3.7385621693111983</v>
      </c>
      <c r="AN54" s="95">
        <f>VLOOKUP(TableWRRanks3242[[#This Row],[Player]],WR!B:O,13,FALSE)</f>
        <v>125.25541451841632</v>
      </c>
      <c r="AO54" s="140">
        <f>IF(VLOOKUP(TableWRRanks3242[[#This Row],[Player]],'Ranks w Proj'!$AE:$AO,11,FALSE)&lt;0,0,VLOOKUP(TableWRRanks3242[[#This Row],[Player]],'Ranks w Proj'!$AE:$AO,11,FALSE))</f>
        <v>6.5703311658394998</v>
      </c>
      <c r="AQ54" s="58">
        <v>53</v>
      </c>
      <c r="AR54" s="58">
        <f>VLOOKUP(TableTERanks3343[[#This Row],[RK]],Rankings!A:T,18,FALSE)</f>
        <v>0</v>
      </c>
      <c r="AS54" s="58" t="str">
        <f>IFERROR(INDEX(TableTECalcPts[TM],MATCH(TableTERanks3343[[#This Row],[Player]],TableTECalcPts[PLAYER],0)),"")</f>
        <v/>
      </c>
      <c r="AT54" s="58" t="str">
        <f>IFERROR(INDEX(TableTECalcPts[BYE],MATCH(TableTERanks3343[[#This Row],[Player]],TableTECalcPts[PLAYER],0)),"")</f>
        <v/>
      </c>
      <c r="AU54" s="100">
        <f>VLOOKUP(TableTERanks3343[[#This Row],[Player]],TE!B:O,4,FALSE)</f>
        <v>0</v>
      </c>
      <c r="AV54" s="100">
        <f>VLOOKUP(TableTERanks3343[[#This Row],[Player]],TE!B:O,5,FALSE)</f>
        <v>0</v>
      </c>
      <c r="AW54" s="100">
        <f>VLOOKUP(TableTERanks3343[[#This Row],[Player]],TE!B:O,6,FALSE)</f>
        <v>0</v>
      </c>
      <c r="AX54" s="100">
        <f>VLOOKUP(TableTERanks3343[[#This Row],[Player]],TE!B:O,7,FALSE)</f>
        <v>0</v>
      </c>
      <c r="AY54" s="95">
        <f>VLOOKUP(TableTERanks3343[[#This Row],[Player]],TE!B:O,11,FALSE)</f>
        <v>0</v>
      </c>
      <c r="AZ54" s="140" t="e">
        <f>IF(VLOOKUP(TableTERanks3343[[#This Row],[Player]],'Ranks w Proj'!$AR:$AZ,9,FALSE)&lt;0,0,VLOOKUP(TableTERanks3343[[#This Row],[Player]],'Ranks w Proj'!$AR:$AZ,9,FALSE))</f>
        <v>#N/A</v>
      </c>
    </row>
    <row r="55" spans="1:52" x14ac:dyDescent="0.25">
      <c r="A55" s="58">
        <v>54</v>
      </c>
      <c r="B55" s="58">
        <f>VLOOKUP(TableQBRanks3040[[#This Row],[RK]],Rankings!A:T,3,FALSE)</f>
        <v>0</v>
      </c>
      <c r="C55" s="58" t="str">
        <f>IFERROR(INDEX(TableQBCalcPts[TM],MATCH(TableQBRanks3040[[#This Row],[Player]],TableQBCalcPts[PLAYER],0)),"")</f>
        <v/>
      </c>
      <c r="D55" s="58" t="str">
        <f>IFERROR(INDEX(TableQBCalcPts[BYE],MATCH(TableQBRanks3040[[#This Row],[Player]],TableQBCalcPts[PLAYER],0)),"")</f>
        <v/>
      </c>
      <c r="E55" s="100">
        <f>VLOOKUP(TableQBRanks3040[[#This Row],[Player]],QB!B:O,4,FALSE)</f>
        <v>0</v>
      </c>
      <c r="F55" s="100">
        <f>VLOOKUP(TableQBRanks3040[[#This Row],[Player]],QB!B:O,5,FALSE)</f>
        <v>0</v>
      </c>
      <c r="G55" s="100">
        <f>VLOOKUP(TableQBRanks3040[[#This Row],[Player]],QB!B:O,6,FALSE)</f>
        <v>0</v>
      </c>
      <c r="H55" s="100">
        <f>VLOOKUP(TableQBRanks3040[[#This Row],[Player]],QB!B:O,7,FALSE)</f>
        <v>0</v>
      </c>
      <c r="I55" s="100">
        <f>VLOOKUP(TableQBRanks3040[[#This Row],[Player]],QB!B:O,8,FALSE)</f>
        <v>0</v>
      </c>
      <c r="J55" s="100">
        <f>VLOOKUP(TableQBRanks3040[[#This Row],[Player]],QB!B:O,9,FALSE)</f>
        <v>0</v>
      </c>
      <c r="K55" s="100">
        <f>VLOOKUP(TableQBRanks3040[[#This Row],[Player]],QB!B:O,10,FALSE)</f>
        <v>0</v>
      </c>
      <c r="L55" s="100">
        <f>VLOOKUP(TableQBRanks3040[[#This Row],[Player]],QB!B:O,11,FALSE)</f>
        <v>0</v>
      </c>
      <c r="M55" s="95">
        <f>VLOOKUP(TableQBRanks3040[[#This Row],[Player]],QB!B:O,13,FALSE)</f>
        <v>0</v>
      </c>
      <c r="N55" s="140" t="e">
        <f>IF(VLOOKUP(TableQBRanks3040[[#This Row],[Player]],'Ranks w Proj'!$B:$N,13,FALSE)&lt;0,0,VLOOKUP(TableQBRanks3040[[#This Row],[Player]],'Ranks w Proj'!$B:$N,13,FALSE))</f>
        <v>#N/A</v>
      </c>
      <c r="P55" s="58">
        <v>54</v>
      </c>
      <c r="Q55" s="58" t="str">
        <f>VLOOKUP(TableRBRanks3141[[#This Row],[RK]],Rankings!A:T,8,FALSE)</f>
        <v>Tyjae Spears</v>
      </c>
      <c r="R55" s="58" t="str">
        <f>IFERROR(INDEX(TableRBCalcPts[TM],MATCH(TableRBRanks3141[[#This Row],[Player]],TableRBCalcPts[PLAYER],0)),"")</f>
        <v>TEN</v>
      </c>
      <c r="S55" s="58">
        <f>IFERROR(INDEX(TableRBCalcPts[BYE],MATCH(TableRBRanks3141[[#This Row],[Player]],TableRBCalcPts[PLAYER],0)),"")</f>
        <v>9</v>
      </c>
      <c r="T55" s="100">
        <f>VLOOKUP(TableRBRanks3141[[#This Row],[Player]],RB!B:O,4,FALSE)</f>
        <v>75.000764160000003</v>
      </c>
      <c r="U55" s="100">
        <f>VLOOKUP(TableRBRanks3141[[#This Row],[Player]],RB!B:O,5,FALSE)</f>
        <v>303.00308720640004</v>
      </c>
      <c r="V55" s="100">
        <f>VLOOKUP(TableRBRanks3141[[#This Row],[Player]],RB!B:O,6,FALSE)</f>
        <v>1.80001833984</v>
      </c>
      <c r="W55" s="100">
        <f>VLOOKUP(TableRBRanks3141[[#This Row],[Player]],RB!B:O,7,FALSE)</f>
        <v>34.602059520000005</v>
      </c>
      <c r="X55" s="100">
        <f>VLOOKUP(TableRBRanks3141[[#This Row],[Player]],RB!B:O,8,FALSE)</f>
        <v>25.160553700446318</v>
      </c>
      <c r="Y55" s="100">
        <f>VLOOKUP(TableRBRanks3141[[#This Row],[Player]],RB!B:O,9,FALSE)</f>
        <v>167.82089318197694</v>
      </c>
      <c r="Z55" s="100">
        <f>VLOOKUP(TableRBRanks3141[[#This Row],[Player]],RB!B:O,10,FALSE)</f>
        <v>0.85545882581517485</v>
      </c>
      <c r="AA55" s="95">
        <f>VLOOKUP(TableRBRanks3141[[#This Row],[Player]],RB!B:O,14,FALSE)</f>
        <v>75.595537882991906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VLOOKUP(TableWRRanks3242[[#This Row],[RK]],Rankings!A:T,13,FALSE)</f>
        <v>Xavier Worthy</v>
      </c>
      <c r="AF55" s="58" t="str">
        <f>IFERROR(INDEX(TableWRCalcPts[TM],MATCH(TableWRRanks3242[[#This Row],[Player]],TableWRCalcPts[PLAYER],0)),"")</f>
        <v>KC</v>
      </c>
      <c r="AG55" s="58">
        <f>IFERROR(INDEX(TableWRCalcPts[BYE],MATCH(TableWRRanks3242[[#This Row],[Player]],TableWRCalcPts[PLAYER],0)),"")</f>
        <v>5</v>
      </c>
      <c r="AH55" s="100">
        <f>VLOOKUP(TableWRRanks3242[[#This Row],[Player]],WR!B:O,4,FALSE)</f>
        <v>54.82748582903664</v>
      </c>
      <c r="AI55" s="100">
        <f>VLOOKUP(TableWRRanks3242[[#This Row],[Player]],WR!B:O,5,FALSE)</f>
        <v>0.42276162822252378</v>
      </c>
      <c r="AJ55" s="100">
        <f>VLOOKUP(TableWRRanks3242[[#This Row],[Player]],WR!B:O,6,FALSE)</f>
        <v>97.774575499999997</v>
      </c>
      <c r="AK55" s="100">
        <f>VLOOKUP(TableWRRanks3242[[#This Row],[Player]],WR!B:O,7,FALSE)</f>
        <v>57.323544316701565</v>
      </c>
      <c r="AL55" s="100">
        <f>VLOOKUP(TableWRRanks3242[[#This Row],[Player]],WR!B:O,8,FALSE)</f>
        <v>736.86230440193879</v>
      </c>
      <c r="AM55" s="100">
        <f>VLOOKUP(TableWRRanks3242[[#This Row],[Player]],WR!B:O,9,FALSE)</f>
        <v>5.2737660771365436</v>
      </c>
      <c r="AN55" s="95">
        <f>VLOOKUP(TableWRRanks3242[[#This Row],[Player]],WR!B:O,13,FALSE)</f>
        <v>142.00991741360272</v>
      </c>
      <c r="AO55" s="140">
        <f>IF(VLOOKUP(TableWRRanks3242[[#This Row],[Player]],'Ranks w Proj'!$AE:$AO,11,FALSE)&lt;0,0,VLOOKUP(TableWRRanks3242[[#This Row],[Player]],'Ranks w Proj'!$AE:$AO,11,FALSE))</f>
        <v>9.7181368130849553</v>
      </c>
      <c r="AQ55" s="58">
        <v>54</v>
      </c>
      <c r="AR55" s="58">
        <f>VLOOKUP(TableTERanks3343[[#This Row],[RK]],Rankings!A:T,18,FALSE)</f>
        <v>0</v>
      </c>
      <c r="AS55" s="58" t="str">
        <f>IFERROR(INDEX(TableTECalcPts[TM],MATCH(TableTERanks3343[[#This Row],[Player]],TableTECalcPts[PLAYER],0)),"")</f>
        <v/>
      </c>
      <c r="AT55" s="58" t="str">
        <f>IFERROR(INDEX(TableTECalcPts[BYE],MATCH(TableTERanks3343[[#This Row],[Player]],TableTECalcPts[PLAYER],0)),"")</f>
        <v/>
      </c>
      <c r="AU55" s="100">
        <f>VLOOKUP(TableTERanks3343[[#This Row],[Player]],TE!B:O,4,FALSE)</f>
        <v>0</v>
      </c>
      <c r="AV55" s="100">
        <f>VLOOKUP(TableTERanks3343[[#This Row],[Player]],TE!B:O,5,FALSE)</f>
        <v>0</v>
      </c>
      <c r="AW55" s="100">
        <f>VLOOKUP(TableTERanks3343[[#This Row],[Player]],TE!B:O,6,FALSE)</f>
        <v>0</v>
      </c>
      <c r="AX55" s="100">
        <f>VLOOKUP(TableTERanks3343[[#This Row],[Player]],TE!B:O,7,FALSE)</f>
        <v>0</v>
      </c>
      <c r="AY55" s="95">
        <f>VLOOKUP(TableTERanks3343[[#This Row],[Player]],TE!B:O,11,FALSE)</f>
        <v>0</v>
      </c>
      <c r="AZ55" s="140" t="e">
        <f>IF(VLOOKUP(TableTERanks3343[[#This Row],[Player]],'Ranks w Proj'!$AR:$AZ,9,FALSE)&lt;0,0,VLOOKUP(TableTERanks3343[[#This Row],[Player]],'Ranks w Proj'!$AR:$AZ,9,FALSE))</f>
        <v>#N/A</v>
      </c>
    </row>
    <row r="56" spans="1:52" x14ac:dyDescent="0.25">
      <c r="A56" s="58">
        <v>55</v>
      </c>
      <c r="B56" s="58">
        <f>VLOOKUP(TableQBRanks3040[[#This Row],[RK]],Rankings!A:T,3,FALSE)</f>
        <v>0</v>
      </c>
      <c r="C56" s="58" t="str">
        <f>IFERROR(INDEX(TableQBCalcPts[TM],MATCH(TableQBRanks3040[[#This Row],[Player]],TableQBCalcPts[PLAYER],0)),"")</f>
        <v/>
      </c>
      <c r="D56" s="58" t="str">
        <f>IFERROR(INDEX(TableQBCalcPts[BYE],MATCH(TableQBRanks3040[[#This Row],[Player]],TableQBCalcPts[PLAYER],0)),"")</f>
        <v/>
      </c>
      <c r="E56" s="100">
        <f>VLOOKUP(TableQBRanks3040[[#This Row],[Player]],QB!B:O,4,FALSE)</f>
        <v>0</v>
      </c>
      <c r="F56" s="100">
        <f>VLOOKUP(TableQBRanks3040[[#This Row],[Player]],QB!B:O,5,FALSE)</f>
        <v>0</v>
      </c>
      <c r="G56" s="100">
        <f>VLOOKUP(TableQBRanks3040[[#This Row],[Player]],QB!B:O,6,FALSE)</f>
        <v>0</v>
      </c>
      <c r="H56" s="100">
        <f>VLOOKUP(TableQBRanks3040[[#This Row],[Player]],QB!B:O,7,FALSE)</f>
        <v>0</v>
      </c>
      <c r="I56" s="100">
        <f>VLOOKUP(TableQBRanks3040[[#This Row],[Player]],QB!B:O,8,FALSE)</f>
        <v>0</v>
      </c>
      <c r="J56" s="100">
        <f>VLOOKUP(TableQBRanks3040[[#This Row],[Player]],QB!B:O,9,FALSE)</f>
        <v>0</v>
      </c>
      <c r="K56" s="100">
        <f>VLOOKUP(TableQBRanks3040[[#This Row],[Player]],QB!B:O,10,FALSE)</f>
        <v>0</v>
      </c>
      <c r="L56" s="100">
        <f>VLOOKUP(TableQBRanks3040[[#This Row],[Player]],QB!B:O,11,FALSE)</f>
        <v>0</v>
      </c>
      <c r="M56" s="95">
        <f>VLOOKUP(TableQBRanks3040[[#This Row],[Player]],QB!B:O,13,FALSE)</f>
        <v>0</v>
      </c>
      <c r="N56" s="140" t="e">
        <f>IF(VLOOKUP(TableQBRanks3040[[#This Row],[Player]],'Ranks w Proj'!$B:$N,13,FALSE)&lt;0,0,VLOOKUP(TableQBRanks3040[[#This Row],[Player]],'Ranks w Proj'!$B:$N,13,FALSE))</f>
        <v>#N/A</v>
      </c>
      <c r="P56" s="58">
        <v>55</v>
      </c>
      <c r="Q56" s="58" t="str">
        <f>VLOOKUP(TableRBRanks3141[[#This Row],[RK]],Rankings!A:T,8,FALSE)</f>
        <v>Nicholas Singleton</v>
      </c>
      <c r="R56" s="58" t="str">
        <f>IFERROR(INDEX(TableRBCalcPts[TM],MATCH(TableRBRanks3141[[#This Row],[Player]],TableRBCalcPts[PLAYER],0)),"")</f>
        <v>TEN</v>
      </c>
      <c r="S56" s="58">
        <f>IFERROR(INDEX(TableRBCalcPts[BYE],MATCH(TableRBRanks3141[[#This Row],[Player]],TableRBCalcPts[PLAYER],0)),"")</f>
        <v>9</v>
      </c>
      <c r="T56" s="100">
        <f>VLOOKUP(TableRBRanks3141[[#This Row],[Player]],RB!B:O,4,FALSE)</f>
        <v>71.053355519999997</v>
      </c>
      <c r="U56" s="100">
        <f>VLOOKUP(TableRBRanks3141[[#This Row],[Player]],RB!B:O,5,FALSE)</f>
        <v>302.68729451519999</v>
      </c>
      <c r="V56" s="100">
        <f>VLOOKUP(TableRBRanks3141[[#This Row],[Player]],RB!B:O,6,FALSE)</f>
        <v>2.1316006655999997</v>
      </c>
      <c r="W56" s="100">
        <f>VLOOKUP(TableRBRanks3141[[#This Row],[Player]],RB!B:O,7,FALSE)</f>
        <v>8.2385856000000004</v>
      </c>
      <c r="X56" s="100">
        <f>VLOOKUP(TableRBRanks3141[[#This Row],[Player]],RB!B:O,8,FALSE)</f>
        <v>6.014167488</v>
      </c>
      <c r="Y56" s="100">
        <f>VLOOKUP(TableRBRanks3141[[#This Row],[Player]],RB!B:O,9,FALSE)</f>
        <v>37.347980100480001</v>
      </c>
      <c r="Z56" s="100">
        <f>VLOOKUP(TableRBRanks3141[[#This Row],[Player]],RB!B:O,10,FALSE)</f>
        <v>0.18042502463999999</v>
      </c>
      <c r="AA56" s="95">
        <f>VLOOKUP(TableRBRanks3141[[#This Row],[Player]],RB!B:O,14,FALSE)</f>
        <v>50.882765347008004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VLOOKUP(TableWRRanks3242[[#This Row],[RK]],Rankings!A:T,13,FALSE)</f>
        <v>Rashid Shaheed</v>
      </c>
      <c r="AF56" s="58" t="str">
        <f>IFERROR(INDEX(TableWRCalcPts[TM],MATCH(TableWRRanks3242[[#This Row],[Player]],TableWRCalcPts[PLAYER],0)),"")</f>
        <v>SEA</v>
      </c>
      <c r="AG56" s="58">
        <f>IFERROR(INDEX(TableWRCalcPts[BYE],MATCH(TableWRRanks3242[[#This Row],[Player]],TableWRCalcPts[PLAYER],0)),"")</f>
        <v>11</v>
      </c>
      <c r="AH56" s="100">
        <f>VLOOKUP(TableWRRanks3242[[#This Row],[Player]],WR!B:O,4,FALSE)</f>
        <v>81.255613363779929</v>
      </c>
      <c r="AI56" s="100">
        <f>VLOOKUP(TableWRRanks3242[[#This Row],[Player]],WR!B:O,5,FALSE)</f>
        <v>0.40443284197737778</v>
      </c>
      <c r="AJ56" s="100">
        <f>VLOOKUP(TableWRRanks3242[[#This Row],[Player]],WR!B:O,6,FALSE)</f>
        <v>78.737480640000001</v>
      </c>
      <c r="AK56" s="100">
        <f>VLOOKUP(TableWRRanks3242[[#This Row],[Player]],WR!B:O,7,FALSE)</f>
        <v>44.4866765616</v>
      </c>
      <c r="AL56" s="100">
        <f>VLOOKUP(TableWRRanks3242[[#This Row],[Player]],WR!B:O,8,FALSE)</f>
        <v>615.25073684692802</v>
      </c>
      <c r="AM56" s="100">
        <f>VLOOKUP(TableWRRanks3242[[#This Row],[Player]],WR!B:O,9,FALSE)</f>
        <v>4.1817475967903999</v>
      </c>
      <c r="AN56" s="95">
        <f>VLOOKUP(TableWRRanks3242[[#This Row],[Player]],WR!B:O,13,FALSE)</f>
        <v>119.41105593447746</v>
      </c>
      <c r="AO56" s="140">
        <f>IF(VLOOKUP(TableWRRanks3242[[#This Row],[Player]],'Ranks w Proj'!$AE:$AO,11,FALSE)&lt;0,0,VLOOKUP(TableWRRanks3242[[#This Row],[Player]],'Ranks w Proj'!$AE:$AO,11,FALSE))</f>
        <v>5.4723036642097354</v>
      </c>
      <c r="AQ56" s="58">
        <v>55</v>
      </c>
      <c r="AR56" s="58">
        <f>VLOOKUP(TableTERanks3343[[#This Row],[RK]],Rankings!A:T,18,FALSE)</f>
        <v>0</v>
      </c>
      <c r="AS56" s="58" t="str">
        <f>IFERROR(INDEX(TableTECalcPts[TM],MATCH(TableTERanks3343[[#This Row],[Player]],TableTECalcPts[PLAYER],0)),"")</f>
        <v/>
      </c>
      <c r="AT56" s="58" t="str">
        <f>IFERROR(INDEX(TableTECalcPts[BYE],MATCH(TableTERanks3343[[#This Row],[Player]],TableTECalcPts[PLAYER],0)),"")</f>
        <v/>
      </c>
      <c r="AU56" s="100">
        <f>VLOOKUP(TableTERanks3343[[#This Row],[Player]],TE!B:O,4,FALSE)</f>
        <v>0</v>
      </c>
      <c r="AV56" s="100">
        <f>VLOOKUP(TableTERanks3343[[#This Row],[Player]],TE!B:O,5,FALSE)</f>
        <v>0</v>
      </c>
      <c r="AW56" s="100">
        <f>VLOOKUP(TableTERanks3343[[#This Row],[Player]],TE!B:O,6,FALSE)</f>
        <v>0</v>
      </c>
      <c r="AX56" s="100">
        <f>VLOOKUP(TableTERanks3343[[#This Row],[Player]],TE!B:O,7,FALSE)</f>
        <v>0</v>
      </c>
      <c r="AY56" s="95">
        <f>VLOOKUP(TableTERanks3343[[#This Row],[Player]],TE!B:O,11,FALSE)</f>
        <v>0</v>
      </c>
      <c r="AZ56" s="140" t="e">
        <f>IF(VLOOKUP(TableTERanks3343[[#This Row],[Player]],'Ranks w Proj'!$AR:$AZ,9,FALSE)&lt;0,0,VLOOKUP(TableTERanks3343[[#This Row],[Player]],'Ranks w Proj'!$AR:$AZ,9,FALSE))</f>
        <v>#N/A</v>
      </c>
    </row>
    <row r="57" spans="1:52" x14ac:dyDescent="0.25">
      <c r="A57" s="58">
        <v>56</v>
      </c>
      <c r="B57" s="58">
        <f>VLOOKUP(TableQBRanks3040[[#This Row],[RK]],Rankings!A:T,3,FALSE)</f>
        <v>0</v>
      </c>
      <c r="C57" s="58" t="str">
        <f>IFERROR(INDEX(TableQBCalcPts[TM],MATCH(TableQBRanks3040[[#This Row],[Player]],TableQBCalcPts[PLAYER],0)),"")</f>
        <v/>
      </c>
      <c r="D57" s="58" t="str">
        <f>IFERROR(INDEX(TableQBCalcPts[BYE],MATCH(TableQBRanks3040[[#This Row],[Player]],TableQBCalcPts[PLAYER],0)),"")</f>
        <v/>
      </c>
      <c r="E57" s="100">
        <f>VLOOKUP(TableQBRanks3040[[#This Row],[Player]],QB!B:O,4,FALSE)</f>
        <v>0</v>
      </c>
      <c r="F57" s="100">
        <f>VLOOKUP(TableQBRanks3040[[#This Row],[Player]],QB!B:O,5,FALSE)</f>
        <v>0</v>
      </c>
      <c r="G57" s="100">
        <f>VLOOKUP(TableQBRanks3040[[#This Row],[Player]],QB!B:O,6,FALSE)</f>
        <v>0</v>
      </c>
      <c r="H57" s="100">
        <f>VLOOKUP(TableQBRanks3040[[#This Row],[Player]],QB!B:O,7,FALSE)</f>
        <v>0</v>
      </c>
      <c r="I57" s="100">
        <f>VLOOKUP(TableQBRanks3040[[#This Row],[Player]],QB!B:O,8,FALSE)</f>
        <v>0</v>
      </c>
      <c r="J57" s="100">
        <f>VLOOKUP(TableQBRanks3040[[#This Row],[Player]],QB!B:O,9,FALSE)</f>
        <v>0</v>
      </c>
      <c r="K57" s="100">
        <f>VLOOKUP(TableQBRanks3040[[#This Row],[Player]],QB!B:O,10,FALSE)</f>
        <v>0</v>
      </c>
      <c r="L57" s="100">
        <f>VLOOKUP(TableQBRanks3040[[#This Row],[Player]],QB!B:O,11,FALSE)</f>
        <v>0</v>
      </c>
      <c r="M57" s="95">
        <f>VLOOKUP(TableQBRanks3040[[#This Row],[Player]],QB!B:O,13,FALSE)</f>
        <v>0</v>
      </c>
      <c r="N57" s="140" t="e">
        <f>IF(VLOOKUP(TableQBRanks3040[[#This Row],[Player]],'Ranks w Proj'!$B:$N,13,FALSE)&lt;0,0,VLOOKUP(TableQBRanks3040[[#This Row],[Player]],'Ranks w Proj'!$B:$N,13,FALSE))</f>
        <v>#N/A</v>
      </c>
      <c r="P57" s="58">
        <v>56</v>
      </c>
      <c r="Q57" s="58" t="str">
        <f>VLOOKUP(TableRBRanks3141[[#This Row],[RK]],Rankings!A:T,8,FALSE)</f>
        <v>Kaytron Allen</v>
      </c>
      <c r="R57" s="58" t="str">
        <f>IFERROR(INDEX(TableRBCalcPts[TM],MATCH(TableRBRanks3141[[#This Row],[Player]],TableRBCalcPts[PLAYER],0)),"")</f>
        <v>WSH</v>
      </c>
      <c r="S57" s="58">
        <f>IFERROR(INDEX(TableRBCalcPts[BYE],MATCH(TableRBRanks3141[[#This Row],[Player]],TableRBCalcPts[PLAYER],0)),"")</f>
        <v>7</v>
      </c>
      <c r="T57" s="100">
        <f>VLOOKUP(TableRBRanks3141[[#This Row],[Player]],RB!B:O,4,FALSE)</f>
        <v>87.967904640000015</v>
      </c>
      <c r="U57" s="100">
        <f>VLOOKUP(TableRBRanks3141[[#This Row],[Player]],RB!B:O,5,FALSE)</f>
        <v>379.14166899840001</v>
      </c>
      <c r="V57" s="100">
        <f>VLOOKUP(TableRBRanks3141[[#This Row],[Player]],RB!B:O,6,FALSE)</f>
        <v>2.9029408531200005</v>
      </c>
      <c r="W57" s="100">
        <f>VLOOKUP(TableRBRanks3141[[#This Row],[Player]],RB!B:O,7,FALSE)</f>
        <v>7.4673353999999987</v>
      </c>
      <c r="X57" s="100">
        <f>VLOOKUP(TableRBRanks3141[[#This Row],[Player]],RB!B:O,8,FALSE)</f>
        <v>5.4362201711999987</v>
      </c>
      <c r="Y57" s="100">
        <f>VLOOKUP(TableRBRanks3141[[#This Row],[Player]],RB!B:O,9,FALSE)</f>
        <v>37.020659365871985</v>
      </c>
      <c r="Z57" s="100">
        <f>VLOOKUP(TableRBRanks3141[[#This Row],[Player]],RB!B:O,10,FALSE)</f>
        <v>0.15532057631999999</v>
      </c>
      <c r="AA57" s="95">
        <f>VLOOKUP(TableRBRanks3141[[#This Row],[Player]],RB!B:O,14,FALSE)</f>
        <v>62.6839114986672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VLOOKUP(TableWRRanks3242[[#This Row],[RK]],Rankings!A:T,13,FALSE)</f>
        <v>Matthew Golden</v>
      </c>
      <c r="AF57" s="58" t="str">
        <f>IFERROR(INDEX(TableWRCalcPts[TM],MATCH(TableWRRanks3242[[#This Row],[Player]],TableWRCalcPts[PLAYER],0)),"")</f>
        <v>GB</v>
      </c>
      <c r="AG57" s="58">
        <f>IFERROR(INDEX(TableWRCalcPts[BYE],MATCH(TableWRRanks3242[[#This Row],[Player]],TableWRCalcPts[PLAYER],0)),"")</f>
        <v>11</v>
      </c>
      <c r="AH57" s="100">
        <f>VLOOKUP(TableWRRanks3242[[#This Row],[Player]],WR!B:O,4,FALSE)</f>
        <v>24.99271009319855</v>
      </c>
      <c r="AI57" s="100">
        <f>VLOOKUP(TableWRRanks3242[[#This Row],[Player]],WR!B:O,5,FALSE)</f>
        <v>0.11790281999999999</v>
      </c>
      <c r="AJ57" s="100">
        <f>VLOOKUP(TableWRRanks3242[[#This Row],[Player]],WR!B:O,6,FALSE)</f>
        <v>85.049750110552765</v>
      </c>
      <c r="AK57" s="100">
        <f>VLOOKUP(TableWRRanks3242[[#This Row],[Player]],WR!B:O,7,FALSE)</f>
        <v>53.587897463683738</v>
      </c>
      <c r="AL57" s="100">
        <f>VLOOKUP(TableWRRanks3242[[#This Row],[Player]],WR!B:O,8,FALSE)</f>
        <v>676.53815153162077</v>
      </c>
      <c r="AM57" s="100">
        <f>VLOOKUP(TableWRRanks3242[[#This Row],[Player]],WR!B:O,9,FALSE)</f>
        <v>4.0190923097762798</v>
      </c>
      <c r="AN57" s="95">
        <f>VLOOKUP(TableWRRanks3242[[#This Row],[Player]],WR!B:O,13,FALSE)</f>
        <v>121.76900567298148</v>
      </c>
      <c r="AO57" s="140">
        <f>IF(VLOOKUP(TableWRRanks3242[[#This Row],[Player]],'Ranks w Proj'!$AE:$AO,11,FALSE)&lt;0,0,VLOOKUP(TableWRRanks3242[[#This Row],[Player]],'Ranks w Proj'!$AE:$AO,11,FALSE))</f>
        <v>5.9153109888207425</v>
      </c>
      <c r="AQ57" s="58">
        <v>56</v>
      </c>
      <c r="AR57" s="58">
        <f>VLOOKUP(TableTERanks3343[[#This Row],[RK]],Rankings!A:T,18,FALSE)</f>
        <v>0</v>
      </c>
      <c r="AS57" s="58" t="str">
        <f>IFERROR(INDEX(TableTECalcPts[TM],MATCH(TableTERanks3343[[#This Row],[Player]],TableTECalcPts[PLAYER],0)),"")</f>
        <v/>
      </c>
      <c r="AT57" s="58" t="str">
        <f>IFERROR(INDEX(TableTECalcPts[BYE],MATCH(TableTERanks3343[[#This Row],[Player]],TableTECalcPts[PLAYER],0)),"")</f>
        <v/>
      </c>
      <c r="AU57" s="100">
        <f>VLOOKUP(TableTERanks3343[[#This Row],[Player]],TE!B:O,4,FALSE)</f>
        <v>0</v>
      </c>
      <c r="AV57" s="100">
        <f>VLOOKUP(TableTERanks3343[[#This Row],[Player]],TE!B:O,5,FALSE)</f>
        <v>0</v>
      </c>
      <c r="AW57" s="100">
        <f>VLOOKUP(TableTERanks3343[[#This Row],[Player]],TE!B:O,6,FALSE)</f>
        <v>0</v>
      </c>
      <c r="AX57" s="100">
        <f>VLOOKUP(TableTERanks3343[[#This Row],[Player]],TE!B:O,7,FALSE)</f>
        <v>0</v>
      </c>
      <c r="AY57" s="95">
        <f>VLOOKUP(TableTERanks3343[[#This Row],[Player]],TE!B:O,11,FALSE)</f>
        <v>0</v>
      </c>
      <c r="AZ57" s="140" t="e">
        <f>IF(VLOOKUP(TableTERanks3343[[#This Row],[Player]],'Ranks w Proj'!$AR:$AZ,9,FALSE)&lt;0,0,VLOOKUP(TableTERanks3343[[#This Row],[Player]],'Ranks w Proj'!$AR:$AZ,9,FALSE))</f>
        <v>#N/A</v>
      </c>
    </row>
    <row r="58" spans="1:52" x14ac:dyDescent="0.25">
      <c r="A58" s="58">
        <v>57</v>
      </c>
      <c r="B58" s="58">
        <f>VLOOKUP(TableQBRanks3040[[#This Row],[RK]],Rankings!A:T,3,FALSE)</f>
        <v>0</v>
      </c>
      <c r="C58" s="58" t="str">
        <f>IFERROR(INDEX(TableQBCalcPts[TM],MATCH(TableQBRanks3040[[#This Row],[Player]],TableQBCalcPts[PLAYER],0)),"")</f>
        <v/>
      </c>
      <c r="D58" s="58" t="str">
        <f>IFERROR(INDEX(TableQBCalcPts[BYE],MATCH(TableQBRanks3040[[#This Row],[Player]],TableQBCalcPts[PLAYER],0)),"")</f>
        <v/>
      </c>
      <c r="E58" s="100">
        <f>VLOOKUP(TableQBRanks3040[[#This Row],[Player]],QB!B:O,4,FALSE)</f>
        <v>0</v>
      </c>
      <c r="F58" s="100">
        <f>VLOOKUP(TableQBRanks3040[[#This Row],[Player]],QB!B:O,5,FALSE)</f>
        <v>0</v>
      </c>
      <c r="G58" s="100">
        <f>VLOOKUP(TableQBRanks3040[[#This Row],[Player]],QB!B:O,6,FALSE)</f>
        <v>0</v>
      </c>
      <c r="H58" s="100">
        <f>VLOOKUP(TableQBRanks3040[[#This Row],[Player]],QB!B:O,7,FALSE)</f>
        <v>0</v>
      </c>
      <c r="I58" s="100">
        <f>VLOOKUP(TableQBRanks3040[[#This Row],[Player]],QB!B:O,8,FALSE)</f>
        <v>0</v>
      </c>
      <c r="J58" s="100">
        <f>VLOOKUP(TableQBRanks3040[[#This Row],[Player]],QB!B:O,9,FALSE)</f>
        <v>0</v>
      </c>
      <c r="K58" s="100">
        <f>VLOOKUP(TableQBRanks3040[[#This Row],[Player]],QB!B:O,10,FALSE)</f>
        <v>0</v>
      </c>
      <c r="L58" s="100">
        <f>VLOOKUP(TableQBRanks3040[[#This Row],[Player]],QB!B:O,11,FALSE)</f>
        <v>0</v>
      </c>
      <c r="M58" s="95">
        <f>VLOOKUP(TableQBRanks3040[[#This Row],[Player]],QB!B:O,13,FALSE)</f>
        <v>0</v>
      </c>
      <c r="N58" s="140" t="e">
        <f>IF(VLOOKUP(TableQBRanks3040[[#This Row],[Player]],'Ranks w Proj'!$B:$N,13,FALSE)&lt;0,0,VLOOKUP(TableQBRanks3040[[#This Row],[Player]],'Ranks w Proj'!$B:$N,13,FALSE))</f>
        <v>#N/A</v>
      </c>
      <c r="P58" s="58">
        <v>57</v>
      </c>
      <c r="Q58" s="58" t="str">
        <f>VLOOKUP(TableRBRanks3141[[#This Row],[RK]],Rankings!A:T,8,FALSE)</f>
        <v>Tank Bigsby</v>
      </c>
      <c r="R58" s="58" t="str">
        <f>IFERROR(INDEX(TableRBCalcPts[TM],MATCH(TableRBRanks3141[[#This Row],[Player]],TableRBCalcPts[PLAYER],0)),"")</f>
        <v>PHI</v>
      </c>
      <c r="S58" s="58">
        <f>IFERROR(INDEX(TableRBCalcPts[BYE],MATCH(TableRBRanks3141[[#This Row],[Player]],TableRBCalcPts[PLAYER],0)),"")</f>
        <v>10</v>
      </c>
      <c r="T58" s="100">
        <f>VLOOKUP(TableRBRanks3141[[#This Row],[Player]],RB!B:O,4,FALSE)</f>
        <v>97.007150240000016</v>
      </c>
      <c r="U58" s="100">
        <f>VLOOKUP(TableRBRanks3141[[#This Row],[Player]],RB!B:O,5,FALSE)</f>
        <v>463.69417814720009</v>
      </c>
      <c r="V58" s="100">
        <f>VLOOKUP(TableRBRanks3141[[#This Row],[Player]],RB!B:O,6,FALSE)</f>
        <v>3.4927472680063905</v>
      </c>
      <c r="W58" s="100">
        <f>VLOOKUP(TableRBRanks3141[[#This Row],[Player]],RB!B:O,7,FALSE)</f>
        <v>5.2834504799999999</v>
      </c>
      <c r="X58" s="100">
        <f>VLOOKUP(TableRBRanks3141[[#This Row],[Player]],RB!B:O,8,FALSE)</f>
        <v>3.5113420523377772</v>
      </c>
      <c r="Y58" s="100">
        <f>VLOOKUP(TableRBRanks3141[[#This Row],[Player]],RB!B:O,9,FALSE)</f>
        <v>24.369230447271107</v>
      </c>
      <c r="Z58" s="100">
        <f>VLOOKUP(TableRBRanks3141[[#This Row],[Player]],RB!B:O,10,FALSE)</f>
        <v>0.10534026157013331</v>
      </c>
      <c r="AA58" s="95">
        <f>VLOOKUP(TableRBRanks3141[[#This Row],[Player]],RB!B:O,14,FALSE)</f>
        <v>72.150537063075149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VLOOKUP(TableWRRanks3242[[#This Row],[RK]],Rankings!A:T,13,FALSE)</f>
        <v>Jalen McMillan</v>
      </c>
      <c r="AF58" s="58" t="str">
        <f>IFERROR(INDEX(TableWRCalcPts[TM],MATCH(TableWRRanks3242[[#This Row],[Player]],TableWRCalcPts[PLAYER],0)),"")</f>
        <v>TB</v>
      </c>
      <c r="AG58" s="58">
        <f>IFERROR(INDEX(TableWRCalcPts[BYE],MATCH(TableWRRanks3242[[#This Row],[Player]],TableWRCalcPts[PLAYER],0)),"")</f>
        <v>10</v>
      </c>
      <c r="AH58" s="100">
        <f>VLOOKUP(TableWRRanks3242[[#This Row],[Player]],WR!B:O,4,FALSE)</f>
        <v>29.607464774999997</v>
      </c>
      <c r="AI58" s="100">
        <f>VLOOKUP(TableWRRanks3242[[#This Row],[Player]],WR!B:O,5,FALSE)</f>
        <v>5.8053852499999996E-2</v>
      </c>
      <c r="AJ58" s="100">
        <f>VLOOKUP(TableWRRanks3242[[#This Row],[Player]],WR!B:O,6,FALSE)</f>
        <v>72.289622579999971</v>
      </c>
      <c r="AK58" s="100">
        <f>VLOOKUP(TableWRRanks3242[[#This Row],[Player]],WR!B:O,7,FALSE)</f>
        <v>44.747276377019979</v>
      </c>
      <c r="AL58" s="100">
        <f>VLOOKUP(TableWRRanks3242[[#This Row],[Player]],WR!B:O,8,FALSE)</f>
        <v>587.97921159404257</v>
      </c>
      <c r="AM58" s="100">
        <f>VLOOKUP(TableWRRanks3242[[#This Row],[Player]],WR!B:O,9,FALSE)</f>
        <v>3.9377603211777581</v>
      </c>
      <c r="AN58" s="95">
        <f>VLOOKUP(TableWRRanks3242[[#This Row],[Player]],WR!B:O,13,FALSE)</f>
        <v>108.1071908674808</v>
      </c>
      <c r="AO58" s="140">
        <f>IF(VLOOKUP(TableWRRanks3242[[#This Row],[Player]],'Ranks w Proj'!$AE:$AO,11,FALSE)&lt;0,0,VLOOKUP(TableWRRanks3242[[#This Row],[Player]],'Ranks w Proj'!$AE:$AO,11,FALSE))</f>
        <v>3.3485539763681698</v>
      </c>
      <c r="AQ58" s="58">
        <v>57</v>
      </c>
      <c r="AR58" s="58">
        <f>VLOOKUP(TableTERanks3343[[#This Row],[RK]],Rankings!A:T,18,FALSE)</f>
        <v>0</v>
      </c>
      <c r="AS58" s="58" t="str">
        <f>IFERROR(INDEX(TableTECalcPts[TM],MATCH(TableTERanks3343[[#This Row],[Player]],TableTECalcPts[PLAYER],0)),"")</f>
        <v/>
      </c>
      <c r="AT58" s="58" t="str">
        <f>IFERROR(INDEX(TableTECalcPts[BYE],MATCH(TableTERanks3343[[#This Row],[Player]],TableTECalcPts[PLAYER],0)),"")</f>
        <v/>
      </c>
      <c r="AU58" s="100">
        <f>VLOOKUP(TableTERanks3343[[#This Row],[Player]],TE!B:O,4,FALSE)</f>
        <v>0</v>
      </c>
      <c r="AV58" s="100">
        <f>VLOOKUP(TableTERanks3343[[#This Row],[Player]],TE!B:O,5,FALSE)</f>
        <v>0</v>
      </c>
      <c r="AW58" s="100">
        <f>VLOOKUP(TableTERanks3343[[#This Row],[Player]],TE!B:O,6,FALSE)</f>
        <v>0</v>
      </c>
      <c r="AX58" s="100">
        <f>VLOOKUP(TableTERanks3343[[#This Row],[Player]],TE!B:O,7,FALSE)</f>
        <v>0</v>
      </c>
      <c r="AY58" s="95">
        <f>VLOOKUP(TableTERanks3343[[#This Row],[Player]],TE!B:O,11,FALSE)</f>
        <v>0</v>
      </c>
      <c r="AZ58" s="140" t="e">
        <f>IF(VLOOKUP(TableTERanks3343[[#This Row],[Player]],'Ranks w Proj'!$AR:$AZ,9,FALSE)&lt;0,0,VLOOKUP(TableTERanks3343[[#This Row],[Player]],'Ranks w Proj'!$AR:$AZ,9,FALSE))</f>
        <v>#N/A</v>
      </c>
    </row>
    <row r="59" spans="1:52" x14ac:dyDescent="0.25">
      <c r="A59" s="58">
        <v>58</v>
      </c>
      <c r="B59" s="58">
        <f>VLOOKUP(TableQBRanks3040[[#This Row],[RK]],Rankings!A:T,3,FALSE)</f>
        <v>0</v>
      </c>
      <c r="C59" s="58" t="str">
        <f>IFERROR(INDEX(TableQBCalcPts[TM],MATCH(TableQBRanks3040[[#This Row],[Player]],TableQBCalcPts[PLAYER],0)),"")</f>
        <v/>
      </c>
      <c r="D59" s="58" t="str">
        <f>IFERROR(INDEX(TableQBCalcPts[BYE],MATCH(TableQBRanks3040[[#This Row],[Player]],TableQBCalcPts[PLAYER],0)),"")</f>
        <v/>
      </c>
      <c r="E59" s="100">
        <f>VLOOKUP(TableQBRanks3040[[#This Row],[Player]],QB!B:O,4,FALSE)</f>
        <v>0</v>
      </c>
      <c r="F59" s="100">
        <f>VLOOKUP(TableQBRanks3040[[#This Row],[Player]],QB!B:O,5,FALSE)</f>
        <v>0</v>
      </c>
      <c r="G59" s="100">
        <f>VLOOKUP(TableQBRanks3040[[#This Row],[Player]],QB!B:O,6,FALSE)</f>
        <v>0</v>
      </c>
      <c r="H59" s="100">
        <f>VLOOKUP(TableQBRanks3040[[#This Row],[Player]],QB!B:O,7,FALSE)</f>
        <v>0</v>
      </c>
      <c r="I59" s="100">
        <f>VLOOKUP(TableQBRanks3040[[#This Row],[Player]],QB!B:O,8,FALSE)</f>
        <v>0</v>
      </c>
      <c r="J59" s="100">
        <f>VLOOKUP(TableQBRanks3040[[#This Row],[Player]],QB!B:O,9,FALSE)</f>
        <v>0</v>
      </c>
      <c r="K59" s="100">
        <f>VLOOKUP(TableQBRanks3040[[#This Row],[Player]],QB!B:O,10,FALSE)</f>
        <v>0</v>
      </c>
      <c r="L59" s="100">
        <f>VLOOKUP(TableQBRanks3040[[#This Row],[Player]],QB!B:O,11,FALSE)</f>
        <v>0</v>
      </c>
      <c r="M59" s="95">
        <f>VLOOKUP(TableQBRanks3040[[#This Row],[Player]],QB!B:O,13,FALSE)</f>
        <v>0</v>
      </c>
      <c r="N59" s="140" t="e">
        <f>IF(VLOOKUP(TableQBRanks3040[[#This Row],[Player]],'Ranks w Proj'!$B:$N,13,FALSE)&lt;0,0,VLOOKUP(TableQBRanks3040[[#This Row],[Player]],'Ranks w Proj'!$B:$N,13,FALSE))</f>
        <v>#N/A</v>
      </c>
      <c r="P59" s="58">
        <v>58</v>
      </c>
      <c r="Q59" s="58" t="str">
        <f>VLOOKUP(TableRBRanks3141[[#This Row],[RK]],Rankings!A:T,8,FALSE)</f>
        <v>Mike Washington</v>
      </c>
      <c r="R59" s="58" t="str">
        <f>IFERROR(INDEX(TableRBCalcPts[TM],MATCH(TableRBRanks3141[[#This Row],[Player]],TableRBCalcPts[PLAYER],0)),"")</f>
        <v>LV</v>
      </c>
      <c r="S59" s="58">
        <f>IFERROR(INDEX(TableRBCalcPts[BYE],MATCH(TableRBRanks3141[[#This Row],[Player]],TableRBCalcPts[PLAYER],0)),"")</f>
        <v>13</v>
      </c>
      <c r="T59" s="100">
        <f>VLOOKUP(TableRBRanks3141[[#This Row],[Player]],RB!B:O,4,FALSE)</f>
        <v>107.78025887999998</v>
      </c>
      <c r="U59" s="100">
        <f>VLOOKUP(TableRBRanks3141[[#This Row],[Player]],RB!B:O,5,FALSE)</f>
        <v>439.74345623039989</v>
      </c>
      <c r="V59" s="100">
        <f>VLOOKUP(TableRBRanks3141[[#This Row],[Player]],RB!B:O,6,FALSE)</f>
        <v>2.2652911711162633</v>
      </c>
      <c r="W59" s="100">
        <f>VLOOKUP(TableRBRanks3141[[#This Row],[Player]],RB!B:O,7,FALSE)</f>
        <v>8.1644976000000007</v>
      </c>
      <c r="X59" s="100">
        <f>VLOOKUP(TableRBRanks3141[[#This Row],[Player]],RB!B:O,8,FALSE)</f>
        <v>5.4457198992000011</v>
      </c>
      <c r="Y59" s="100">
        <f>VLOOKUP(TableRBRanks3141[[#This Row],[Player]],RB!B:O,9,FALSE)</f>
        <v>35.996208533712007</v>
      </c>
      <c r="Z59" s="100">
        <f>VLOOKUP(TableRBRanks3141[[#This Row],[Player]],RB!B:O,10,FALSE)</f>
        <v>8.8304198138479006E-2</v>
      </c>
      <c r="AA59" s="95">
        <f>VLOOKUP(TableRBRanks3141[[#This Row],[Player]],RB!B:O,14,FALSE)</f>
        <v>64.418398641539639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VLOOKUP(TableWRRanks3242[[#This Row],[RK]],Rankings!A:T,13,FALSE)</f>
        <v>Denzel Boston</v>
      </c>
      <c r="AF59" s="58" t="str">
        <f>IFERROR(INDEX(TableWRCalcPts[TM],MATCH(TableWRRanks3242[[#This Row],[Player]],TableWRCalcPts[PLAYER],0)),"")</f>
        <v>CLE</v>
      </c>
      <c r="AG59" s="58">
        <f>IFERROR(INDEX(TableWRCalcPts[BYE],MATCH(TableWRRanks3242[[#This Row],[Player]],TableWRCalcPts[PLAYER],0)),"")</f>
        <v>11</v>
      </c>
      <c r="AH59" s="100">
        <f>VLOOKUP(TableWRRanks3242[[#This Row],[Player]],WR!B:O,4,FALSE)</f>
        <v>0</v>
      </c>
      <c r="AI59" s="100">
        <f>VLOOKUP(TableWRRanks3242[[#This Row],[Player]],WR!B:O,5,FALSE)</f>
        <v>0</v>
      </c>
      <c r="AJ59" s="100">
        <f>VLOOKUP(TableWRRanks3242[[#This Row],[Player]],WR!B:O,6,FALSE)</f>
        <v>84.116339999999994</v>
      </c>
      <c r="AK59" s="100">
        <f>VLOOKUP(TableWRRanks3242[[#This Row],[Player]],WR!B:O,7,FALSE)</f>
        <v>44.413427519999999</v>
      </c>
      <c r="AL59" s="100">
        <f>VLOOKUP(TableWRRanks3242[[#This Row],[Player]],WR!B:O,8,FALSE)</f>
        <v>597.80473441920003</v>
      </c>
      <c r="AM59" s="100">
        <f>VLOOKUP(TableWRRanks3242[[#This Row],[Player]],WR!B:O,9,FALSE)</f>
        <v>3.02011307136</v>
      </c>
      <c r="AN59" s="95">
        <f>VLOOKUP(TableWRRanks3242[[#This Row],[Player]],WR!B:O,13,FALSE)</f>
        <v>100.10786563008</v>
      </c>
      <c r="AO59" s="140">
        <f>IF(VLOOKUP(TableWRRanks3242[[#This Row],[Player]],'Ranks w Proj'!$AE:$AO,11,FALSE)&lt;0,0,VLOOKUP(TableWRRanks3242[[#This Row],[Player]],'Ranks w Proj'!$AE:$AO,11,FALSE))</f>
        <v>1.8456552443695218</v>
      </c>
      <c r="AQ59" s="58">
        <v>58</v>
      </c>
      <c r="AR59" s="58">
        <f>VLOOKUP(TableTERanks3343[[#This Row],[RK]],Rankings!A:T,18,FALSE)</f>
        <v>0</v>
      </c>
      <c r="AS59" s="58" t="str">
        <f>IFERROR(INDEX(TableTECalcPts[TM],MATCH(TableTERanks3343[[#This Row],[Player]],TableTECalcPts[PLAYER],0)),"")</f>
        <v/>
      </c>
      <c r="AT59" s="58" t="str">
        <f>IFERROR(INDEX(TableTECalcPts[BYE],MATCH(TableTERanks3343[[#This Row],[Player]],TableTECalcPts[PLAYER],0)),"")</f>
        <v/>
      </c>
      <c r="AU59" s="100">
        <f>VLOOKUP(TableTERanks3343[[#This Row],[Player]],TE!B:O,4,FALSE)</f>
        <v>0</v>
      </c>
      <c r="AV59" s="100">
        <f>VLOOKUP(TableTERanks3343[[#This Row],[Player]],TE!B:O,5,FALSE)</f>
        <v>0</v>
      </c>
      <c r="AW59" s="100">
        <f>VLOOKUP(TableTERanks3343[[#This Row],[Player]],TE!B:O,6,FALSE)</f>
        <v>0</v>
      </c>
      <c r="AX59" s="100">
        <f>VLOOKUP(TableTERanks3343[[#This Row],[Player]],TE!B:O,7,FALSE)</f>
        <v>0</v>
      </c>
      <c r="AY59" s="95">
        <f>VLOOKUP(TableTERanks3343[[#This Row],[Player]],TE!B:O,11,FALSE)</f>
        <v>0</v>
      </c>
      <c r="AZ59" s="140" t="e">
        <f>IF(VLOOKUP(TableTERanks3343[[#This Row],[Player]],'Ranks w Proj'!$AR:$AZ,9,FALSE)&lt;0,0,VLOOKUP(TableTERanks3343[[#This Row],[Player]],'Ranks w Proj'!$AR:$AZ,9,FALSE))</f>
        <v>#N/A</v>
      </c>
    </row>
    <row r="60" spans="1:52" x14ac:dyDescent="0.25">
      <c r="A60" s="58">
        <v>59</v>
      </c>
      <c r="B60" s="58">
        <f>VLOOKUP(TableQBRanks3040[[#This Row],[RK]],Rankings!A:T,3,FALSE)</f>
        <v>0</v>
      </c>
      <c r="C60" s="58" t="str">
        <f>IFERROR(INDEX(TableQBCalcPts[TM],MATCH(TableQBRanks3040[[#This Row],[Player]],TableQBCalcPts[PLAYER],0)),"")</f>
        <v/>
      </c>
      <c r="D60" s="58" t="str">
        <f>IFERROR(INDEX(TableQBCalcPts[BYE],MATCH(TableQBRanks3040[[#This Row],[Player]],TableQBCalcPts[PLAYER],0)),"")</f>
        <v/>
      </c>
      <c r="E60" s="100">
        <f>VLOOKUP(TableQBRanks3040[[#This Row],[Player]],QB!B:O,4,FALSE)</f>
        <v>0</v>
      </c>
      <c r="F60" s="100">
        <f>VLOOKUP(TableQBRanks3040[[#This Row],[Player]],QB!B:O,5,FALSE)</f>
        <v>0</v>
      </c>
      <c r="G60" s="100">
        <f>VLOOKUP(TableQBRanks3040[[#This Row],[Player]],QB!B:O,6,FALSE)</f>
        <v>0</v>
      </c>
      <c r="H60" s="100">
        <f>VLOOKUP(TableQBRanks3040[[#This Row],[Player]],QB!B:O,7,FALSE)</f>
        <v>0</v>
      </c>
      <c r="I60" s="100">
        <f>VLOOKUP(TableQBRanks3040[[#This Row],[Player]],QB!B:O,8,FALSE)</f>
        <v>0</v>
      </c>
      <c r="J60" s="100">
        <f>VLOOKUP(TableQBRanks3040[[#This Row],[Player]],QB!B:O,9,FALSE)</f>
        <v>0</v>
      </c>
      <c r="K60" s="100">
        <f>VLOOKUP(TableQBRanks3040[[#This Row],[Player]],QB!B:O,10,FALSE)</f>
        <v>0</v>
      </c>
      <c r="L60" s="100">
        <f>VLOOKUP(TableQBRanks3040[[#This Row],[Player]],QB!B:O,11,FALSE)</f>
        <v>0</v>
      </c>
      <c r="M60" s="95">
        <f>VLOOKUP(TableQBRanks3040[[#This Row],[Player]],QB!B:O,13,FALSE)</f>
        <v>0</v>
      </c>
      <c r="N60" s="140" t="e">
        <f>IF(VLOOKUP(TableQBRanks3040[[#This Row],[Player]],'Ranks w Proj'!$B:$N,13,FALSE)&lt;0,0,VLOOKUP(TableQBRanks3040[[#This Row],[Player]],'Ranks w Proj'!$B:$N,13,FALSE))</f>
        <v>#N/A</v>
      </c>
      <c r="P60" s="58">
        <v>59</v>
      </c>
      <c r="Q60" s="58" t="str">
        <f>VLOOKUP(TableRBRanks3141[[#This Row],[RK]],Rankings!A:T,8,FALSE)</f>
        <v>MarShawn Lloyd</v>
      </c>
      <c r="R60" s="58" t="str">
        <f>IFERROR(INDEX(TableRBCalcPts[TM],MATCH(TableRBRanks3141[[#This Row],[Player]],TableRBCalcPts[PLAYER],0)),"")</f>
        <v>GB</v>
      </c>
      <c r="S60" s="58">
        <f>IFERROR(INDEX(TableRBCalcPts[BYE],MATCH(TableRBRanks3141[[#This Row],[Player]],TableRBCalcPts[PLAYER],0)),"")</f>
        <v>11</v>
      </c>
      <c r="T60" s="100">
        <f>VLOOKUP(TableRBRanks3141[[#This Row],[Player]],RB!B:O,4,FALSE)</f>
        <v>101.3964252</v>
      </c>
      <c r="U60" s="100">
        <f>VLOOKUP(TableRBRanks3141[[#This Row],[Player]],RB!B:O,5,FALSE)</f>
        <v>415.49452903946116</v>
      </c>
      <c r="V60" s="100">
        <f>VLOOKUP(TableRBRanks3141[[#This Row],[Player]],RB!B:O,6,FALSE)</f>
        <v>3.2446856064</v>
      </c>
      <c r="W60" s="100">
        <f>VLOOKUP(TableRBRanks3141[[#This Row],[Player]],RB!B:O,7,FALSE)</f>
        <v>10.95732976884422</v>
      </c>
      <c r="X60" s="100">
        <f>VLOOKUP(TableRBRanks3141[[#This Row],[Player]],RB!B:O,8,FALSE)</f>
        <v>7.0160391250452259</v>
      </c>
      <c r="Y60" s="100">
        <f>VLOOKUP(TableRBRanks3141[[#This Row],[Player]],RB!B:O,9,FALSE)</f>
        <v>49.793454542613063</v>
      </c>
      <c r="Z60" s="100">
        <f>VLOOKUP(TableRBRanks3141[[#This Row],[Player]],RB!B:O,10,FALSE)</f>
        <v>0.26660948675171858</v>
      </c>
      <c r="AA60" s="95">
        <f>VLOOKUP(TableRBRanks3141[[#This Row],[Player]],RB!B:O,14,FALSE)</f>
        <v>71.104588479640356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VLOOKUP(TableWRRanks3242[[#This Row],[RK]],Rankings!A:T,13,FALSE)</f>
        <v>Antonio Williams</v>
      </c>
      <c r="AF60" s="58" t="str">
        <f>IFERROR(INDEX(TableWRCalcPts[TM],MATCH(TableWRRanks3242[[#This Row],[Player]],TableWRCalcPts[PLAYER],0)),"")</f>
        <v>WSH</v>
      </c>
      <c r="AG60" s="58">
        <f>IFERROR(INDEX(TableWRCalcPts[BYE],MATCH(TableWRRanks3242[[#This Row],[Player]],TableWRCalcPts[PLAYER],0)),"")</f>
        <v>7</v>
      </c>
      <c r="AH60" s="100">
        <f>VLOOKUP(TableWRRanks3242[[#This Row],[Player]],WR!B:O,4,FALSE)</f>
        <v>0</v>
      </c>
      <c r="AI60" s="100">
        <f>VLOOKUP(TableWRRanks3242[[#This Row],[Player]],WR!B:O,5,FALSE)</f>
        <v>0</v>
      </c>
      <c r="AJ60" s="100">
        <f>VLOOKUP(TableWRRanks3242[[#This Row],[Player]],WR!B:O,6,FALSE)</f>
        <v>71.686419839999985</v>
      </c>
      <c r="AK60" s="100">
        <f>VLOOKUP(TableWRRanks3242[[#This Row],[Player]],WR!B:O,7,FALSE)</f>
        <v>49.320256849919986</v>
      </c>
      <c r="AL60" s="100">
        <f>VLOOKUP(TableWRRanks3242[[#This Row],[Player]],WR!B:O,8,FALSE)</f>
        <v>574.5809923015679</v>
      </c>
      <c r="AM60" s="100">
        <f>VLOOKUP(TableWRRanks3242[[#This Row],[Player]],WR!B:O,9,FALSE)</f>
        <v>3.6003787500441589</v>
      </c>
      <c r="AN60" s="95">
        <f>VLOOKUP(TableWRRanks3242[[#This Row],[Player]],WR!B:O,13,FALSE)</f>
        <v>103.72050015538173</v>
      </c>
      <c r="AO60" s="140">
        <f>IF(VLOOKUP(TableWRRanks3242[[#This Row],[Player]],'Ranks w Proj'!$AE:$AO,11,FALSE)&lt;0,0,VLOOKUP(TableWRRanks3242[[#This Row],[Player]],'Ranks w Proj'!$AE:$AO,11,FALSE))</f>
        <v>2.5243904734192504</v>
      </c>
      <c r="AQ60" s="58">
        <v>59</v>
      </c>
      <c r="AR60" s="58">
        <f>VLOOKUP(TableTERanks3343[[#This Row],[RK]],Rankings!A:T,18,FALSE)</f>
        <v>0</v>
      </c>
      <c r="AS60" s="58" t="str">
        <f>IFERROR(INDEX(TableTECalcPts[TM],MATCH(TableTERanks3343[[#This Row],[Player]],TableTECalcPts[PLAYER],0)),"")</f>
        <v/>
      </c>
      <c r="AT60" s="58" t="str">
        <f>IFERROR(INDEX(TableTECalcPts[BYE],MATCH(TableTERanks3343[[#This Row],[Player]],TableTECalcPts[PLAYER],0)),"")</f>
        <v/>
      </c>
      <c r="AU60" s="100">
        <f>VLOOKUP(TableTERanks3343[[#This Row],[Player]],TE!B:O,4,FALSE)</f>
        <v>0</v>
      </c>
      <c r="AV60" s="100">
        <f>VLOOKUP(TableTERanks3343[[#This Row],[Player]],TE!B:O,5,FALSE)</f>
        <v>0</v>
      </c>
      <c r="AW60" s="100">
        <f>VLOOKUP(TableTERanks3343[[#This Row],[Player]],TE!B:O,6,FALSE)</f>
        <v>0</v>
      </c>
      <c r="AX60" s="100">
        <f>VLOOKUP(TableTERanks3343[[#This Row],[Player]],TE!B:O,7,FALSE)</f>
        <v>0</v>
      </c>
      <c r="AY60" s="95">
        <f>VLOOKUP(TableTERanks3343[[#This Row],[Player]],TE!B:O,11,FALSE)</f>
        <v>0</v>
      </c>
      <c r="AZ60" s="140" t="e">
        <f>IF(VLOOKUP(TableTERanks3343[[#This Row],[Player]],'Ranks w Proj'!$AR:$AZ,9,FALSE)&lt;0,0,VLOOKUP(TableTERanks3343[[#This Row],[Player]],'Ranks w Proj'!$AR:$AZ,9,FALSE))</f>
        <v>#N/A</v>
      </c>
    </row>
    <row r="61" spans="1:52" x14ac:dyDescent="0.25">
      <c r="A61" s="58">
        <v>60</v>
      </c>
      <c r="B61" s="58">
        <f>VLOOKUP(TableQBRanks3040[[#This Row],[RK]],Rankings!A:T,3,FALSE)</f>
        <v>0</v>
      </c>
      <c r="C61" s="58" t="str">
        <f>IFERROR(INDEX(TableQBCalcPts[TM],MATCH(TableQBRanks3040[[#This Row],[Player]],TableQBCalcPts[PLAYER],0)),"")</f>
        <v/>
      </c>
      <c r="D61" s="58" t="str">
        <f>IFERROR(INDEX(TableQBCalcPts[BYE],MATCH(TableQBRanks3040[[#This Row],[Player]],TableQBCalcPts[PLAYER],0)),"")</f>
        <v/>
      </c>
      <c r="E61" s="100">
        <f>VLOOKUP(TableQBRanks3040[[#This Row],[Player]],QB!B:O,4,FALSE)</f>
        <v>0</v>
      </c>
      <c r="F61" s="100">
        <f>VLOOKUP(TableQBRanks3040[[#This Row],[Player]],QB!B:O,5,FALSE)</f>
        <v>0</v>
      </c>
      <c r="G61" s="100">
        <f>VLOOKUP(TableQBRanks3040[[#This Row],[Player]],QB!B:O,6,FALSE)</f>
        <v>0</v>
      </c>
      <c r="H61" s="100">
        <f>VLOOKUP(TableQBRanks3040[[#This Row],[Player]],QB!B:O,7,FALSE)</f>
        <v>0</v>
      </c>
      <c r="I61" s="100">
        <f>VLOOKUP(TableQBRanks3040[[#This Row],[Player]],QB!B:O,8,FALSE)</f>
        <v>0</v>
      </c>
      <c r="J61" s="100">
        <f>VLOOKUP(TableQBRanks3040[[#This Row],[Player]],QB!B:O,9,FALSE)</f>
        <v>0</v>
      </c>
      <c r="K61" s="100">
        <f>VLOOKUP(TableQBRanks3040[[#This Row],[Player]],QB!B:O,10,FALSE)</f>
        <v>0</v>
      </c>
      <c r="L61" s="100">
        <f>VLOOKUP(TableQBRanks3040[[#This Row],[Player]],QB!B:O,11,FALSE)</f>
        <v>0</v>
      </c>
      <c r="M61" s="95">
        <f>VLOOKUP(TableQBRanks3040[[#This Row],[Player]],QB!B:O,13,FALSE)</f>
        <v>0</v>
      </c>
      <c r="N61" s="140" t="e">
        <f>IF(VLOOKUP(TableQBRanks3040[[#This Row],[Player]],'Ranks w Proj'!$B:$N,13,FALSE)&lt;0,0,VLOOKUP(TableQBRanks3040[[#This Row],[Player]],'Ranks w Proj'!$B:$N,13,FALSE))</f>
        <v>#N/A</v>
      </c>
      <c r="P61" s="58">
        <v>60</v>
      </c>
      <c r="Q61" s="58" t="str">
        <f>VLOOKUP(TableRBRanks3141[[#This Row],[RK]],Rankings!A:T,8,FALSE)</f>
        <v>Jonah Coleman</v>
      </c>
      <c r="R61" s="58" t="str">
        <f>IFERROR(INDEX(TableRBCalcPts[TM],MATCH(TableRBRanks3141[[#This Row],[Player]],TableRBCalcPts[PLAYER],0)),"")</f>
        <v>DEN</v>
      </c>
      <c r="S61" s="58">
        <f>IFERROR(INDEX(TableRBCalcPts[BYE],MATCH(TableRBRanks3141[[#This Row],[Player]],TableRBCalcPts[PLAYER],0)),"")</f>
        <v>10</v>
      </c>
      <c r="T61" s="100">
        <f>VLOOKUP(TableRBRanks3141[[#This Row],[Player]],RB!B:O,4,FALSE)</f>
        <v>55.374476639999997</v>
      </c>
      <c r="U61" s="100">
        <f>VLOOKUP(TableRBRanks3141[[#This Row],[Player]],RB!B:O,5,FALSE)</f>
        <v>240.87897338399998</v>
      </c>
      <c r="V61" s="100">
        <f>VLOOKUP(TableRBRanks3141[[#This Row],[Player]],RB!B:O,6,FALSE)</f>
        <v>2.32572801888</v>
      </c>
      <c r="W61" s="100">
        <f>VLOOKUP(TableRBRanks3141[[#This Row],[Player]],RB!B:O,7,FALSE)</f>
        <v>9.7014178800000028</v>
      </c>
      <c r="X61" s="100">
        <f>VLOOKUP(TableRBRanks3141[[#This Row],[Player]],RB!B:O,8,FALSE)</f>
        <v>7.2566605742400023</v>
      </c>
      <c r="Y61" s="100">
        <f>VLOOKUP(TableRBRanks3141[[#This Row],[Player]],RB!B:O,9,FALSE)</f>
        <v>50.562817902940751</v>
      </c>
      <c r="Z61" s="100">
        <f>VLOOKUP(TableRBRanks3141[[#This Row],[Player]],RB!B:O,10,FALSE)</f>
        <v>0.14307076282588149</v>
      </c>
      <c r="AA61" s="95">
        <f>VLOOKUP(TableRBRanks3141[[#This Row],[Player]],RB!B:O,14,FALSE)</f>
        <v>47.585302106049355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VLOOKUP(TableWRRanks3242[[#This Row],[RK]],Rankings!A:T,13,FALSE)</f>
        <v>Stefon Diggs</v>
      </c>
      <c r="AF61" s="58" t="str">
        <f>IFERROR(INDEX(TableWRCalcPts[TM],MATCH(TableWRRanks3242[[#This Row],[Player]],TableWRCalcPts[PLAYER],0)),"")</f>
        <v/>
      </c>
      <c r="AG61" s="58" t="str">
        <f>IFERROR(INDEX(TableWRCalcPts[BYE],MATCH(TableWRRanks3242[[#This Row],[Player]],TableWRCalcPts[PLAYER],0)),"")</f>
        <v/>
      </c>
      <c r="AH61" s="100" t="e">
        <f>VLOOKUP(TableWRRanks3242[[#This Row],[Player]],WR!B:O,4,FALSE)</f>
        <v>#N/A</v>
      </c>
      <c r="AI61" s="100" t="e">
        <f>VLOOKUP(TableWRRanks3242[[#This Row],[Player]],WR!B:O,5,FALSE)</f>
        <v>#N/A</v>
      </c>
      <c r="AJ61" s="100" t="e">
        <f>VLOOKUP(TableWRRanks3242[[#This Row],[Player]],WR!B:O,6,FALSE)</f>
        <v>#N/A</v>
      </c>
      <c r="AK61" s="100" t="e">
        <f>VLOOKUP(TableWRRanks3242[[#This Row],[Player]],WR!B:O,7,FALSE)</f>
        <v>#N/A</v>
      </c>
      <c r="AL61" s="100" t="e">
        <f>VLOOKUP(TableWRRanks3242[[#This Row],[Player]],WR!B:O,8,FALSE)</f>
        <v>#N/A</v>
      </c>
      <c r="AM61" s="100" t="e">
        <f>VLOOKUP(TableWRRanks3242[[#This Row],[Player]],WR!B:O,9,FALSE)</f>
        <v>#N/A</v>
      </c>
      <c r="AN61" s="95" t="e">
        <f>VLOOKUP(TableWRRanks3242[[#This Row],[Player]],WR!B:O,13,FALSE)</f>
        <v>#N/A</v>
      </c>
      <c r="AO61" s="140" t="e">
        <f>IF(VLOOKUP(TableWRRanks3242[[#This Row],[Player]],'Ranks w Proj'!$AE:$AO,11,FALSE)&lt;0,0,VLOOKUP(TableWRRanks3242[[#This Row],[Player]],'Ranks w Proj'!$AE:$AO,11,FALSE))</f>
        <v>#N/A</v>
      </c>
      <c r="AQ61" s="58">
        <v>60</v>
      </c>
      <c r="AR61" s="58">
        <f>VLOOKUP(TableTERanks3343[[#This Row],[RK]],Rankings!A:T,18,FALSE)</f>
        <v>0</v>
      </c>
      <c r="AS61" s="58" t="str">
        <f>IFERROR(INDEX(TableTECalcPts[TM],MATCH(TableTERanks3343[[#This Row],[Player]],TableTECalcPts[PLAYER],0)),"")</f>
        <v/>
      </c>
      <c r="AT61" s="58" t="str">
        <f>IFERROR(INDEX(TableTECalcPts[BYE],MATCH(TableTERanks3343[[#This Row],[Player]],TableTECalcPts[PLAYER],0)),"")</f>
        <v/>
      </c>
      <c r="AU61" s="100">
        <f>VLOOKUP(TableTERanks3343[[#This Row],[Player]],TE!B:O,4,FALSE)</f>
        <v>0</v>
      </c>
      <c r="AV61" s="100">
        <f>VLOOKUP(TableTERanks3343[[#This Row],[Player]],TE!B:O,5,FALSE)</f>
        <v>0</v>
      </c>
      <c r="AW61" s="100">
        <f>VLOOKUP(TableTERanks3343[[#This Row],[Player]],TE!B:O,6,FALSE)</f>
        <v>0</v>
      </c>
      <c r="AX61" s="100">
        <f>VLOOKUP(TableTERanks3343[[#This Row],[Player]],TE!B:O,7,FALSE)</f>
        <v>0</v>
      </c>
      <c r="AY61" s="95">
        <f>VLOOKUP(TableTERanks3343[[#This Row],[Player]],TE!B:O,11,FALSE)</f>
        <v>0</v>
      </c>
      <c r="AZ61" s="140" t="e">
        <f>IF(VLOOKUP(TableTERanks3343[[#This Row],[Player]],'Ranks w Proj'!$AR:$AZ,9,FALSE)&lt;0,0,VLOOKUP(TableTERanks3343[[#This Row],[Player]],'Ranks w Proj'!$AR:$AZ,9,FALSE))</f>
        <v>#N/A</v>
      </c>
    </row>
    <row r="62" spans="1:52" x14ac:dyDescent="0.25">
      <c r="A62" s="58">
        <v>61</v>
      </c>
      <c r="B62" s="58">
        <f>VLOOKUP(TableQBRanks3040[[#This Row],[RK]],Rankings!A:T,3,FALSE)</f>
        <v>0</v>
      </c>
      <c r="C62" s="58" t="str">
        <f>IFERROR(INDEX(TableQBCalcPts[TM],MATCH(TableQBRanks3040[[#This Row],[Player]],TableQBCalcPts[PLAYER],0)),"")</f>
        <v/>
      </c>
      <c r="D62" s="58" t="str">
        <f>IFERROR(INDEX(TableQBCalcPts[BYE],MATCH(TableQBRanks3040[[#This Row],[Player]],TableQBCalcPts[PLAYER],0)),"")</f>
        <v/>
      </c>
      <c r="E62" s="100">
        <f>VLOOKUP(TableQBRanks3040[[#This Row],[Player]],QB!B:O,4,FALSE)</f>
        <v>0</v>
      </c>
      <c r="F62" s="100">
        <f>VLOOKUP(TableQBRanks3040[[#This Row],[Player]],QB!B:O,5,FALSE)</f>
        <v>0</v>
      </c>
      <c r="G62" s="100">
        <f>VLOOKUP(TableQBRanks3040[[#This Row],[Player]],QB!B:O,6,FALSE)</f>
        <v>0</v>
      </c>
      <c r="H62" s="100">
        <f>VLOOKUP(TableQBRanks3040[[#This Row],[Player]],QB!B:O,7,FALSE)</f>
        <v>0</v>
      </c>
      <c r="I62" s="100">
        <f>VLOOKUP(TableQBRanks3040[[#This Row],[Player]],QB!B:O,8,FALSE)</f>
        <v>0</v>
      </c>
      <c r="J62" s="100">
        <f>VLOOKUP(TableQBRanks3040[[#This Row],[Player]],QB!B:O,9,FALSE)</f>
        <v>0</v>
      </c>
      <c r="K62" s="100">
        <f>VLOOKUP(TableQBRanks3040[[#This Row],[Player]],QB!B:O,10,FALSE)</f>
        <v>0</v>
      </c>
      <c r="L62" s="100">
        <f>VLOOKUP(TableQBRanks3040[[#This Row],[Player]],QB!B:O,11,FALSE)</f>
        <v>0</v>
      </c>
      <c r="M62" s="95">
        <f>VLOOKUP(TableQBRanks3040[[#This Row],[Player]],QB!B:O,13,FALSE)</f>
        <v>0</v>
      </c>
      <c r="N62" s="140" t="e">
        <f>IF(VLOOKUP(TableQBRanks3040[[#This Row],[Player]],'Ranks w Proj'!$B:$N,13,FALSE)&lt;0,0,VLOOKUP(TableQBRanks3040[[#This Row],[Player]],'Ranks w Proj'!$B:$N,13,FALSE))</f>
        <v>#N/A</v>
      </c>
      <c r="P62" s="58">
        <v>61</v>
      </c>
      <c r="Q62" s="58" t="str">
        <f>VLOOKUP(TableRBRanks3141[[#This Row],[RK]],Rankings!A:T,8,FALSE)</f>
        <v>Ty Johnson</v>
      </c>
      <c r="R62" s="58" t="str">
        <f>IFERROR(INDEX(TableRBCalcPts[TM],MATCH(TableRBRanks3141[[#This Row],[Player]],TableRBCalcPts[PLAYER],0)),"")</f>
        <v>BUF</v>
      </c>
      <c r="S62" s="58">
        <f>IFERROR(INDEX(TableRBCalcPts[BYE],MATCH(TableRBRanks3141[[#This Row],[Player]],TableRBCalcPts[PLAYER],0)),"")</f>
        <v>7</v>
      </c>
      <c r="T62" s="100">
        <f>VLOOKUP(TableRBRanks3141[[#This Row],[Player]],RB!B:O,4,FALSE)</f>
        <v>58.341301199999997</v>
      </c>
      <c r="U62" s="100">
        <f>VLOOKUP(TableRBRanks3141[[#This Row],[Player]],RB!B:O,5,FALSE)</f>
        <v>244.64132636834495</v>
      </c>
      <c r="V62" s="100">
        <f>VLOOKUP(TableRBRanks3141[[#This Row],[Player]],RB!B:O,6,FALSE)</f>
        <v>2.0585638140148612</v>
      </c>
      <c r="W62" s="100">
        <f>VLOOKUP(TableRBRanks3141[[#This Row],[Player]],RB!B:O,7,FALSE)</f>
        <v>28.091601999999988</v>
      </c>
      <c r="X62" s="100">
        <f>VLOOKUP(TableRBRanks3141[[#This Row],[Player]],RB!B:O,8,FALSE)</f>
        <v>22.330148199333323</v>
      </c>
      <c r="Y62" s="100">
        <f>VLOOKUP(TableRBRanks3141[[#This Row],[Player]],RB!B:O,9,FALSE)</f>
        <v>195.16549526217324</v>
      </c>
      <c r="Z62" s="100">
        <f>VLOOKUP(TableRBRanks3141[[#This Row],[Player]],RB!B:O,10,FALSE)</f>
        <v>1.4610977278333328</v>
      </c>
      <c r="AA62" s="95">
        <f>VLOOKUP(TableRBRanks3141[[#This Row],[Player]],RB!B:O,14,FALSE)</f>
        <v>76.263725513807657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VLOOKUP(TableWRRanks3242[[#This Row],[RK]],Rankings!A:T,13,FALSE)</f>
        <v>Jalen Nailor</v>
      </c>
      <c r="AF62" s="58" t="str">
        <f>IFERROR(INDEX(TableWRCalcPts[TM],MATCH(TableWRRanks3242[[#This Row],[Player]],TableWRCalcPts[PLAYER],0)),"")</f>
        <v>LV</v>
      </c>
      <c r="AG62" s="58">
        <f>IFERROR(INDEX(TableWRCalcPts[BYE],MATCH(TableWRRanks3242[[#This Row],[Player]],TableWRCalcPts[PLAYER],0)),"")</f>
        <v>13</v>
      </c>
      <c r="AH62" s="100">
        <f>VLOOKUP(TableWRRanks3242[[#This Row],[Player]],WR!B:O,4,FALSE)</f>
        <v>0</v>
      </c>
      <c r="AI62" s="100">
        <f>VLOOKUP(TableWRRanks3242[[#This Row],[Player]],WR!B:O,5,FALSE)</f>
        <v>0</v>
      </c>
      <c r="AJ62" s="100">
        <f>VLOOKUP(TableWRRanks3242[[#This Row],[Player]],WR!B:O,6,FALSE)</f>
        <v>78.379176959999995</v>
      </c>
      <c r="AK62" s="100">
        <f>VLOOKUP(TableWRRanks3242[[#This Row],[Player]],WR!B:O,7,FALSE)</f>
        <v>47.654539591679999</v>
      </c>
      <c r="AL62" s="100">
        <f>VLOOKUP(TableWRRanks3242[[#This Row],[Player]],WR!B:O,8,FALSE)</f>
        <v>608.07192518983675</v>
      </c>
      <c r="AM62" s="100">
        <f>VLOOKUP(TableWRRanks3242[[#This Row],[Player]],WR!B:O,9,FALSE)</f>
        <v>3.0975450734591998</v>
      </c>
      <c r="AN62" s="95">
        <f>VLOOKUP(TableWRRanks3242[[#This Row],[Player]],WR!B:O,13,FALSE)</f>
        <v>103.21973275557887</v>
      </c>
      <c r="AO62" s="140">
        <f>IF(VLOOKUP(TableWRRanks3242[[#This Row],[Player]],'Ranks w Proj'!$AE:$AO,11,FALSE)&lt;0,0,VLOOKUP(TableWRRanks3242[[#This Row],[Player]],'Ranks w Proj'!$AE:$AO,11,FALSE))</f>
        <v>2.4303072016613805</v>
      </c>
      <c r="AQ62" s="58">
        <v>61</v>
      </c>
      <c r="AR62" s="58">
        <f>VLOOKUP(TableTERanks3343[[#This Row],[RK]],Rankings!A:T,18,FALSE)</f>
        <v>0</v>
      </c>
      <c r="AS62" s="58" t="str">
        <f>IFERROR(INDEX(TableTECalcPts[TM],MATCH(TableTERanks3343[[#This Row],[Player]],TableTECalcPts[PLAYER],0)),"")</f>
        <v/>
      </c>
      <c r="AT62" s="58" t="str">
        <f>IFERROR(INDEX(TableTECalcPts[BYE],MATCH(TableTERanks3343[[#This Row],[Player]],TableTECalcPts[PLAYER],0)),"")</f>
        <v/>
      </c>
      <c r="AU62" s="100">
        <f>VLOOKUP(TableTERanks3343[[#This Row],[Player]],TE!B:O,4,FALSE)</f>
        <v>0</v>
      </c>
      <c r="AV62" s="100">
        <f>VLOOKUP(TableTERanks3343[[#This Row],[Player]],TE!B:O,5,FALSE)</f>
        <v>0</v>
      </c>
      <c r="AW62" s="100">
        <f>VLOOKUP(TableTERanks3343[[#This Row],[Player]],TE!B:O,6,FALSE)</f>
        <v>0</v>
      </c>
      <c r="AX62" s="100">
        <f>VLOOKUP(TableTERanks3343[[#This Row],[Player]],TE!B:O,7,FALSE)</f>
        <v>0</v>
      </c>
      <c r="AY62" s="95">
        <f>VLOOKUP(TableTERanks3343[[#This Row],[Player]],TE!B:O,11,FALSE)</f>
        <v>0</v>
      </c>
      <c r="AZ62" s="140" t="e">
        <f>IF(VLOOKUP(TableTERanks3343[[#This Row],[Player]],'Ranks w Proj'!$AR:$AZ,9,FALSE)&lt;0,0,VLOOKUP(TableTERanks3343[[#This Row],[Player]],'Ranks w Proj'!$AR:$AZ,9,FALSE))</f>
        <v>#N/A</v>
      </c>
    </row>
    <row r="63" spans="1:52" x14ac:dyDescent="0.25">
      <c r="A63" s="58">
        <v>62</v>
      </c>
      <c r="B63" s="58">
        <f>VLOOKUP(TableQBRanks3040[[#This Row],[RK]],Rankings!A:T,3,FALSE)</f>
        <v>0</v>
      </c>
      <c r="C63" s="58" t="str">
        <f>IFERROR(INDEX(TableQBCalcPts[TM],MATCH(TableQBRanks3040[[#This Row],[Player]],TableQBCalcPts[PLAYER],0)),"")</f>
        <v/>
      </c>
      <c r="D63" s="58" t="str">
        <f>IFERROR(INDEX(TableQBCalcPts[BYE],MATCH(TableQBRanks3040[[#This Row],[Player]],TableQBCalcPts[PLAYER],0)),"")</f>
        <v/>
      </c>
      <c r="E63" s="100">
        <f>VLOOKUP(TableQBRanks3040[[#This Row],[Player]],QB!B:O,4,FALSE)</f>
        <v>0</v>
      </c>
      <c r="F63" s="100">
        <f>VLOOKUP(TableQBRanks3040[[#This Row],[Player]],QB!B:O,5,FALSE)</f>
        <v>0</v>
      </c>
      <c r="G63" s="100">
        <f>VLOOKUP(TableQBRanks3040[[#This Row],[Player]],QB!B:O,6,FALSE)</f>
        <v>0</v>
      </c>
      <c r="H63" s="100">
        <f>VLOOKUP(TableQBRanks3040[[#This Row],[Player]],QB!B:O,7,FALSE)</f>
        <v>0</v>
      </c>
      <c r="I63" s="100">
        <f>VLOOKUP(TableQBRanks3040[[#This Row],[Player]],QB!B:O,8,FALSE)</f>
        <v>0</v>
      </c>
      <c r="J63" s="100">
        <f>VLOOKUP(TableQBRanks3040[[#This Row],[Player]],QB!B:O,9,FALSE)</f>
        <v>0</v>
      </c>
      <c r="K63" s="100">
        <f>VLOOKUP(TableQBRanks3040[[#This Row],[Player]],QB!B:O,10,FALSE)</f>
        <v>0</v>
      </c>
      <c r="L63" s="100">
        <f>VLOOKUP(TableQBRanks3040[[#This Row],[Player]],QB!B:O,11,FALSE)</f>
        <v>0</v>
      </c>
      <c r="M63" s="95">
        <f>VLOOKUP(TableQBRanks3040[[#This Row],[Player]],QB!B:O,13,FALSE)</f>
        <v>0</v>
      </c>
      <c r="N63" s="140" t="e">
        <f>IF(VLOOKUP(TableQBRanks3040[[#This Row],[Player]],'Ranks w Proj'!$B:$N,13,FALSE)&lt;0,0,VLOOKUP(TableQBRanks3040[[#This Row],[Player]],'Ranks w Proj'!$B:$N,13,FALSE))</f>
        <v>#N/A</v>
      </c>
      <c r="P63" s="58">
        <v>62</v>
      </c>
      <c r="Q63" s="58" t="str">
        <f>VLOOKUP(TableRBRanks3141[[#This Row],[RK]],Rankings!A:T,8,FALSE)</f>
        <v>Emari Demercado</v>
      </c>
      <c r="R63" s="58" t="str">
        <f>IFERROR(INDEX(TableRBCalcPts[TM],MATCH(TableRBRanks3141[[#This Row],[Player]],TableRBCalcPts[PLAYER],0)),"")</f>
        <v>KC</v>
      </c>
      <c r="S63" s="58">
        <f>IFERROR(INDEX(TableRBCalcPts[BYE],MATCH(TableRBRanks3141[[#This Row],[Player]],TableRBCalcPts[PLAYER],0)),"")</f>
        <v>5</v>
      </c>
      <c r="T63" s="100">
        <f>VLOOKUP(TableRBRanks3141[[#This Row],[Player]],RB!B:O,4,FALSE)</f>
        <v>42.841606500000012</v>
      </c>
      <c r="U63" s="100">
        <f>VLOOKUP(TableRBRanks3141[[#This Row],[Player]],RB!B:O,5,FALSE)</f>
        <v>170.08117780500007</v>
      </c>
      <c r="V63" s="100">
        <f>VLOOKUP(TableRBRanks3141[[#This Row],[Player]],RB!B:O,6,FALSE)</f>
        <v>1.3709314080000004</v>
      </c>
      <c r="W63" s="100">
        <f>VLOOKUP(TableRBRanks3141[[#This Row],[Player]],RB!B:O,7,FALSE)</f>
        <v>28.102871999999998</v>
      </c>
      <c r="X63" s="100">
        <f>VLOOKUP(TableRBRanks3141[[#This Row],[Player]],RB!B:O,8,FALSE)</f>
        <v>20.571302304</v>
      </c>
      <c r="Y63" s="100">
        <f>VLOOKUP(TableRBRanks3141[[#This Row],[Player]],RB!B:O,9,FALSE)</f>
        <v>144.41054217407998</v>
      </c>
      <c r="Z63" s="100">
        <f>VLOOKUP(TableRBRanks3141[[#This Row],[Player]],RB!B:O,10,FALSE)</f>
        <v>0.82285209215999999</v>
      </c>
      <c r="AA63" s="95">
        <f>VLOOKUP(TableRBRanks3141[[#This Row],[Player]],RB!B:O,14,FALSE)</f>
        <v>54.897524150868009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VLOOKUP(TableWRRanks3242[[#This Row],[RK]],Rankings!A:T,13,FALSE)</f>
        <v>KC Concepcion</v>
      </c>
      <c r="AF63" s="58" t="str">
        <f>IFERROR(INDEX(TableWRCalcPts[TM],MATCH(TableWRRanks3242[[#This Row],[Player]],TableWRCalcPts[PLAYER],0)),"")</f>
        <v>CLE</v>
      </c>
      <c r="AG63" s="58">
        <f>IFERROR(INDEX(TableWRCalcPts[BYE],MATCH(TableWRRanks3242[[#This Row],[Player]],TableWRCalcPts[PLAYER],0)),"")</f>
        <v>11</v>
      </c>
      <c r="AH63" s="100">
        <f>VLOOKUP(TableWRRanks3242[[#This Row],[Player]],WR!B:O,4,FALSE)</f>
        <v>27.958043076923079</v>
      </c>
      <c r="AI63" s="100">
        <f>VLOOKUP(TableWRRanks3242[[#This Row],[Player]],WR!B:O,5,FALSE)</f>
        <v>7.7661230769230774E-2</v>
      </c>
      <c r="AJ63" s="100">
        <f>VLOOKUP(TableWRRanks3242[[#This Row],[Player]],WR!B:O,6,FALSE)</f>
        <v>80.157924000000008</v>
      </c>
      <c r="AK63" s="100">
        <f>VLOOKUP(TableWRRanks3242[[#This Row],[Player]],WR!B:O,7,FALSE)</f>
        <v>44.167016124000007</v>
      </c>
      <c r="AL63" s="100">
        <f>VLOOKUP(TableWRRanks3242[[#This Row],[Player]],WR!B:O,8,FALSE)</f>
        <v>571.46108318056611</v>
      </c>
      <c r="AM63" s="100">
        <f>VLOOKUP(TableWRRanks3242[[#This Row],[Player]],WR!B:O,9,FALSE)</f>
        <v>2.9150230641840005</v>
      </c>
      <c r="AN63" s="95">
        <f>VLOOKUP(TableWRRanks3242[[#This Row],[Player]],WR!B:O,13,FALSE)</f>
        <v>99.98152645746832</v>
      </c>
      <c r="AO63" s="140">
        <f>IF(VLOOKUP(TableWRRanks3242[[#This Row],[Player]],'Ranks w Proj'!$AE:$AO,11,FALSE)&lt;0,0,VLOOKUP(TableWRRanks3242[[#This Row],[Player]],'Ranks w Proj'!$AE:$AO,11,FALSE))</f>
        <v>1.8219188695272923</v>
      </c>
      <c r="AQ63" s="58">
        <v>62</v>
      </c>
      <c r="AR63" s="58">
        <f>VLOOKUP(TableTERanks3343[[#This Row],[RK]],Rankings!A:T,18,FALSE)</f>
        <v>0</v>
      </c>
      <c r="AS63" s="58" t="str">
        <f>IFERROR(INDEX(TableTECalcPts[TM],MATCH(TableTERanks3343[[#This Row],[Player]],TableTECalcPts[PLAYER],0)),"")</f>
        <v/>
      </c>
      <c r="AT63" s="58" t="str">
        <f>IFERROR(INDEX(TableTECalcPts[BYE],MATCH(TableTERanks3343[[#This Row],[Player]],TableTECalcPts[PLAYER],0)),"")</f>
        <v/>
      </c>
      <c r="AU63" s="100">
        <f>VLOOKUP(TableTERanks3343[[#This Row],[Player]],TE!B:O,4,FALSE)</f>
        <v>0</v>
      </c>
      <c r="AV63" s="100">
        <f>VLOOKUP(TableTERanks3343[[#This Row],[Player]],TE!B:O,5,FALSE)</f>
        <v>0</v>
      </c>
      <c r="AW63" s="100">
        <f>VLOOKUP(TableTERanks3343[[#This Row],[Player]],TE!B:O,6,FALSE)</f>
        <v>0</v>
      </c>
      <c r="AX63" s="100">
        <f>VLOOKUP(TableTERanks3343[[#This Row],[Player]],TE!B:O,7,FALSE)</f>
        <v>0</v>
      </c>
      <c r="AY63" s="95">
        <f>VLOOKUP(TableTERanks3343[[#This Row],[Player]],TE!B:O,11,FALSE)</f>
        <v>0</v>
      </c>
      <c r="AZ63" s="140" t="e">
        <f>IF(VLOOKUP(TableTERanks3343[[#This Row],[Player]],'Ranks w Proj'!$AR:$AZ,9,FALSE)&lt;0,0,VLOOKUP(TableTERanks3343[[#This Row],[Player]],'Ranks w Proj'!$AR:$AZ,9,FALSE))</f>
        <v>#N/A</v>
      </c>
    </row>
    <row r="64" spans="1:52" x14ac:dyDescent="0.25">
      <c r="A64" s="58">
        <v>63</v>
      </c>
      <c r="B64" s="58">
        <f>VLOOKUP(TableQBRanks3040[[#This Row],[RK]],Rankings!A:T,3,FALSE)</f>
        <v>0</v>
      </c>
      <c r="C64" s="58" t="str">
        <f>IFERROR(INDEX(TableQBCalcPts[TM],MATCH(TableQBRanks3040[[#This Row],[Player]],TableQBCalcPts[PLAYER],0)),"")</f>
        <v/>
      </c>
      <c r="D64" s="58" t="str">
        <f>IFERROR(INDEX(TableQBCalcPts[BYE],MATCH(TableQBRanks3040[[#This Row],[Player]],TableQBCalcPts[PLAYER],0)),"")</f>
        <v/>
      </c>
      <c r="E64" s="100">
        <f>VLOOKUP(TableQBRanks3040[[#This Row],[Player]],QB!B:O,4,FALSE)</f>
        <v>0</v>
      </c>
      <c r="F64" s="100">
        <f>VLOOKUP(TableQBRanks3040[[#This Row],[Player]],QB!B:O,5,FALSE)</f>
        <v>0</v>
      </c>
      <c r="G64" s="100">
        <f>VLOOKUP(TableQBRanks3040[[#This Row],[Player]],QB!B:O,6,FALSE)</f>
        <v>0</v>
      </c>
      <c r="H64" s="100">
        <f>VLOOKUP(TableQBRanks3040[[#This Row],[Player]],QB!B:O,7,FALSE)</f>
        <v>0</v>
      </c>
      <c r="I64" s="100">
        <f>VLOOKUP(TableQBRanks3040[[#This Row],[Player]],QB!B:O,8,FALSE)</f>
        <v>0</v>
      </c>
      <c r="J64" s="100">
        <f>VLOOKUP(TableQBRanks3040[[#This Row],[Player]],QB!B:O,9,FALSE)</f>
        <v>0</v>
      </c>
      <c r="K64" s="100">
        <f>VLOOKUP(TableQBRanks3040[[#This Row],[Player]],QB!B:O,10,FALSE)</f>
        <v>0</v>
      </c>
      <c r="L64" s="100">
        <f>VLOOKUP(TableQBRanks3040[[#This Row],[Player]],QB!B:O,11,FALSE)</f>
        <v>0</v>
      </c>
      <c r="M64" s="95">
        <f>VLOOKUP(TableQBRanks3040[[#This Row],[Player]],QB!B:O,13,FALSE)</f>
        <v>0</v>
      </c>
      <c r="N64" s="140" t="e">
        <f>IF(VLOOKUP(TableQBRanks3040[[#This Row],[Player]],'Ranks w Proj'!$B:$N,13,FALSE)&lt;0,0,VLOOKUP(TableQBRanks3040[[#This Row],[Player]],'Ranks w Proj'!$B:$N,13,FALSE))</f>
        <v>#N/A</v>
      </c>
      <c r="P64" s="58">
        <v>63</v>
      </c>
      <c r="Q64" s="58" t="str">
        <f>VLOOKUP(TableRBRanks3141[[#This Row],[RK]],Rankings!A:T,8,FALSE)</f>
        <v>Kimani Vidal</v>
      </c>
      <c r="R64" s="58" t="str">
        <f>IFERROR(INDEX(TableRBCalcPts[TM],MATCH(TableRBRanks3141[[#This Row],[Player]],TableRBCalcPts[PLAYER],0)),"")</f>
        <v>LAC</v>
      </c>
      <c r="S64" s="58">
        <f>IFERROR(INDEX(TableRBCalcPts[BYE],MATCH(TableRBRanks3141[[#This Row],[Player]],TableRBCalcPts[PLAYER],0)),"")</f>
        <v>7</v>
      </c>
      <c r="T64" s="100">
        <f>VLOOKUP(TableRBRanks3141[[#This Row],[Player]],RB!B:O,4,FALSE)</f>
        <v>36.392396040000001</v>
      </c>
      <c r="U64" s="100">
        <f>VLOOKUP(TableRBRanks3141[[#This Row],[Player]],RB!B:O,5,FALSE)</f>
        <v>153.2119873284</v>
      </c>
      <c r="V64" s="100">
        <f>VLOOKUP(TableRBRanks3141[[#This Row],[Player]],RB!B:O,6,FALSE)</f>
        <v>0.83702510892000004</v>
      </c>
      <c r="W64" s="100">
        <f>VLOOKUP(TableRBRanks3141[[#This Row],[Player]],RB!B:O,7,FALSE)</f>
        <v>11.697205519999997</v>
      </c>
      <c r="X64" s="100">
        <f>VLOOKUP(TableRBRanks3141[[#This Row],[Player]],RB!B:O,8,FALSE)</f>
        <v>8.7729041399999979</v>
      </c>
      <c r="Y64" s="100">
        <f>VLOOKUP(TableRBRanks3141[[#This Row],[Player]],RB!B:O,9,FALSE)</f>
        <v>69.393671747399978</v>
      </c>
      <c r="Z64" s="100">
        <f>VLOOKUP(TableRBRanks3141[[#This Row],[Player]],RB!B:O,10,FALSE)</f>
        <v>0.30705164489999998</v>
      </c>
      <c r="AA64" s="95">
        <f>VLOOKUP(TableRBRanks3141[[#This Row],[Player]],RB!B:O,14,FALSE)</f>
        <v>33.511478500499997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VLOOKUP(TableWRRanks3242[[#This Row],[RK]],Rankings!A:T,13,FALSE)</f>
        <v>Tyquan Thornton</v>
      </c>
      <c r="AF64" s="58" t="str">
        <f>IFERROR(INDEX(TableWRCalcPts[TM],MATCH(TableWRRanks3242[[#This Row],[Player]],TableWRCalcPts[PLAYER],0)),"")</f>
        <v>KC</v>
      </c>
      <c r="AG64" s="58">
        <f>IFERROR(INDEX(TableWRCalcPts[BYE],MATCH(TableWRRanks3242[[#This Row],[Player]],TableWRCalcPts[PLAYER],0)),"")</f>
        <v>5</v>
      </c>
      <c r="AH64" s="100">
        <f>VLOOKUP(TableWRRanks3242[[#This Row],[Player]],WR!B:O,4,FALSE)</f>
        <v>0</v>
      </c>
      <c r="AI64" s="100">
        <f>VLOOKUP(TableWRRanks3242[[#This Row],[Player]],WR!B:O,5,FALSE)</f>
        <v>0</v>
      </c>
      <c r="AJ64" s="100">
        <f>VLOOKUP(TableWRRanks3242[[#This Row],[Player]],WR!B:O,6,FALSE)</f>
        <v>63.231462000000001</v>
      </c>
      <c r="AK64" s="100">
        <f>VLOOKUP(TableWRRanks3242[[#This Row],[Player]],WR!B:O,7,FALSE)</f>
        <v>35.599313105999997</v>
      </c>
      <c r="AL64" s="100">
        <f>VLOOKUP(TableWRRanks3242[[#This Row],[Player]],WR!B:O,8,FALSE)</f>
        <v>594.29453017048206</v>
      </c>
      <c r="AM64" s="100">
        <f>VLOOKUP(TableWRRanks3242[[#This Row],[Player]],WR!B:O,9,FALSE)</f>
        <v>4.6991093299919999</v>
      </c>
      <c r="AN64" s="95">
        <f>VLOOKUP(TableWRRanks3242[[#This Row],[Player]],WR!B:O,13,FALSE)</f>
        <v>105.42376555000021</v>
      </c>
      <c r="AO64" s="140">
        <f>IF(VLOOKUP(TableWRRanks3242[[#This Row],[Player]],'Ranks w Proj'!$AE:$AO,11,FALSE)&lt;0,0,VLOOKUP(TableWRRanks3242[[#This Row],[Player]],'Ranks w Proj'!$AE:$AO,11,FALSE))</f>
        <v>2.8443968896930634</v>
      </c>
      <c r="AQ64" s="58">
        <v>63</v>
      </c>
      <c r="AR64" s="58">
        <f>VLOOKUP(TableTERanks3343[[#This Row],[RK]],Rankings!A:T,18,FALSE)</f>
        <v>0</v>
      </c>
      <c r="AS64" s="58" t="str">
        <f>IFERROR(INDEX(TableTECalcPts[TM],MATCH(TableTERanks3343[[#This Row],[Player]],TableTECalcPts[PLAYER],0)),"")</f>
        <v/>
      </c>
      <c r="AT64" s="58" t="str">
        <f>IFERROR(INDEX(TableTECalcPts[BYE],MATCH(TableTERanks3343[[#This Row],[Player]],TableTECalcPts[PLAYER],0)),"")</f>
        <v/>
      </c>
      <c r="AU64" s="100">
        <f>VLOOKUP(TableTERanks3343[[#This Row],[Player]],TE!B:O,4,FALSE)</f>
        <v>0</v>
      </c>
      <c r="AV64" s="100">
        <f>VLOOKUP(TableTERanks3343[[#This Row],[Player]],TE!B:O,5,FALSE)</f>
        <v>0</v>
      </c>
      <c r="AW64" s="100">
        <f>VLOOKUP(TableTERanks3343[[#This Row],[Player]],TE!B:O,6,FALSE)</f>
        <v>0</v>
      </c>
      <c r="AX64" s="100">
        <f>VLOOKUP(TableTERanks3343[[#This Row],[Player]],TE!B:O,7,FALSE)</f>
        <v>0</v>
      </c>
      <c r="AY64" s="95">
        <f>VLOOKUP(TableTERanks3343[[#This Row],[Player]],TE!B:O,11,FALSE)</f>
        <v>0</v>
      </c>
      <c r="AZ64" s="140" t="e">
        <f>IF(VLOOKUP(TableTERanks3343[[#This Row],[Player]],'Ranks w Proj'!$AR:$AZ,9,FALSE)&lt;0,0,VLOOKUP(TableTERanks3343[[#This Row],[Player]],'Ranks w Proj'!$AR:$AZ,9,FALSE))</f>
        <v>#N/A</v>
      </c>
    </row>
    <row r="65" spans="1:52" x14ac:dyDescent="0.25">
      <c r="A65" s="58">
        <v>64</v>
      </c>
      <c r="B65" s="58">
        <f>VLOOKUP(TableQBRanks3040[[#This Row],[RK]],Rankings!A:T,3,FALSE)</f>
        <v>0</v>
      </c>
      <c r="C65" s="58" t="str">
        <f>IFERROR(INDEX(TableQBCalcPts[TM],MATCH(TableQBRanks3040[[#This Row],[Player]],TableQBCalcPts[PLAYER],0)),"")</f>
        <v/>
      </c>
      <c r="D65" s="58" t="str">
        <f>IFERROR(INDEX(TableQBCalcPts[BYE],MATCH(TableQBRanks3040[[#This Row],[Player]],TableQBCalcPts[PLAYER],0)),"")</f>
        <v/>
      </c>
      <c r="E65" s="100">
        <f>VLOOKUP(TableQBRanks3040[[#This Row],[Player]],QB!B:O,4,FALSE)</f>
        <v>0</v>
      </c>
      <c r="F65" s="100">
        <f>VLOOKUP(TableQBRanks3040[[#This Row],[Player]],QB!B:O,5,FALSE)</f>
        <v>0</v>
      </c>
      <c r="G65" s="100">
        <f>VLOOKUP(TableQBRanks3040[[#This Row],[Player]],QB!B:O,6,FALSE)</f>
        <v>0</v>
      </c>
      <c r="H65" s="100">
        <f>VLOOKUP(TableQBRanks3040[[#This Row],[Player]],QB!B:O,7,FALSE)</f>
        <v>0</v>
      </c>
      <c r="I65" s="100">
        <f>VLOOKUP(TableQBRanks3040[[#This Row],[Player]],QB!B:O,8,FALSE)</f>
        <v>0</v>
      </c>
      <c r="J65" s="100">
        <f>VLOOKUP(TableQBRanks3040[[#This Row],[Player]],QB!B:O,9,FALSE)</f>
        <v>0</v>
      </c>
      <c r="K65" s="100">
        <f>VLOOKUP(TableQBRanks3040[[#This Row],[Player]],QB!B:O,10,FALSE)</f>
        <v>0</v>
      </c>
      <c r="L65" s="100">
        <f>VLOOKUP(TableQBRanks3040[[#This Row],[Player]],QB!B:O,11,FALSE)</f>
        <v>0</v>
      </c>
      <c r="M65" s="95">
        <f>VLOOKUP(TableQBRanks3040[[#This Row],[Player]],QB!B:O,13,FALSE)</f>
        <v>0</v>
      </c>
      <c r="N65" s="140" t="e">
        <f>IF(VLOOKUP(TableQBRanks3040[[#This Row],[Player]],'Ranks w Proj'!$B:$N,13,FALSE)&lt;0,0,VLOOKUP(TableQBRanks3040[[#This Row],[Player]],'Ranks w Proj'!$B:$N,13,FALSE))</f>
        <v>#N/A</v>
      </c>
      <c r="P65" s="58">
        <v>64</v>
      </c>
      <c r="Q65" s="58" t="str">
        <f>VLOOKUP(TableRBRanks3141[[#This Row],[RK]],Rankings!A:T,8,FALSE)</f>
        <v>Jaydon Blue</v>
      </c>
      <c r="R65" s="58" t="str">
        <f>IFERROR(INDEX(TableRBCalcPts[TM],MATCH(TableRBRanks3141[[#This Row],[Player]],TableRBCalcPts[PLAYER],0)),"")</f>
        <v>DAL</v>
      </c>
      <c r="S65" s="58">
        <f>IFERROR(INDEX(TableRBCalcPts[BYE],MATCH(TableRBRanks3141[[#This Row],[Player]],TableRBCalcPts[PLAYER],0)),"")</f>
        <v>14</v>
      </c>
      <c r="T65" s="100">
        <f>VLOOKUP(TableRBRanks3141[[#This Row],[Player]],RB!B:O,4,FALSE)</f>
        <v>49.580674500000008</v>
      </c>
      <c r="U65" s="100">
        <f>VLOOKUP(TableRBRanks3141[[#This Row],[Player]],RB!B:O,5,FALSE)</f>
        <v>203.77657219500006</v>
      </c>
      <c r="V65" s="100">
        <f>VLOOKUP(TableRBRanks3141[[#This Row],[Player]],RB!B:O,6,FALSE)</f>
        <v>1.4378395605000003</v>
      </c>
      <c r="W65" s="100">
        <f>VLOOKUP(TableRBRanks3141[[#This Row],[Player]],RB!B:O,7,FALSE)</f>
        <v>19.891202099999997</v>
      </c>
      <c r="X65" s="100">
        <f>VLOOKUP(TableRBRanks3141[[#This Row],[Player]],RB!B:O,8,FALSE)</f>
        <v>13.289416813547367</v>
      </c>
      <c r="Y65" s="100">
        <f>VLOOKUP(TableRBRanks3141[[#This Row],[Player]],RB!B:O,9,FALSE)</f>
        <v>87.045680128735256</v>
      </c>
      <c r="Z65" s="100">
        <f>VLOOKUP(TableRBRanks3141[[#This Row],[Player]],RB!B:O,10,FALSE)</f>
        <v>0.3189460035251368</v>
      </c>
      <c r="AA65" s="95">
        <f>VLOOKUP(TableRBRanks3141[[#This Row],[Player]],RB!B:O,14,FALSE)</f>
        <v>46.267647023298039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VLOOKUP(TableWRRanks3242[[#This Row],[RK]],Rankings!A:T,13,FALSE)</f>
        <v>Jack Bech</v>
      </c>
      <c r="AF65" s="58" t="str">
        <f>IFERROR(INDEX(TableWRCalcPts[TM],MATCH(TableWRRanks3242[[#This Row],[Player]],TableWRCalcPts[PLAYER],0)),"")</f>
        <v>LV</v>
      </c>
      <c r="AG65" s="58">
        <f>IFERROR(INDEX(TableWRCalcPts[BYE],MATCH(TableWRRanks3242[[#This Row],[Player]],TableWRCalcPts[PLAYER],0)),"")</f>
        <v>13</v>
      </c>
      <c r="AH65" s="100">
        <f>VLOOKUP(TableWRRanks3242[[#This Row],[Player]],WR!B:O,4,FALSE)</f>
        <v>0</v>
      </c>
      <c r="AI65" s="100">
        <f>VLOOKUP(TableWRRanks3242[[#This Row],[Player]],WR!B:O,5,FALSE)</f>
        <v>0</v>
      </c>
      <c r="AJ65" s="100">
        <f>VLOOKUP(TableWRRanks3242[[#This Row],[Player]],WR!B:O,6,FALSE)</f>
        <v>81.100676159999992</v>
      </c>
      <c r="AK65" s="100">
        <f>VLOOKUP(TableWRRanks3242[[#This Row],[Player]],WR!B:O,7,FALSE)</f>
        <v>51.661130713919995</v>
      </c>
      <c r="AL65" s="100">
        <f>VLOOKUP(TableWRRanks3242[[#This Row],[Player]],WR!B:O,8,FALSE)</f>
        <v>568.78904916025908</v>
      </c>
      <c r="AM65" s="100">
        <f>VLOOKUP(TableWRRanks3242[[#This Row],[Player]],WR!B:O,9,FALSE)</f>
        <v>3.0996678428351996</v>
      </c>
      <c r="AN65" s="95">
        <f>VLOOKUP(TableWRRanks3242[[#This Row],[Player]],WR!B:O,13,FALSE)</f>
        <v>101.30747732999711</v>
      </c>
      <c r="AO65" s="140">
        <f>IF(VLOOKUP(TableWRRanks3242[[#This Row],[Player]],'Ranks w Proj'!$AE:$AO,11,FALSE)&lt;0,0,VLOOKUP(TableWRRanks3242[[#This Row],[Player]],'Ranks w Proj'!$AE:$AO,11,FALSE))</f>
        <v>2.071036117029474</v>
      </c>
      <c r="AQ65" s="58">
        <v>64</v>
      </c>
      <c r="AR65" s="58">
        <f>VLOOKUP(TableTERanks3343[[#This Row],[RK]],Rankings!A:T,18,FALSE)</f>
        <v>0</v>
      </c>
      <c r="AS65" s="58" t="str">
        <f>IFERROR(INDEX(TableTECalcPts[TM],MATCH(TableTERanks3343[[#This Row],[Player]],TableTECalcPts[PLAYER],0)),"")</f>
        <v/>
      </c>
      <c r="AT65" s="58" t="str">
        <f>IFERROR(INDEX(TableTECalcPts[BYE],MATCH(TableTERanks3343[[#This Row],[Player]],TableTECalcPts[PLAYER],0)),"")</f>
        <v/>
      </c>
      <c r="AU65" s="100">
        <f>VLOOKUP(TableTERanks3343[[#This Row],[Player]],TE!B:O,4,FALSE)</f>
        <v>0</v>
      </c>
      <c r="AV65" s="100">
        <f>VLOOKUP(TableTERanks3343[[#This Row],[Player]],TE!B:O,5,FALSE)</f>
        <v>0</v>
      </c>
      <c r="AW65" s="100">
        <f>VLOOKUP(TableTERanks3343[[#This Row],[Player]],TE!B:O,6,FALSE)</f>
        <v>0</v>
      </c>
      <c r="AX65" s="100">
        <f>VLOOKUP(TableTERanks3343[[#This Row],[Player]],TE!B:O,7,FALSE)</f>
        <v>0</v>
      </c>
      <c r="AY65" s="95">
        <f>VLOOKUP(TableTERanks3343[[#This Row],[Player]],TE!B:O,11,FALSE)</f>
        <v>0</v>
      </c>
      <c r="AZ65" s="140" t="e">
        <f>IF(VLOOKUP(TableTERanks3343[[#This Row],[Player]],'Ranks w Proj'!$AR:$AZ,9,FALSE)&lt;0,0,VLOOKUP(TableTERanks3343[[#This Row],[Player]],'Ranks w Proj'!$AR:$AZ,9,FALSE))</f>
        <v>#N/A</v>
      </c>
    </row>
    <row r="66" spans="1:52" x14ac:dyDescent="0.25">
      <c r="A66" s="58">
        <v>65</v>
      </c>
      <c r="B66" s="58">
        <f>VLOOKUP(TableQBRanks3040[[#This Row],[RK]],Rankings!A:T,3,FALSE)</f>
        <v>0</v>
      </c>
      <c r="C66" s="58" t="str">
        <f>IFERROR(INDEX(TableQBCalcPts[TM],MATCH(TableQBRanks3040[[#This Row],[Player]],TableQBCalcPts[PLAYER],0)),"")</f>
        <v/>
      </c>
      <c r="D66" s="58" t="str">
        <f>IFERROR(INDEX(TableQBCalcPts[BYE],MATCH(TableQBRanks3040[[#This Row],[Player]],TableQBCalcPts[PLAYER],0)),"")</f>
        <v/>
      </c>
      <c r="E66" s="100">
        <f>VLOOKUP(TableQBRanks3040[[#This Row],[Player]],QB!B:O,4,FALSE)</f>
        <v>0</v>
      </c>
      <c r="F66" s="100">
        <f>VLOOKUP(TableQBRanks3040[[#This Row],[Player]],QB!B:O,5,FALSE)</f>
        <v>0</v>
      </c>
      <c r="G66" s="100">
        <f>VLOOKUP(TableQBRanks3040[[#This Row],[Player]],QB!B:O,6,FALSE)</f>
        <v>0</v>
      </c>
      <c r="H66" s="100">
        <f>VLOOKUP(TableQBRanks3040[[#This Row],[Player]],QB!B:O,7,FALSE)</f>
        <v>0</v>
      </c>
      <c r="I66" s="100">
        <f>VLOOKUP(TableQBRanks3040[[#This Row],[Player]],QB!B:O,8,FALSE)</f>
        <v>0</v>
      </c>
      <c r="J66" s="100">
        <f>VLOOKUP(TableQBRanks3040[[#This Row],[Player]],QB!B:O,9,FALSE)</f>
        <v>0</v>
      </c>
      <c r="K66" s="100">
        <f>VLOOKUP(TableQBRanks3040[[#This Row],[Player]],QB!B:O,10,FALSE)</f>
        <v>0</v>
      </c>
      <c r="L66" s="100">
        <f>VLOOKUP(TableQBRanks3040[[#This Row],[Player]],QB!B:O,11,FALSE)</f>
        <v>0</v>
      </c>
      <c r="M66" s="95">
        <f>VLOOKUP(TableQBRanks3040[[#This Row],[Player]],QB!B:O,13,FALSE)</f>
        <v>0</v>
      </c>
      <c r="N66" s="140" t="e">
        <f>IF(VLOOKUP(TableQBRanks3040[[#This Row],[Player]],'Ranks w Proj'!$B:$N,13,FALSE)&lt;0,0,VLOOKUP(TableQBRanks3040[[#This Row],[Player]],'Ranks w Proj'!$B:$N,13,FALSE))</f>
        <v>#N/A</v>
      </c>
      <c r="P66" s="58">
        <v>65</v>
      </c>
      <c r="Q66" s="58" t="str">
        <f>VLOOKUP(TableRBRanks3141[[#This Row],[RK]],Rankings!A:T,8,FALSE)</f>
        <v>Kaelon Black</v>
      </c>
      <c r="R66" s="58" t="str">
        <f>IFERROR(INDEX(TableRBCalcPts[TM],MATCH(TableRBRanks3141[[#This Row],[Player]],TableRBCalcPts[PLAYER],0)),"")</f>
        <v>SF</v>
      </c>
      <c r="S66" s="58">
        <f>IFERROR(INDEX(TableRBCalcPts[BYE],MATCH(TableRBRanks3141[[#This Row],[Player]],TableRBCalcPts[PLAYER],0)),"")</f>
        <v>8</v>
      </c>
      <c r="T66" s="100">
        <f>VLOOKUP(TableRBRanks3141[[#This Row],[Player]],RB!B:O,4,FALSE)</f>
        <v>67.384956799999983</v>
      </c>
      <c r="U66" s="100">
        <f>VLOOKUP(TableRBRanks3141[[#This Row],[Player]],RB!B:O,5,FALSE)</f>
        <v>274.25677417599996</v>
      </c>
      <c r="V66" s="100">
        <f>VLOOKUP(TableRBRanks3141[[#This Row],[Player]],RB!B:O,6,FALSE)</f>
        <v>1.8222914794566203</v>
      </c>
      <c r="W66" s="100">
        <f>VLOOKUP(TableRBRanks3141[[#This Row],[Player]],RB!B:O,7,FALSE)</f>
        <v>5.3683616000000001</v>
      </c>
      <c r="X66" s="100">
        <f>VLOOKUP(TableRBRanks3141[[#This Row],[Player]],RB!B:O,8,FALSE)</f>
        <v>3.9618508607999998</v>
      </c>
      <c r="Y66" s="100">
        <f>VLOOKUP(TableRBRanks3141[[#This Row],[Player]],RB!B:O,9,FALSE)</f>
        <v>27.970667077247999</v>
      </c>
      <c r="Z66" s="100">
        <f>VLOOKUP(TableRBRanks3141[[#This Row],[Player]],RB!B:O,10,FALSE)</f>
        <v>0.10531314530767501</v>
      </c>
      <c r="AA66" s="95">
        <f>VLOOKUP(TableRBRanks3141[[#This Row],[Player]],RB!B:O,14,FALSE)</f>
        <v>43.76929730431057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VLOOKUP(TableWRRanks3242[[#This Row],[RK]],Rankings!A:T,13,FALSE)</f>
        <v>Caleb Douglas</v>
      </c>
      <c r="AF66" s="58" t="str">
        <f>IFERROR(INDEX(TableWRCalcPts[TM],MATCH(TableWRRanks3242[[#This Row],[Player]],TableWRCalcPts[PLAYER],0)),"")</f>
        <v>MIA</v>
      </c>
      <c r="AG66" s="58">
        <f>IFERROR(INDEX(TableWRCalcPts[BYE],MATCH(TableWRRanks3242[[#This Row],[Player]],TableWRCalcPts[PLAYER],0)),"")</f>
        <v>6</v>
      </c>
      <c r="AH66" s="100">
        <f>VLOOKUP(TableWRRanks3242[[#This Row],[Player]],WR!B:O,4,FALSE)</f>
        <v>0</v>
      </c>
      <c r="AI66" s="100">
        <f>VLOOKUP(TableWRRanks3242[[#This Row],[Player]],WR!B:O,5,FALSE)</f>
        <v>0</v>
      </c>
      <c r="AJ66" s="100">
        <f>VLOOKUP(TableWRRanks3242[[#This Row],[Player]],WR!B:O,6,FALSE)</f>
        <v>73.37461193999998</v>
      </c>
      <c r="AK66" s="100">
        <f>VLOOKUP(TableWRRanks3242[[#This Row],[Player]],WR!B:O,7,FALSE)</f>
        <v>41.530030358039987</v>
      </c>
      <c r="AL66" s="100">
        <f>VLOOKUP(TableWRRanks3242[[#This Row],[Player]],WR!B:O,8,FALSE)</f>
        <v>583.08162622688133</v>
      </c>
      <c r="AM66" s="100">
        <f>VLOOKUP(TableWRRanks3242[[#This Row],[Player]],WR!B:O,9,FALSE)</f>
        <v>2.7409820036306392</v>
      </c>
      <c r="AN66" s="95">
        <f>VLOOKUP(TableWRRanks3242[[#This Row],[Player]],WR!B:O,13,FALSE)</f>
        <v>95.519069823491961</v>
      </c>
      <c r="AO66" s="140">
        <f>IF(VLOOKUP(TableWRRanks3242[[#This Row],[Player]],'Ranks w Proj'!$AE:$AO,11,FALSE)&lt;0,0,VLOOKUP(TableWRRanks3242[[#This Row],[Player]],'Ranks w Proj'!$AE:$AO,11,FALSE))</f>
        <v>0.98352060245280704</v>
      </c>
      <c r="AQ66" s="58">
        <v>65</v>
      </c>
      <c r="AR66" s="58">
        <f>VLOOKUP(TableTERanks3343[[#This Row],[RK]],Rankings!A:T,18,FALSE)</f>
        <v>0</v>
      </c>
      <c r="AS66" s="58" t="str">
        <f>IFERROR(INDEX(TableTECalcPts[TM],MATCH(TableTERanks3343[[#This Row],[Player]],TableTECalcPts[PLAYER],0)),"")</f>
        <v/>
      </c>
      <c r="AT66" s="58" t="str">
        <f>IFERROR(INDEX(TableTECalcPts[BYE],MATCH(TableTERanks3343[[#This Row],[Player]],TableTECalcPts[PLAYER],0)),"")</f>
        <v/>
      </c>
      <c r="AU66" s="100">
        <f>VLOOKUP(TableTERanks3343[[#This Row],[Player]],TE!B:O,4,FALSE)</f>
        <v>0</v>
      </c>
      <c r="AV66" s="100">
        <f>VLOOKUP(TableTERanks3343[[#This Row],[Player]],TE!B:O,5,FALSE)</f>
        <v>0</v>
      </c>
      <c r="AW66" s="100">
        <f>VLOOKUP(TableTERanks3343[[#This Row],[Player]],TE!B:O,6,FALSE)</f>
        <v>0</v>
      </c>
      <c r="AX66" s="100">
        <f>VLOOKUP(TableTERanks3343[[#This Row],[Player]],TE!B:O,7,FALSE)</f>
        <v>0</v>
      </c>
      <c r="AY66" s="95">
        <f>VLOOKUP(TableTERanks3343[[#This Row],[Player]],TE!B:O,11,FALSE)</f>
        <v>0</v>
      </c>
      <c r="AZ66" s="140" t="e">
        <f>IF(VLOOKUP(TableTERanks3343[[#This Row],[Player]],'Ranks w Proj'!$AR:$AZ,9,FALSE)&lt;0,0,VLOOKUP(TableTERanks3343[[#This Row],[Player]],'Ranks w Proj'!$AR:$AZ,9,FALSE))</f>
        <v>#N/A</v>
      </c>
    </row>
    <row r="67" spans="1:52" x14ac:dyDescent="0.25">
      <c r="A67" s="58">
        <v>66</v>
      </c>
      <c r="B67" s="58">
        <f>VLOOKUP(TableQBRanks3040[[#This Row],[RK]],Rankings!A:T,3,FALSE)</f>
        <v>0</v>
      </c>
      <c r="C67" s="58" t="str">
        <f>IFERROR(INDEX(TableQBCalcPts[TM],MATCH(TableQBRanks3040[[#This Row],[Player]],TableQBCalcPts[PLAYER],0)),"")</f>
        <v/>
      </c>
      <c r="D67" s="58" t="str">
        <f>IFERROR(INDEX(TableQBCalcPts[BYE],MATCH(TableQBRanks3040[[#This Row],[Player]],TableQBCalcPts[PLAYER],0)),"")</f>
        <v/>
      </c>
      <c r="E67" s="100">
        <f>VLOOKUP(TableQBRanks3040[[#This Row],[Player]],QB!B:O,4,FALSE)</f>
        <v>0</v>
      </c>
      <c r="F67" s="100">
        <f>VLOOKUP(TableQBRanks3040[[#This Row],[Player]],QB!B:O,5,FALSE)</f>
        <v>0</v>
      </c>
      <c r="G67" s="100">
        <f>VLOOKUP(TableQBRanks3040[[#This Row],[Player]],QB!B:O,6,FALSE)</f>
        <v>0</v>
      </c>
      <c r="H67" s="100">
        <f>VLOOKUP(TableQBRanks3040[[#This Row],[Player]],QB!B:O,7,FALSE)</f>
        <v>0</v>
      </c>
      <c r="I67" s="100">
        <f>VLOOKUP(TableQBRanks3040[[#This Row],[Player]],QB!B:O,8,FALSE)</f>
        <v>0</v>
      </c>
      <c r="J67" s="100">
        <f>VLOOKUP(TableQBRanks3040[[#This Row],[Player]],QB!B:O,9,FALSE)</f>
        <v>0</v>
      </c>
      <c r="K67" s="100">
        <f>VLOOKUP(TableQBRanks3040[[#This Row],[Player]],QB!B:O,10,FALSE)</f>
        <v>0</v>
      </c>
      <c r="L67" s="100">
        <f>VLOOKUP(TableQBRanks3040[[#This Row],[Player]],QB!B:O,11,FALSE)</f>
        <v>0</v>
      </c>
      <c r="M67" s="95">
        <f>VLOOKUP(TableQBRanks3040[[#This Row],[Player]],QB!B:O,13,FALSE)</f>
        <v>0</v>
      </c>
      <c r="N67" s="140" t="e">
        <f>IF(VLOOKUP(TableQBRanks3040[[#This Row],[Player]],'Ranks w Proj'!$B:$N,13,FALSE)&lt;0,0,VLOOKUP(TableQBRanks3040[[#This Row],[Player]],'Ranks w Proj'!$B:$N,13,FALSE))</f>
        <v>#N/A</v>
      </c>
      <c r="P67" s="58">
        <v>66</v>
      </c>
      <c r="Q67" s="58" t="str">
        <f>VLOOKUP(TableRBRanks3141[[#This Row],[RK]],Rankings!A:T,8,FALSE)</f>
        <v>Ollie Gordon</v>
      </c>
      <c r="R67" s="58" t="str">
        <f>IFERROR(INDEX(TableRBCalcPts[TM],MATCH(TableRBRanks3141[[#This Row],[Player]],TableRBCalcPts[PLAYER],0)),"")</f>
        <v>MIA</v>
      </c>
      <c r="S67" s="58">
        <f>IFERROR(INDEX(TableRBCalcPts[BYE],MATCH(TableRBRanks3141[[#This Row],[Player]],TableRBCalcPts[PLAYER],0)),"")</f>
        <v>6</v>
      </c>
      <c r="T67" s="100">
        <f>VLOOKUP(TableRBRanks3141[[#This Row],[Player]],RB!B:O,4,FALSE)</f>
        <v>82.265393940974334</v>
      </c>
      <c r="U67" s="100">
        <f>VLOOKUP(TableRBRanks3141[[#This Row],[Player]],RB!B:O,5,FALSE)</f>
        <v>322.48034424861936</v>
      </c>
      <c r="V67" s="100">
        <f>VLOOKUP(TableRBRanks3141[[#This Row],[Player]],RB!B:O,6,FALSE)</f>
        <v>1.8098386667014352</v>
      </c>
      <c r="W67" s="100">
        <f>VLOOKUP(TableRBRanks3141[[#This Row],[Player]],RB!B:O,7,FALSE)</f>
        <v>4.9244705999999994</v>
      </c>
      <c r="X67" s="100">
        <f>VLOOKUP(TableRBRanks3141[[#This Row],[Player]],RB!B:O,8,FALSE)</f>
        <v>3.6933529499999995</v>
      </c>
      <c r="Y67" s="100">
        <f>VLOOKUP(TableRBRanks3141[[#This Row],[Player]],RB!B:O,9,FALSE)</f>
        <v>23.637458879999997</v>
      </c>
      <c r="Z67" s="100">
        <f>VLOOKUP(TableRBRanks3141[[#This Row],[Player]],RB!B:O,10,FALSE)</f>
        <v>0.12795832822847683</v>
      </c>
      <c r="AA67" s="95">
        <f>VLOOKUP(TableRBRanks3141[[#This Row],[Player]],RB!B:O,14,FALSE)</f>
        <v>48.085238757441402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VLOOKUP(TableWRRanks3242[[#This Row],[RK]],Rankings!A:T,13,FALSE)</f>
        <v>Tre Tucker</v>
      </c>
      <c r="AF67" s="58" t="str">
        <f>IFERROR(INDEX(TableWRCalcPts[TM],MATCH(TableWRRanks3242[[#This Row],[Player]],TableWRCalcPts[PLAYER],0)),"")</f>
        <v>LV</v>
      </c>
      <c r="AG67" s="58">
        <f>IFERROR(INDEX(TableWRCalcPts[BYE],MATCH(TableWRRanks3242[[#This Row],[Player]],TableWRCalcPts[PLAYER],0)),"")</f>
        <v>13</v>
      </c>
      <c r="AH67" s="100">
        <f>VLOOKUP(TableWRRanks3242[[#This Row],[Player]],WR!B:O,4,FALSE)</f>
        <v>67.796032603549392</v>
      </c>
      <c r="AI67" s="100">
        <f>VLOOKUP(TableWRRanks3242[[#This Row],[Player]],WR!B:O,5,FALSE)</f>
        <v>0.10898982799104459</v>
      </c>
      <c r="AJ67" s="100">
        <f>VLOOKUP(TableWRRanks3242[[#This Row],[Player]],WR!B:O,6,FALSE)</f>
        <v>70.758979200000013</v>
      </c>
      <c r="AK67" s="100">
        <f>VLOOKUP(TableWRRanks3242[[#This Row],[Player]],WR!B:O,7,FALSE)</f>
        <v>40.615654060800004</v>
      </c>
      <c r="AL67" s="100">
        <f>VLOOKUP(TableWRRanks3242[[#This Row],[Player]],WR!B:O,8,FALSE)</f>
        <v>482.92012678291206</v>
      </c>
      <c r="AM67" s="100">
        <f>VLOOKUP(TableWRRanks3242[[#This Row],[Player]],WR!B:O,9,FALSE)</f>
        <v>2.7212488220736004</v>
      </c>
      <c r="AN67" s="95">
        <f>VLOOKUP(TableWRRanks3242[[#This Row],[Player]],WR!B:O,13,FALSE)</f>
        <v>92.360874869434014</v>
      </c>
      <c r="AO67" s="140">
        <f>IF(VLOOKUP(TableWRRanks3242[[#This Row],[Player]],'Ranks w Proj'!$AE:$AO,11,FALSE)&lt;0,0,VLOOKUP(TableWRRanks3242[[#This Row],[Player]],'Ranks w Proj'!$AE:$AO,11,FALSE))</f>
        <v>0.39016465667050115</v>
      </c>
      <c r="AQ67" s="58">
        <v>66</v>
      </c>
      <c r="AR67" s="58">
        <f>VLOOKUP(TableTERanks3343[[#This Row],[RK]],Rankings!A:T,18,FALSE)</f>
        <v>0</v>
      </c>
      <c r="AS67" s="58" t="str">
        <f>IFERROR(INDEX(TableTECalcPts[TM],MATCH(TableTERanks3343[[#This Row],[Player]],TableTECalcPts[PLAYER],0)),"")</f>
        <v/>
      </c>
      <c r="AT67" s="58" t="str">
        <f>IFERROR(INDEX(TableTECalcPts[BYE],MATCH(TableTERanks3343[[#This Row],[Player]],TableTECalcPts[PLAYER],0)),"")</f>
        <v/>
      </c>
      <c r="AU67" s="100">
        <f>VLOOKUP(TableTERanks3343[[#This Row],[Player]],TE!B:O,4,FALSE)</f>
        <v>0</v>
      </c>
      <c r="AV67" s="100">
        <f>VLOOKUP(TableTERanks3343[[#This Row],[Player]],TE!B:O,5,FALSE)</f>
        <v>0</v>
      </c>
      <c r="AW67" s="100">
        <f>VLOOKUP(TableTERanks3343[[#This Row],[Player]],TE!B:O,6,FALSE)</f>
        <v>0</v>
      </c>
      <c r="AX67" s="100">
        <f>VLOOKUP(TableTERanks3343[[#This Row],[Player]],TE!B:O,7,FALSE)</f>
        <v>0</v>
      </c>
      <c r="AY67" s="95">
        <f>VLOOKUP(TableTERanks3343[[#This Row],[Player]],TE!B:O,11,FALSE)</f>
        <v>0</v>
      </c>
      <c r="AZ67" s="140" t="e">
        <f>IF(VLOOKUP(TableTERanks3343[[#This Row],[Player]],'Ranks w Proj'!$AR:$AZ,9,FALSE)&lt;0,0,VLOOKUP(TableTERanks3343[[#This Row],[Player]],'Ranks w Proj'!$AR:$AZ,9,FALSE))</f>
        <v>#N/A</v>
      </c>
    </row>
    <row r="68" spans="1:52" x14ac:dyDescent="0.25">
      <c r="A68" s="58">
        <v>67</v>
      </c>
      <c r="B68" s="58">
        <f>VLOOKUP(TableQBRanks3040[[#This Row],[RK]],Rankings!A:T,3,FALSE)</f>
        <v>0</v>
      </c>
      <c r="C68" s="58" t="str">
        <f>IFERROR(INDEX(TableQBCalcPts[TM],MATCH(TableQBRanks3040[[#This Row],[Player]],TableQBCalcPts[PLAYER],0)),"")</f>
        <v/>
      </c>
      <c r="D68" s="58" t="str">
        <f>IFERROR(INDEX(TableQBCalcPts[BYE],MATCH(TableQBRanks3040[[#This Row],[Player]],TableQBCalcPts[PLAYER],0)),"")</f>
        <v/>
      </c>
      <c r="E68" s="100">
        <f>VLOOKUP(TableQBRanks3040[[#This Row],[Player]],QB!B:O,4,FALSE)</f>
        <v>0</v>
      </c>
      <c r="F68" s="100">
        <f>VLOOKUP(TableQBRanks3040[[#This Row],[Player]],QB!B:O,5,FALSE)</f>
        <v>0</v>
      </c>
      <c r="G68" s="100">
        <f>VLOOKUP(TableQBRanks3040[[#This Row],[Player]],QB!B:O,6,FALSE)</f>
        <v>0</v>
      </c>
      <c r="H68" s="100">
        <f>VLOOKUP(TableQBRanks3040[[#This Row],[Player]],QB!B:O,7,FALSE)</f>
        <v>0</v>
      </c>
      <c r="I68" s="100">
        <f>VLOOKUP(TableQBRanks3040[[#This Row],[Player]],QB!B:O,8,FALSE)</f>
        <v>0</v>
      </c>
      <c r="J68" s="100">
        <f>VLOOKUP(TableQBRanks3040[[#This Row],[Player]],QB!B:O,9,FALSE)</f>
        <v>0</v>
      </c>
      <c r="K68" s="100">
        <f>VLOOKUP(TableQBRanks3040[[#This Row],[Player]],QB!B:O,10,FALSE)</f>
        <v>0</v>
      </c>
      <c r="L68" s="100">
        <f>VLOOKUP(TableQBRanks3040[[#This Row],[Player]],QB!B:O,11,FALSE)</f>
        <v>0</v>
      </c>
      <c r="M68" s="95">
        <f>VLOOKUP(TableQBRanks3040[[#This Row],[Player]],QB!B:O,13,FALSE)</f>
        <v>0</v>
      </c>
      <c r="N68" s="140" t="e">
        <f>IF(VLOOKUP(TableQBRanks3040[[#This Row],[Player]],'Ranks w Proj'!$B:$N,13,FALSE)&lt;0,0,VLOOKUP(TableQBRanks3040[[#This Row],[Player]],'Ranks w Proj'!$B:$N,13,FALSE))</f>
        <v>#N/A</v>
      </c>
      <c r="P68" s="58">
        <v>67</v>
      </c>
      <c r="Q68" s="58" t="str">
        <f>VLOOKUP(TableRBRanks3141[[#This Row],[RK]],Rankings!A:T,8,FALSE)</f>
        <v>Samaje Perine</v>
      </c>
      <c r="R68" s="58" t="str">
        <f>IFERROR(INDEX(TableRBCalcPts[TM],MATCH(TableRBRanks3141[[#This Row],[Player]],TableRBCalcPts[PLAYER],0)),"")</f>
        <v>CIN</v>
      </c>
      <c r="S68" s="58">
        <f>IFERROR(INDEX(TableRBCalcPts[BYE],MATCH(TableRBRanks3141[[#This Row],[Player]],TableRBCalcPts[PLAYER],0)),"")</f>
        <v>6</v>
      </c>
      <c r="T68" s="100">
        <f>VLOOKUP(TableRBRanks3141[[#This Row],[Player]],RB!B:O,4,FALSE)</f>
        <v>86.934697499999999</v>
      </c>
      <c r="U68" s="100">
        <f>VLOOKUP(TableRBRanks3141[[#This Row],[Player]],RB!B:O,5,FALSE)</f>
        <v>376.42724017500001</v>
      </c>
      <c r="V68" s="100">
        <f>VLOOKUP(TableRBRanks3141[[#This Row],[Player]],RB!B:O,6,FALSE)</f>
        <v>2.640391754401255</v>
      </c>
      <c r="W68" s="100">
        <f>VLOOKUP(TableRBRanks3141[[#This Row],[Player]],RB!B:O,7,FALSE)</f>
        <v>26.573925000000003</v>
      </c>
      <c r="X68" s="100">
        <f>VLOOKUP(TableRBRanks3141[[#This Row],[Player]],RB!B:O,8,FALSE)</f>
        <v>22.322097000000003</v>
      </c>
      <c r="Y68" s="100">
        <f>VLOOKUP(TableRBRanks3141[[#This Row],[Player]],RB!B:O,9,FALSE)</f>
        <v>149.47821969471161</v>
      </c>
      <c r="Z68" s="100">
        <f>VLOOKUP(TableRBRanks3141[[#This Row],[Player]],RB!B:O,10,FALSE)</f>
        <v>1.0029674114089127</v>
      </c>
      <c r="AA68" s="95">
        <f>VLOOKUP(TableRBRanks3141[[#This Row],[Player]],RB!B:O,14,FALSE)</f>
        <v>85.611749481832177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VLOOKUP(TableWRRanks3242[[#This Row],[RK]],Rankings!A:T,13,FALSE)</f>
        <v>Isaac TeSlaa</v>
      </c>
      <c r="AF68" s="58" t="str">
        <f>IFERROR(INDEX(TableWRCalcPts[TM],MATCH(TableWRRanks3242[[#This Row],[Player]],TableWRCalcPts[PLAYER],0)),"")</f>
        <v>DET</v>
      </c>
      <c r="AG68" s="58">
        <f>IFERROR(INDEX(TableWRCalcPts[BYE],MATCH(TableWRRanks3242[[#This Row],[Player]],TableWRCalcPts[PLAYER],0)),"")</f>
        <v>6</v>
      </c>
      <c r="AH68" s="100">
        <f>VLOOKUP(TableWRRanks3242[[#This Row],[Player]],WR!B:O,4,FALSE)</f>
        <v>0</v>
      </c>
      <c r="AI68" s="100">
        <f>VLOOKUP(TableWRRanks3242[[#This Row],[Player]],WR!B:O,5,FALSE)</f>
        <v>0</v>
      </c>
      <c r="AJ68" s="100">
        <f>VLOOKUP(TableWRRanks3242[[#This Row],[Player]],WR!B:O,6,FALSE)</f>
        <v>48.589262399999996</v>
      </c>
      <c r="AK68" s="100">
        <f>VLOOKUP(TableWRRanks3242[[#This Row],[Player]],WR!B:O,7,FALSE)</f>
        <v>32.726917171199993</v>
      </c>
      <c r="AL68" s="100">
        <f>VLOOKUP(TableWRRanks3242[[#This Row],[Player]],WR!B:O,8,FALSE)</f>
        <v>451.63145696255992</v>
      </c>
      <c r="AM68" s="100">
        <f>VLOOKUP(TableWRRanks3242[[#This Row],[Player]],WR!B:O,9,FALSE)</f>
        <v>4.5490414867967992</v>
      </c>
      <c r="AN68" s="95">
        <f>VLOOKUP(TableWRRanks3242[[#This Row],[Player]],WR!B:O,13,FALSE)</f>
        <v>88.820853202636783</v>
      </c>
      <c r="AO68" s="140">
        <f>IF(VLOOKUP(TableWRRanks3242[[#This Row],[Player]],'Ranks w Proj'!$AE:$AO,11,FALSE)&lt;0,0,VLOOKUP(TableWRRanks3242[[#This Row],[Player]],'Ranks w Proj'!$AE:$AO,11,FALSE))</f>
        <v>0</v>
      </c>
      <c r="AQ68" s="58">
        <v>67</v>
      </c>
      <c r="AR68" s="58">
        <f>VLOOKUP(TableTERanks3343[[#This Row],[RK]],Rankings!A:T,18,FALSE)</f>
        <v>0</v>
      </c>
      <c r="AS68" s="58" t="str">
        <f>IFERROR(INDEX(TableTECalcPts[TM],MATCH(TableTERanks3343[[#This Row],[Player]],TableTECalcPts[PLAYER],0)),"")</f>
        <v/>
      </c>
      <c r="AT68" s="58" t="str">
        <f>IFERROR(INDEX(TableTECalcPts[BYE],MATCH(TableTERanks3343[[#This Row],[Player]],TableTECalcPts[PLAYER],0)),"")</f>
        <v/>
      </c>
      <c r="AU68" s="100">
        <f>VLOOKUP(TableTERanks3343[[#This Row],[Player]],TE!B:O,4,FALSE)</f>
        <v>0</v>
      </c>
      <c r="AV68" s="100">
        <f>VLOOKUP(TableTERanks3343[[#This Row],[Player]],TE!B:O,5,FALSE)</f>
        <v>0</v>
      </c>
      <c r="AW68" s="100">
        <f>VLOOKUP(TableTERanks3343[[#This Row],[Player]],TE!B:O,6,FALSE)</f>
        <v>0</v>
      </c>
      <c r="AX68" s="100">
        <f>VLOOKUP(TableTERanks3343[[#This Row],[Player]],TE!B:O,7,FALSE)</f>
        <v>0</v>
      </c>
      <c r="AY68" s="95">
        <f>VLOOKUP(TableTERanks3343[[#This Row],[Player]],TE!B:O,11,FALSE)</f>
        <v>0</v>
      </c>
      <c r="AZ68" s="140" t="e">
        <f>IF(VLOOKUP(TableTERanks3343[[#This Row],[Player]],'Ranks w Proj'!$AR:$AZ,9,FALSE)&lt;0,0,VLOOKUP(TableTERanks3343[[#This Row],[Player]],'Ranks w Proj'!$AR:$AZ,9,FALSE))</f>
        <v>#N/A</v>
      </c>
    </row>
    <row r="69" spans="1:52" x14ac:dyDescent="0.25">
      <c r="A69" s="58">
        <v>68</v>
      </c>
      <c r="B69" s="58">
        <f>VLOOKUP(TableQBRanks3040[[#This Row],[RK]],Rankings!A:T,3,FALSE)</f>
        <v>0</v>
      </c>
      <c r="C69" s="58" t="str">
        <f>IFERROR(INDEX(TableQBCalcPts[TM],MATCH(TableQBRanks3040[[#This Row],[Player]],TableQBCalcPts[PLAYER],0)),"")</f>
        <v/>
      </c>
      <c r="D69" s="58" t="str">
        <f>IFERROR(INDEX(TableQBCalcPts[BYE],MATCH(TableQBRanks3040[[#This Row],[Player]],TableQBCalcPts[PLAYER],0)),"")</f>
        <v/>
      </c>
      <c r="E69" s="100">
        <f>VLOOKUP(TableQBRanks3040[[#This Row],[Player]],QB!B:O,4,FALSE)</f>
        <v>0</v>
      </c>
      <c r="F69" s="100">
        <f>VLOOKUP(TableQBRanks3040[[#This Row],[Player]],QB!B:O,5,FALSE)</f>
        <v>0</v>
      </c>
      <c r="G69" s="100">
        <f>VLOOKUP(TableQBRanks3040[[#This Row],[Player]],QB!B:O,6,FALSE)</f>
        <v>0</v>
      </c>
      <c r="H69" s="100">
        <f>VLOOKUP(TableQBRanks3040[[#This Row],[Player]],QB!B:O,7,FALSE)</f>
        <v>0</v>
      </c>
      <c r="I69" s="100">
        <f>VLOOKUP(TableQBRanks3040[[#This Row],[Player]],QB!B:O,8,FALSE)</f>
        <v>0</v>
      </c>
      <c r="J69" s="100">
        <f>VLOOKUP(TableQBRanks3040[[#This Row],[Player]],QB!B:O,9,FALSE)</f>
        <v>0</v>
      </c>
      <c r="K69" s="100">
        <f>VLOOKUP(TableQBRanks3040[[#This Row],[Player]],QB!B:O,10,FALSE)</f>
        <v>0</v>
      </c>
      <c r="L69" s="100">
        <f>VLOOKUP(TableQBRanks3040[[#This Row],[Player]],QB!B:O,11,FALSE)</f>
        <v>0</v>
      </c>
      <c r="M69" s="95">
        <f>VLOOKUP(TableQBRanks3040[[#This Row],[Player]],QB!B:O,13,FALSE)</f>
        <v>0</v>
      </c>
      <c r="N69" s="140" t="e">
        <f>IF(VLOOKUP(TableQBRanks3040[[#This Row],[Player]],'Ranks w Proj'!$B:$N,13,FALSE)&lt;0,0,VLOOKUP(TableQBRanks3040[[#This Row],[Player]],'Ranks w Proj'!$B:$N,13,FALSE))</f>
        <v>#N/A</v>
      </c>
      <c r="P69" s="58">
        <v>68</v>
      </c>
      <c r="Q69" s="58" t="str">
        <f>VLOOKUP(TableRBRanks3141[[#This Row],[RK]],Rankings!A:T,8,FALSE)</f>
        <v>Chris Brooks</v>
      </c>
      <c r="R69" s="58" t="str">
        <f>IFERROR(INDEX(TableRBCalcPts[TM],MATCH(TableRBRanks3141[[#This Row],[Player]],TableRBCalcPts[PLAYER],0)),"")</f>
        <v>GB</v>
      </c>
      <c r="S69" s="58">
        <f>IFERROR(INDEX(TableRBCalcPts[BYE],MATCH(TableRBRanks3141[[#This Row],[Player]],TableRBCalcPts[PLAYER],0)),"")</f>
        <v>11</v>
      </c>
      <c r="T69" s="100">
        <f>VLOOKUP(TableRBRanks3141[[#This Row],[Player]],RB!B:O,4,FALSE)</f>
        <v>41.973403919999996</v>
      </c>
      <c r="U69" s="100">
        <f>VLOOKUP(TableRBRanks3141[[#This Row],[Player]],RB!B:O,5,FALSE)</f>
        <v>173.76610074907819</v>
      </c>
      <c r="V69" s="100">
        <f>VLOOKUP(TableRBRanks3141[[#This Row],[Player]],RB!B:O,6,FALSE)</f>
        <v>1.1752553097599998</v>
      </c>
      <c r="W69" s="100">
        <f>VLOOKUP(TableRBRanks3141[[#This Row],[Player]],RB!B:O,7,FALSE)</f>
        <v>12.000884984924623</v>
      </c>
      <c r="X69" s="100">
        <f>VLOOKUP(TableRBRanks3141[[#This Row],[Player]],RB!B:O,8,FALSE)</f>
        <v>10.15849271057235</v>
      </c>
      <c r="Y69" s="100">
        <f>VLOOKUP(TableRBRanks3141[[#This Row],[Player]],RB!B:O,9,FALSE)</f>
        <v>67.242907432196887</v>
      </c>
      <c r="Z69" s="100">
        <f>VLOOKUP(TableRBRanks3141[[#This Row],[Player]],RB!B:O,10,FALSE)</f>
        <v>0.30238127295348538</v>
      </c>
      <c r="AA69" s="95">
        <f>VLOOKUP(TableRBRanks3141[[#This Row],[Player]],RB!B:O,14,FALSE)</f>
        <v>38.045966669694593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VLOOKUP(TableWRRanks3242[[#This Row],[RK]],Rankings!A:T,13,FALSE)</f>
        <v>Rashod Bateman</v>
      </c>
      <c r="AF69" s="58" t="str">
        <f>IFERROR(INDEX(TableWRCalcPts[TM],MATCH(TableWRRanks3242[[#This Row],[Player]],TableWRCalcPts[PLAYER],0)),"")</f>
        <v>BAL</v>
      </c>
      <c r="AG69" s="58">
        <f>IFERROR(INDEX(TableWRCalcPts[BYE],MATCH(TableWRRanks3242[[#This Row],[Player]],TableWRCalcPts[PLAYER],0)),"")</f>
        <v>13</v>
      </c>
      <c r="AH69" s="100">
        <f>VLOOKUP(TableWRRanks3242[[#This Row],[Player]],WR!B:O,4,FALSE)</f>
        <v>0</v>
      </c>
      <c r="AI69" s="100">
        <f>VLOOKUP(TableWRRanks3242[[#This Row],[Player]],WR!B:O,5,FALSE)</f>
        <v>0</v>
      </c>
      <c r="AJ69" s="100">
        <f>VLOOKUP(TableWRRanks3242[[#This Row],[Player]],WR!B:O,6,FALSE)</f>
        <v>53.105588480000002</v>
      </c>
      <c r="AK69" s="100">
        <f>VLOOKUP(TableWRRanks3242[[#This Row],[Player]],WR!B:O,7,FALSE)</f>
        <v>33.116430408093741</v>
      </c>
      <c r="AL69" s="100">
        <f>VLOOKUP(TableWRRanks3242[[#This Row],[Player]],WR!B:O,8,FALSE)</f>
        <v>480.18824091735922</v>
      </c>
      <c r="AM69" s="100">
        <f>VLOOKUP(TableWRRanks3242[[#This Row],[Player]],WR!B:O,9,FALSE)</f>
        <v>3.9408552185631551</v>
      </c>
      <c r="AN69" s="95">
        <f>VLOOKUP(TableWRRanks3242[[#This Row],[Player]],WR!B:O,13,FALSE)</f>
        <v>88.222170607161729</v>
      </c>
      <c r="AO69" s="140">
        <f>IF(VLOOKUP(TableWRRanks3242[[#This Row],[Player]],'Ranks w Proj'!$AE:$AO,11,FALSE)&lt;0,0,VLOOKUP(TableWRRanks3242[[#This Row],[Player]],'Ranks w Proj'!$AE:$AO,11,FALSE))</f>
        <v>0</v>
      </c>
      <c r="AQ69" s="58">
        <v>68</v>
      </c>
      <c r="AR69" s="58">
        <f>VLOOKUP(TableTERanks3343[[#This Row],[RK]],Rankings!A:T,18,FALSE)</f>
        <v>0</v>
      </c>
      <c r="AS69" s="58" t="str">
        <f>IFERROR(INDEX(TableTECalcPts[TM],MATCH(TableTERanks3343[[#This Row],[Player]],TableTECalcPts[PLAYER],0)),"")</f>
        <v/>
      </c>
      <c r="AT69" s="58" t="str">
        <f>IFERROR(INDEX(TableTECalcPts[BYE],MATCH(TableTERanks3343[[#This Row],[Player]],TableTECalcPts[PLAYER],0)),"")</f>
        <v/>
      </c>
      <c r="AU69" s="100">
        <f>VLOOKUP(TableTERanks3343[[#This Row],[Player]],TE!B:O,4,FALSE)</f>
        <v>0</v>
      </c>
      <c r="AV69" s="100">
        <f>VLOOKUP(TableTERanks3343[[#This Row],[Player]],TE!B:O,5,FALSE)</f>
        <v>0</v>
      </c>
      <c r="AW69" s="100">
        <f>VLOOKUP(TableTERanks3343[[#This Row],[Player]],TE!B:O,6,FALSE)</f>
        <v>0</v>
      </c>
      <c r="AX69" s="100">
        <f>VLOOKUP(TableTERanks3343[[#This Row],[Player]],TE!B:O,7,FALSE)</f>
        <v>0</v>
      </c>
      <c r="AY69" s="95">
        <f>VLOOKUP(TableTERanks3343[[#This Row],[Player]],TE!B:O,11,FALSE)</f>
        <v>0</v>
      </c>
      <c r="AZ69" s="140" t="e">
        <f>IF(VLOOKUP(TableTERanks3343[[#This Row],[Player]],'Ranks w Proj'!$AR:$AZ,9,FALSE)&lt;0,0,VLOOKUP(TableTERanks3343[[#This Row],[Player]],'Ranks w Proj'!$AR:$AZ,9,FALSE))</f>
        <v>#N/A</v>
      </c>
    </row>
    <row r="70" spans="1:52" x14ac:dyDescent="0.25">
      <c r="A70" s="58">
        <v>69</v>
      </c>
      <c r="B70" s="58">
        <f>VLOOKUP(TableQBRanks3040[[#This Row],[RK]],Rankings!A:T,3,FALSE)</f>
        <v>0</v>
      </c>
      <c r="C70" s="58" t="str">
        <f>IFERROR(INDEX(TableQBCalcPts[TM],MATCH(TableQBRanks3040[[#This Row],[Player]],TableQBCalcPts[PLAYER],0)),"")</f>
        <v/>
      </c>
      <c r="D70" s="58" t="str">
        <f>IFERROR(INDEX(TableQBCalcPts[BYE],MATCH(TableQBRanks3040[[#This Row],[Player]],TableQBCalcPts[PLAYER],0)),"")</f>
        <v/>
      </c>
      <c r="E70" s="100">
        <f>VLOOKUP(TableQBRanks3040[[#This Row],[Player]],QB!B:O,4,FALSE)</f>
        <v>0</v>
      </c>
      <c r="F70" s="100">
        <f>VLOOKUP(TableQBRanks3040[[#This Row],[Player]],QB!B:O,5,FALSE)</f>
        <v>0</v>
      </c>
      <c r="G70" s="100">
        <f>VLOOKUP(TableQBRanks3040[[#This Row],[Player]],QB!B:O,6,FALSE)</f>
        <v>0</v>
      </c>
      <c r="H70" s="100">
        <f>VLOOKUP(TableQBRanks3040[[#This Row],[Player]],QB!B:O,7,FALSE)</f>
        <v>0</v>
      </c>
      <c r="I70" s="100">
        <f>VLOOKUP(TableQBRanks3040[[#This Row],[Player]],QB!B:O,8,FALSE)</f>
        <v>0</v>
      </c>
      <c r="J70" s="100">
        <f>VLOOKUP(TableQBRanks3040[[#This Row],[Player]],QB!B:O,9,FALSE)</f>
        <v>0</v>
      </c>
      <c r="K70" s="100">
        <f>VLOOKUP(TableQBRanks3040[[#This Row],[Player]],QB!B:O,10,FALSE)</f>
        <v>0</v>
      </c>
      <c r="L70" s="100">
        <f>VLOOKUP(TableQBRanks3040[[#This Row],[Player]],QB!B:O,11,FALSE)</f>
        <v>0</v>
      </c>
      <c r="M70" s="95">
        <f>VLOOKUP(TableQBRanks3040[[#This Row],[Player]],QB!B:O,13,FALSE)</f>
        <v>0</v>
      </c>
      <c r="N70" s="140" t="e">
        <f>IF(VLOOKUP(TableQBRanks3040[[#This Row],[Player]],'Ranks w Proj'!$B:$N,13,FALSE)&lt;0,0,VLOOKUP(TableQBRanks3040[[#This Row],[Player]],'Ranks w Proj'!$B:$N,13,FALSE))</f>
        <v>#N/A</v>
      </c>
      <c r="P70" s="58">
        <v>69</v>
      </c>
      <c r="Q70" s="58" t="str">
        <f>VLOOKUP(TableRBRanks3141[[#This Row],[RK]],Rankings!A:T,8,FALSE)</f>
        <v>Ray Davis</v>
      </c>
      <c r="R70" s="58" t="str">
        <f>IFERROR(INDEX(TableRBCalcPts[TM],MATCH(TableRBRanks3141[[#This Row],[Player]],TableRBCalcPts[PLAYER],0)),"")</f>
        <v>BUF</v>
      </c>
      <c r="S70" s="58">
        <f>IFERROR(INDEX(TableRBCalcPts[BYE],MATCH(TableRBRanks3141[[#This Row],[Player]],TableRBCalcPts[PLAYER],0)),"")</f>
        <v>7</v>
      </c>
      <c r="T70" s="100">
        <f>VLOOKUP(TableRBRanks3141[[#This Row],[Player]],RB!B:O,4,FALSE)</f>
        <v>54.352152400000001</v>
      </c>
      <c r="U70" s="100">
        <f>VLOOKUP(TableRBRanks3141[[#This Row],[Player]],RB!B:O,5,FALSE)</f>
        <v>247.26168301074537</v>
      </c>
      <c r="V70" s="100">
        <f>VLOOKUP(TableRBRanks3141[[#This Row],[Player]],RB!B:O,6,FALSE)</f>
        <v>1.6305645719999999</v>
      </c>
      <c r="W70" s="100">
        <f>VLOOKUP(TableRBRanks3141[[#This Row],[Player]],RB!B:O,7,FALSE)</f>
        <v>10.725884399999998</v>
      </c>
      <c r="X70" s="100">
        <f>VLOOKUP(TableRBRanks3141[[#This Row],[Player]],RB!B:O,8,FALSE)</f>
        <v>8.3018345255999986</v>
      </c>
      <c r="Y70" s="100">
        <f>VLOOKUP(TableRBRanks3141[[#This Row],[Player]],RB!B:O,9,FALSE)</f>
        <v>67.659951383639992</v>
      </c>
      <c r="Z70" s="100">
        <f>VLOOKUP(TableRBRanks3141[[#This Row],[Player]],RB!B:O,10,FALSE)</f>
        <v>0.5562229132151999</v>
      </c>
      <c r="AA70" s="95">
        <f>VLOOKUP(TableRBRanks3141[[#This Row],[Player]],RB!B:O,14,FALSE)</f>
        <v>48.763805613529733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VLOOKUP(TableWRRanks3242[[#This Row],[RK]],Rankings!A:T,13,FALSE)</f>
        <v>Adonai Mitchell</v>
      </c>
      <c r="AF70" s="58" t="str">
        <f>IFERROR(INDEX(TableWRCalcPts[TM],MATCH(TableWRRanks3242[[#This Row],[Player]],TableWRCalcPts[PLAYER],0)),"")</f>
        <v>NYJ</v>
      </c>
      <c r="AG70" s="58">
        <f>IFERROR(INDEX(TableWRCalcPts[BYE],MATCH(TableWRRanks3242[[#This Row],[Player]],TableWRCalcPts[PLAYER],0)),"")</f>
        <v>13</v>
      </c>
      <c r="AH70" s="100">
        <f>VLOOKUP(TableWRRanks3242[[#This Row],[Player]],WR!B:O,4,FALSE)</f>
        <v>0</v>
      </c>
      <c r="AI70" s="100">
        <f>VLOOKUP(TableWRRanks3242[[#This Row],[Player]],WR!B:O,5,FALSE)</f>
        <v>0</v>
      </c>
      <c r="AJ70" s="100">
        <f>VLOOKUP(TableWRRanks3242[[#This Row],[Player]],WR!B:O,6,FALSE)</f>
        <v>73.621647963709975</v>
      </c>
      <c r="AK70" s="100">
        <f>VLOOKUP(TableWRRanks3242[[#This Row],[Player]],WR!B:O,7,FALSE)</f>
        <v>46.052929941825305</v>
      </c>
      <c r="AL70" s="100">
        <f>VLOOKUP(TableWRRanks3242[[#This Row],[Player]],WR!B:O,8,FALSE)</f>
        <v>592.50297024416</v>
      </c>
      <c r="AM70" s="100">
        <f>VLOOKUP(TableWRRanks3242[[#This Row],[Player]],WR!B:O,9,FALSE)</f>
        <v>3.2697580258695962</v>
      </c>
      <c r="AN70" s="95">
        <f>VLOOKUP(TableWRRanks3242[[#This Row],[Player]],WR!B:O,13,FALSE)</f>
        <v>101.89531015054624</v>
      </c>
      <c r="AO70" s="140">
        <f>IF(VLOOKUP(TableWRRanks3242[[#This Row],[Player]],'Ranks w Proj'!$AE:$AO,11,FALSE)&lt;0,0,VLOOKUP(TableWRRanks3242[[#This Row],[Player]],'Ranks w Proj'!$AE:$AO,11,FALSE))</f>
        <v>2.1814770822873797</v>
      </c>
      <c r="AQ70" s="58">
        <v>69</v>
      </c>
      <c r="AR70" s="58">
        <f>VLOOKUP(TableTERanks3343[[#This Row],[RK]],Rankings!A:T,18,FALSE)</f>
        <v>0</v>
      </c>
      <c r="AS70" s="58" t="str">
        <f>IFERROR(INDEX(TableTECalcPts[TM],MATCH(TableTERanks3343[[#This Row],[Player]],TableTECalcPts[PLAYER],0)),"")</f>
        <v/>
      </c>
      <c r="AT70" s="58" t="str">
        <f>IFERROR(INDEX(TableTECalcPts[BYE],MATCH(TableTERanks3343[[#This Row],[Player]],TableTECalcPts[PLAYER],0)),"")</f>
        <v/>
      </c>
      <c r="AU70" s="100">
        <f>VLOOKUP(TableTERanks3343[[#This Row],[Player]],TE!B:O,4,FALSE)</f>
        <v>0</v>
      </c>
      <c r="AV70" s="100">
        <f>VLOOKUP(TableTERanks3343[[#This Row],[Player]],TE!B:O,5,FALSE)</f>
        <v>0</v>
      </c>
      <c r="AW70" s="100">
        <f>VLOOKUP(TableTERanks3343[[#This Row],[Player]],TE!B:O,6,FALSE)</f>
        <v>0</v>
      </c>
      <c r="AX70" s="100">
        <f>VLOOKUP(TableTERanks3343[[#This Row],[Player]],TE!B:O,7,FALSE)</f>
        <v>0</v>
      </c>
      <c r="AY70" s="95">
        <f>VLOOKUP(TableTERanks3343[[#This Row],[Player]],TE!B:O,11,FALSE)</f>
        <v>0</v>
      </c>
      <c r="AZ70" s="140" t="e">
        <f>IF(VLOOKUP(TableTERanks3343[[#This Row],[Player]],'Ranks w Proj'!$AR:$AZ,9,FALSE)&lt;0,0,VLOOKUP(TableTERanks3343[[#This Row],[Player]],'Ranks w Proj'!$AR:$AZ,9,FALSE))</f>
        <v>#N/A</v>
      </c>
    </row>
    <row r="71" spans="1:52" x14ac:dyDescent="0.25">
      <c r="A71" s="58">
        <v>70</v>
      </c>
      <c r="B71" s="58">
        <f>VLOOKUP(TableQBRanks3040[[#This Row],[RK]],Rankings!A:T,3,FALSE)</f>
        <v>0</v>
      </c>
      <c r="C71" s="58" t="str">
        <f>IFERROR(INDEX(TableQBCalcPts[TM],MATCH(TableQBRanks3040[[#This Row],[Player]],TableQBCalcPts[PLAYER],0)),"")</f>
        <v/>
      </c>
      <c r="D71" s="58" t="str">
        <f>IFERROR(INDEX(TableQBCalcPts[BYE],MATCH(TableQBRanks3040[[#This Row],[Player]],TableQBCalcPts[PLAYER],0)),"")</f>
        <v/>
      </c>
      <c r="E71" s="100">
        <f>VLOOKUP(TableQBRanks3040[[#This Row],[Player]],QB!B:O,4,FALSE)</f>
        <v>0</v>
      </c>
      <c r="F71" s="100">
        <f>VLOOKUP(TableQBRanks3040[[#This Row],[Player]],QB!B:O,5,FALSE)</f>
        <v>0</v>
      </c>
      <c r="G71" s="100">
        <f>VLOOKUP(TableQBRanks3040[[#This Row],[Player]],QB!B:O,6,FALSE)</f>
        <v>0</v>
      </c>
      <c r="H71" s="100">
        <f>VLOOKUP(TableQBRanks3040[[#This Row],[Player]],QB!B:O,7,FALSE)</f>
        <v>0</v>
      </c>
      <c r="I71" s="100">
        <f>VLOOKUP(TableQBRanks3040[[#This Row],[Player]],QB!B:O,8,FALSE)</f>
        <v>0</v>
      </c>
      <c r="J71" s="100">
        <f>VLOOKUP(TableQBRanks3040[[#This Row],[Player]],QB!B:O,9,FALSE)</f>
        <v>0</v>
      </c>
      <c r="K71" s="100">
        <f>VLOOKUP(TableQBRanks3040[[#This Row],[Player]],QB!B:O,10,FALSE)</f>
        <v>0</v>
      </c>
      <c r="L71" s="100">
        <f>VLOOKUP(TableQBRanks3040[[#This Row],[Player]],QB!B:O,11,FALSE)</f>
        <v>0</v>
      </c>
      <c r="M71" s="95">
        <f>VLOOKUP(TableQBRanks3040[[#This Row],[Player]],QB!B:O,13,FALSE)</f>
        <v>0</v>
      </c>
      <c r="N71" s="140" t="e">
        <f>IF(VLOOKUP(TableQBRanks3040[[#This Row],[Player]],'Ranks w Proj'!$B:$N,13,FALSE)&lt;0,0,VLOOKUP(TableQBRanks3040[[#This Row],[Player]],'Ranks w Proj'!$B:$N,13,FALSE))</f>
        <v>#N/A</v>
      </c>
      <c r="P71" s="58">
        <v>70</v>
      </c>
      <c r="Q71" s="58" t="str">
        <f>VLOOKUP(TableRBRanks3141[[#This Row],[RK]],Rankings!A:T,8,FALSE)</f>
        <v>Demond Claiborne</v>
      </c>
      <c r="R71" s="58" t="str">
        <f>IFERROR(INDEX(TableRBCalcPts[TM],MATCH(TableRBRanks3141[[#This Row],[Player]],TableRBCalcPts[PLAYER],0)),"")</f>
        <v>MIN</v>
      </c>
      <c r="S71" s="58">
        <f>IFERROR(INDEX(TableRBCalcPts[BYE],MATCH(TableRBRanks3141[[#This Row],[Player]],TableRBCalcPts[PLAYER],0)),"")</f>
        <v>6</v>
      </c>
      <c r="T71" s="100">
        <f>VLOOKUP(TableRBRanks3141[[#This Row],[Player]],RB!B:O,4,FALSE)</f>
        <v>30.20551296</v>
      </c>
      <c r="U71" s="100">
        <f>VLOOKUP(TableRBRanks3141[[#This Row],[Player]],RB!B:O,5,FALSE)</f>
        <v>129.05991901090908</v>
      </c>
      <c r="V71" s="100">
        <f>VLOOKUP(TableRBRanks3141[[#This Row],[Player]],RB!B:O,6,FALSE)</f>
        <v>0.99678192768000007</v>
      </c>
      <c r="W71" s="100">
        <f>VLOOKUP(TableRBRanks3141[[#This Row],[Player]],RB!B:O,7,FALSE)</f>
        <v>21.726772480000001</v>
      </c>
      <c r="X71" s="100">
        <f>VLOOKUP(TableRBRanks3141[[#This Row],[Player]],RB!B:O,8,FALSE)</f>
        <v>17.012062851840003</v>
      </c>
      <c r="Y71" s="100">
        <f>VLOOKUP(TableRBRanks3141[[#This Row],[Player]],RB!B:O,9,FALSE)</f>
        <v>112.27961482214401</v>
      </c>
      <c r="Z71" s="100">
        <f>VLOOKUP(TableRBRanks3141[[#This Row],[Player]],RB!B:O,10,FALSE)</f>
        <v>0.51036188555520012</v>
      </c>
      <c r="AA71" s="95">
        <f>VLOOKUP(TableRBRanks3141[[#This Row],[Player]],RB!B:O,14,FALSE)</f>
        <v>41.682847688636514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VLOOKUP(TableWRRanks3242[[#This Row],[RK]],Rankings!A:T,13,FALSE)</f>
        <v>Andrei Iosivas</v>
      </c>
      <c r="AF71" s="58" t="str">
        <f>IFERROR(INDEX(TableWRCalcPts[TM],MATCH(TableWRRanks3242[[#This Row],[Player]],TableWRCalcPts[PLAYER],0)),"")</f>
        <v>CIN</v>
      </c>
      <c r="AG71" s="58">
        <f>IFERROR(INDEX(TableWRCalcPts[BYE],MATCH(TableWRRanks3242[[#This Row],[Player]],TableWRCalcPts[PLAYER],0)),"")</f>
        <v>6</v>
      </c>
      <c r="AH71" s="100">
        <f>VLOOKUP(TableWRRanks3242[[#This Row],[Player]],WR!B:O,4,FALSE)</f>
        <v>11.102636344640434</v>
      </c>
      <c r="AI71" s="100">
        <f>VLOOKUP(TableWRRanks3242[[#This Row],[Player]],WR!B:O,5,FALSE)</f>
        <v>3.0905902306648577E-2</v>
      </c>
      <c r="AJ71" s="100">
        <f>VLOOKUP(TableWRRanks3242[[#This Row],[Player]],WR!B:O,6,FALSE)</f>
        <v>68.965662499999993</v>
      </c>
      <c r="AK71" s="100">
        <f>VLOOKUP(TableWRRanks3242[[#This Row],[Player]],WR!B:O,7,FALSE)</f>
        <v>46.691190297135407</v>
      </c>
      <c r="AL71" s="100">
        <f>VLOOKUP(TableWRRanks3242[[#This Row],[Player]],WR!B:O,8,FALSE)</f>
        <v>524.46087475833326</v>
      </c>
      <c r="AM71" s="100">
        <f>VLOOKUP(TableWRRanks3242[[#This Row],[Player]],WR!B:O,9,FALSE)</f>
        <v>4.0154423655536444</v>
      </c>
      <c r="AN71" s="95">
        <f>VLOOKUP(TableWRRanks3242[[#This Row],[Player]],WR!B:O,13,FALSE)</f>
        <v>101.18003586602683</v>
      </c>
      <c r="AO71" s="140">
        <f>IF(VLOOKUP(TableWRRanks3242[[#This Row],[Player]],'Ranks w Proj'!$AE:$AO,11,FALSE)&lt;0,0,VLOOKUP(TableWRRanks3242[[#This Row],[Player]],'Ranks w Proj'!$AE:$AO,11,FALSE))</f>
        <v>2.0470926456839802</v>
      </c>
      <c r="AQ71" s="58">
        <v>70</v>
      </c>
      <c r="AR71" s="58">
        <f>VLOOKUP(TableTERanks3343[[#This Row],[RK]],Rankings!A:T,18,FALSE)</f>
        <v>0</v>
      </c>
      <c r="AS71" s="58" t="str">
        <f>IFERROR(INDEX(TableTECalcPts[TM],MATCH(TableTERanks3343[[#This Row],[Player]],TableTECalcPts[PLAYER],0)),"")</f>
        <v/>
      </c>
      <c r="AT71" s="58" t="str">
        <f>IFERROR(INDEX(TableTECalcPts[BYE],MATCH(TableTERanks3343[[#This Row],[Player]],TableTECalcPts[PLAYER],0)),"")</f>
        <v/>
      </c>
      <c r="AU71" s="100">
        <f>VLOOKUP(TableTERanks3343[[#This Row],[Player]],TE!B:O,4,FALSE)</f>
        <v>0</v>
      </c>
      <c r="AV71" s="100">
        <f>VLOOKUP(TableTERanks3343[[#This Row],[Player]],TE!B:O,5,FALSE)</f>
        <v>0</v>
      </c>
      <c r="AW71" s="100">
        <f>VLOOKUP(TableTERanks3343[[#This Row],[Player]],TE!B:O,6,FALSE)</f>
        <v>0</v>
      </c>
      <c r="AX71" s="100">
        <f>VLOOKUP(TableTERanks3343[[#This Row],[Player]],TE!B:O,7,FALSE)</f>
        <v>0</v>
      </c>
      <c r="AY71" s="95">
        <f>VLOOKUP(TableTERanks3343[[#This Row],[Player]],TE!B:O,11,FALSE)</f>
        <v>0</v>
      </c>
      <c r="AZ71" s="140" t="e">
        <f>IF(VLOOKUP(TableTERanks3343[[#This Row],[Player]],'Ranks w Proj'!$AR:$AZ,9,FALSE)&lt;0,0,VLOOKUP(TableTERanks3343[[#This Row],[Player]],'Ranks w Proj'!$AR:$AZ,9,FALSE))</f>
        <v>#N/A</v>
      </c>
    </row>
    <row r="72" spans="1:52" x14ac:dyDescent="0.25">
      <c r="A72" s="58">
        <v>71</v>
      </c>
      <c r="B72" s="58">
        <f>VLOOKUP(TableQBRanks3040[[#This Row],[RK]],Rankings!A:T,3,FALSE)</f>
        <v>0</v>
      </c>
      <c r="C72" s="58" t="str">
        <f>IFERROR(INDEX(TableQBCalcPts[TM],MATCH(TableQBRanks3040[[#This Row],[Player]],TableQBCalcPts[PLAYER],0)),"")</f>
        <v/>
      </c>
      <c r="D72" s="58" t="str">
        <f>IFERROR(INDEX(TableQBCalcPts[BYE],MATCH(TableQBRanks3040[[#This Row],[Player]],TableQBCalcPts[PLAYER],0)),"")</f>
        <v/>
      </c>
      <c r="E72" s="100">
        <f>VLOOKUP(TableQBRanks3040[[#This Row],[Player]],QB!B:O,4,FALSE)</f>
        <v>0</v>
      </c>
      <c r="F72" s="100">
        <f>VLOOKUP(TableQBRanks3040[[#This Row],[Player]],QB!B:O,5,FALSE)</f>
        <v>0</v>
      </c>
      <c r="G72" s="100">
        <f>VLOOKUP(TableQBRanks3040[[#This Row],[Player]],QB!B:O,6,FALSE)</f>
        <v>0</v>
      </c>
      <c r="H72" s="100">
        <f>VLOOKUP(TableQBRanks3040[[#This Row],[Player]],QB!B:O,7,FALSE)</f>
        <v>0</v>
      </c>
      <c r="I72" s="100">
        <f>VLOOKUP(TableQBRanks3040[[#This Row],[Player]],QB!B:O,8,FALSE)</f>
        <v>0</v>
      </c>
      <c r="J72" s="100">
        <f>VLOOKUP(TableQBRanks3040[[#This Row],[Player]],QB!B:O,9,FALSE)</f>
        <v>0</v>
      </c>
      <c r="K72" s="100">
        <f>VLOOKUP(TableQBRanks3040[[#This Row],[Player]],QB!B:O,10,FALSE)</f>
        <v>0</v>
      </c>
      <c r="L72" s="100">
        <f>VLOOKUP(TableQBRanks3040[[#This Row],[Player]],QB!B:O,11,FALSE)</f>
        <v>0</v>
      </c>
      <c r="M72" s="95">
        <f>VLOOKUP(TableQBRanks3040[[#This Row],[Player]],QB!B:O,13,FALSE)</f>
        <v>0</v>
      </c>
      <c r="N72" s="140" t="e">
        <f>IF(VLOOKUP(TableQBRanks3040[[#This Row],[Player]],'Ranks w Proj'!$B:$N,13,FALSE)&lt;0,0,VLOOKUP(TableQBRanks3040[[#This Row],[Player]],'Ranks w Proj'!$B:$N,13,FALSE))</f>
        <v>#N/A</v>
      </c>
      <c r="P72" s="58">
        <v>71</v>
      </c>
      <c r="Q72" s="58" t="str">
        <f>VLOOKUP(TableRBRanks3141[[#This Row],[RK]],Rankings!A:T,8,FALSE)</f>
        <v>Jaylen Wright</v>
      </c>
      <c r="R72" s="58" t="str">
        <f>IFERROR(INDEX(TableRBCalcPts[TM],MATCH(TableRBRanks3141[[#This Row],[Player]],TableRBCalcPts[PLAYER],0)),"")</f>
        <v>MIA</v>
      </c>
      <c r="S72" s="58">
        <f>IFERROR(INDEX(TableRBCalcPts[BYE],MATCH(TableRBRanks3141[[#This Row],[Player]],TableRBCalcPts[PLAYER],0)),"")</f>
        <v>6</v>
      </c>
      <c r="T72" s="100">
        <f>VLOOKUP(TableRBRanks3141[[#This Row],[Player]],RB!B:O,4,FALSE)</f>
        <v>34.074423525847358</v>
      </c>
      <c r="U72" s="100">
        <f>VLOOKUP(TableRBRanks3141[[#This Row],[Player]],RB!B:O,5,FALSE)</f>
        <v>137.66067104442334</v>
      </c>
      <c r="V72" s="100">
        <f>VLOOKUP(TableRBRanks3141[[#This Row],[Player]],RB!B:O,6,FALSE)</f>
        <v>0.68148847051694716</v>
      </c>
      <c r="W72" s="100">
        <f>VLOOKUP(TableRBRanks3141[[#This Row],[Player]],RB!B:O,7,FALSE)</f>
        <v>10.341388259999999</v>
      </c>
      <c r="X72" s="100">
        <f>VLOOKUP(TableRBRanks3141[[#This Row],[Player]],RB!B:O,8,FALSE)</f>
        <v>7.3236726763199984</v>
      </c>
      <c r="Y72" s="100">
        <f>VLOOKUP(TableRBRanks3141[[#This Row],[Player]],RB!B:O,9,FALSE)</f>
        <v>56.530624401719976</v>
      </c>
      <c r="Z72" s="100">
        <f>VLOOKUP(TableRBRanks3141[[#This Row],[Player]],RB!B:O,10,FALSE)</f>
        <v>0.21971018028959993</v>
      </c>
      <c r="AA72" s="95">
        <f>VLOOKUP(TableRBRanks3141[[#This Row],[Player]],RB!B:O,14,FALSE)</f>
        <v>28.488157787613616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VLOOKUP(TableWRRanks3242[[#This Row],[RK]],Rankings!A:T,13,FALSE)</f>
        <v>Omar Cooper</v>
      </c>
      <c r="AF72" s="58" t="str">
        <f>IFERROR(INDEX(TableWRCalcPts[TM],MATCH(TableWRRanks3242[[#This Row],[Player]],TableWRCalcPts[PLAYER],0)),"")</f>
        <v>NYJ</v>
      </c>
      <c r="AG72" s="58">
        <f>IFERROR(INDEX(TableWRCalcPts[BYE],MATCH(TableWRRanks3242[[#This Row],[Player]],TableWRCalcPts[PLAYER],0)),"")</f>
        <v>13</v>
      </c>
      <c r="AH72" s="100">
        <f>VLOOKUP(TableWRRanks3242[[#This Row],[Player]],WR!B:O,4,FALSE)</f>
        <v>9.185115333333334</v>
      </c>
      <c r="AI72" s="100">
        <f>VLOOKUP(TableWRRanks3242[[#This Row],[Player]],WR!B:O,5,FALSE)</f>
        <v>3.5327366666666672E-2</v>
      </c>
      <c r="AJ72" s="100">
        <f>VLOOKUP(TableWRRanks3242[[#This Row],[Player]],WR!B:O,6,FALSE)</f>
        <v>105.09349747491423</v>
      </c>
      <c r="AK72" s="100">
        <f>VLOOKUP(TableWRRanks3242[[#This Row],[Player]],WR!B:O,7,FALSE)</f>
        <v>62.478995464132538</v>
      </c>
      <c r="AL72" s="100">
        <f>VLOOKUP(TableWRRanks3242[[#This Row],[Player]],WR!B:O,8,FALSE)</f>
        <v>724.7563473839374</v>
      </c>
      <c r="AM72" s="100">
        <f>VLOOKUP(TableWRRanks3242[[#This Row],[Player]],WR!B:O,9,FALSE)</f>
        <v>4.373529682489278</v>
      </c>
      <c r="AN72" s="95">
        <f>VLOOKUP(TableWRRanks3242[[#This Row],[Player]],WR!B:O,13,FALSE)</f>
        <v>131.08678629872901</v>
      </c>
      <c r="AO72" s="140">
        <f>IF(VLOOKUP(TableWRRanks3242[[#This Row],[Player]],'Ranks w Proj'!$AE:$AO,11,FALSE)&lt;0,0,VLOOKUP(TableWRRanks3242[[#This Row],[Player]],'Ranks w Proj'!$AE:$AO,11,FALSE))</f>
        <v>7.6659187303341643</v>
      </c>
      <c r="AQ72" s="58">
        <v>71</v>
      </c>
      <c r="AR72" s="58">
        <f>VLOOKUP(TableTERanks3343[[#This Row],[RK]],Rankings!A:T,18,FALSE)</f>
        <v>0</v>
      </c>
      <c r="AS72" s="58" t="str">
        <f>IFERROR(INDEX(TableTECalcPts[TM],MATCH(TableTERanks3343[[#This Row],[Player]],TableTECalcPts[PLAYER],0)),"")</f>
        <v/>
      </c>
      <c r="AT72" s="58" t="str">
        <f>IFERROR(INDEX(TableTECalcPts[BYE],MATCH(TableTERanks3343[[#This Row],[Player]],TableTECalcPts[PLAYER],0)),"")</f>
        <v/>
      </c>
      <c r="AU72" s="100">
        <f>VLOOKUP(TableTERanks3343[[#This Row],[Player]],TE!B:O,4,FALSE)</f>
        <v>0</v>
      </c>
      <c r="AV72" s="100">
        <f>VLOOKUP(TableTERanks3343[[#This Row],[Player]],TE!B:O,5,FALSE)</f>
        <v>0</v>
      </c>
      <c r="AW72" s="100">
        <f>VLOOKUP(TableTERanks3343[[#This Row],[Player]],TE!B:O,6,FALSE)</f>
        <v>0</v>
      </c>
      <c r="AX72" s="100">
        <f>VLOOKUP(TableTERanks3343[[#This Row],[Player]],TE!B:O,7,FALSE)</f>
        <v>0</v>
      </c>
      <c r="AY72" s="95">
        <f>VLOOKUP(TableTERanks3343[[#This Row],[Player]],TE!B:O,11,FALSE)</f>
        <v>0</v>
      </c>
      <c r="AZ72" s="140" t="e">
        <f>IF(VLOOKUP(TableTERanks3343[[#This Row],[Player]],'Ranks w Proj'!$AR:$AZ,9,FALSE)&lt;0,0,VLOOKUP(TableTERanks3343[[#This Row],[Player]],'Ranks w Proj'!$AR:$AZ,9,FALSE))</f>
        <v>#N/A</v>
      </c>
    </row>
    <row r="73" spans="1:52" x14ac:dyDescent="0.25">
      <c r="A73" s="58">
        <v>72</v>
      </c>
      <c r="B73" s="58">
        <f>VLOOKUP(TableQBRanks3040[[#This Row],[RK]],Rankings!A:T,3,FALSE)</f>
        <v>0</v>
      </c>
      <c r="C73" s="58" t="str">
        <f>IFERROR(INDEX(TableQBCalcPts[TM],MATCH(TableQBRanks3040[[#This Row],[Player]],TableQBCalcPts[PLAYER],0)),"")</f>
        <v/>
      </c>
      <c r="D73" s="58" t="str">
        <f>IFERROR(INDEX(TableQBCalcPts[BYE],MATCH(TableQBRanks3040[[#This Row],[Player]],TableQBCalcPts[PLAYER],0)),"")</f>
        <v/>
      </c>
      <c r="E73" s="100">
        <f>VLOOKUP(TableQBRanks3040[[#This Row],[Player]],QB!B:O,4,FALSE)</f>
        <v>0</v>
      </c>
      <c r="F73" s="100">
        <f>VLOOKUP(TableQBRanks3040[[#This Row],[Player]],QB!B:O,5,FALSE)</f>
        <v>0</v>
      </c>
      <c r="G73" s="100">
        <f>VLOOKUP(TableQBRanks3040[[#This Row],[Player]],QB!B:O,6,FALSE)</f>
        <v>0</v>
      </c>
      <c r="H73" s="100">
        <f>VLOOKUP(TableQBRanks3040[[#This Row],[Player]],QB!B:O,7,FALSE)</f>
        <v>0</v>
      </c>
      <c r="I73" s="100">
        <f>VLOOKUP(TableQBRanks3040[[#This Row],[Player]],QB!B:O,8,FALSE)</f>
        <v>0</v>
      </c>
      <c r="J73" s="100">
        <f>VLOOKUP(TableQBRanks3040[[#This Row],[Player]],QB!B:O,9,FALSE)</f>
        <v>0</v>
      </c>
      <c r="K73" s="100">
        <f>VLOOKUP(TableQBRanks3040[[#This Row],[Player]],QB!B:O,10,FALSE)</f>
        <v>0</v>
      </c>
      <c r="L73" s="100">
        <f>VLOOKUP(TableQBRanks3040[[#This Row],[Player]],QB!B:O,11,FALSE)</f>
        <v>0</v>
      </c>
      <c r="M73" s="95">
        <f>VLOOKUP(TableQBRanks3040[[#This Row],[Player]],QB!B:O,13,FALSE)</f>
        <v>0</v>
      </c>
      <c r="N73" s="140" t="e">
        <f>IF(VLOOKUP(TableQBRanks3040[[#This Row],[Player]],'Ranks w Proj'!$B:$N,13,FALSE)&lt;0,0,VLOOKUP(TableQBRanks3040[[#This Row],[Player]],'Ranks w Proj'!$B:$N,13,FALSE))</f>
        <v>#N/A</v>
      </c>
      <c r="P73" s="58">
        <v>72</v>
      </c>
      <c r="Q73" s="58" t="str">
        <f>VLOOKUP(TableRBRanks3141[[#This Row],[RK]],Rankings!A:T,8,FALSE)</f>
        <v>Sean Tucker</v>
      </c>
      <c r="R73" s="58" t="str">
        <f>IFERROR(INDEX(TableRBCalcPts[TM],MATCH(TableRBRanks3141[[#This Row],[Player]],TableRBCalcPts[PLAYER],0)),"")</f>
        <v>TB</v>
      </c>
      <c r="S73" s="58">
        <f>IFERROR(INDEX(TableRBCalcPts[BYE],MATCH(TableRBRanks3141[[#This Row],[Player]],TableRBCalcPts[PLAYER],0)),"")</f>
        <v>10</v>
      </c>
      <c r="T73" s="100">
        <f>VLOOKUP(TableRBRanks3141[[#This Row],[Player]],RB!B:O,4,FALSE)</f>
        <v>62.233729879999984</v>
      </c>
      <c r="U73" s="100">
        <f>VLOOKUP(TableRBRanks3141[[#This Row],[Player]],RB!B:O,5,FALSE)</f>
        <v>247.06790762359995</v>
      </c>
      <c r="V73" s="100">
        <f>VLOOKUP(TableRBRanks3141[[#This Row],[Player]],RB!B:O,6,FALSE)</f>
        <v>2.1159468159199997</v>
      </c>
      <c r="W73" s="100">
        <f>VLOOKUP(TableRBRanks3141[[#This Row],[Player]],RB!B:O,7,FALSE)</f>
        <v>1.6554875399999991</v>
      </c>
      <c r="X73" s="100">
        <f>VLOOKUP(TableRBRanks3141[[#This Row],[Player]],RB!B:O,8,FALSE)</f>
        <v>1.2416156549999993</v>
      </c>
      <c r="Y73" s="100">
        <f>VLOOKUP(TableRBRanks3141[[#This Row],[Player]],RB!B:O,9,FALSE)</f>
        <v>8.8030549939499938</v>
      </c>
      <c r="Z73" s="100">
        <f>VLOOKUP(TableRBRanks3141[[#This Row],[Player]],RB!B:O,10,FALSE)</f>
        <v>4.7181394889999971E-2</v>
      </c>
      <c r="AA73" s="95">
        <f>VLOOKUP(TableRBRanks3141[[#This Row],[Player]],RB!B:O,14,FALSE)</f>
        <v>39.186673354115001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VLOOKUP(TableWRRanks3242[[#This Row],[RK]],Rankings!A:T,13,FALSE)</f>
        <v>Zachariah Branch</v>
      </c>
      <c r="AF73" s="58" t="str">
        <f>IFERROR(INDEX(TableWRCalcPts[TM],MATCH(TableWRRanks3242[[#This Row],[Player]],TableWRCalcPts[PLAYER],0)),"")</f>
        <v>ATL</v>
      </c>
      <c r="AG73" s="58">
        <f>IFERROR(INDEX(TableWRCalcPts[BYE],MATCH(TableWRRanks3242[[#This Row],[Player]],TableWRCalcPts[PLAYER],0)),"")</f>
        <v>11</v>
      </c>
      <c r="AH73" s="100">
        <f>VLOOKUP(TableWRRanks3242[[#This Row],[Player]],WR!B:O,4,FALSE)</f>
        <v>15.318138675</v>
      </c>
      <c r="AI73" s="100">
        <f>VLOOKUP(TableWRRanks3242[[#This Row],[Player]],WR!B:O,5,FALSE)</f>
        <v>8.0621782500000003E-2</v>
      </c>
      <c r="AJ73" s="100">
        <f>VLOOKUP(TableWRRanks3242[[#This Row],[Player]],WR!B:O,6,FALSE)</f>
        <v>59.604001800000013</v>
      </c>
      <c r="AK73" s="100">
        <f>VLOOKUP(TableWRRanks3242[[#This Row],[Player]],WR!B:O,7,FALSE)</f>
        <v>33.25903300440001</v>
      </c>
      <c r="AL73" s="100">
        <f>VLOOKUP(TableWRRanks3242[[#This Row],[Player]],WR!B:O,8,FALSE)</f>
        <v>403.0994800133281</v>
      </c>
      <c r="AM73" s="100">
        <f>VLOOKUP(TableWRRanks3242[[#This Row],[Player]],WR!B:O,9,FALSE)</f>
        <v>2.2616142442992007</v>
      </c>
      <c r="AN73" s="95">
        <f>VLOOKUP(TableWRRanks3242[[#This Row],[Player]],WR!B:O,13,FALSE)</f>
        <v>72.524694531828018</v>
      </c>
      <c r="AO73" s="140">
        <f>IF(VLOOKUP(TableWRRanks3242[[#This Row],[Player]],'Ranks w Proj'!$AE:$AO,11,FALSE)&lt;0,0,VLOOKUP(TableWRRanks3242[[#This Row],[Player]],'Ranks w Proj'!$AE:$AO,11,FALSE))</f>
        <v>0</v>
      </c>
      <c r="AQ73" s="58">
        <v>72</v>
      </c>
      <c r="AR73" s="58">
        <f>VLOOKUP(TableTERanks3343[[#This Row],[RK]],Rankings!A:T,18,FALSE)</f>
        <v>0</v>
      </c>
      <c r="AS73" s="58" t="str">
        <f>IFERROR(INDEX(TableTECalcPts[TM],MATCH(TableTERanks3343[[#This Row],[Player]],TableTECalcPts[PLAYER],0)),"")</f>
        <v/>
      </c>
      <c r="AT73" s="58" t="str">
        <f>IFERROR(INDEX(TableTECalcPts[BYE],MATCH(TableTERanks3343[[#This Row],[Player]],TableTECalcPts[PLAYER],0)),"")</f>
        <v/>
      </c>
      <c r="AU73" s="100">
        <f>VLOOKUP(TableTERanks3343[[#This Row],[Player]],TE!B:O,4,FALSE)</f>
        <v>0</v>
      </c>
      <c r="AV73" s="100">
        <f>VLOOKUP(TableTERanks3343[[#This Row],[Player]],TE!B:O,5,FALSE)</f>
        <v>0</v>
      </c>
      <c r="AW73" s="100">
        <f>VLOOKUP(TableTERanks3343[[#This Row],[Player]],TE!B:O,6,FALSE)</f>
        <v>0</v>
      </c>
      <c r="AX73" s="100">
        <f>VLOOKUP(TableTERanks3343[[#This Row],[Player]],TE!B:O,7,FALSE)</f>
        <v>0</v>
      </c>
      <c r="AY73" s="95">
        <f>VLOOKUP(TableTERanks3343[[#This Row],[Player]],TE!B:O,11,FALSE)</f>
        <v>0</v>
      </c>
      <c r="AZ73" s="140" t="e">
        <f>IF(VLOOKUP(TableTERanks3343[[#This Row],[Player]],'Ranks w Proj'!$AR:$AZ,9,FALSE)&lt;0,0,VLOOKUP(TableTERanks3343[[#This Row],[Player]],'Ranks w Proj'!$AR:$AZ,9,FALSE))</f>
        <v>#N/A</v>
      </c>
    </row>
    <row r="74" spans="1:52" x14ac:dyDescent="0.25">
      <c r="A74" s="58">
        <v>73</v>
      </c>
      <c r="B74" s="58">
        <f>VLOOKUP(TableQBRanks3040[[#This Row],[RK]],Rankings!A:T,3,FALSE)</f>
        <v>0</v>
      </c>
      <c r="C74" s="58" t="str">
        <f>IFERROR(INDEX(TableQBCalcPts[TM],MATCH(TableQBRanks3040[[#This Row],[Player]],TableQBCalcPts[PLAYER],0)),"")</f>
        <v/>
      </c>
      <c r="D74" s="58" t="str">
        <f>IFERROR(INDEX(TableQBCalcPts[BYE],MATCH(TableQBRanks3040[[#This Row],[Player]],TableQBCalcPts[PLAYER],0)),"")</f>
        <v/>
      </c>
      <c r="E74" s="100">
        <f>VLOOKUP(TableQBRanks3040[[#This Row],[Player]],QB!B:O,4,FALSE)</f>
        <v>0</v>
      </c>
      <c r="F74" s="100">
        <f>VLOOKUP(TableQBRanks3040[[#This Row],[Player]],QB!B:O,5,FALSE)</f>
        <v>0</v>
      </c>
      <c r="G74" s="100">
        <f>VLOOKUP(TableQBRanks3040[[#This Row],[Player]],QB!B:O,6,FALSE)</f>
        <v>0</v>
      </c>
      <c r="H74" s="100">
        <f>VLOOKUP(TableQBRanks3040[[#This Row],[Player]],QB!B:O,7,FALSE)</f>
        <v>0</v>
      </c>
      <c r="I74" s="100">
        <f>VLOOKUP(TableQBRanks3040[[#This Row],[Player]],QB!B:O,8,FALSE)</f>
        <v>0</v>
      </c>
      <c r="J74" s="100">
        <f>VLOOKUP(TableQBRanks3040[[#This Row],[Player]],QB!B:O,9,FALSE)</f>
        <v>0</v>
      </c>
      <c r="K74" s="100">
        <f>VLOOKUP(TableQBRanks3040[[#This Row],[Player]],QB!B:O,10,FALSE)</f>
        <v>0</v>
      </c>
      <c r="L74" s="100">
        <f>VLOOKUP(TableQBRanks3040[[#This Row],[Player]],QB!B:O,11,FALSE)</f>
        <v>0</v>
      </c>
      <c r="M74" s="95">
        <f>VLOOKUP(TableQBRanks3040[[#This Row],[Player]],QB!B:O,13,FALSE)</f>
        <v>0</v>
      </c>
      <c r="N74" s="140" t="e">
        <f>IF(VLOOKUP(TableQBRanks3040[[#This Row],[Player]],'Ranks w Proj'!$B:$N,13,FALSE)&lt;0,0,VLOOKUP(TableQBRanks3040[[#This Row],[Player]],'Ranks w Proj'!$B:$N,13,FALSE))</f>
        <v>#N/A</v>
      </c>
      <c r="P74" s="58">
        <v>73</v>
      </c>
      <c r="Q74" s="58" t="str">
        <f>VLOOKUP(TableRBRanks3141[[#This Row],[RK]],Rankings!A:T,8,FALSE)</f>
        <v>Trey Benson</v>
      </c>
      <c r="R74" s="58" t="str">
        <f>IFERROR(INDEX(TableRBCalcPts[TM],MATCH(TableRBRanks3141[[#This Row],[Player]],TableRBCalcPts[PLAYER],0)),"")</f>
        <v>ARI</v>
      </c>
      <c r="S74" s="58">
        <f>IFERROR(INDEX(TableRBCalcPts[BYE],MATCH(TableRBRanks3141[[#This Row],[Player]],TableRBCalcPts[PLAYER],0)),"")</f>
        <v>14</v>
      </c>
      <c r="T74" s="100">
        <f>VLOOKUP(TableRBRanks3141[[#This Row],[Player]],RB!B:O,4,FALSE)</f>
        <v>45.864587999999991</v>
      </c>
      <c r="U74" s="100">
        <f>VLOOKUP(TableRBRanks3141[[#This Row],[Player]],RB!B:O,5,FALSE)</f>
        <v>203.63877071999997</v>
      </c>
      <c r="V74" s="100">
        <f>VLOOKUP(TableRBRanks3141[[#This Row],[Player]],RB!B:O,6,FALSE)</f>
        <v>1.0548855239999997</v>
      </c>
      <c r="W74" s="100">
        <f>VLOOKUP(TableRBRanks3141[[#This Row],[Player]],RB!B:O,7,FALSE)</f>
        <v>8.3390160000000009</v>
      </c>
      <c r="X74" s="100">
        <f>VLOOKUP(TableRBRanks3141[[#This Row],[Player]],RB!B:O,8,FALSE)</f>
        <v>6.1946976000000005</v>
      </c>
      <c r="Y74" s="100">
        <f>VLOOKUP(TableRBRanks3141[[#This Row],[Player]],RB!B:O,9,FALSE)</f>
        <v>42.247837632000007</v>
      </c>
      <c r="Z74" s="100">
        <f>VLOOKUP(TableRBRanks3141[[#This Row],[Player]],RB!B:O,10,FALSE)</f>
        <v>0.23825760000000004</v>
      </c>
      <c r="AA74" s="95">
        <f>VLOOKUP(TableRBRanks3141[[#This Row],[Player]],RB!B:O,14,FALSE)</f>
        <v>35.444868379199995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VLOOKUP(TableWRRanks3242[[#This Row],[RK]],Rankings!A:T,13,FALSE)</f>
        <v>Chris Bell</v>
      </c>
      <c r="AF74" s="58" t="str">
        <f>IFERROR(INDEX(TableWRCalcPts[TM],MATCH(TableWRRanks3242[[#This Row],[Player]],TableWRCalcPts[PLAYER],0)),"")</f>
        <v>MIA</v>
      </c>
      <c r="AG74" s="58">
        <f>IFERROR(INDEX(TableWRCalcPts[BYE],MATCH(TableWRRanks3242[[#This Row],[Player]],TableWRCalcPts[PLAYER],0)),"")</f>
        <v>6</v>
      </c>
      <c r="AH74" s="100">
        <f>VLOOKUP(TableWRRanks3242[[#This Row],[Player]],WR!B:O,4,FALSE)</f>
        <v>0</v>
      </c>
      <c r="AI74" s="100">
        <f>VLOOKUP(TableWRRanks3242[[#This Row],[Player]],WR!B:O,5,FALSE)</f>
        <v>0</v>
      </c>
      <c r="AJ74" s="100">
        <f>VLOOKUP(TableWRRanks3242[[#This Row],[Player]],WR!B:O,6,FALSE)</f>
        <v>40.873105979999998</v>
      </c>
      <c r="AK74" s="100">
        <f>VLOOKUP(TableWRRanks3242[[#This Row],[Player]],WR!B:O,7,FALSE)</f>
        <v>23.788147680359998</v>
      </c>
      <c r="AL74" s="100">
        <f>VLOOKUP(TableWRRanks3242[[#This Row],[Player]],WR!B:O,8,FALSE)</f>
        <v>319.95058630084196</v>
      </c>
      <c r="AM74" s="100">
        <f>VLOOKUP(TableWRRanks3242[[#This Row],[Player]],WR!B:O,9,FALSE)</f>
        <v>1.52244145154304</v>
      </c>
      <c r="AN74" s="95">
        <f>VLOOKUP(TableWRRanks3242[[#This Row],[Player]],WR!B:O,13,FALSE)</f>
        <v>53.023781179522445</v>
      </c>
      <c r="AO74" s="140">
        <f>IF(VLOOKUP(TableWRRanks3242[[#This Row],[Player]],'Ranks w Proj'!$AE:$AO,11,FALSE)&lt;0,0,VLOOKUP(TableWRRanks3242[[#This Row],[Player]],'Ranks w Proj'!$AE:$AO,11,FALSE))</f>
        <v>0</v>
      </c>
      <c r="AQ74" s="58">
        <v>73</v>
      </c>
      <c r="AR74" s="58">
        <f>VLOOKUP(TableTERanks3343[[#This Row],[RK]],Rankings!A:T,18,FALSE)</f>
        <v>0</v>
      </c>
      <c r="AS74" s="58" t="str">
        <f>IFERROR(INDEX(TableTECalcPts[TM],MATCH(TableTERanks3343[[#This Row],[Player]],TableTECalcPts[PLAYER],0)),"")</f>
        <v/>
      </c>
      <c r="AT74" s="58" t="str">
        <f>IFERROR(INDEX(TableTECalcPts[BYE],MATCH(TableTERanks3343[[#This Row],[Player]],TableTECalcPts[PLAYER],0)),"")</f>
        <v/>
      </c>
      <c r="AU74" s="100">
        <f>VLOOKUP(TableTERanks3343[[#This Row],[Player]],TE!B:O,4,FALSE)</f>
        <v>0</v>
      </c>
      <c r="AV74" s="100">
        <f>VLOOKUP(TableTERanks3343[[#This Row],[Player]],TE!B:O,5,FALSE)</f>
        <v>0</v>
      </c>
      <c r="AW74" s="100">
        <f>VLOOKUP(TableTERanks3343[[#This Row],[Player]],TE!B:O,6,FALSE)</f>
        <v>0</v>
      </c>
      <c r="AX74" s="100">
        <f>VLOOKUP(TableTERanks3343[[#This Row],[Player]],TE!B:O,7,FALSE)</f>
        <v>0</v>
      </c>
      <c r="AY74" s="95">
        <f>VLOOKUP(TableTERanks3343[[#This Row],[Player]],TE!B:O,11,FALSE)</f>
        <v>0</v>
      </c>
      <c r="AZ74" s="140" t="e">
        <f>IF(VLOOKUP(TableTERanks3343[[#This Row],[Player]],'Ranks w Proj'!$AR:$AZ,9,FALSE)&lt;0,0,VLOOKUP(TableTERanks3343[[#This Row],[Player]],'Ranks w Proj'!$AR:$AZ,9,FALSE))</f>
        <v>#N/A</v>
      </c>
    </row>
    <row r="75" spans="1:52" x14ac:dyDescent="0.25">
      <c r="A75" s="58">
        <v>74</v>
      </c>
      <c r="B75" s="58">
        <f>VLOOKUP(TableQBRanks3040[[#This Row],[RK]],Rankings!A:T,3,FALSE)</f>
        <v>0</v>
      </c>
      <c r="C75" s="58" t="str">
        <f>IFERROR(INDEX(TableQBCalcPts[TM],MATCH(TableQBRanks3040[[#This Row],[Player]],TableQBCalcPts[PLAYER],0)),"")</f>
        <v/>
      </c>
      <c r="D75" s="58" t="str">
        <f>IFERROR(INDEX(TableQBCalcPts[BYE],MATCH(TableQBRanks3040[[#This Row],[Player]],TableQBCalcPts[PLAYER],0)),"")</f>
        <v/>
      </c>
      <c r="E75" s="100">
        <f>VLOOKUP(TableQBRanks3040[[#This Row],[Player]],QB!B:O,4,FALSE)</f>
        <v>0</v>
      </c>
      <c r="F75" s="100">
        <f>VLOOKUP(TableQBRanks3040[[#This Row],[Player]],QB!B:O,5,FALSE)</f>
        <v>0</v>
      </c>
      <c r="G75" s="100">
        <f>VLOOKUP(TableQBRanks3040[[#This Row],[Player]],QB!B:O,6,FALSE)</f>
        <v>0</v>
      </c>
      <c r="H75" s="100">
        <f>VLOOKUP(TableQBRanks3040[[#This Row],[Player]],QB!B:O,7,FALSE)</f>
        <v>0</v>
      </c>
      <c r="I75" s="100">
        <f>VLOOKUP(TableQBRanks3040[[#This Row],[Player]],QB!B:O,8,FALSE)</f>
        <v>0</v>
      </c>
      <c r="J75" s="100">
        <f>VLOOKUP(TableQBRanks3040[[#This Row],[Player]],QB!B:O,9,FALSE)</f>
        <v>0</v>
      </c>
      <c r="K75" s="100">
        <f>VLOOKUP(TableQBRanks3040[[#This Row],[Player]],QB!B:O,10,FALSE)</f>
        <v>0</v>
      </c>
      <c r="L75" s="100">
        <f>VLOOKUP(TableQBRanks3040[[#This Row],[Player]],QB!B:O,11,FALSE)</f>
        <v>0</v>
      </c>
      <c r="M75" s="95">
        <f>VLOOKUP(TableQBRanks3040[[#This Row],[Player]],QB!B:O,13,FALSE)</f>
        <v>0</v>
      </c>
      <c r="N75" s="140" t="e">
        <f>IF(VLOOKUP(TableQBRanks3040[[#This Row],[Player]],'Ranks w Proj'!$B:$N,13,FALSE)&lt;0,0,VLOOKUP(TableQBRanks3040[[#This Row],[Player]],'Ranks w Proj'!$B:$N,13,FALSE))</f>
        <v>#N/A</v>
      </c>
      <c r="P75" s="58">
        <v>74</v>
      </c>
      <c r="Q75" s="58" t="str">
        <f>VLOOKUP(TableRBRanks3141[[#This Row],[RK]],Rankings!A:T,8,FALSE)</f>
        <v>Malik Davis</v>
      </c>
      <c r="R75" s="58" t="str">
        <f>IFERROR(INDEX(TableRBCalcPts[TM],MATCH(TableRBRanks3141[[#This Row],[Player]],TableRBCalcPts[PLAYER],0)),"")</f>
        <v>DAL</v>
      </c>
      <c r="S75" s="58">
        <f>IFERROR(INDEX(TableRBCalcPts[BYE],MATCH(TableRBRanks3141[[#This Row],[Player]],TableRBCalcPts[PLAYER],0)),"")</f>
        <v>14</v>
      </c>
      <c r="T75" s="100">
        <f>VLOOKUP(TableRBRanks3141[[#This Row],[Player]],RB!B:O,4,FALSE)</f>
        <v>46.131584100000005</v>
      </c>
      <c r="U75" s="100">
        <f>VLOOKUP(TableRBRanks3141[[#This Row],[Player]],RB!B:O,5,FALSE)</f>
        <v>205.74686508600001</v>
      </c>
      <c r="V75" s="100">
        <f>VLOOKUP(TableRBRanks3141[[#This Row],[Player]],RB!B:O,6,FALSE)</f>
        <v>1.6146054435000003</v>
      </c>
      <c r="W75" s="100">
        <f>VLOOKUP(TableRBRanks3141[[#This Row],[Player]],RB!B:O,7,FALSE)</f>
        <v>6.0276369999999995</v>
      </c>
      <c r="X75" s="100">
        <f>VLOOKUP(TableRBRanks3141[[#This Row],[Player]],RB!B:O,8,FALSE)</f>
        <v>4.0385167900000001</v>
      </c>
      <c r="Y75" s="100">
        <f>VLOOKUP(TableRBRanks3141[[#This Row],[Player]],RB!B:O,9,FALSE)</f>
        <v>25.429642123903989</v>
      </c>
      <c r="Z75" s="100">
        <f>VLOOKUP(TableRBRanks3141[[#This Row],[Player]],RB!B:O,10,FALSE)</f>
        <v>0.1211555037</v>
      </c>
      <c r="AA75" s="95">
        <f>VLOOKUP(TableRBRanks3141[[#This Row],[Player]],RB!B:O,14,FALSE)</f>
        <v>35.551474799190409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VLOOKUP(TableWRRanks3242[[#This Row],[RK]],Rankings!A:T,13,FALSE)</f>
        <v>Kayshon Boutte</v>
      </c>
      <c r="AF75" s="58" t="str">
        <f>IFERROR(INDEX(TableWRCalcPts[TM],MATCH(TableWRRanks3242[[#This Row],[Player]],TableWRCalcPts[PLAYER],0)),"")</f>
        <v>NE</v>
      </c>
      <c r="AG75" s="58">
        <f>IFERROR(INDEX(TableWRCalcPts[BYE],MATCH(TableWRRanks3242[[#This Row],[Player]],TableWRCalcPts[PLAYER],0)),"")</f>
        <v>11</v>
      </c>
      <c r="AH75" s="100">
        <f>VLOOKUP(TableWRRanks3242[[#This Row],[Player]],WR!B:O,4,FALSE)</f>
        <v>0</v>
      </c>
      <c r="AI75" s="100">
        <f>VLOOKUP(TableWRRanks3242[[#This Row],[Player]],WR!B:O,5,FALSE)</f>
        <v>0</v>
      </c>
      <c r="AJ75" s="100">
        <f>VLOOKUP(TableWRRanks3242[[#This Row],[Player]],WR!B:O,6,FALSE)</f>
        <v>34.358927399999985</v>
      </c>
      <c r="AK75" s="100">
        <f>VLOOKUP(TableWRRanks3242[[#This Row],[Player]],WR!B:O,7,FALSE)</f>
        <v>24.326120599199989</v>
      </c>
      <c r="AL75" s="100">
        <f>VLOOKUP(TableWRRanks3242[[#This Row],[Player]],WR!B:O,8,FALSE)</f>
        <v>341.29547200677581</v>
      </c>
      <c r="AM75" s="100">
        <f>VLOOKUP(TableWRRanks3242[[#This Row],[Player]],WR!B:O,9,FALSE)</f>
        <v>1.7028284419439994</v>
      </c>
      <c r="AN75" s="95">
        <f>VLOOKUP(TableWRRanks3242[[#This Row],[Player]],WR!B:O,13,FALSE)</f>
        <v>56.509578151941582</v>
      </c>
      <c r="AO75" s="140">
        <f>IF(VLOOKUP(TableWRRanks3242[[#This Row],[Player]],'Ranks w Proj'!$AE:$AO,11,FALSE)&lt;0,0,VLOOKUP(TableWRRanks3242[[#This Row],[Player]],'Ranks w Proj'!$AE:$AO,11,FALSE))</f>
        <v>0</v>
      </c>
      <c r="AQ75" s="58">
        <v>74</v>
      </c>
      <c r="AR75" s="58">
        <f>VLOOKUP(TableTERanks3343[[#This Row],[RK]],Rankings!A:T,18,FALSE)</f>
        <v>0</v>
      </c>
      <c r="AS75" s="58" t="str">
        <f>IFERROR(INDEX(TableTECalcPts[TM],MATCH(TableTERanks3343[[#This Row],[Player]],TableTECalcPts[PLAYER],0)),"")</f>
        <v/>
      </c>
      <c r="AT75" s="58" t="str">
        <f>IFERROR(INDEX(TableTECalcPts[BYE],MATCH(TableTERanks3343[[#This Row],[Player]],TableTECalcPts[PLAYER],0)),"")</f>
        <v/>
      </c>
      <c r="AU75" s="100">
        <f>VLOOKUP(TableTERanks3343[[#This Row],[Player]],TE!B:O,4,FALSE)</f>
        <v>0</v>
      </c>
      <c r="AV75" s="100">
        <f>VLOOKUP(TableTERanks3343[[#This Row],[Player]],TE!B:O,5,FALSE)</f>
        <v>0</v>
      </c>
      <c r="AW75" s="100">
        <f>VLOOKUP(TableTERanks3343[[#This Row],[Player]],TE!B:O,6,FALSE)</f>
        <v>0</v>
      </c>
      <c r="AX75" s="100">
        <f>VLOOKUP(TableTERanks3343[[#This Row],[Player]],TE!B:O,7,FALSE)</f>
        <v>0</v>
      </c>
      <c r="AY75" s="95">
        <f>VLOOKUP(TableTERanks3343[[#This Row],[Player]],TE!B:O,11,FALSE)</f>
        <v>0</v>
      </c>
      <c r="AZ75" s="140" t="e">
        <f>IF(VLOOKUP(TableTERanks3343[[#This Row],[Player]],'Ranks w Proj'!$AR:$AZ,9,FALSE)&lt;0,0,VLOOKUP(TableTERanks3343[[#This Row],[Player]],'Ranks w Proj'!$AR:$AZ,9,FALSE))</f>
        <v>#N/A</v>
      </c>
    </row>
    <row r="76" spans="1:52" x14ac:dyDescent="0.25">
      <c r="A76" s="58">
        <v>75</v>
      </c>
      <c r="B76" s="58">
        <f>VLOOKUP(TableQBRanks3040[[#This Row],[RK]],Rankings!A:T,3,FALSE)</f>
        <v>0</v>
      </c>
      <c r="C76" s="58" t="str">
        <f>IFERROR(INDEX(TableQBCalcPts[TM],MATCH(TableQBRanks3040[[#This Row],[Player]],TableQBCalcPts[PLAYER],0)),"")</f>
        <v/>
      </c>
      <c r="D76" s="58" t="str">
        <f>IFERROR(INDEX(TableQBCalcPts[BYE],MATCH(TableQBRanks3040[[#This Row],[Player]],TableQBCalcPts[PLAYER],0)),"")</f>
        <v/>
      </c>
      <c r="E76" s="100">
        <f>VLOOKUP(TableQBRanks3040[[#This Row],[Player]],QB!B:O,4,FALSE)</f>
        <v>0</v>
      </c>
      <c r="F76" s="100">
        <f>VLOOKUP(TableQBRanks3040[[#This Row],[Player]],QB!B:O,5,FALSE)</f>
        <v>0</v>
      </c>
      <c r="G76" s="100">
        <f>VLOOKUP(TableQBRanks3040[[#This Row],[Player]],QB!B:O,6,FALSE)</f>
        <v>0</v>
      </c>
      <c r="H76" s="100">
        <f>VLOOKUP(TableQBRanks3040[[#This Row],[Player]],QB!B:O,7,FALSE)</f>
        <v>0</v>
      </c>
      <c r="I76" s="100">
        <f>VLOOKUP(TableQBRanks3040[[#This Row],[Player]],QB!B:O,8,FALSE)</f>
        <v>0</v>
      </c>
      <c r="J76" s="100">
        <f>VLOOKUP(TableQBRanks3040[[#This Row],[Player]],QB!B:O,9,FALSE)</f>
        <v>0</v>
      </c>
      <c r="K76" s="100">
        <f>VLOOKUP(TableQBRanks3040[[#This Row],[Player]],QB!B:O,10,FALSE)</f>
        <v>0</v>
      </c>
      <c r="L76" s="100">
        <f>VLOOKUP(TableQBRanks3040[[#This Row],[Player]],QB!B:O,11,FALSE)</f>
        <v>0</v>
      </c>
      <c r="M76" s="95">
        <f>VLOOKUP(TableQBRanks3040[[#This Row],[Player]],QB!B:O,13,FALSE)</f>
        <v>0</v>
      </c>
      <c r="N76" s="140" t="e">
        <f>IF(VLOOKUP(TableQBRanks3040[[#This Row],[Player]],'Ranks w Proj'!$B:$N,13,FALSE)&lt;0,0,VLOOKUP(TableQBRanks3040[[#This Row],[Player]],'Ranks w Proj'!$B:$N,13,FALSE))</f>
        <v>#N/A</v>
      </c>
      <c r="P76" s="58">
        <v>75</v>
      </c>
      <c r="Q76" s="58" t="str">
        <f>VLOOKUP(TableRBRanks3141[[#This Row],[RK]],Rankings!A:T,8,FALSE)</f>
        <v>Emmett Johnson</v>
      </c>
      <c r="R76" s="58" t="str">
        <f>IFERROR(INDEX(TableRBCalcPts[TM],MATCH(TableRBRanks3141[[#This Row],[Player]],TableRBCalcPts[PLAYER],0)),"")</f>
        <v>KC</v>
      </c>
      <c r="S76" s="58">
        <f>IFERROR(INDEX(TableRBCalcPts[BYE],MATCH(TableRBRanks3141[[#This Row],[Player]],TableRBCalcPts[PLAYER],0)),"")</f>
        <v>5</v>
      </c>
      <c r="T76" s="100">
        <f>VLOOKUP(TableRBRanks3141[[#This Row],[Player]],RB!B:O,4,FALSE)</f>
        <v>39.812401999999999</v>
      </c>
      <c r="U76" s="100">
        <f>VLOOKUP(TableRBRanks3141[[#This Row],[Player]],RB!B:O,5,FALSE)</f>
        <v>164.82334427999999</v>
      </c>
      <c r="V76" s="100">
        <f>VLOOKUP(TableRBRanks3141[[#This Row],[Player]],RB!B:O,6,FALSE)</f>
        <v>1.3934340700000001</v>
      </c>
      <c r="W76" s="100">
        <f>VLOOKUP(TableRBRanks3141[[#This Row],[Player]],RB!B:O,7,FALSE)</f>
        <v>21.077153999999997</v>
      </c>
      <c r="X76" s="100">
        <f>VLOOKUP(TableRBRanks3141[[#This Row],[Player]],RB!B:O,8,FALSE)</f>
        <v>15.618171113999997</v>
      </c>
      <c r="Y76" s="100">
        <f>VLOOKUP(TableRBRanks3141[[#This Row],[Player]],RB!B:O,9,FALSE)</f>
        <v>112.93139113199999</v>
      </c>
      <c r="Z76" s="100">
        <f>VLOOKUP(TableRBRanks3141[[#This Row],[Player]],RB!B:O,10,FALSE)</f>
        <v>0.70281770012999989</v>
      </c>
      <c r="AA76" s="95">
        <f>VLOOKUP(TableRBRanks3141[[#This Row],[Player]],RB!B:O,14,FALSE)</f>
        <v>48.16206971898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VLOOKUP(TableWRRanks3242[[#This Row],[RK]],Rankings!A:T,13,FALSE)</f>
        <v>Germie Bernard</v>
      </c>
      <c r="AF76" s="58" t="str">
        <f>IFERROR(INDEX(TableWRCalcPts[TM],MATCH(TableWRRanks3242[[#This Row],[Player]],TableWRCalcPts[PLAYER],0)),"")</f>
        <v>PIT</v>
      </c>
      <c r="AG76" s="58">
        <f>IFERROR(INDEX(TableWRCalcPts[BYE],MATCH(TableWRRanks3242[[#This Row],[Player]],TableWRCalcPts[PLAYER],0)),"")</f>
        <v>9</v>
      </c>
      <c r="AH76" s="100">
        <f>VLOOKUP(TableWRRanks3242[[#This Row],[Player]],WR!B:O,4,FALSE)</f>
        <v>26.777519999999992</v>
      </c>
      <c r="AI76" s="100">
        <f>VLOOKUP(TableWRRanks3242[[#This Row],[Player]],WR!B:O,5,FALSE)</f>
        <v>3.1240439999999991E-2</v>
      </c>
      <c r="AJ76" s="100">
        <f>VLOOKUP(TableWRRanks3242[[#This Row],[Player]],WR!B:O,6,FALSE)</f>
        <v>77.249088000000015</v>
      </c>
      <c r="AK76" s="100">
        <f>VLOOKUP(TableWRRanks3242[[#This Row],[Player]],WR!B:O,7,FALSE)</f>
        <v>46.394433281620259</v>
      </c>
      <c r="AL76" s="100">
        <f>VLOOKUP(TableWRRanks3242[[#This Row],[Player]],WR!B:O,8,FALSE)</f>
        <v>489.92521545390997</v>
      </c>
      <c r="AM76" s="100">
        <f>VLOOKUP(TableWRRanks3242[[#This Row],[Player]],WR!B:O,9,FALSE)</f>
        <v>2.8148655019746838</v>
      </c>
      <c r="AN76" s="95">
        <f>VLOOKUP(TableWRRanks3242[[#This Row],[Player]],WR!B:O,13,FALSE)</f>
        <v>91.944125838049231</v>
      </c>
      <c r="AO76" s="140">
        <f>IF(VLOOKUP(TableWRRanks3242[[#This Row],[Player]],'Ranks w Proj'!$AE:$AO,11,FALSE)&lt;0,0,VLOOKUP(TableWRRanks3242[[#This Row],[Player]],'Ranks w Proj'!$AE:$AO,11,FALSE))</f>
        <v>0.31186660374205616</v>
      </c>
      <c r="AQ76" s="58">
        <v>75</v>
      </c>
      <c r="AR76" s="58">
        <f>VLOOKUP(TableTERanks3343[[#This Row],[RK]],Rankings!A:T,18,FALSE)</f>
        <v>0</v>
      </c>
      <c r="AS76" s="58" t="str">
        <f>IFERROR(INDEX(TableTECalcPts[TM],MATCH(TableTERanks3343[[#This Row],[Player]],TableTECalcPts[PLAYER],0)),"")</f>
        <v/>
      </c>
      <c r="AT76" s="58" t="str">
        <f>IFERROR(INDEX(TableTECalcPts[BYE],MATCH(TableTERanks3343[[#This Row],[Player]],TableTECalcPts[PLAYER],0)),"")</f>
        <v/>
      </c>
      <c r="AU76" s="100">
        <f>VLOOKUP(TableTERanks3343[[#This Row],[Player]],TE!B:O,4,FALSE)</f>
        <v>0</v>
      </c>
      <c r="AV76" s="100">
        <f>VLOOKUP(TableTERanks3343[[#This Row],[Player]],TE!B:O,5,FALSE)</f>
        <v>0</v>
      </c>
      <c r="AW76" s="100">
        <f>VLOOKUP(TableTERanks3343[[#This Row],[Player]],TE!B:O,6,FALSE)</f>
        <v>0</v>
      </c>
      <c r="AX76" s="100">
        <f>VLOOKUP(TableTERanks3343[[#This Row],[Player]],TE!B:O,7,FALSE)</f>
        <v>0</v>
      </c>
      <c r="AY76" s="95">
        <f>VLOOKUP(TableTERanks3343[[#This Row],[Player]],TE!B:O,11,FALSE)</f>
        <v>0</v>
      </c>
      <c r="AZ76" s="140" t="e">
        <f>IF(VLOOKUP(TableTERanks3343[[#This Row],[Player]],'Ranks w Proj'!$AR:$AZ,9,FALSE)&lt;0,0,VLOOKUP(TableTERanks3343[[#This Row],[Player]],'Ranks w Proj'!$AR:$AZ,9,FALSE))</f>
        <v>#N/A</v>
      </c>
    </row>
    <row r="77" spans="1:52" x14ac:dyDescent="0.25">
      <c r="A77" s="58">
        <v>76</v>
      </c>
      <c r="B77" s="58">
        <f>VLOOKUP(TableQBRanks3040[[#This Row],[RK]],Rankings!A:T,3,FALSE)</f>
        <v>0</v>
      </c>
      <c r="C77" s="58" t="str">
        <f>IFERROR(INDEX(TableQBCalcPts[TM],MATCH(TableQBRanks3040[[#This Row],[Player]],TableQBCalcPts[PLAYER],0)),"")</f>
        <v/>
      </c>
      <c r="D77" s="58" t="str">
        <f>IFERROR(INDEX(TableQBCalcPts[BYE],MATCH(TableQBRanks3040[[#This Row],[Player]],TableQBCalcPts[PLAYER],0)),"")</f>
        <v/>
      </c>
      <c r="E77" s="100">
        <f>VLOOKUP(TableQBRanks3040[[#This Row],[Player]],QB!B:O,4,FALSE)</f>
        <v>0</v>
      </c>
      <c r="F77" s="100">
        <f>VLOOKUP(TableQBRanks3040[[#This Row],[Player]],QB!B:O,5,FALSE)</f>
        <v>0</v>
      </c>
      <c r="G77" s="100">
        <f>VLOOKUP(TableQBRanks3040[[#This Row],[Player]],QB!B:O,6,FALSE)</f>
        <v>0</v>
      </c>
      <c r="H77" s="100">
        <f>VLOOKUP(TableQBRanks3040[[#This Row],[Player]],QB!B:O,7,FALSE)</f>
        <v>0</v>
      </c>
      <c r="I77" s="100">
        <f>VLOOKUP(TableQBRanks3040[[#This Row],[Player]],QB!B:O,8,FALSE)</f>
        <v>0</v>
      </c>
      <c r="J77" s="100">
        <f>VLOOKUP(TableQBRanks3040[[#This Row],[Player]],QB!B:O,9,FALSE)</f>
        <v>0</v>
      </c>
      <c r="K77" s="100">
        <f>VLOOKUP(TableQBRanks3040[[#This Row],[Player]],QB!B:O,10,FALSE)</f>
        <v>0</v>
      </c>
      <c r="L77" s="100">
        <f>VLOOKUP(TableQBRanks3040[[#This Row],[Player]],QB!B:O,11,FALSE)</f>
        <v>0</v>
      </c>
      <c r="M77" s="95">
        <f>VLOOKUP(TableQBRanks3040[[#This Row],[Player]],QB!B:O,13,FALSE)</f>
        <v>0</v>
      </c>
      <c r="N77" s="140" t="e">
        <f>IF(VLOOKUP(TableQBRanks3040[[#This Row],[Player]],'Ranks w Proj'!$B:$N,13,FALSE)&lt;0,0,VLOOKUP(TableQBRanks3040[[#This Row],[Player]],'Ranks w Proj'!$B:$N,13,FALSE))</f>
        <v>#N/A</v>
      </c>
      <c r="P77" s="58">
        <v>76</v>
      </c>
      <c r="Q77" s="58" t="str">
        <f>VLOOKUP(TableRBRanks3141[[#This Row],[RK]],Rankings!A:T,8,FALSE)</f>
        <v>LeQuint Allen</v>
      </c>
      <c r="R77" s="58" t="str">
        <f>IFERROR(INDEX(TableRBCalcPts[TM],MATCH(TableRBRanks3141[[#This Row],[Player]],TableRBCalcPts[PLAYER],0)),"")</f>
        <v>JAX</v>
      </c>
      <c r="S77" s="58">
        <f>IFERROR(INDEX(TableRBCalcPts[BYE],MATCH(TableRBRanks3141[[#This Row],[Player]],TableRBCalcPts[PLAYER],0)),"")</f>
        <v>7</v>
      </c>
      <c r="T77" s="100">
        <f>VLOOKUP(TableRBRanks3141[[#This Row],[Player]],RB!B:O,4,FALSE)</f>
        <v>19.296116699999999</v>
      </c>
      <c r="U77" s="100">
        <f>VLOOKUP(TableRBRanks3141[[#This Row],[Player]],RB!B:O,5,FALSE)</f>
        <v>78.921117302999988</v>
      </c>
      <c r="V77" s="100">
        <f>VLOOKUP(TableRBRanks3141[[#This Row],[Player]],RB!B:O,6,FALSE)</f>
        <v>0.57888350099999997</v>
      </c>
      <c r="W77" s="100">
        <f>VLOOKUP(TableRBRanks3141[[#This Row],[Player]],RB!B:O,7,FALSE)</f>
        <v>15.111173700000002</v>
      </c>
      <c r="X77" s="100">
        <f>VLOOKUP(TableRBRanks3141[[#This Row],[Player]],RB!B:O,8,FALSE)</f>
        <v>10.675567740600004</v>
      </c>
      <c r="Y77" s="100">
        <f>VLOOKUP(TableRBRanks3141[[#This Row],[Player]],RB!B:O,9,FALSE)</f>
        <v>74.408707151982028</v>
      </c>
      <c r="Z77" s="100">
        <f>VLOOKUP(TableRBRanks3141[[#This Row],[Player]],RB!B:O,10,FALSE)</f>
        <v>0.38432043866160009</v>
      </c>
      <c r="AA77" s="95">
        <f>VLOOKUP(TableRBRanks3141[[#This Row],[Player]],RB!B:O,14,FALSE)</f>
        <v>26.449989953767805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VLOOKUP(TableWRRanks3242[[#This Row],[RK]],Rankings!A:T,13,FALSE)</f>
        <v>Jauan Jennings</v>
      </c>
      <c r="AF77" s="58" t="str">
        <f>IFERROR(INDEX(TableWRCalcPts[TM],MATCH(TableWRRanks3242[[#This Row],[Player]],TableWRCalcPts[PLAYER],0)),"")</f>
        <v>MIN</v>
      </c>
      <c r="AG77" s="58">
        <f>IFERROR(INDEX(TableWRCalcPts[BYE],MATCH(TableWRRanks3242[[#This Row],[Player]],TableWRCalcPts[PLAYER],0)),"")</f>
        <v>6</v>
      </c>
      <c r="AH77" s="100">
        <f>VLOOKUP(TableWRRanks3242[[#This Row],[Player]],WR!B:O,4,FALSE)</f>
        <v>0</v>
      </c>
      <c r="AI77" s="100">
        <f>VLOOKUP(TableWRRanks3242[[#This Row],[Player]],WR!B:O,5,FALSE)</f>
        <v>0</v>
      </c>
      <c r="AJ77" s="100">
        <f>VLOOKUP(TableWRRanks3242[[#This Row],[Player]],WR!B:O,6,FALSE)</f>
        <v>62.530711039999993</v>
      </c>
      <c r="AK77" s="100">
        <f>VLOOKUP(TableWRRanks3242[[#This Row],[Player]],WR!B:O,7,FALSE)</f>
        <v>40.808526304414812</v>
      </c>
      <c r="AL77" s="100">
        <f>VLOOKUP(TableWRRanks3242[[#This Row],[Player]],WR!B:O,8,FALSE)</f>
        <v>452.45311847928878</v>
      </c>
      <c r="AM77" s="100">
        <f>VLOOKUP(TableWRRanks3242[[#This Row],[Player]],WR!B:O,9,FALSE)</f>
        <v>2.8565968413090372</v>
      </c>
      <c r="AN77" s="95">
        <f>VLOOKUP(TableWRRanks3242[[#This Row],[Player]],WR!B:O,13,FALSE)</f>
        <v>82.789156047990502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VLOOKUP(TableTERanks3343[[#This Row],[RK]],Rankings!A:T,18,FALSE)</f>
        <v>0</v>
      </c>
      <c r="AS77" s="58" t="str">
        <f>IFERROR(INDEX(TableTECalcPts[TM],MATCH(TableTERanks3343[[#This Row],[Player]],TableTECalcPts[PLAYER],0)),"")</f>
        <v/>
      </c>
      <c r="AT77" s="58" t="str">
        <f>IFERROR(INDEX(TableTECalcPts[BYE],MATCH(TableTERanks3343[[#This Row],[Player]],TableTECalcPts[PLAYER],0)),"")</f>
        <v/>
      </c>
      <c r="AU77" s="100">
        <f>VLOOKUP(TableTERanks3343[[#This Row],[Player]],TE!B:O,4,FALSE)</f>
        <v>0</v>
      </c>
      <c r="AV77" s="100">
        <f>VLOOKUP(TableTERanks3343[[#This Row],[Player]],TE!B:O,5,FALSE)</f>
        <v>0</v>
      </c>
      <c r="AW77" s="100">
        <f>VLOOKUP(TableTERanks3343[[#This Row],[Player]],TE!B:O,6,FALSE)</f>
        <v>0</v>
      </c>
      <c r="AX77" s="100">
        <f>VLOOKUP(TableTERanks3343[[#This Row],[Player]],TE!B:O,7,FALSE)</f>
        <v>0</v>
      </c>
      <c r="AY77" s="95">
        <f>VLOOKUP(TableTERanks3343[[#This Row],[Player]],TE!B:O,11,FALSE)</f>
        <v>0</v>
      </c>
      <c r="AZ77" s="140" t="e">
        <f>IF(VLOOKUP(TableTERanks3343[[#This Row],[Player]],'Ranks w Proj'!$AR:$AZ,9,FALSE)&lt;0,0,VLOOKUP(TableTERanks3343[[#This Row],[Player]],'Ranks w Proj'!$AR:$AZ,9,FALSE))</f>
        <v>#N/A</v>
      </c>
    </row>
    <row r="78" spans="1:52" x14ac:dyDescent="0.25">
      <c r="A78" s="58">
        <v>77</v>
      </c>
      <c r="B78" s="58">
        <f>VLOOKUP(TableQBRanks3040[[#This Row],[RK]],Rankings!A:T,3,FALSE)</f>
        <v>0</v>
      </c>
      <c r="C78" s="58" t="str">
        <f>IFERROR(INDEX(TableQBCalcPts[TM],MATCH(TableQBRanks3040[[#This Row],[Player]],TableQBCalcPts[PLAYER],0)),"")</f>
        <v/>
      </c>
      <c r="D78" s="58" t="str">
        <f>IFERROR(INDEX(TableQBCalcPts[BYE],MATCH(TableQBRanks3040[[#This Row],[Player]],TableQBCalcPts[PLAYER],0)),"")</f>
        <v/>
      </c>
      <c r="E78" s="100">
        <f>VLOOKUP(TableQBRanks3040[[#This Row],[Player]],QB!B:O,4,FALSE)</f>
        <v>0</v>
      </c>
      <c r="F78" s="100">
        <f>VLOOKUP(TableQBRanks3040[[#This Row],[Player]],QB!B:O,5,FALSE)</f>
        <v>0</v>
      </c>
      <c r="G78" s="100">
        <f>VLOOKUP(TableQBRanks3040[[#This Row],[Player]],QB!B:O,6,FALSE)</f>
        <v>0</v>
      </c>
      <c r="H78" s="100">
        <f>VLOOKUP(TableQBRanks3040[[#This Row],[Player]],QB!B:O,7,FALSE)</f>
        <v>0</v>
      </c>
      <c r="I78" s="100">
        <f>VLOOKUP(TableQBRanks3040[[#This Row],[Player]],QB!B:O,8,FALSE)</f>
        <v>0</v>
      </c>
      <c r="J78" s="100">
        <f>VLOOKUP(TableQBRanks3040[[#This Row],[Player]],QB!B:O,9,FALSE)</f>
        <v>0</v>
      </c>
      <c r="K78" s="100">
        <f>VLOOKUP(TableQBRanks3040[[#This Row],[Player]],QB!B:O,10,FALSE)</f>
        <v>0</v>
      </c>
      <c r="L78" s="100">
        <f>VLOOKUP(TableQBRanks3040[[#This Row],[Player]],QB!B:O,11,FALSE)</f>
        <v>0</v>
      </c>
      <c r="M78" s="95">
        <f>VLOOKUP(TableQBRanks3040[[#This Row],[Player]],QB!B:O,13,FALSE)</f>
        <v>0</v>
      </c>
      <c r="N78" s="140" t="e">
        <f>IF(VLOOKUP(TableQBRanks3040[[#This Row],[Player]],'Ranks w Proj'!$B:$N,13,FALSE)&lt;0,0,VLOOKUP(TableQBRanks3040[[#This Row],[Player]],'Ranks w Proj'!$B:$N,13,FALSE))</f>
        <v>#N/A</v>
      </c>
      <c r="P78" s="58">
        <v>77</v>
      </c>
      <c r="Q78" s="58" t="str">
        <f>VLOOKUP(TableRBRanks3141[[#This Row],[RK]],Rankings!A:T,8,FALSE)</f>
        <v>Seth McGowan</v>
      </c>
      <c r="R78" s="58" t="str">
        <f>IFERROR(INDEX(TableRBCalcPts[TM],MATCH(TableRBRanks3141[[#This Row],[Player]],TableRBCalcPts[PLAYER],0)),"")</f>
        <v>IND</v>
      </c>
      <c r="S78" s="58">
        <f>IFERROR(INDEX(TableRBCalcPts[BYE],MATCH(TableRBRanks3141[[#This Row],[Player]],TableRBCalcPts[PLAYER],0)),"")</f>
        <v>13</v>
      </c>
      <c r="T78" s="100">
        <f>VLOOKUP(TableRBRanks3141[[#This Row],[Player]],RB!B:O,4,FALSE)</f>
        <v>41.112332799999997</v>
      </c>
      <c r="U78" s="100">
        <f>VLOOKUP(TableRBRanks3141[[#This Row],[Player]],RB!B:O,5,FALSE)</f>
        <v>167.73831782399998</v>
      </c>
      <c r="V78" s="100">
        <f>VLOOKUP(TableRBRanks3141[[#This Row],[Player]],RB!B:O,6,FALSE)</f>
        <v>1.5211563135999999</v>
      </c>
      <c r="W78" s="100">
        <f>VLOOKUP(TableRBRanks3141[[#This Row],[Player]],RB!B:O,7,FALSE)</f>
        <v>2.6130719999999998</v>
      </c>
      <c r="X78" s="100">
        <f>VLOOKUP(TableRBRanks3141[[#This Row],[Player]],RB!B:O,8,FALSE)</f>
        <v>1.9598039999999999</v>
      </c>
      <c r="Y78" s="100">
        <f>VLOOKUP(TableRBRanks3141[[#This Row],[Player]],RB!B:O,9,FALSE)</f>
        <v>12.043963424675757</v>
      </c>
      <c r="Z78" s="100">
        <f>VLOOKUP(TableRBRanks3141[[#This Row],[Player]],RB!B:O,10,FALSE)</f>
        <v>3.9196080000000001E-2</v>
      </c>
      <c r="AA78" s="95">
        <f>VLOOKUP(TableRBRanks3141[[#This Row],[Player]],RB!B:O,14,FALSE)</f>
        <v>28.320244486467573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VLOOKUP(TableWRRanks3242[[#This Row],[RK]],Rankings!A:T,13,FALSE)</f>
        <v>Calvin Ridley</v>
      </c>
      <c r="AF78" s="58" t="str">
        <f>IFERROR(INDEX(TableWRCalcPts[TM],MATCH(TableWRRanks3242[[#This Row],[Player]],TableWRCalcPts[PLAYER],0)),"")</f>
        <v>TEN</v>
      </c>
      <c r="AG78" s="58">
        <f>IFERROR(INDEX(TableWRCalcPts[BYE],MATCH(TableWRRanks3242[[#This Row],[Player]],TableWRCalcPts[PLAYER],0)),"")</f>
        <v>9</v>
      </c>
      <c r="AH78" s="100">
        <f>VLOOKUP(TableWRRanks3242[[#This Row],[Player]],WR!B:O,4,FALSE)</f>
        <v>0</v>
      </c>
      <c r="AI78" s="100">
        <f>VLOOKUP(TableWRRanks3242[[#This Row],[Player]],WR!B:O,5,FALSE)</f>
        <v>0</v>
      </c>
      <c r="AJ78" s="100">
        <f>VLOOKUP(TableWRRanks3242[[#This Row],[Player]],WR!B:O,6,FALSE)</f>
        <v>80.738138880000008</v>
      </c>
      <c r="AK78" s="100">
        <f>VLOOKUP(TableWRRanks3242[[#This Row],[Player]],WR!B:O,7,FALSE)</f>
        <v>43.517856856320009</v>
      </c>
      <c r="AL78" s="100">
        <f>VLOOKUP(TableWRRanks3242[[#This Row],[Player]],WR!B:O,8,FALSE)</f>
        <v>617.08321022261771</v>
      </c>
      <c r="AM78" s="100">
        <f>VLOOKUP(TableWRRanks3242[[#This Row],[Player]],WR!B:O,9,FALSE)</f>
        <v>3.6554999759308808</v>
      </c>
      <c r="AN78" s="95">
        <f>VLOOKUP(TableWRRanks3242[[#This Row],[Player]],WR!B:O,13,FALSE)</f>
        <v>105.40024930600705</v>
      </c>
      <c r="AO78" s="140">
        <f>IF(VLOOKUP(TableWRRanks3242[[#This Row],[Player]],'Ranks w Proj'!$AE:$AO,11,FALSE)&lt;0,0,VLOOKUP(TableWRRanks3242[[#This Row],[Player]],'Ranks w Proj'!$AE:$AO,11,FALSE))</f>
        <v>2.8399787003796142</v>
      </c>
      <c r="AQ78" s="58">
        <v>77</v>
      </c>
      <c r="AR78" s="58">
        <f>VLOOKUP(TableTERanks3343[[#This Row],[RK]],Rankings!A:T,18,FALSE)</f>
        <v>0</v>
      </c>
      <c r="AS78" s="58" t="str">
        <f>IFERROR(INDEX(TableTECalcPts[TM],MATCH(TableTERanks3343[[#This Row],[Player]],TableTECalcPts[PLAYER],0)),"")</f>
        <v/>
      </c>
      <c r="AT78" s="58" t="str">
        <f>IFERROR(INDEX(TableTECalcPts[BYE],MATCH(TableTERanks3343[[#This Row],[Player]],TableTECalcPts[PLAYER],0)),"")</f>
        <v/>
      </c>
      <c r="AU78" s="100">
        <f>VLOOKUP(TableTERanks3343[[#This Row],[Player]],TE!B:O,4,FALSE)</f>
        <v>0</v>
      </c>
      <c r="AV78" s="100">
        <f>VLOOKUP(TableTERanks3343[[#This Row],[Player]],TE!B:O,5,FALSE)</f>
        <v>0</v>
      </c>
      <c r="AW78" s="100">
        <f>VLOOKUP(TableTERanks3343[[#This Row],[Player]],TE!B:O,6,FALSE)</f>
        <v>0</v>
      </c>
      <c r="AX78" s="100">
        <f>VLOOKUP(TableTERanks3343[[#This Row],[Player]],TE!B:O,7,FALSE)</f>
        <v>0</v>
      </c>
      <c r="AY78" s="95">
        <f>VLOOKUP(TableTERanks3343[[#This Row],[Player]],TE!B:O,11,FALSE)</f>
        <v>0</v>
      </c>
      <c r="AZ78" s="140" t="e">
        <f>IF(VLOOKUP(TableTERanks3343[[#This Row],[Player]],'Ranks w Proj'!$AR:$AZ,9,FALSE)&lt;0,0,VLOOKUP(TableTERanks3343[[#This Row],[Player]],'Ranks w Proj'!$AR:$AZ,9,FALSE))</f>
        <v>#N/A</v>
      </c>
    </row>
    <row r="79" spans="1:52" x14ac:dyDescent="0.25">
      <c r="A79" s="58">
        <v>78</v>
      </c>
      <c r="B79" s="58">
        <f>VLOOKUP(TableQBRanks3040[[#This Row],[RK]],Rankings!A:T,3,FALSE)</f>
        <v>0</v>
      </c>
      <c r="C79" s="58" t="str">
        <f>IFERROR(INDEX(TableQBCalcPts[TM],MATCH(TableQBRanks3040[[#This Row],[Player]],TableQBCalcPts[PLAYER],0)),"")</f>
        <v/>
      </c>
      <c r="D79" s="58" t="str">
        <f>IFERROR(INDEX(TableQBCalcPts[BYE],MATCH(TableQBRanks3040[[#This Row],[Player]],TableQBCalcPts[PLAYER],0)),"")</f>
        <v/>
      </c>
      <c r="E79" s="100">
        <f>VLOOKUP(TableQBRanks3040[[#This Row],[Player]],QB!B:O,4,FALSE)</f>
        <v>0</v>
      </c>
      <c r="F79" s="100">
        <f>VLOOKUP(TableQBRanks3040[[#This Row],[Player]],QB!B:O,5,FALSE)</f>
        <v>0</v>
      </c>
      <c r="G79" s="100">
        <f>VLOOKUP(TableQBRanks3040[[#This Row],[Player]],QB!B:O,6,FALSE)</f>
        <v>0</v>
      </c>
      <c r="H79" s="100">
        <f>VLOOKUP(TableQBRanks3040[[#This Row],[Player]],QB!B:O,7,FALSE)</f>
        <v>0</v>
      </c>
      <c r="I79" s="100">
        <f>VLOOKUP(TableQBRanks3040[[#This Row],[Player]],QB!B:O,8,FALSE)</f>
        <v>0</v>
      </c>
      <c r="J79" s="100">
        <f>VLOOKUP(TableQBRanks3040[[#This Row],[Player]],QB!B:O,9,FALSE)</f>
        <v>0</v>
      </c>
      <c r="K79" s="100">
        <f>VLOOKUP(TableQBRanks3040[[#This Row],[Player]],QB!B:O,10,FALSE)</f>
        <v>0</v>
      </c>
      <c r="L79" s="100">
        <f>VLOOKUP(TableQBRanks3040[[#This Row],[Player]],QB!B:O,11,FALSE)</f>
        <v>0</v>
      </c>
      <c r="M79" s="95">
        <f>VLOOKUP(TableQBRanks3040[[#This Row],[Player]],QB!B:O,13,FALSE)</f>
        <v>0</v>
      </c>
      <c r="N79" s="140" t="e">
        <f>IF(VLOOKUP(TableQBRanks3040[[#This Row],[Player]],'Ranks w Proj'!$B:$N,13,FALSE)&lt;0,0,VLOOKUP(TableQBRanks3040[[#This Row],[Player]],'Ranks w Proj'!$B:$N,13,FALSE))</f>
        <v>#N/A</v>
      </c>
      <c r="P79" s="58">
        <v>78</v>
      </c>
      <c r="Q79" s="58" t="str">
        <f>VLOOKUP(TableRBRanks3141[[#This Row],[RK]],Rankings!A:T,8,FALSE)</f>
        <v>Isaiah Davis</v>
      </c>
      <c r="R79" s="58" t="str">
        <f>IFERROR(INDEX(TableRBCalcPts[TM],MATCH(TableRBRanks3141[[#This Row],[Player]],TableRBCalcPts[PLAYER],0)),"")</f>
        <v>NYJ</v>
      </c>
      <c r="S79" s="58">
        <f>IFERROR(INDEX(TableRBCalcPts[BYE],MATCH(TableRBRanks3141[[#This Row],[Player]],TableRBCalcPts[PLAYER],0)),"")</f>
        <v>13</v>
      </c>
      <c r="T79" s="100">
        <f>VLOOKUP(TableRBRanks3141[[#This Row],[Player]],RB!B:O,4,FALSE)</f>
        <v>30.098916399999997</v>
      </c>
      <c r="U79" s="100">
        <f>VLOOKUP(TableRBRanks3141[[#This Row],[Player]],RB!B:O,5,FALSE)</f>
        <v>129.42534051999999</v>
      </c>
      <c r="V79" s="100">
        <f>VLOOKUP(TableRBRanks3141[[#This Row],[Player]],RB!B:O,6,FALSE)</f>
        <v>0.90296749199999982</v>
      </c>
      <c r="W79" s="100">
        <f>VLOOKUP(TableRBRanks3141[[#This Row],[Player]],RB!B:O,7,FALSE)</f>
        <v>8.4299596905011391</v>
      </c>
      <c r="X79" s="100">
        <f>VLOOKUP(TableRBRanks3141[[#This Row],[Player]],RB!B:O,8,FALSE)</f>
        <v>6.3224697678758544</v>
      </c>
      <c r="Y79" s="100">
        <f>VLOOKUP(TableRBRanks3141[[#This Row],[Player]],RB!B:O,9,FALSE)</f>
        <v>52.447136538447616</v>
      </c>
      <c r="Z79" s="100">
        <f>VLOOKUP(TableRBRanks3141[[#This Row],[Player]],RB!B:O,10,FALSE)</f>
        <v>0.13400351508017394</v>
      </c>
      <c r="AA79" s="95">
        <f>VLOOKUP(TableRBRanks3141[[#This Row],[Player]],RB!B:O,14,FALSE)</f>
        <v>27.570308632263728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VLOOKUP(TableWRRanks3242[[#This Row],[RK]],Rankings!A:T,13,FALSE)</f>
        <v>Ryan Flournoy</v>
      </c>
      <c r="AF79" s="58" t="str">
        <f>IFERROR(INDEX(TableWRCalcPts[TM],MATCH(TableWRRanks3242[[#This Row],[Player]],TableWRCalcPts[PLAYER],0)),"")</f>
        <v>DAL</v>
      </c>
      <c r="AG79" s="58">
        <f>IFERROR(INDEX(TableWRCalcPts[BYE],MATCH(TableWRRanks3242[[#This Row],[Player]],TableWRCalcPts[PLAYER],0)),"")</f>
        <v>14</v>
      </c>
      <c r="AH79" s="100">
        <f>VLOOKUP(TableWRRanks3242[[#This Row],[Player]],WR!B:O,4,FALSE)</f>
        <v>0</v>
      </c>
      <c r="AI79" s="100">
        <f>VLOOKUP(TableWRRanks3242[[#This Row],[Player]],WR!B:O,5,FALSE)</f>
        <v>0</v>
      </c>
      <c r="AJ79" s="100">
        <f>VLOOKUP(TableWRRanks3242[[#This Row],[Player]],WR!B:O,6,FALSE)</f>
        <v>55.454260399999988</v>
      </c>
      <c r="AK79" s="100">
        <f>VLOOKUP(TableWRRanks3242[[#This Row],[Player]],WR!B:O,7,FALSE)</f>
        <v>41.844770048630053</v>
      </c>
      <c r="AL79" s="100">
        <f>VLOOKUP(TableWRRanks3242[[#This Row],[Player]],WR!B:O,8,FALSE)</f>
        <v>472.67761780374371</v>
      </c>
      <c r="AM79" s="100">
        <f>VLOOKUP(TableWRRanks3242[[#This Row],[Player]],WR!B:O,9,FALSE)</f>
        <v>3.6823397642794444</v>
      </c>
      <c r="AN79" s="95">
        <f>VLOOKUP(TableWRRanks3242[[#This Row],[Player]],WR!B:O,13,FALSE)</f>
        <v>90.284185390366062</v>
      </c>
      <c r="AO79" s="140">
        <f>IF(VLOOKUP(TableWRRanks3242[[#This Row],[Player]],'Ranks w Proj'!$AE:$AO,11,FALSE)&lt;0,0,VLOOKUP(TableWRRanks3242[[#This Row],[Player]],'Ranks w Proj'!$AE:$AO,11,FALSE))</f>
        <v>0</v>
      </c>
      <c r="AQ79" s="58">
        <v>78</v>
      </c>
      <c r="AR79" s="58">
        <f>VLOOKUP(TableTERanks3343[[#This Row],[RK]],Rankings!A:T,18,FALSE)</f>
        <v>0</v>
      </c>
      <c r="AS79" s="58" t="str">
        <f>IFERROR(INDEX(TableTECalcPts[TM],MATCH(TableTERanks3343[[#This Row],[Player]],TableTECalcPts[PLAYER],0)),"")</f>
        <v/>
      </c>
      <c r="AT79" s="58" t="str">
        <f>IFERROR(INDEX(TableTECalcPts[BYE],MATCH(TableTERanks3343[[#This Row],[Player]],TableTECalcPts[PLAYER],0)),"")</f>
        <v/>
      </c>
      <c r="AU79" s="100">
        <f>VLOOKUP(TableTERanks3343[[#This Row],[Player]],TE!B:O,4,FALSE)</f>
        <v>0</v>
      </c>
      <c r="AV79" s="100">
        <f>VLOOKUP(TableTERanks3343[[#This Row],[Player]],TE!B:O,5,FALSE)</f>
        <v>0</v>
      </c>
      <c r="AW79" s="100">
        <f>VLOOKUP(TableTERanks3343[[#This Row],[Player]],TE!B:O,6,FALSE)</f>
        <v>0</v>
      </c>
      <c r="AX79" s="100">
        <f>VLOOKUP(TableTERanks3343[[#This Row],[Player]],TE!B:O,7,FALSE)</f>
        <v>0</v>
      </c>
      <c r="AY79" s="95">
        <f>VLOOKUP(TableTERanks3343[[#This Row],[Player]],TE!B:O,11,FALSE)</f>
        <v>0</v>
      </c>
      <c r="AZ79" s="140" t="e">
        <f>IF(VLOOKUP(TableTERanks3343[[#This Row],[Player]],'Ranks w Proj'!$AR:$AZ,9,FALSE)&lt;0,0,VLOOKUP(TableTERanks3343[[#This Row],[Player]],'Ranks w Proj'!$AR:$AZ,9,FALSE))</f>
        <v>#N/A</v>
      </c>
    </row>
    <row r="80" spans="1:52" x14ac:dyDescent="0.25">
      <c r="A80" s="58">
        <v>79</v>
      </c>
      <c r="B80" s="58">
        <f>VLOOKUP(TableQBRanks3040[[#This Row],[RK]],Rankings!A:T,3,FALSE)</f>
        <v>0</v>
      </c>
      <c r="C80" s="58" t="str">
        <f>IFERROR(INDEX(TableQBCalcPts[TM],MATCH(TableQBRanks3040[[#This Row],[Player]],TableQBCalcPts[PLAYER],0)),"")</f>
        <v/>
      </c>
      <c r="D80" s="58" t="str">
        <f>IFERROR(INDEX(TableQBCalcPts[BYE],MATCH(TableQBRanks3040[[#This Row],[Player]],TableQBCalcPts[PLAYER],0)),"")</f>
        <v/>
      </c>
      <c r="E80" s="100">
        <f>VLOOKUP(TableQBRanks3040[[#This Row],[Player]],QB!B:O,4,FALSE)</f>
        <v>0</v>
      </c>
      <c r="F80" s="100">
        <f>VLOOKUP(TableQBRanks3040[[#This Row],[Player]],QB!B:O,5,FALSE)</f>
        <v>0</v>
      </c>
      <c r="G80" s="100">
        <f>VLOOKUP(TableQBRanks3040[[#This Row],[Player]],QB!B:O,6,FALSE)</f>
        <v>0</v>
      </c>
      <c r="H80" s="100">
        <f>VLOOKUP(TableQBRanks3040[[#This Row],[Player]],QB!B:O,7,FALSE)</f>
        <v>0</v>
      </c>
      <c r="I80" s="100">
        <f>VLOOKUP(TableQBRanks3040[[#This Row],[Player]],QB!B:O,8,FALSE)</f>
        <v>0</v>
      </c>
      <c r="J80" s="100">
        <f>VLOOKUP(TableQBRanks3040[[#This Row],[Player]],QB!B:O,9,FALSE)</f>
        <v>0</v>
      </c>
      <c r="K80" s="100">
        <f>VLOOKUP(TableQBRanks3040[[#This Row],[Player]],QB!B:O,10,FALSE)</f>
        <v>0</v>
      </c>
      <c r="L80" s="100">
        <f>VLOOKUP(TableQBRanks3040[[#This Row],[Player]],QB!B:O,11,FALSE)</f>
        <v>0</v>
      </c>
      <c r="M80" s="95">
        <f>VLOOKUP(TableQBRanks3040[[#This Row],[Player]],QB!B:O,13,FALSE)</f>
        <v>0</v>
      </c>
      <c r="N80" s="140" t="e">
        <f>IF(VLOOKUP(TableQBRanks3040[[#This Row],[Player]],'Ranks w Proj'!$B:$N,13,FALSE)&lt;0,0,VLOOKUP(TableQBRanks3040[[#This Row],[Player]],'Ranks w Proj'!$B:$N,13,FALSE))</f>
        <v>#N/A</v>
      </c>
      <c r="P80" s="58">
        <v>79</v>
      </c>
      <c r="Q80" s="58" t="str">
        <f>VLOOKUP(TableRBRanks3141[[#This Row],[RK]],Rankings!A:T,8,FALSE)</f>
        <v>Kendre Miller</v>
      </c>
      <c r="R80" s="58" t="str">
        <f>IFERROR(INDEX(TableRBCalcPts[TM],MATCH(TableRBRanks3141[[#This Row],[Player]],TableRBCalcPts[PLAYER],0)),"")</f>
        <v>NO</v>
      </c>
      <c r="S80" s="58">
        <f>IFERROR(INDEX(TableRBCalcPts[BYE],MATCH(TableRBRanks3141[[#This Row],[Player]],TableRBCalcPts[PLAYER],0)),"")</f>
        <v>8</v>
      </c>
      <c r="T80" s="100">
        <f>VLOOKUP(TableRBRanks3141[[#This Row],[Player]],RB!B:O,4,FALSE)</f>
        <v>26.769899519999999</v>
      </c>
      <c r="U80" s="100">
        <f>VLOOKUP(TableRBRanks3141[[#This Row],[Player]],RB!B:O,5,FALSE)</f>
        <v>107.8826950656</v>
      </c>
      <c r="V80" s="100">
        <f>VLOOKUP(TableRBRanks3141[[#This Row],[Player]],RB!B:O,6,FALSE)</f>
        <v>0.53539799040000002</v>
      </c>
      <c r="W80" s="100">
        <f>VLOOKUP(TableRBRanks3141[[#This Row],[Player]],RB!B:O,7,FALSE)</f>
        <v>5.0778112000000002</v>
      </c>
      <c r="X80" s="100">
        <f>VLOOKUP(TableRBRanks3141[[#This Row],[Player]],RB!B:O,8,FALSE)</f>
        <v>3.8083584000000004</v>
      </c>
      <c r="Y80" s="100">
        <f>VLOOKUP(TableRBRanks3141[[#This Row],[Player]],RB!B:O,9,FALSE)</f>
        <v>30.79548781162265</v>
      </c>
      <c r="Z80" s="100">
        <f>VLOOKUP(TableRBRanks3141[[#This Row],[Player]],RB!B:O,10,FALSE)</f>
        <v>0.11805911040000001</v>
      </c>
      <c r="AA80" s="95">
        <f>VLOOKUP(TableRBRanks3141[[#This Row],[Player]],RB!B:O,14,FALSE)</f>
        <v>19.692740092522268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VLOOKUP(TableWRRanks3242[[#This Row],[RK]],Rankings!A:T,13,FALSE)</f>
        <v>Darnell Mooney</v>
      </c>
      <c r="AF80" s="58" t="str">
        <f>IFERROR(INDEX(TableWRCalcPts[TM],MATCH(TableWRRanks3242[[#This Row],[Player]],TableWRCalcPts[PLAYER],0)),"")</f>
        <v>NYG</v>
      </c>
      <c r="AG80" s="58">
        <f>IFERROR(INDEX(TableWRCalcPts[BYE],MATCH(TableWRRanks3242[[#This Row],[Player]],TableWRCalcPts[PLAYER],0)),"")</f>
        <v>8</v>
      </c>
      <c r="AH80" s="100">
        <f>VLOOKUP(TableWRRanks3242[[#This Row],[Player]],WR!B:O,4,FALSE)</f>
        <v>0</v>
      </c>
      <c r="AI80" s="100">
        <f>VLOOKUP(TableWRRanks3242[[#This Row],[Player]],WR!B:O,5,FALSE)</f>
        <v>0</v>
      </c>
      <c r="AJ80" s="100">
        <f>VLOOKUP(TableWRRanks3242[[#This Row],[Player]],WR!B:O,6,FALSE)</f>
        <v>66.746540699999997</v>
      </c>
      <c r="AK80" s="100">
        <f>VLOOKUP(TableWRRanks3242[[#This Row],[Player]],WR!B:O,7,FALSE)</f>
        <v>36.643850844300005</v>
      </c>
      <c r="AL80" s="100">
        <f>VLOOKUP(TableWRRanks3242[[#This Row],[Player]],WR!B:O,8,FALSE)</f>
        <v>461.34608212973706</v>
      </c>
      <c r="AM80" s="100">
        <f>VLOOKUP(TableWRRanks3242[[#This Row],[Player]],WR!B:O,9,FALSE)</f>
        <v>2.6750011116339003</v>
      </c>
      <c r="AN80" s="95">
        <f>VLOOKUP(TableWRRanks3242[[#This Row],[Player]],WR!B:O,13,FALSE)</f>
        <v>80.506540304927114</v>
      </c>
      <c r="AO80" s="140">
        <f>IF(VLOOKUP(TableWRRanks3242[[#This Row],[Player]],'Ranks w Proj'!$AE:$AO,11,FALSE)&lt;0,0,VLOOKUP(TableWRRanks3242[[#This Row],[Player]],'Ranks w Proj'!$AE:$AO,11,FALSE))</f>
        <v>0</v>
      </c>
      <c r="AQ80" s="58">
        <v>79</v>
      </c>
      <c r="AR80" s="58">
        <f>VLOOKUP(TableTERanks3343[[#This Row],[RK]],Rankings!A:T,18,FALSE)</f>
        <v>0</v>
      </c>
      <c r="AS80" s="58" t="str">
        <f>IFERROR(INDEX(TableTECalcPts[TM],MATCH(TableTERanks3343[[#This Row],[Player]],TableTECalcPts[PLAYER],0)),"")</f>
        <v/>
      </c>
      <c r="AT80" s="58" t="str">
        <f>IFERROR(INDEX(TableTECalcPts[BYE],MATCH(TableTERanks3343[[#This Row],[Player]],TableTECalcPts[PLAYER],0)),"")</f>
        <v/>
      </c>
      <c r="AU80" s="100">
        <f>VLOOKUP(TableTERanks3343[[#This Row],[Player]],TE!B:O,4,FALSE)</f>
        <v>0</v>
      </c>
      <c r="AV80" s="100">
        <f>VLOOKUP(TableTERanks3343[[#This Row],[Player]],TE!B:O,5,FALSE)</f>
        <v>0</v>
      </c>
      <c r="AW80" s="100">
        <f>VLOOKUP(TableTERanks3343[[#This Row],[Player]],TE!B:O,6,FALSE)</f>
        <v>0</v>
      </c>
      <c r="AX80" s="100">
        <f>VLOOKUP(TableTERanks3343[[#This Row],[Player]],TE!B:O,7,FALSE)</f>
        <v>0</v>
      </c>
      <c r="AY80" s="95">
        <f>VLOOKUP(TableTERanks3343[[#This Row],[Player]],TE!B:O,11,FALSE)</f>
        <v>0</v>
      </c>
      <c r="AZ80" s="140" t="e">
        <f>IF(VLOOKUP(TableTERanks3343[[#This Row],[Player]],'Ranks w Proj'!$AR:$AZ,9,FALSE)&lt;0,0,VLOOKUP(TableTERanks3343[[#This Row],[Player]],'Ranks w Proj'!$AR:$AZ,9,FALSE))</f>
        <v>#N/A</v>
      </c>
    </row>
    <row r="81" spans="16:52" x14ac:dyDescent="0.25">
      <c r="P81" s="58">
        <v>80</v>
      </c>
      <c r="Q81" s="58" t="str">
        <f>VLOOKUP(TableRBRanks3141[[#This Row],[RK]],Rankings!A:T,8,FALSE)</f>
        <v>Will Shipley</v>
      </c>
      <c r="R81" s="58" t="str">
        <f>IFERROR(INDEX(TableRBCalcPts[TM],MATCH(TableRBRanks3141[[#This Row],[Player]],TableRBCalcPts[PLAYER],0)),"")</f>
        <v>PHI</v>
      </c>
      <c r="S81" s="58">
        <f>IFERROR(INDEX(TableRBCalcPts[BYE],MATCH(TableRBRanks3141[[#This Row],[Player]],TableRBCalcPts[PLAYER],0)),"")</f>
        <v>10</v>
      </c>
      <c r="T81" s="100">
        <f>VLOOKUP(TableRBRanks3141[[#This Row],[Player]],RB!B:O,4,FALSE)</f>
        <v>13.325158000000004</v>
      </c>
      <c r="U81" s="100">
        <f>VLOOKUP(TableRBRanks3141[[#This Row],[Player]],RB!B:O,5,FALSE)</f>
        <v>53.567135160000007</v>
      </c>
      <c r="V81" s="100">
        <f>VLOOKUP(TableRBRanks3141[[#This Row],[Player]],RB!B:O,6,FALSE)</f>
        <v>0.19987737000000005</v>
      </c>
      <c r="W81" s="100">
        <f>VLOOKUP(TableRBRanks3141[[#This Row],[Player]],RB!B:O,7,FALSE)</f>
        <v>7.2047051999999994</v>
      </c>
      <c r="X81" s="100">
        <f>VLOOKUP(TableRBRanks3141[[#This Row],[Player]],RB!B:O,8,FALSE)</f>
        <v>5.3675053739999994</v>
      </c>
      <c r="Y81" s="100">
        <f>VLOOKUP(TableRBRanks3141[[#This Row],[Player]],RB!B:O,9,FALSE)</f>
        <v>36.499036543199992</v>
      </c>
      <c r="Z81" s="100">
        <f>VLOOKUP(TableRBRanks3141[[#This Row],[Player]],RB!B:O,10,FALSE)</f>
        <v>0.12345262360199999</v>
      </c>
      <c r="AA81" s="95">
        <f>VLOOKUP(TableRBRanks3141[[#This Row],[Player]],RB!B:O,14,FALSE)</f>
        <v>13.630349818932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VLOOKUP(TableWRRanks3242[[#This Row],[RK]],Rankings!A:T,13,FALSE)</f>
        <v>Malik Washington</v>
      </c>
      <c r="AF81" s="58" t="str">
        <f>IFERROR(INDEX(TableWRCalcPts[TM],MATCH(TableWRRanks3242[[#This Row],[Player]],TableWRCalcPts[PLAYER],0)),"")</f>
        <v>MIA</v>
      </c>
      <c r="AG81" s="58">
        <f>IFERROR(INDEX(TableWRCalcPts[BYE],MATCH(TableWRRanks3242[[#This Row],[Player]],TableWRCalcPts[PLAYER],0)),"")</f>
        <v>6</v>
      </c>
      <c r="AH81" s="100">
        <f>VLOOKUP(TableWRRanks3242[[#This Row],[Player]],WR!B:O,4,FALSE)</f>
        <v>48.719747676547435</v>
      </c>
      <c r="AI81" s="100">
        <f>VLOOKUP(TableWRRanks3242[[#This Row],[Player]],WR!B:O,5,FALSE)</f>
        <v>0.20159895590295487</v>
      </c>
      <c r="AJ81" s="100">
        <f>VLOOKUP(TableWRRanks3242[[#This Row],[Player]],WR!B:O,6,FALSE)</f>
        <v>63.525670739999988</v>
      </c>
      <c r="AK81" s="100">
        <f>VLOOKUP(TableWRRanks3242[[#This Row],[Player]],WR!B:O,7,FALSE)</f>
        <v>43.197456103199997</v>
      </c>
      <c r="AL81" s="100">
        <f>VLOOKUP(TableWRRanks3242[[#This Row],[Player]],WR!B:O,8,FALSE)</f>
        <v>409.94385841936798</v>
      </c>
      <c r="AM81" s="100">
        <f>VLOOKUP(TableWRRanks3242[[#This Row],[Player]],WR!B:O,9,FALSE)</f>
        <v>1.9438855246439999</v>
      </c>
      <c r="AN81" s="95">
        <f>VLOOKUP(TableWRRanks3242[[#This Row],[Player]],WR!B:O,13,FALSE)</f>
        <v>80.337995544473287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VLOOKUP(TableTERanks3343[[#This Row],[RK]],Rankings!A:T,18,FALSE)</f>
        <v>0</v>
      </c>
      <c r="AS81" s="58" t="str">
        <f>IFERROR(INDEX(TableTECalcPts[TM],MATCH(TableTERanks3343[[#This Row],[Player]],TableTECalcPts[PLAYER],0)),"")</f>
        <v/>
      </c>
      <c r="AT81" s="58" t="str">
        <f>IFERROR(INDEX(TableTECalcPts[BYE],MATCH(TableTERanks3343[[#This Row],[Player]],TableTECalcPts[PLAYER],0)),"")</f>
        <v/>
      </c>
      <c r="AU81" s="100">
        <f>VLOOKUP(TableTERanks3343[[#This Row],[Player]],TE!B:O,4,FALSE)</f>
        <v>0</v>
      </c>
      <c r="AV81" s="100">
        <f>VLOOKUP(TableTERanks3343[[#This Row],[Player]],TE!B:O,5,FALSE)</f>
        <v>0</v>
      </c>
      <c r="AW81" s="100">
        <f>VLOOKUP(TableTERanks3343[[#This Row],[Player]],TE!B:O,6,FALSE)</f>
        <v>0</v>
      </c>
      <c r="AX81" s="100">
        <f>VLOOKUP(TableTERanks3343[[#This Row],[Player]],TE!B:O,7,FALSE)</f>
        <v>0</v>
      </c>
      <c r="AY81" s="95">
        <f>VLOOKUP(TableTERanks3343[[#This Row],[Player]],TE!B:O,11,FALSE)</f>
        <v>0</v>
      </c>
      <c r="AZ81" s="140" t="e">
        <f>IF(VLOOKUP(TableTERanks3343[[#This Row],[Player]],'Ranks w Proj'!$AR:$AZ,9,FALSE)&lt;0,0,VLOOKUP(TableTERanks3343[[#This Row],[Player]],'Ranks w Proj'!$AR:$AZ,9,FALSE))</f>
        <v>#N/A</v>
      </c>
    </row>
    <row r="82" spans="16:52" x14ac:dyDescent="0.25">
      <c r="P82" s="58">
        <v>81</v>
      </c>
      <c r="Q82" s="58" t="str">
        <f>VLOOKUP(TableRBRanks3141[[#This Row],[RK]],Rankings!A:T,8,FALSE)</f>
        <v>James Conner</v>
      </c>
      <c r="R82" s="58" t="str">
        <f>IFERROR(INDEX(TableRBCalcPts[TM],MATCH(TableRBRanks3141[[#This Row],[Player]],TableRBCalcPts[PLAYER],0)),"")</f>
        <v>ARI</v>
      </c>
      <c r="S82" s="58">
        <f>IFERROR(INDEX(TableRBCalcPts[BYE],MATCH(TableRBRanks3141[[#This Row],[Player]],TableRBCalcPts[PLAYER],0)),"")</f>
        <v>14</v>
      </c>
      <c r="T82" s="100">
        <f>VLOOKUP(TableRBRanks3141[[#This Row],[Player]],RB!B:O,4,FALSE)</f>
        <v>8.7361119999999985</v>
      </c>
      <c r="U82" s="100">
        <f>VLOOKUP(TableRBRanks3141[[#This Row],[Player]],RB!B:O,5,FALSE)</f>
        <v>33.273701584484463</v>
      </c>
      <c r="V82" s="100">
        <f>VLOOKUP(TableRBRanks3141[[#This Row],[Player]],RB!B:O,6,FALSE)</f>
        <v>0.1954207190461914</v>
      </c>
      <c r="W82" s="100">
        <f>VLOOKUP(TableRBRanks3141[[#This Row],[Player]],RB!B:O,7,FALSE)</f>
        <v>8.8949504000000008</v>
      </c>
      <c r="X82" s="100">
        <f>VLOOKUP(TableRBRanks3141[[#This Row],[Player]],RB!B:O,8,FALSE)</f>
        <v>6.6712128000000011</v>
      </c>
      <c r="Y82" s="100">
        <f>VLOOKUP(TableRBRanks3141[[#This Row],[Player]],RB!B:O,9,FALSE)</f>
        <v>43.362883200000006</v>
      </c>
      <c r="Z82" s="100">
        <f>VLOOKUP(TableRBRanks3141[[#This Row],[Player]],RB!B:O,10,FALSE)</f>
        <v>0.26684851200000004</v>
      </c>
      <c r="AA82" s="95">
        <f>VLOOKUP(TableRBRanks3141[[#This Row],[Player]],RB!B:O,14,FALSE)</f>
        <v>13.772880264725597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VLOOKUP(TableWRRanks3242[[#This Row],[RK]],Rankings!A:T,13,FALSE)</f>
        <v>Cooper Kupp</v>
      </c>
      <c r="AF82" s="58" t="str">
        <f>IFERROR(INDEX(TableWRCalcPts[TM],MATCH(TableWRRanks3242[[#This Row],[Player]],TableWRCalcPts[PLAYER],0)),"")</f>
        <v>SEA</v>
      </c>
      <c r="AG82" s="58">
        <f>IFERROR(INDEX(TableWRCalcPts[BYE],MATCH(TableWRRanks3242[[#This Row],[Player]],TableWRCalcPts[PLAYER],0)),"")</f>
        <v>11</v>
      </c>
      <c r="AH82" s="100">
        <f>VLOOKUP(TableWRRanks3242[[#This Row],[Player]],WR!B:O,4,FALSE)</f>
        <v>0</v>
      </c>
      <c r="AI82" s="100">
        <f>VLOOKUP(TableWRRanks3242[[#This Row],[Player]],WR!B:O,5,FALSE)</f>
        <v>0</v>
      </c>
      <c r="AJ82" s="100">
        <f>VLOOKUP(TableWRRanks3242[[#This Row],[Player]],WR!B:O,6,FALSE)</f>
        <v>63.09093</v>
      </c>
      <c r="AK82" s="100">
        <f>VLOOKUP(TableWRRanks3242[[#This Row],[Player]],WR!B:O,7,FALSE)</f>
        <v>41.70310473</v>
      </c>
      <c r="AL82" s="100">
        <f>VLOOKUP(TableWRRanks3242[[#This Row],[Player]],WR!B:O,8,FALSE)</f>
        <v>507.52678456410001</v>
      </c>
      <c r="AM82" s="100">
        <f>VLOOKUP(TableWRRanks3242[[#This Row],[Player]],WR!B:O,9,FALSE)</f>
        <v>3.2111390642099997</v>
      </c>
      <c r="AN82" s="95">
        <f>VLOOKUP(TableWRRanks3242[[#This Row],[Player]],WR!B:O,13,FALSE)</f>
        <v>90.871065206669996</v>
      </c>
      <c r="AO82" s="140">
        <f>IF(VLOOKUP(TableWRRanks3242[[#This Row],[Player]],'Ranks w Proj'!$AE:$AO,11,FALSE)&lt;0,0,VLOOKUP(TableWRRanks3242[[#This Row],[Player]],'Ranks w Proj'!$AE:$AO,11,FALSE))</f>
        <v>0.11026191654702311</v>
      </c>
      <c r="AQ82" s="58">
        <v>81</v>
      </c>
      <c r="AR82" s="58">
        <f>VLOOKUP(TableTERanks3343[[#This Row],[RK]],Rankings!A:T,18,FALSE)</f>
        <v>0</v>
      </c>
      <c r="AS82" s="58" t="str">
        <f>IFERROR(INDEX(TableTECalcPts[TM],MATCH(TableTERanks3343[[#This Row],[Player]],TableTECalcPts[PLAYER],0)),"")</f>
        <v/>
      </c>
      <c r="AT82" s="58" t="str">
        <f>IFERROR(INDEX(TableTECalcPts[BYE],MATCH(TableTERanks3343[[#This Row],[Player]],TableTECalcPts[PLAYER],0)),"")</f>
        <v/>
      </c>
      <c r="AU82" s="100">
        <f>VLOOKUP(TableTERanks3343[[#This Row],[Player]],TE!B:O,4,FALSE)</f>
        <v>0</v>
      </c>
      <c r="AV82" s="100">
        <f>VLOOKUP(TableTERanks3343[[#This Row],[Player]],TE!B:O,5,FALSE)</f>
        <v>0</v>
      </c>
      <c r="AW82" s="100">
        <f>VLOOKUP(TableTERanks3343[[#This Row],[Player]],TE!B:O,6,FALSE)</f>
        <v>0</v>
      </c>
      <c r="AX82" s="100">
        <f>VLOOKUP(TableTERanks3343[[#This Row],[Player]],TE!B:O,7,FALSE)</f>
        <v>0</v>
      </c>
      <c r="AY82" s="95">
        <f>VLOOKUP(TableTERanks3343[[#This Row],[Player]],TE!B:O,11,FALSE)</f>
        <v>0</v>
      </c>
      <c r="AZ82" s="140" t="e">
        <f>IF(VLOOKUP(TableTERanks3343[[#This Row],[Player]],'Ranks w Proj'!$AR:$AZ,9,FALSE)&lt;0,0,VLOOKUP(TableTERanks3343[[#This Row],[Player]],'Ranks w Proj'!$AR:$AZ,9,FALSE))</f>
        <v>#N/A</v>
      </c>
    </row>
    <row r="83" spans="16:52" x14ac:dyDescent="0.25">
      <c r="P83" s="58">
        <v>82</v>
      </c>
      <c r="Q83" s="58" t="str">
        <f>VLOOKUP(TableRBRanks3141[[#This Row],[RK]],Rankings!A:T,8,FALSE)</f>
        <v>Zach Charbonnet</v>
      </c>
      <c r="R83" s="58" t="str">
        <f>IFERROR(INDEX(TableRBCalcPts[TM],MATCH(TableRBRanks3141[[#This Row],[Player]],TableRBCalcPts[PLAYER],0)),"")</f>
        <v>SEA</v>
      </c>
      <c r="S83" s="58">
        <f>IFERROR(INDEX(TableRBCalcPts[BYE],MATCH(TableRBRanks3141[[#This Row],[Player]],TableRBCalcPts[PLAYER],0)),"")</f>
        <v>11</v>
      </c>
      <c r="T83" s="100">
        <f>VLOOKUP(TableRBRanks3141[[#This Row],[Player]],RB!B:O,4,FALSE)</f>
        <v>45.343837387261864</v>
      </c>
      <c r="U83" s="100">
        <f>VLOOKUP(TableRBRanks3141[[#This Row],[Player]],RB!B:O,5,FALSE)</f>
        <v>187.37888790166693</v>
      </c>
      <c r="V83" s="100">
        <f>VLOOKUP(TableRBRanks3141[[#This Row],[Player]],RB!B:O,6,FALSE)</f>
        <v>1.7230658207159508</v>
      </c>
      <c r="W83" s="100">
        <f>VLOOKUP(TableRBRanks3141[[#This Row],[Player]],RB!B:O,7,FALSE)</f>
        <v>7.5709115999999996</v>
      </c>
      <c r="X83" s="100">
        <f>VLOOKUP(TableRBRanks3141[[#This Row],[Player]],RB!B:O,8,FALSE)</f>
        <v>5.6176164071999999</v>
      </c>
      <c r="Y83" s="100">
        <f>VLOOKUP(TableRBRanks3141[[#This Row],[Player]],RB!B:O,9,FALSE)</f>
        <v>44.835138104922024</v>
      </c>
      <c r="Z83" s="100">
        <f>VLOOKUP(TableRBRanks3141[[#This Row],[Player]],RB!B:O,10,FALSE)</f>
        <v>0.18538134143760002</v>
      </c>
      <c r="AA83" s="95">
        <f>VLOOKUP(TableRBRanks3141[[#This Row],[Player]],RB!B:O,14,FALSE)</f>
        <v>37.480893777180206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VLOOKUP(TableWRRanks3242[[#This Row],[RK]],Rankings!A:T,13,FALSE)</f>
        <v>Dont'e Thornton</v>
      </c>
      <c r="AF83" s="58" t="str">
        <f>IFERROR(INDEX(TableWRCalcPts[TM],MATCH(TableWRRanks3242[[#This Row],[Player]],TableWRCalcPts[PLAYER],0)),"")</f>
        <v>LV</v>
      </c>
      <c r="AG83" s="58">
        <f>IFERROR(INDEX(TableWRCalcPts[BYE],MATCH(TableWRRanks3242[[#This Row],[Player]],TableWRCalcPts[PLAYER],0)),"")</f>
        <v>13</v>
      </c>
      <c r="AH83" s="100">
        <f>VLOOKUP(TableWRRanks3242[[#This Row],[Player]],WR!B:O,4,FALSE)</f>
        <v>0</v>
      </c>
      <c r="AI83" s="100">
        <f>VLOOKUP(TableWRRanks3242[[#This Row],[Player]],WR!B:O,5,FALSE)</f>
        <v>0</v>
      </c>
      <c r="AJ83" s="100">
        <f>VLOOKUP(TableWRRanks3242[[#This Row],[Player]],WR!B:O,6,FALSE)</f>
        <v>47.354086079999995</v>
      </c>
      <c r="AK83" s="100">
        <f>VLOOKUP(TableWRRanks3242[[#This Row],[Player]],WR!B:O,7,FALSE)</f>
        <v>26.56564229088</v>
      </c>
      <c r="AL83" s="100">
        <f>VLOOKUP(TableWRRanks3242[[#This Row],[Player]],WR!B:O,8,FALSE)</f>
        <v>364.74626865378241</v>
      </c>
      <c r="AM83" s="100">
        <f>VLOOKUP(TableWRRanks3242[[#This Row],[Player]],WR!B:O,9,FALSE)</f>
        <v>1.5939385374527999</v>
      </c>
      <c r="AN83" s="95">
        <f>VLOOKUP(TableWRRanks3242[[#This Row],[Player]],WR!B:O,13,FALSE)</f>
        <v>59.321079235535038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VLOOKUP(TableTERanks3343[[#This Row],[RK]],Rankings!A:T,18,FALSE)</f>
        <v>0</v>
      </c>
      <c r="AS83" s="58" t="str">
        <f>IFERROR(INDEX(TableTECalcPts[TM],MATCH(TableTERanks3343[[#This Row],[Player]],TableTECalcPts[PLAYER],0)),"")</f>
        <v/>
      </c>
      <c r="AT83" s="58" t="str">
        <f>IFERROR(INDEX(TableTECalcPts[BYE],MATCH(TableTERanks3343[[#This Row],[Player]],TableTECalcPts[PLAYER],0)),"")</f>
        <v/>
      </c>
      <c r="AU83" s="100">
        <f>VLOOKUP(TableTERanks3343[[#This Row],[Player]],TE!B:O,4,FALSE)</f>
        <v>0</v>
      </c>
      <c r="AV83" s="100">
        <f>VLOOKUP(TableTERanks3343[[#This Row],[Player]],TE!B:O,5,FALSE)</f>
        <v>0</v>
      </c>
      <c r="AW83" s="100">
        <f>VLOOKUP(TableTERanks3343[[#This Row],[Player]],TE!B:O,6,FALSE)</f>
        <v>0</v>
      </c>
      <c r="AX83" s="100">
        <f>VLOOKUP(TableTERanks3343[[#This Row],[Player]],TE!B:O,7,FALSE)</f>
        <v>0</v>
      </c>
      <c r="AY83" s="95">
        <f>VLOOKUP(TableTERanks3343[[#This Row],[Player]],TE!B:O,11,FALSE)</f>
        <v>0</v>
      </c>
      <c r="AZ83" s="140" t="e">
        <f>IF(VLOOKUP(TableTERanks3343[[#This Row],[Player]],'Ranks w Proj'!$AR:$AZ,9,FALSE)&lt;0,0,VLOOKUP(TableTERanks3343[[#This Row],[Player]],'Ranks w Proj'!$AR:$AZ,9,FALSE))</f>
        <v>#N/A</v>
      </c>
    </row>
    <row r="84" spans="16:52" x14ac:dyDescent="0.25">
      <c r="P84" s="58">
        <v>83</v>
      </c>
      <c r="Q84" s="58" t="str">
        <f>VLOOKUP(TableRBRanks3141[[#This Row],[RK]],Rankings!A:T,8,FALSE)</f>
        <v>Kaleb Johnson</v>
      </c>
      <c r="R84" s="58" t="str">
        <f>IFERROR(INDEX(TableRBCalcPts[TM],MATCH(TableRBRanks3141[[#This Row],[Player]],TableRBCalcPts[PLAYER],0)),"")</f>
        <v>PIT</v>
      </c>
      <c r="S84" s="58">
        <f>IFERROR(INDEX(TableRBCalcPts[BYE],MATCH(TableRBRanks3141[[#This Row],[Player]],TableRBCalcPts[PLAYER],0)),"")</f>
        <v>9</v>
      </c>
      <c r="T84" s="100">
        <f>VLOOKUP(TableRBRanks3141[[#This Row],[Player]],RB!B:O,4,FALSE)</f>
        <v>15.173927999999998</v>
      </c>
      <c r="U84" s="100">
        <f>VLOOKUP(TableRBRanks3141[[#This Row],[Player]],RB!B:O,5,FALSE)</f>
        <v>54.626140799999995</v>
      </c>
      <c r="V84" s="100">
        <f>VLOOKUP(TableRBRanks3141[[#This Row],[Player]],RB!B:O,6,FALSE)</f>
        <v>0.30347855999999995</v>
      </c>
      <c r="W84" s="100">
        <f>VLOOKUP(TableRBRanks3141[[#This Row],[Player]],RB!B:O,7,FALSE)</f>
        <v>2.8400400000000001</v>
      </c>
      <c r="X84" s="100">
        <f>VLOOKUP(TableRBRanks3141[[#This Row],[Player]],RB!B:O,8,FALSE)</f>
        <v>2.1300300000000001</v>
      </c>
      <c r="Y84" s="100">
        <f>VLOOKUP(TableRBRanks3141[[#This Row],[Player]],RB!B:O,9,FALSE)</f>
        <v>12.797088531439316</v>
      </c>
      <c r="Z84" s="100">
        <f>VLOOKUP(TableRBRanks3141[[#This Row],[Player]],RB!B:O,10,FALSE)</f>
        <v>4.2600600000000002E-2</v>
      </c>
      <c r="AA84" s="95">
        <f>VLOOKUP(TableRBRanks3141[[#This Row],[Player]],RB!B:O,14,FALSE)</f>
        <v>9.8838128931439329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VLOOKUP(TableWRRanks3242[[#This Row],[RK]],Rankings!A:T,13,FALSE)</f>
        <v>Jaylin Noel</v>
      </c>
      <c r="AF84" s="58" t="str">
        <f>IFERROR(INDEX(TableWRCalcPts[TM],MATCH(TableWRRanks3242[[#This Row],[Player]],TableWRCalcPts[PLAYER],0)),"")</f>
        <v>HOU</v>
      </c>
      <c r="AG84" s="58">
        <f>IFERROR(INDEX(TableWRCalcPts[BYE],MATCH(TableWRRanks3242[[#This Row],[Player]],TableWRCalcPts[PLAYER],0)),"")</f>
        <v>8</v>
      </c>
      <c r="AH84" s="100">
        <f>VLOOKUP(TableWRRanks3242[[#This Row],[Player]],WR!B:O,4,FALSE)</f>
        <v>24.062199700000004</v>
      </c>
      <c r="AI84" s="100">
        <f>VLOOKUP(TableWRRanks3242[[#This Row],[Player]],WR!B:O,5,FALSE)</f>
        <v>5.4686817500000012E-2</v>
      </c>
      <c r="AJ84" s="100">
        <f>VLOOKUP(TableWRRanks3242[[#This Row],[Player]],WR!B:O,6,FALSE)</f>
        <v>60.152973299999992</v>
      </c>
      <c r="AK84" s="100">
        <f>VLOOKUP(TableWRRanks3242[[#This Row],[Player]],WR!B:O,7,FALSE)</f>
        <v>36.548155833769009</v>
      </c>
      <c r="AL84" s="100">
        <f>VLOOKUP(TableWRRanks3242[[#This Row],[Player]],WR!B:O,8,FALSE)</f>
        <v>398.3748985880822</v>
      </c>
      <c r="AM84" s="100">
        <f>VLOOKUP(TableWRRanks3242[[#This Row],[Player]],WR!B:O,9,FALSE)</f>
        <v>2.3025338175274475</v>
      </c>
      <c r="AN84" s="95">
        <f>VLOOKUP(TableWRRanks3242[[#This Row],[Player]],WR!B:O,13,FALSE)</f>
        <v>74.661111555857417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VLOOKUP(TableTERanks3343[[#This Row],[RK]],Rankings!A:T,18,FALSE)</f>
        <v>0</v>
      </c>
      <c r="AS84" s="58" t="str">
        <f>IFERROR(INDEX(TableTECalcPts[TM],MATCH(TableTERanks3343[[#This Row],[Player]],TableTECalcPts[PLAYER],0)),"")</f>
        <v/>
      </c>
      <c r="AT84" s="58" t="str">
        <f>IFERROR(INDEX(TableTECalcPts[BYE],MATCH(TableTERanks3343[[#This Row],[Player]],TableTECalcPts[PLAYER],0)),"")</f>
        <v/>
      </c>
      <c r="AU84" s="100">
        <f>VLOOKUP(TableTERanks3343[[#This Row],[Player]],TE!B:O,4,FALSE)</f>
        <v>0</v>
      </c>
      <c r="AV84" s="100">
        <f>VLOOKUP(TableTERanks3343[[#This Row],[Player]],TE!B:O,5,FALSE)</f>
        <v>0</v>
      </c>
      <c r="AW84" s="100">
        <f>VLOOKUP(TableTERanks3343[[#This Row],[Player]],TE!B:O,6,FALSE)</f>
        <v>0</v>
      </c>
      <c r="AX84" s="100">
        <f>VLOOKUP(TableTERanks3343[[#This Row],[Player]],TE!B:O,7,FALSE)</f>
        <v>0</v>
      </c>
      <c r="AY84" s="95">
        <f>VLOOKUP(TableTERanks3343[[#This Row],[Player]],TE!B:O,11,FALSE)</f>
        <v>0</v>
      </c>
      <c r="AZ84" s="140" t="e">
        <f>IF(VLOOKUP(TableTERanks3343[[#This Row],[Player]],'Ranks w Proj'!$AR:$AZ,9,FALSE)&lt;0,0,VLOOKUP(TableTERanks3343[[#This Row],[Player]],'Ranks w Proj'!$AR:$AZ,9,FALSE))</f>
        <v>#N/A</v>
      </c>
    </row>
    <row r="85" spans="16:52" x14ac:dyDescent="0.25">
      <c r="P85" s="58">
        <v>84</v>
      </c>
      <c r="Q85" s="58" t="str">
        <f>VLOOKUP(TableRBRanks3141[[#This Row],[RK]],Rankings!A:T,8,FALSE)</f>
        <v>Adam Randall</v>
      </c>
      <c r="R85" s="58" t="str">
        <f>IFERROR(INDEX(TableRBCalcPts[TM],MATCH(TableRBRanks3141[[#This Row],[Player]],TableRBCalcPts[PLAYER],0)),"")</f>
        <v>BAL</v>
      </c>
      <c r="S85" s="58">
        <f>IFERROR(INDEX(TableRBCalcPts[BYE],MATCH(TableRBRanks3141[[#This Row],[Player]],TableRBCalcPts[PLAYER],0)),"")</f>
        <v>13</v>
      </c>
      <c r="T85" s="100">
        <f>VLOOKUP(TableRBRanks3141[[#This Row],[Player]],RB!B:O,4,FALSE)</f>
        <v>21.237269653811889</v>
      </c>
      <c r="U85" s="100">
        <f>VLOOKUP(TableRBRanks3141[[#This Row],[Player]],RB!B:O,5,FALSE)</f>
        <v>88.703411982478883</v>
      </c>
      <c r="V85" s="100">
        <f>VLOOKUP(TableRBRanks3141[[#This Row],[Player]],RB!B:O,6,FALSE)</f>
        <v>0.46426317935038602</v>
      </c>
      <c r="W85" s="100">
        <f>VLOOKUP(TableRBRanks3141[[#This Row],[Player]],RB!B:O,7,FALSE)</f>
        <v>5.1695705599999995</v>
      </c>
      <c r="X85" s="100">
        <f>VLOOKUP(TableRBRanks3141[[#This Row],[Player]],RB!B:O,8,FALSE)</f>
        <v>3.8771779199999994</v>
      </c>
      <c r="Y85" s="100">
        <f>VLOOKUP(TableRBRanks3141[[#This Row],[Player]],RB!B:O,9,FALSE)</f>
        <v>29.424141265580108</v>
      </c>
      <c r="Z85" s="100">
        <f>VLOOKUP(TableRBRanks3141[[#This Row],[Player]],RB!B:O,10,FALSE)</f>
        <v>0.15896429471999998</v>
      </c>
      <c r="AA85" s="95">
        <f>VLOOKUP(TableRBRanks3141[[#This Row],[Player]],RB!B:O,14,FALSE)</f>
        <v>17.490709129228215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VLOOKUP(TableWRRanks3242[[#This Row],[RK]],Rankings!A:T,13,FALSE)</f>
        <v>Darius Slayton</v>
      </c>
      <c r="AF85" s="58" t="str">
        <f>IFERROR(INDEX(TableWRCalcPts[TM],MATCH(TableWRRanks3242[[#This Row],[Player]],TableWRCalcPts[PLAYER],0)),"")</f>
        <v>NYG</v>
      </c>
      <c r="AG85" s="58">
        <f>IFERROR(INDEX(TableWRCalcPts[BYE],MATCH(TableWRRanks3242[[#This Row],[Player]],TableWRCalcPts[PLAYER],0)),"")</f>
        <v>8</v>
      </c>
      <c r="AH85" s="100">
        <f>VLOOKUP(TableWRRanks3242[[#This Row],[Player]],WR!B:O,4,FALSE)</f>
        <v>0</v>
      </c>
      <c r="AI85" s="100">
        <f>VLOOKUP(TableWRRanks3242[[#This Row],[Player]],WR!B:O,5,FALSE)</f>
        <v>0</v>
      </c>
      <c r="AJ85" s="100">
        <f>VLOOKUP(TableWRRanks3242[[#This Row],[Player]],WR!B:O,6,FALSE)</f>
        <v>41.036762060000008</v>
      </c>
      <c r="AK85" s="100">
        <f>VLOOKUP(TableWRRanks3242[[#This Row],[Player]],WR!B:O,7,FALSE)</f>
        <v>26.058343908100007</v>
      </c>
      <c r="AL85" s="100">
        <f>VLOOKUP(TableWRRanks3242[[#This Row],[Player]],WR!B:O,8,FALSE)</f>
        <v>371.33140069042508</v>
      </c>
      <c r="AM85" s="100">
        <f>VLOOKUP(TableWRRanks3242[[#This Row],[Player]],WR!B:O,9,FALSE)</f>
        <v>1.6937923540265005</v>
      </c>
      <c r="AN85" s="95">
        <f>VLOOKUP(TableWRRanks3242[[#This Row],[Player]],WR!B:O,13,FALSE)</f>
        <v>60.325066147251512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VLOOKUP(TableTERanks3343[[#This Row],[RK]],Rankings!A:T,18,FALSE)</f>
        <v>0</v>
      </c>
      <c r="AS85" s="58" t="str">
        <f>IFERROR(INDEX(TableTECalcPts[TM],MATCH(TableTERanks3343[[#This Row],[Player]],TableTECalcPts[PLAYER],0)),"")</f>
        <v/>
      </c>
      <c r="AT85" s="58" t="str">
        <f>IFERROR(INDEX(TableTECalcPts[BYE],MATCH(TableTERanks3343[[#This Row],[Player]],TableTECalcPts[PLAYER],0)),"")</f>
        <v/>
      </c>
      <c r="AU85" s="100">
        <f>VLOOKUP(TableTERanks3343[[#This Row],[Player]],TE!B:O,4,FALSE)</f>
        <v>0</v>
      </c>
      <c r="AV85" s="100">
        <f>VLOOKUP(TableTERanks3343[[#This Row],[Player]],TE!B:O,5,FALSE)</f>
        <v>0</v>
      </c>
      <c r="AW85" s="100">
        <f>VLOOKUP(TableTERanks3343[[#This Row],[Player]],TE!B:O,6,FALSE)</f>
        <v>0</v>
      </c>
      <c r="AX85" s="100">
        <f>VLOOKUP(TableTERanks3343[[#This Row],[Player]],TE!B:O,7,FALSE)</f>
        <v>0</v>
      </c>
      <c r="AY85" s="95">
        <f>VLOOKUP(TableTERanks3343[[#This Row],[Player]],TE!B:O,11,FALSE)</f>
        <v>0</v>
      </c>
      <c r="AZ85" s="140" t="e">
        <f>IF(VLOOKUP(TableTERanks3343[[#This Row],[Player]],'Ranks w Proj'!$AR:$AZ,9,FALSE)&lt;0,0,VLOOKUP(TableTERanks3343[[#This Row],[Player]],'Ranks w Proj'!$AR:$AZ,9,FALSE))</f>
        <v>#N/A</v>
      </c>
    </row>
    <row r="86" spans="16:52" x14ac:dyDescent="0.25">
      <c r="P86" s="58">
        <v>85</v>
      </c>
      <c r="Q86" s="58" t="str">
        <f>VLOOKUP(TableRBRanks3141[[#This Row],[RK]],Rankings!A:T,8,FALSE)</f>
        <v>Jordan James</v>
      </c>
      <c r="R86" s="58" t="str">
        <f>IFERROR(INDEX(TableRBCalcPts[TM],MATCH(TableRBRanks3141[[#This Row],[Player]],TableRBCalcPts[PLAYER],0)),"")</f>
        <v>SF</v>
      </c>
      <c r="S86" s="58">
        <f>IFERROR(INDEX(TableRBCalcPts[BYE],MATCH(TableRBRanks3141[[#This Row],[Player]],TableRBCalcPts[PLAYER],0)),"")</f>
        <v>8</v>
      </c>
      <c r="T86" s="100">
        <f>VLOOKUP(TableRBRanks3141[[#This Row],[Player]],RB!B:O,4,FALSE)</f>
        <v>36.713183360000002</v>
      </c>
      <c r="U86" s="100">
        <f>VLOOKUP(TableRBRanks3141[[#This Row],[Player]],RB!B:O,5,FALSE)</f>
        <v>148.3212607744</v>
      </c>
      <c r="V86" s="100">
        <f>VLOOKUP(TableRBRanks3141[[#This Row],[Player]],RB!B:O,6,FALSE)</f>
        <v>1.0408231880525365</v>
      </c>
      <c r="W86" s="100">
        <f>VLOOKUP(TableRBRanks3141[[#This Row],[Player]],RB!B:O,7,FALSE)</f>
        <v>13.420904000000002</v>
      </c>
      <c r="X86" s="100">
        <f>VLOOKUP(TableRBRanks3141[[#This Row],[Player]],RB!B:O,8,FALSE)</f>
        <v>10.683039584000003</v>
      </c>
      <c r="Y86" s="100">
        <f>VLOOKUP(TableRBRanks3141[[#This Row],[Player]],RB!B:O,9,FALSE)</f>
        <v>76.917885004800027</v>
      </c>
      <c r="Z86" s="100">
        <f>VLOOKUP(TableRBRanks3141[[#This Row],[Player]],RB!B:O,10,FALSE)</f>
        <v>0.3375294912927938</v>
      </c>
      <c r="AA86" s="95">
        <f>VLOOKUP(TableRBRanks3141[[#This Row],[Player]],RB!B:O,14,FALSE)</f>
        <v>36.135550445991981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VLOOKUP(TableWRRanks3242[[#This Row],[RK]],Rankings!A:T,13,FALSE)</f>
        <v>Keon Coleman</v>
      </c>
      <c r="AF86" s="58" t="str">
        <f>IFERROR(INDEX(TableWRCalcPts[TM],MATCH(TableWRRanks3242[[#This Row],[Player]],TableWRCalcPts[PLAYER],0)),"")</f>
        <v>BUF</v>
      </c>
      <c r="AG86" s="58">
        <f>IFERROR(INDEX(TableWRCalcPts[BYE],MATCH(TableWRRanks3242[[#This Row],[Player]],TableWRCalcPts[PLAYER],0)),"")</f>
        <v>7</v>
      </c>
      <c r="AH86" s="100">
        <f>VLOOKUP(TableWRRanks3242[[#This Row],[Player]],WR!B:O,4,FALSE)</f>
        <v>0</v>
      </c>
      <c r="AI86" s="100">
        <f>VLOOKUP(TableWRRanks3242[[#This Row],[Player]],WR!B:O,5,FALSE)</f>
        <v>0</v>
      </c>
      <c r="AJ86" s="100">
        <f>VLOOKUP(TableWRRanks3242[[#This Row],[Player]],WR!B:O,6,FALSE)</f>
        <v>36.774460799999986</v>
      </c>
      <c r="AK86" s="100">
        <f>VLOOKUP(TableWRRanks3242[[#This Row],[Player]],WR!B:O,7,FALSE)</f>
        <v>19.637562067199994</v>
      </c>
      <c r="AL86" s="100">
        <f>VLOOKUP(TableWRRanks3242[[#This Row],[Player]],WR!B:O,8,FALSE)</f>
        <v>281.01351318163194</v>
      </c>
      <c r="AM86" s="100">
        <f>VLOOKUP(TableWRRanks3242[[#This Row],[Player]],WR!B:O,9,FALSE)</f>
        <v>1.9833937687871994</v>
      </c>
      <c r="AN86" s="95">
        <f>VLOOKUP(TableWRRanks3242[[#This Row],[Player]],WR!B:O,13,FALSE)</f>
        <v>49.820494964486386</v>
      </c>
      <c r="AO86" s="140">
        <f>IF(VLOOKUP(TableWRRanks3242[[#This Row],[Player]],'Ranks w Proj'!$AE:$AO,11,FALSE)&lt;0,0,VLOOKUP(TableWRRanks3242[[#This Row],[Player]],'Ranks w Proj'!$AE:$AO,11,FALSE))</f>
        <v>0</v>
      </c>
      <c r="AQ86" s="58">
        <v>85</v>
      </c>
      <c r="AR86" s="58">
        <f>VLOOKUP(TableTERanks3343[[#This Row],[RK]],Rankings!A:T,18,FALSE)</f>
        <v>0</v>
      </c>
      <c r="AS86" s="58" t="str">
        <f>IFERROR(INDEX(TableTECalcPts[TM],MATCH(TableTERanks3343[[#This Row],[Player]],TableTECalcPts[PLAYER],0)),"")</f>
        <v/>
      </c>
      <c r="AT86" s="58" t="str">
        <f>IFERROR(INDEX(TableTECalcPts[BYE],MATCH(TableTERanks3343[[#This Row],[Player]],TableTECalcPts[PLAYER],0)),"")</f>
        <v/>
      </c>
      <c r="AU86" s="100">
        <f>VLOOKUP(TableTERanks3343[[#This Row],[Player]],TE!B:O,4,FALSE)</f>
        <v>0</v>
      </c>
      <c r="AV86" s="100">
        <f>VLOOKUP(TableTERanks3343[[#This Row],[Player]],TE!B:O,5,FALSE)</f>
        <v>0</v>
      </c>
      <c r="AW86" s="100">
        <f>VLOOKUP(TableTERanks3343[[#This Row],[Player]],TE!B:O,6,FALSE)</f>
        <v>0</v>
      </c>
      <c r="AX86" s="100">
        <f>VLOOKUP(TableTERanks3343[[#This Row],[Player]],TE!B:O,7,FALSE)</f>
        <v>0</v>
      </c>
      <c r="AY86" s="95">
        <f>VLOOKUP(TableTERanks3343[[#This Row],[Player]],TE!B:O,11,FALSE)</f>
        <v>0</v>
      </c>
      <c r="AZ86" s="140" t="e">
        <f>IF(VLOOKUP(TableTERanks3343[[#This Row],[Player]],'Ranks w Proj'!$AR:$AZ,9,FALSE)&lt;0,0,VLOOKUP(TableTERanks3343[[#This Row],[Player]],'Ranks w Proj'!$AR:$AZ,9,FALSE))</f>
        <v>#N/A</v>
      </c>
    </row>
    <row r="87" spans="16:52" x14ac:dyDescent="0.25">
      <c r="P87" s="58">
        <v>86</v>
      </c>
      <c r="Q87" s="58" t="str">
        <f>VLOOKUP(TableRBRanks3141[[#This Row],[RK]],Rankings!A:T,8,FALSE)</f>
        <v>Najee Harris</v>
      </c>
      <c r="R87" s="58" t="str">
        <f>IFERROR(INDEX(TableRBCalcPts[TM],MATCH(TableRBRanks3141[[#This Row],[Player]],TableRBCalcPts[PLAYER],0)),"")</f>
        <v/>
      </c>
      <c r="S87" s="58" t="str">
        <f>IFERROR(INDEX(TableRBCalcPts[BYE],MATCH(TableRBRanks3141[[#This Row],[Player]],TableRBCalcPts[PLAYER],0)),"")</f>
        <v/>
      </c>
      <c r="T87" s="100" t="e">
        <f>VLOOKUP(TableRBRanks3141[[#This Row],[Player]],RB!B:O,4,FALSE)</f>
        <v>#N/A</v>
      </c>
      <c r="U87" s="100" t="e">
        <f>VLOOKUP(TableRBRanks3141[[#This Row],[Player]],RB!B:O,5,FALSE)</f>
        <v>#N/A</v>
      </c>
      <c r="V87" s="100" t="e">
        <f>VLOOKUP(TableRBRanks3141[[#This Row],[Player]],RB!B:O,6,FALSE)</f>
        <v>#N/A</v>
      </c>
      <c r="W87" s="100" t="e">
        <f>VLOOKUP(TableRBRanks3141[[#This Row],[Player]],RB!B:O,7,FALSE)</f>
        <v>#N/A</v>
      </c>
      <c r="X87" s="100" t="e">
        <f>VLOOKUP(TableRBRanks3141[[#This Row],[Player]],RB!B:O,8,FALSE)</f>
        <v>#N/A</v>
      </c>
      <c r="Y87" s="100" t="e">
        <f>VLOOKUP(TableRBRanks3141[[#This Row],[Player]],RB!B:O,9,FALSE)</f>
        <v>#N/A</v>
      </c>
      <c r="Z87" s="100" t="e">
        <f>VLOOKUP(TableRBRanks3141[[#This Row],[Player]],RB!B:O,10,FALSE)</f>
        <v>#N/A</v>
      </c>
      <c r="AA87" s="95" t="e">
        <f>VLOOKUP(TableRBRanks3141[[#This Row],[Player]],RB!B:O,14,FALSE)</f>
        <v>#N/A</v>
      </c>
      <c r="AB87" s="140" t="e">
        <f>IF(VLOOKUP(TableRBRanks3141[[#This Row],[Player]],'Ranks w Proj'!$Q:$AB,12,FALSE)&lt;0,0,VLOOKUP(TableRBRanks3141[[#This Row],[Player]],'Ranks w Proj'!$Q:$AB,12,FALSE))</f>
        <v>#N/A</v>
      </c>
      <c r="AD87" s="58">
        <v>86</v>
      </c>
      <c r="AE87" s="58" t="str">
        <f>VLOOKUP(TableWRRanks3242[[#This Row],[RK]],Rankings!A:T,13,FALSE)</f>
        <v>Malachi Fields</v>
      </c>
      <c r="AF87" s="58" t="str">
        <f>IFERROR(INDEX(TableWRCalcPts[TM],MATCH(TableWRRanks3242[[#This Row],[Player]],TableWRCalcPts[PLAYER],0)),"")</f>
        <v>NYG</v>
      </c>
      <c r="AG87" s="58">
        <f>IFERROR(INDEX(TableWRCalcPts[BYE],MATCH(TableWRRanks3242[[#This Row],[Player]],TableWRCalcPts[PLAYER],0)),"")</f>
        <v>8</v>
      </c>
      <c r="AH87" s="100">
        <f>VLOOKUP(TableWRRanks3242[[#This Row],[Player]],WR!B:O,4,FALSE)</f>
        <v>0</v>
      </c>
      <c r="AI87" s="100">
        <f>VLOOKUP(TableWRRanks3242[[#This Row],[Player]],WR!B:O,5,FALSE)</f>
        <v>0</v>
      </c>
      <c r="AJ87" s="100">
        <f>VLOOKUP(TableWRRanks3242[[#This Row],[Player]],WR!B:O,6,FALSE)</f>
        <v>43.014437339999994</v>
      </c>
      <c r="AK87" s="100">
        <f>VLOOKUP(TableWRRanks3242[[#This Row],[Player]],WR!B:O,7,FALSE)</f>
        <v>26.496893401439994</v>
      </c>
      <c r="AL87" s="100">
        <f>VLOOKUP(TableWRRanks3242[[#This Row],[Player]],WR!B:O,8,FALSE)</f>
        <v>338.10035980237433</v>
      </c>
      <c r="AM87" s="100">
        <f>VLOOKUP(TableWRRanks3242[[#This Row],[Player]],WR!B:O,9,FALSE)</f>
        <v>2.1727452589180798</v>
      </c>
      <c r="AN87" s="95">
        <f>VLOOKUP(TableWRRanks3242[[#This Row],[Player]],WR!B:O,13,FALSE)</f>
        <v>60.094954234465909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VLOOKUP(TableTERanks3343[[#This Row],[RK]],Rankings!A:T,18,FALSE)</f>
        <v>0</v>
      </c>
      <c r="AS87" s="58" t="str">
        <f>IFERROR(INDEX(TableTECalcPts[TM],MATCH(TableTERanks3343[[#This Row],[Player]],TableTECalcPts[PLAYER],0)),"")</f>
        <v/>
      </c>
      <c r="AT87" s="58" t="str">
        <f>IFERROR(INDEX(TableTECalcPts[BYE],MATCH(TableTERanks3343[[#This Row],[Player]],TableTECalcPts[PLAYER],0)),"")</f>
        <v/>
      </c>
      <c r="AU87" s="100">
        <f>VLOOKUP(TableTERanks3343[[#This Row],[Player]],TE!B:O,4,FALSE)</f>
        <v>0</v>
      </c>
      <c r="AV87" s="100">
        <f>VLOOKUP(TableTERanks3343[[#This Row],[Player]],TE!B:O,5,FALSE)</f>
        <v>0</v>
      </c>
      <c r="AW87" s="100">
        <f>VLOOKUP(TableTERanks3343[[#This Row],[Player]],TE!B:O,6,FALSE)</f>
        <v>0</v>
      </c>
      <c r="AX87" s="100">
        <f>VLOOKUP(TableTERanks3343[[#This Row],[Player]],TE!B:O,7,FALSE)</f>
        <v>0</v>
      </c>
      <c r="AY87" s="95">
        <f>VLOOKUP(TableTERanks3343[[#This Row],[Player]],TE!B:O,11,FALSE)</f>
        <v>0</v>
      </c>
      <c r="AZ87" s="140" t="e">
        <f>IF(VLOOKUP(TableTERanks3343[[#This Row],[Player]],'Ranks w Proj'!$AR:$AZ,9,FALSE)&lt;0,0,VLOOKUP(TableTERanks3343[[#This Row],[Player]],'Ranks w Proj'!$AR:$AZ,9,FALSE))</f>
        <v>#N/A</v>
      </c>
    </row>
    <row r="88" spans="16:52" x14ac:dyDescent="0.25">
      <c r="P88" s="58">
        <v>87</v>
      </c>
      <c r="Q88" s="58" t="str">
        <f>VLOOKUP(TableRBRanks3141[[#This Row],[RK]],Rankings!A:T,8,FALSE)</f>
        <v>Devin Neal</v>
      </c>
      <c r="R88" s="58" t="str">
        <f>IFERROR(INDEX(TableRBCalcPts[TM],MATCH(TableRBRanks3141[[#This Row],[Player]],TableRBCalcPts[PLAYER],0)),"")</f>
        <v>NO</v>
      </c>
      <c r="S88" s="58">
        <f>IFERROR(INDEX(TableRBCalcPts[BYE],MATCH(TableRBRanks3141[[#This Row],[Player]],TableRBCalcPts[PLAYER],0)),"")</f>
        <v>8</v>
      </c>
      <c r="T88" s="100">
        <f>VLOOKUP(TableRBRanks3141[[#This Row],[Player]],RB!B:O,4,FALSE)</f>
        <v>9.914777599999999</v>
      </c>
      <c r="U88" s="100">
        <f>VLOOKUP(TableRBRanks3141[[#This Row],[Player]],RB!B:O,5,FALSE)</f>
        <v>37.676154879999991</v>
      </c>
      <c r="V88" s="100">
        <f>VLOOKUP(TableRBRanks3141[[#This Row],[Player]],RB!B:O,6,FALSE)</f>
        <v>0.24786944</v>
      </c>
      <c r="W88" s="100">
        <f>VLOOKUP(TableRBRanks3141[[#This Row],[Player]],RB!B:O,7,FALSE)</f>
        <v>2.5389056000000001</v>
      </c>
      <c r="X88" s="100">
        <f>VLOOKUP(TableRBRanks3141[[#This Row],[Player]],RB!B:O,8,FALSE)</f>
        <v>1.7848506367999999</v>
      </c>
      <c r="Y88" s="100">
        <f>VLOOKUP(TableRBRanks3141[[#This Row],[Player]],RB!B:O,9,FALSE)</f>
        <v>12.690288027648</v>
      </c>
      <c r="Z88" s="100">
        <f>VLOOKUP(TableRBRanks3141[[#This Row],[Player]],RB!B:O,10,FALSE)</f>
        <v>4.462126592E-2</v>
      </c>
      <c r="AA88" s="95">
        <f>VLOOKUP(TableRBRanks3141[[#This Row],[Player]],RB!B:O,14,FALSE)</f>
        <v>7.6840138446847996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VLOOKUP(TableWRRanks3242[[#This Row],[RK]],Rankings!A:T,13,FALSE)</f>
        <v>Tre' Harris</v>
      </c>
      <c r="AF88" s="58" t="str">
        <f>IFERROR(INDEX(TableWRCalcPts[TM],MATCH(TableWRRanks3242[[#This Row],[Player]],TableWRCalcPts[PLAYER],0)),"")</f>
        <v>LAC</v>
      </c>
      <c r="AG88" s="58">
        <f>IFERROR(INDEX(TableWRCalcPts[BYE],MATCH(TableWRRanks3242[[#This Row],[Player]],TableWRCalcPts[PLAYER],0)),"")</f>
        <v>7</v>
      </c>
      <c r="AH88" s="100">
        <f>VLOOKUP(TableWRRanks3242[[#This Row],[Player]],WR!B:O,4,FALSE)</f>
        <v>0</v>
      </c>
      <c r="AI88" s="100">
        <f>VLOOKUP(TableWRRanks3242[[#This Row],[Player]],WR!B:O,5,FALSE)</f>
        <v>0</v>
      </c>
      <c r="AJ88" s="100">
        <f>VLOOKUP(TableWRRanks3242[[#This Row],[Player]],WR!B:O,6,FALSE)</f>
        <v>44.130366279999997</v>
      </c>
      <c r="AK88" s="100">
        <f>VLOOKUP(TableWRRanks3242[[#This Row],[Player]],WR!B:O,7,FALSE)</f>
        <v>26.64474945207547</v>
      </c>
      <c r="AL88" s="100">
        <f>VLOOKUP(TableWRRanks3242[[#This Row],[Player]],WR!B:O,8,FALSE)</f>
        <v>319.2915265200038</v>
      </c>
      <c r="AM88" s="100">
        <f>VLOOKUP(TableWRRanks3242[[#This Row],[Player]],WR!B:O,9,FALSE)</f>
        <v>1.5720402176724526</v>
      </c>
      <c r="AN88" s="95">
        <f>VLOOKUP(TableWRRanks3242[[#This Row],[Player]],WR!B:O,13,FALSE)</f>
        <v>54.683768684072831</v>
      </c>
      <c r="AO88" s="140">
        <f>IF(VLOOKUP(TableWRRanks3242[[#This Row],[Player]],'Ranks w Proj'!$AE:$AO,11,FALSE)&lt;0,0,VLOOKUP(TableWRRanks3242[[#This Row],[Player]],'Ranks w Proj'!$AE:$AO,11,FALSE))</f>
        <v>0</v>
      </c>
      <c r="AQ88" s="58">
        <v>87</v>
      </c>
      <c r="AR88" s="58">
        <f>VLOOKUP(TableTERanks3343[[#This Row],[RK]],Rankings!A:T,18,FALSE)</f>
        <v>0</v>
      </c>
      <c r="AS88" s="58" t="str">
        <f>IFERROR(INDEX(TableTECalcPts[TM],MATCH(TableTERanks3343[[#This Row],[Player]],TableTECalcPts[PLAYER],0)),"")</f>
        <v/>
      </c>
      <c r="AT88" s="58" t="str">
        <f>IFERROR(INDEX(TableTECalcPts[BYE],MATCH(TableTERanks3343[[#This Row],[Player]],TableTECalcPts[PLAYER],0)),"")</f>
        <v/>
      </c>
      <c r="AU88" s="100">
        <f>VLOOKUP(TableTERanks3343[[#This Row],[Player]],TE!B:O,4,FALSE)</f>
        <v>0</v>
      </c>
      <c r="AV88" s="100">
        <f>VLOOKUP(TableTERanks3343[[#This Row],[Player]],TE!B:O,5,FALSE)</f>
        <v>0</v>
      </c>
      <c r="AW88" s="100">
        <f>VLOOKUP(TableTERanks3343[[#This Row],[Player]],TE!B:O,6,FALSE)</f>
        <v>0</v>
      </c>
      <c r="AX88" s="100">
        <f>VLOOKUP(TableTERanks3343[[#This Row],[Player]],TE!B:O,7,FALSE)</f>
        <v>0</v>
      </c>
      <c r="AY88" s="95">
        <f>VLOOKUP(TableTERanks3343[[#This Row],[Player]],TE!B:O,11,FALSE)</f>
        <v>0</v>
      </c>
      <c r="AZ88" s="140" t="e">
        <f>IF(VLOOKUP(TableTERanks3343[[#This Row],[Player]],'Ranks w Proj'!$AR:$AZ,9,FALSE)&lt;0,0,VLOOKUP(TableTERanks3343[[#This Row],[Player]],'Ranks w Proj'!$AR:$AZ,9,FALSE))</f>
        <v>#N/A</v>
      </c>
    </row>
    <row r="89" spans="16:52" x14ac:dyDescent="0.25">
      <c r="P89" s="58">
        <v>88</v>
      </c>
      <c r="Q89" s="58" t="str">
        <f>VLOOKUP(TableRBRanks3141[[#This Row],[RK]],Rankings!A:T,8,FALSE)</f>
        <v>Jaleel McLaughlin</v>
      </c>
      <c r="R89" s="58" t="str">
        <f>IFERROR(INDEX(TableRBCalcPts[TM],MATCH(TableRBRanks3141[[#This Row],[Player]],TableRBCalcPts[PLAYER],0)),"")</f>
        <v>DEN</v>
      </c>
      <c r="S89" s="58">
        <f>IFERROR(INDEX(TableRBCalcPts[BYE],MATCH(TableRBRanks3141[[#This Row],[Player]],TableRBCalcPts[PLAYER],0)),"")</f>
        <v>10</v>
      </c>
      <c r="T89" s="100">
        <f>VLOOKUP(TableRBRanks3141[[#This Row],[Player]],RB!B:O,4,FALSE)</f>
        <v>4.4656835999999993</v>
      </c>
      <c r="U89" s="100">
        <f>VLOOKUP(TableRBRanks3141[[#This Row],[Player]],RB!B:O,5,FALSE)</f>
        <v>21.926506475999997</v>
      </c>
      <c r="V89" s="100">
        <f>VLOOKUP(TableRBRanks3141[[#This Row],[Player]],RB!B:O,6,FALSE)</f>
        <v>0.12503914079999998</v>
      </c>
      <c r="W89" s="100">
        <f>VLOOKUP(TableRBRanks3141[[#This Row],[Player]],RB!B:O,7,FALSE)</f>
        <v>5.7067164000000004</v>
      </c>
      <c r="X89" s="100">
        <f>VLOOKUP(TableRBRanks3141[[#This Row],[Player]],RB!B:O,8,FALSE)</f>
        <v>4.1430761064000006</v>
      </c>
      <c r="Y89" s="100">
        <f>VLOOKUP(TableRBRanks3141[[#This Row],[Player]],RB!B:O,9,FALSE)</f>
        <v>30.688224578722757</v>
      </c>
      <c r="Z89" s="100">
        <f>VLOOKUP(TableRBRanks3141[[#This Row],[Player]],RB!B:O,10,FALSE)</f>
        <v>0.1424148438568355</v>
      </c>
      <c r="AA89" s="95">
        <f>VLOOKUP(TableRBRanks3141[[#This Row],[Player]],RB!B:O,14,FALSE)</f>
        <v>8.9377350666132891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VLOOKUP(TableWRRanks3242[[#This Row],[RK]],Rankings!A:T,13,FALSE)</f>
        <v>Savion Williams</v>
      </c>
      <c r="AF89" s="58" t="str">
        <f>IFERROR(INDEX(TableWRCalcPts[TM],MATCH(TableWRRanks3242[[#This Row],[Player]],TableWRCalcPts[PLAYER],0)),"")</f>
        <v>GB</v>
      </c>
      <c r="AG89" s="58">
        <f>IFERROR(INDEX(TableWRCalcPts[BYE],MATCH(TableWRRanks3242[[#This Row],[Player]],TableWRCalcPts[PLAYER],0)),"")</f>
        <v>11</v>
      </c>
      <c r="AH89" s="100">
        <f>VLOOKUP(TableWRRanks3242[[#This Row],[Player]],WR!B:O,4,FALSE)</f>
        <v>53.064177325634297</v>
      </c>
      <c r="AI89" s="100">
        <f>VLOOKUP(TableWRRanks3242[[#This Row],[Player]],WR!B:O,5,FALSE)</f>
        <v>0.35370845999999995</v>
      </c>
      <c r="AJ89" s="100">
        <f>VLOOKUP(TableWRRanks3242[[#This Row],[Player]],WR!B:O,6,FALSE)</f>
        <v>38.089765386934666</v>
      </c>
      <c r="AK89" s="100">
        <f>VLOOKUP(TableWRRanks3242[[#This Row],[Player]],WR!B:O,7,FALSE)</f>
        <v>23.176769482008243</v>
      </c>
      <c r="AL89" s="100">
        <f>VLOOKUP(TableWRRanks3242[[#This Row],[Player]],WR!B:O,8,FALSE)</f>
        <v>211.022985283228</v>
      </c>
      <c r="AM89" s="100">
        <f>VLOOKUP(TableWRRanks3242[[#This Row],[Player]],WR!B:O,9,FALSE)</f>
        <v>1.6899727747297675</v>
      </c>
      <c r="AN89" s="95">
        <f>VLOOKUP(TableWRRanks3242[[#This Row],[Player]],WR!B:O,13,FALSE)</f>
        <v>50.259188410268962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VLOOKUP(TableTERanks3343[[#This Row],[RK]],Rankings!A:T,18,FALSE)</f>
        <v>0</v>
      </c>
      <c r="AS89" s="58" t="str">
        <f>IFERROR(INDEX(TableTECalcPts[TM],MATCH(TableTERanks3343[[#This Row],[Player]],TableTECalcPts[PLAYER],0)),"")</f>
        <v/>
      </c>
      <c r="AT89" s="58" t="str">
        <f>IFERROR(INDEX(TableTECalcPts[BYE],MATCH(TableTERanks3343[[#This Row],[Player]],TableTECalcPts[PLAYER],0)),"")</f>
        <v/>
      </c>
      <c r="AU89" s="100">
        <f>VLOOKUP(TableTERanks3343[[#This Row],[Player]],TE!B:O,4,FALSE)</f>
        <v>0</v>
      </c>
      <c r="AV89" s="100">
        <f>VLOOKUP(TableTERanks3343[[#This Row],[Player]],TE!B:O,5,FALSE)</f>
        <v>0</v>
      </c>
      <c r="AW89" s="100">
        <f>VLOOKUP(TableTERanks3343[[#This Row],[Player]],TE!B:O,6,FALSE)</f>
        <v>0</v>
      </c>
      <c r="AX89" s="100">
        <f>VLOOKUP(TableTERanks3343[[#This Row],[Player]],TE!B:O,7,FALSE)</f>
        <v>0</v>
      </c>
      <c r="AY89" s="95">
        <f>VLOOKUP(TableTERanks3343[[#This Row],[Player]],TE!B:O,11,FALSE)</f>
        <v>0</v>
      </c>
      <c r="AZ89" s="140" t="e">
        <f>IF(VLOOKUP(TableTERanks3343[[#This Row],[Player]],'Ranks w Proj'!$AR:$AZ,9,FALSE)&lt;0,0,VLOOKUP(TableTERanks3343[[#This Row],[Player]],'Ranks w Proj'!$AR:$AZ,9,FALSE))</f>
        <v>#N/A</v>
      </c>
    </row>
    <row r="90" spans="16:52" x14ac:dyDescent="0.25">
      <c r="P90" s="58">
        <v>89</v>
      </c>
      <c r="Q90" s="58" t="str">
        <f>VLOOKUP(TableRBRanks3141[[#This Row],[RK]],Rankings!A:T,8,FALSE)</f>
        <v>Tahj Brooks</v>
      </c>
      <c r="R90" s="58" t="str">
        <f>IFERROR(INDEX(TableRBCalcPts[TM],MATCH(TableRBRanks3141[[#This Row],[Player]],TableRBCalcPts[PLAYER],0)),"")</f>
        <v>CIN</v>
      </c>
      <c r="S90" s="58">
        <f>IFERROR(INDEX(TableRBCalcPts[BYE],MATCH(TableRBRanks3141[[#This Row],[Player]],TableRBCalcPts[PLAYER],0)),"")</f>
        <v>6</v>
      </c>
      <c r="T90" s="100">
        <f>VLOOKUP(TableRBRanks3141[[#This Row],[Player]],RB!B:O,4,FALSE)</f>
        <v>19.361002499999998</v>
      </c>
      <c r="U90" s="100">
        <f>VLOOKUP(TableRBRanks3141[[#This Row],[Player]],RB!B:O,5,FALSE)</f>
        <v>78.799280174999993</v>
      </c>
      <c r="V90" s="100">
        <f>VLOOKUP(TableRBRanks3141[[#This Row],[Player]],RB!B:O,6,FALSE)</f>
        <v>0.50338606499999994</v>
      </c>
      <c r="W90" s="100">
        <f>VLOOKUP(TableRBRanks3141[[#This Row],[Player]],RB!B:O,7,FALSE)</f>
        <v>3.1635624999999998</v>
      </c>
      <c r="X90" s="100">
        <f>VLOOKUP(TableRBRanks3141[[#This Row],[Player]],RB!B:O,8,FALSE)</f>
        <v>2.372671875</v>
      </c>
      <c r="Y90" s="100">
        <f>VLOOKUP(TableRBRanks3141[[#This Row],[Player]],RB!B:O,9,FALSE)</f>
        <v>13.116142206253409</v>
      </c>
      <c r="Z90" s="100">
        <f>VLOOKUP(TableRBRanks3141[[#This Row],[Player]],RB!B:O,10,FALSE)</f>
        <v>0.14066030755591924</v>
      </c>
      <c r="AA90" s="95">
        <f>VLOOKUP(TableRBRanks3141[[#This Row],[Player]],RB!B:O,14,FALSE)</f>
        <v>14.242156410960854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VLOOKUP(TableWRRanks3242[[#This Row],[RK]],Rankings!A:T,13,FALSE)</f>
        <v>Dontayvion Wicks</v>
      </c>
      <c r="AF90" s="58" t="str">
        <f>IFERROR(INDEX(TableWRCalcPts[TM],MATCH(TableWRRanks3242[[#This Row],[Player]],TableWRCalcPts[PLAYER],0)),"")</f>
        <v>PHI</v>
      </c>
      <c r="AG90" s="58">
        <f>IFERROR(INDEX(TableWRCalcPts[BYE],MATCH(TableWRRanks3242[[#This Row],[Player]],TableWRCalcPts[PLAYER],0)),"")</f>
        <v>10</v>
      </c>
      <c r="AH90" s="100">
        <f>VLOOKUP(TableWRRanks3242[[#This Row],[Player]],WR!B:O,4,FALSE)</f>
        <v>0</v>
      </c>
      <c r="AI90" s="100">
        <f>VLOOKUP(TableWRRanks3242[[#This Row],[Player]],WR!B:O,5,FALSE)</f>
        <v>0</v>
      </c>
      <c r="AJ90" s="100">
        <f>VLOOKUP(TableWRRanks3242[[#This Row],[Player]],WR!B:O,6,FALSE)</f>
        <v>41.306976479999996</v>
      </c>
      <c r="AK90" s="100">
        <f>VLOOKUP(TableWRRanks3242[[#This Row],[Player]],WR!B:O,7,FALSE)</f>
        <v>23.710204499519996</v>
      </c>
      <c r="AL90" s="100">
        <f>VLOOKUP(TableWRRanks3242[[#This Row],[Player]],WR!B:O,8,FALSE)</f>
        <v>288.31608671416313</v>
      </c>
      <c r="AM90" s="100">
        <f>VLOOKUP(TableWRRanks3242[[#This Row],[Player]],WR!B:O,9,FALSE)</f>
        <v>1.8968163599615997</v>
      </c>
      <c r="AN90" s="95">
        <f>VLOOKUP(TableWRRanks3242[[#This Row],[Player]],WR!B:O,13,FALSE)</f>
        <v>52.067609080945914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VLOOKUP(TableTERanks3343[[#This Row],[RK]],Rankings!A:T,18,FALSE)</f>
        <v>0</v>
      </c>
      <c r="AS90" s="58" t="str">
        <f>IFERROR(INDEX(TableTECalcPts[TM],MATCH(TableTERanks3343[[#This Row],[Player]],TableTECalcPts[PLAYER],0)),"")</f>
        <v/>
      </c>
      <c r="AT90" s="58" t="str">
        <f>IFERROR(INDEX(TableTECalcPts[BYE],MATCH(TableTERanks3343[[#This Row],[Player]],TableTECalcPts[PLAYER],0)),"")</f>
        <v/>
      </c>
      <c r="AU90" s="100">
        <f>VLOOKUP(TableTERanks3343[[#This Row],[Player]],TE!B:O,4,FALSE)</f>
        <v>0</v>
      </c>
      <c r="AV90" s="100">
        <f>VLOOKUP(TableTERanks3343[[#This Row],[Player]],TE!B:O,5,FALSE)</f>
        <v>0</v>
      </c>
      <c r="AW90" s="100">
        <f>VLOOKUP(TableTERanks3343[[#This Row],[Player]],TE!B:O,6,FALSE)</f>
        <v>0</v>
      </c>
      <c r="AX90" s="100">
        <f>VLOOKUP(TableTERanks3343[[#This Row],[Player]],TE!B:O,7,FALSE)</f>
        <v>0</v>
      </c>
      <c r="AY90" s="95">
        <f>VLOOKUP(TableTERanks3343[[#This Row],[Player]],TE!B:O,11,FALSE)</f>
        <v>0</v>
      </c>
      <c r="AZ90" s="140" t="e">
        <f>IF(VLOOKUP(TableTERanks3343[[#This Row],[Player]],'Ranks w Proj'!$AR:$AZ,9,FALSE)&lt;0,0,VLOOKUP(TableTERanks3343[[#This Row],[Player]],'Ranks w Proj'!$AR:$AZ,9,FALSE))</f>
        <v>#N/A</v>
      </c>
    </row>
    <row r="91" spans="16:52" x14ac:dyDescent="0.25">
      <c r="P91" s="58">
        <v>90</v>
      </c>
      <c r="Q91" s="58" t="str">
        <f>VLOOKUP(TableRBRanks3141[[#This Row],[RK]],Rankings!A:T,8,FALSE)</f>
        <v>Eli Heidenreich</v>
      </c>
      <c r="R91" s="58" t="str">
        <f>IFERROR(INDEX(TableRBCalcPts[TM],MATCH(TableRBRanks3141[[#This Row],[Player]],TableRBCalcPts[PLAYER],0)),"")</f>
        <v>PIT</v>
      </c>
      <c r="S91" s="58">
        <f>IFERROR(INDEX(TableRBCalcPts[BYE],MATCH(TableRBRanks3141[[#This Row],[Player]],TableRBCalcPts[PLAYER],0)),"")</f>
        <v>9</v>
      </c>
      <c r="T91" s="100">
        <f>VLOOKUP(TableRBRanks3141[[#This Row],[Player]],RB!B:O,4,FALSE)</f>
        <v>11.603591999999997</v>
      </c>
      <c r="U91" s="100">
        <f>VLOOKUP(TableRBRanks3141[[#This Row],[Player]],RB!B:O,5,FALSE)</f>
        <v>52.56427175999999</v>
      </c>
      <c r="V91" s="100">
        <f>VLOOKUP(TableRBRanks3141[[#This Row],[Player]],RB!B:O,6,FALSE)</f>
        <v>0.32490057599999994</v>
      </c>
      <c r="W91" s="100">
        <f>VLOOKUP(TableRBRanks3141[[#This Row],[Player]],RB!B:O,7,FALSE)</f>
        <v>8.5201200000000004</v>
      </c>
      <c r="X91" s="100">
        <f>VLOOKUP(TableRBRanks3141[[#This Row],[Player]],RB!B:O,8,FALSE)</f>
        <v>7.1143001999999997</v>
      </c>
      <c r="Y91" s="100">
        <f>VLOOKUP(TableRBRanks3141[[#This Row],[Player]],RB!B:O,9,FALSE)</f>
        <v>46.242951300000001</v>
      </c>
      <c r="Z91" s="100">
        <f>VLOOKUP(TableRBRanks3141[[#This Row],[Player]],RB!B:O,10,FALSE)</f>
        <v>0.52645821479999999</v>
      </c>
      <c r="AA91" s="95">
        <f>VLOOKUP(TableRBRanks3141[[#This Row],[Player]],RB!B:O,14,FALSE)</f>
        <v>18.546025150799998</v>
      </c>
      <c r="AB91" s="140">
        <f>IF(VLOOKUP(TableRBRanks3141[[#This Row],[Player]],'Ranks w Proj'!$Q:$AB,12,FALSE)&lt;0,0,VLOOKUP(TableRBRanks3141[[#This Row],[Player]],'Ranks w Proj'!$Q:$AB,12,FALSE))</f>
        <v>0</v>
      </c>
      <c r="AD91" s="58">
        <v>90</v>
      </c>
      <c r="AE91" s="58" t="str">
        <f>VLOOKUP(TableWRRanks3242[[#This Row],[RK]],Rankings!A:T,13,FALSE)</f>
        <v>Konata Mumpfield</v>
      </c>
      <c r="AF91" s="58" t="str">
        <f>IFERROR(INDEX(TableWRCalcPts[TM],MATCH(TableWRRanks3242[[#This Row],[Player]],TableWRCalcPts[PLAYER],0)),"")</f>
        <v>LAR</v>
      </c>
      <c r="AG91" s="58">
        <f>IFERROR(INDEX(TableWRCalcPts[BYE],MATCH(TableWRRanks3242[[#This Row],[Player]],TableWRCalcPts[PLAYER],0)),"")</f>
        <v>11</v>
      </c>
      <c r="AH91" s="100">
        <f>VLOOKUP(TableWRRanks3242[[#This Row],[Player]],WR!B:O,4,FALSE)</f>
        <v>0</v>
      </c>
      <c r="AI91" s="100">
        <f>VLOOKUP(TableWRRanks3242[[#This Row],[Player]],WR!B:O,5,FALSE)</f>
        <v>0</v>
      </c>
      <c r="AJ91" s="100">
        <f>VLOOKUP(TableWRRanks3242[[#This Row],[Player]],WR!B:O,6,FALSE)</f>
        <v>29.403825654608088</v>
      </c>
      <c r="AK91" s="100">
        <f>VLOOKUP(TableWRRanks3242[[#This Row],[Player]],WR!B:O,7,FALSE)</f>
        <v>19.847582316860461</v>
      </c>
      <c r="AL91" s="100">
        <f>VLOOKUP(TableWRRanks3242[[#This Row],[Player]],WR!B:O,8,FALSE)</f>
        <v>214.10706797559692</v>
      </c>
      <c r="AM91" s="100">
        <f>VLOOKUP(TableWRRanks3242[[#This Row],[Player]],WR!B:O,9,FALSE)</f>
        <v>1.3893307621802324</v>
      </c>
      <c r="AN91" s="95">
        <f>VLOOKUP(TableWRRanks3242[[#This Row],[Player]],WR!B:O,13,FALSE)</f>
        <v>39.670482529071322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VLOOKUP(TableTERanks3343[[#This Row],[RK]],Rankings!A:T,18,FALSE)</f>
        <v>0</v>
      </c>
      <c r="AS91" s="58" t="str">
        <f>IFERROR(INDEX(TableTECalcPts[TM],MATCH(TableTERanks3343[[#This Row],[Player]],TableTECalcPts[PLAYER],0)),"")</f>
        <v/>
      </c>
      <c r="AT91" s="58" t="str">
        <f>IFERROR(INDEX(TableTECalcPts[BYE],MATCH(TableTERanks3343[[#This Row],[Player]],TableTECalcPts[PLAYER],0)),"")</f>
        <v/>
      </c>
      <c r="AU91" s="100">
        <f>VLOOKUP(TableTERanks3343[[#This Row],[Player]],TE!B:O,4,FALSE)</f>
        <v>0</v>
      </c>
      <c r="AV91" s="100">
        <f>VLOOKUP(TableTERanks3343[[#This Row],[Player]],TE!B:O,5,FALSE)</f>
        <v>0</v>
      </c>
      <c r="AW91" s="100">
        <f>VLOOKUP(TableTERanks3343[[#This Row],[Player]],TE!B:O,6,FALSE)</f>
        <v>0</v>
      </c>
      <c r="AX91" s="100">
        <f>VLOOKUP(TableTERanks3343[[#This Row],[Player]],TE!B:O,7,FALSE)</f>
        <v>0</v>
      </c>
      <c r="AY91" s="95">
        <f>VLOOKUP(TableTERanks3343[[#This Row],[Player]],TE!B:O,11,FALSE)</f>
        <v>0</v>
      </c>
      <c r="AZ91" s="140" t="e">
        <f>IF(VLOOKUP(TableTERanks3343[[#This Row],[Player]],'Ranks w Proj'!$AR:$AZ,9,FALSE)&lt;0,0,VLOOKUP(TableTERanks3343[[#This Row],[Player]],'Ranks w Proj'!$AR:$AZ,9,FALSE))</f>
        <v>#N/A</v>
      </c>
    </row>
    <row r="92" spans="16:52" x14ac:dyDescent="0.25">
      <c r="P92" s="58">
        <v>91</v>
      </c>
      <c r="Q92" s="58">
        <f>VLOOKUP(TableRBRanks3141[[#This Row],[RK]],Rankings!A:T,8,FALSE)</f>
        <v>0</v>
      </c>
      <c r="R92" s="58" t="str">
        <f>IFERROR(INDEX(TableRBCalcPts[TM],MATCH(TableRBRanks3141[[#This Row],[Player]],TableRBCalcPts[PLAYER],0)),"")</f>
        <v/>
      </c>
      <c r="S92" s="58" t="str">
        <f>IFERROR(INDEX(TableRBCalcPts[BYE],MATCH(TableRBRanks3141[[#This Row],[Player]],TableRBCalcPts[PLAYER],0)),"")</f>
        <v/>
      </c>
      <c r="T92" s="100">
        <f>VLOOKUP(TableRBRanks3141[[#This Row],[Player]],RB!B:O,4,FALSE)</f>
        <v>0</v>
      </c>
      <c r="U92" s="100">
        <f>VLOOKUP(TableRBRanks3141[[#This Row],[Player]],RB!B:O,5,FALSE)</f>
        <v>0</v>
      </c>
      <c r="V92" s="100">
        <f>VLOOKUP(TableRBRanks3141[[#This Row],[Player]],RB!B:O,6,FALSE)</f>
        <v>0</v>
      </c>
      <c r="W92" s="100">
        <f>VLOOKUP(TableRBRanks3141[[#This Row],[Player]],RB!B:O,7,FALSE)</f>
        <v>0</v>
      </c>
      <c r="X92" s="100">
        <f>VLOOKUP(TableRBRanks3141[[#This Row],[Player]],RB!B:O,8,FALSE)</f>
        <v>0</v>
      </c>
      <c r="Y92" s="100">
        <f>VLOOKUP(TableRBRanks3141[[#This Row],[Player]],RB!B:O,9,FALSE)</f>
        <v>0</v>
      </c>
      <c r="Z92" s="100">
        <f>VLOOKUP(TableRBRanks3141[[#This Row],[Player]],RB!B:O,10,FALSE)</f>
        <v>0</v>
      </c>
      <c r="AA92" s="95">
        <f>VLOOKUP(TableRBRanks3141[[#This Row],[Player]],RB!B:O,14,FALSE)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VLOOKUP(TableWRRanks3242[[#This Row],[RK]],Rankings!A:T,13,FALSE)</f>
        <v>De'Zhaun Stribling</v>
      </c>
      <c r="AF92" s="58" t="str">
        <f>IFERROR(INDEX(TableWRCalcPts[TM],MATCH(TableWRRanks3242[[#This Row],[Player]],TableWRCalcPts[PLAYER],0)),"")</f>
        <v>SF</v>
      </c>
      <c r="AG92" s="58">
        <f>IFERROR(INDEX(TableWRCalcPts[BYE],MATCH(TableWRRanks3242[[#This Row],[Player]],TableWRCalcPts[PLAYER],0)),"")</f>
        <v>8</v>
      </c>
      <c r="AH92" s="100">
        <f>VLOOKUP(TableWRRanks3242[[#This Row],[Player]],WR!B:O,4,FALSE)</f>
        <v>20.9125728</v>
      </c>
      <c r="AI92" s="100">
        <f>VLOOKUP(TableWRRanks3242[[#This Row],[Player]],WR!B:O,5,FALSE)</f>
        <v>0.17427144</v>
      </c>
      <c r="AJ92" s="100">
        <f>VLOOKUP(TableWRRanks3242[[#This Row],[Player]],WR!B:O,6,FALSE)</f>
        <v>33.82067808</v>
      </c>
      <c r="AK92" s="100">
        <f>VLOOKUP(TableWRRanks3242[[#This Row],[Player]],WR!B:O,7,FALSE)</f>
        <v>17.958780060480002</v>
      </c>
      <c r="AL92" s="100">
        <f>VLOOKUP(TableWRRanks3242[[#This Row],[Player]],WR!B:O,8,FALSE)</f>
        <v>253.93715005518723</v>
      </c>
      <c r="AM92" s="100">
        <f>VLOOKUP(TableWRRanks3242[[#This Row],[Player]],WR!B:O,9,FALSE)</f>
        <v>1.27507338429408</v>
      </c>
      <c r="AN92" s="95">
        <f>VLOOKUP(TableWRRanks3242[[#This Row],[Player]],WR!B:O,13,FALSE)</f>
        <v>45.1604312615232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VLOOKUP(TableTERanks3343[[#This Row],[RK]],Rankings!A:T,18,FALSE)</f>
        <v>0</v>
      </c>
      <c r="AS92" s="58" t="str">
        <f>IFERROR(INDEX(TableTECalcPts[TM],MATCH(TableTERanks3343[[#This Row],[Player]],TableTECalcPts[PLAYER],0)),"")</f>
        <v/>
      </c>
      <c r="AT92" s="58" t="str">
        <f>IFERROR(INDEX(TableTECalcPts[BYE],MATCH(TableTERanks3343[[#This Row],[Player]],TableTECalcPts[PLAYER],0)),"")</f>
        <v/>
      </c>
      <c r="AU92" s="100">
        <f>VLOOKUP(TableTERanks3343[[#This Row],[Player]],TE!B:O,4,FALSE)</f>
        <v>0</v>
      </c>
      <c r="AV92" s="100">
        <f>VLOOKUP(TableTERanks3343[[#This Row],[Player]],TE!B:O,5,FALSE)</f>
        <v>0</v>
      </c>
      <c r="AW92" s="100">
        <f>VLOOKUP(TableTERanks3343[[#This Row],[Player]],TE!B:O,6,FALSE)</f>
        <v>0</v>
      </c>
      <c r="AX92" s="100">
        <f>VLOOKUP(TableTERanks3343[[#This Row],[Player]],TE!B:O,7,FALSE)</f>
        <v>0</v>
      </c>
      <c r="AY92" s="95">
        <f>VLOOKUP(TableTERanks3343[[#This Row],[Player]],TE!B:O,11,FALSE)</f>
        <v>0</v>
      </c>
      <c r="AZ92" s="140" t="e">
        <f>IF(VLOOKUP(TableTERanks3343[[#This Row],[Player]],'Ranks w Proj'!$AR:$AZ,9,FALSE)&lt;0,0,VLOOKUP(TableTERanks3343[[#This Row],[Player]],'Ranks w Proj'!$AR:$AZ,9,FALSE))</f>
        <v>#N/A</v>
      </c>
    </row>
    <row r="93" spans="16:52" x14ac:dyDescent="0.25">
      <c r="P93" s="58">
        <v>92</v>
      </c>
      <c r="Q93" s="58">
        <f>VLOOKUP(TableRBRanks3141[[#This Row],[RK]],Rankings!A:T,8,FALSE)</f>
        <v>0</v>
      </c>
      <c r="R93" s="58" t="str">
        <f>IFERROR(INDEX(TableRBCalcPts[TM],MATCH(TableRBRanks3141[[#This Row],[Player]],TableRBCalcPts[PLAYER],0)),"")</f>
        <v/>
      </c>
      <c r="S93" s="58" t="str">
        <f>IFERROR(INDEX(TableRBCalcPts[BYE],MATCH(TableRBRanks3141[[#This Row],[Player]],TableRBCalcPts[PLAYER],0)),"")</f>
        <v/>
      </c>
      <c r="T93" s="100">
        <f>VLOOKUP(TableRBRanks3141[[#This Row],[Player]],RB!B:O,4,FALSE)</f>
        <v>0</v>
      </c>
      <c r="U93" s="100">
        <f>VLOOKUP(TableRBRanks3141[[#This Row],[Player]],RB!B:O,5,FALSE)</f>
        <v>0</v>
      </c>
      <c r="V93" s="100">
        <f>VLOOKUP(TableRBRanks3141[[#This Row],[Player]],RB!B:O,6,FALSE)</f>
        <v>0</v>
      </c>
      <c r="W93" s="100">
        <f>VLOOKUP(TableRBRanks3141[[#This Row],[Player]],RB!B:O,7,FALSE)</f>
        <v>0</v>
      </c>
      <c r="X93" s="100">
        <f>VLOOKUP(TableRBRanks3141[[#This Row],[Player]],RB!B:O,8,FALSE)</f>
        <v>0</v>
      </c>
      <c r="Y93" s="100">
        <f>VLOOKUP(TableRBRanks3141[[#This Row],[Player]],RB!B:O,9,FALSE)</f>
        <v>0</v>
      </c>
      <c r="Z93" s="100">
        <f>VLOOKUP(TableRBRanks3141[[#This Row],[Player]],RB!B:O,10,FALSE)</f>
        <v>0</v>
      </c>
      <c r="AA93" s="95">
        <f>VLOOKUP(TableRBRanks3141[[#This Row],[Player]],RB!B:O,14,FALSE)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VLOOKUP(TableWRRanks3242[[#This Row],[RK]],Rankings!A:T,13,FALSE)</f>
        <v>Tank Dell</v>
      </c>
      <c r="AF93" s="58" t="str">
        <f>IFERROR(INDEX(TableWRCalcPts[TM],MATCH(TableWRRanks3242[[#This Row],[Player]],TableWRCalcPts[PLAYER],0)),"")</f>
        <v>HOU</v>
      </c>
      <c r="AG93" s="58">
        <f>IFERROR(INDEX(TableWRCalcPts[BYE],MATCH(TableWRRanks3242[[#This Row],[Player]],TableWRCalcPts[PLAYER],0)),"")</f>
        <v>8</v>
      </c>
      <c r="AH93" s="100">
        <f>VLOOKUP(TableWRRanks3242[[#This Row],[Player]],WR!B:O,4,FALSE)</f>
        <v>0</v>
      </c>
      <c r="AI93" s="100">
        <f>VLOOKUP(TableWRRanks3242[[#This Row],[Player]],WR!B:O,5,FALSE)</f>
        <v>0</v>
      </c>
      <c r="AJ93" s="100">
        <f>VLOOKUP(TableWRRanks3242[[#This Row],[Player]],WR!B:O,6,FALSE)</f>
        <v>51.559691399999998</v>
      </c>
      <c r="AK93" s="100">
        <f>VLOOKUP(TableWRRanks3242[[#This Row],[Player]],WR!B:O,7,FALSE)</f>
        <v>32.482605581999998</v>
      </c>
      <c r="AL93" s="100">
        <f>VLOOKUP(TableWRRanks3242[[#This Row],[Player]],WR!B:O,8,FALSE)</f>
        <v>367.37826913241997</v>
      </c>
      <c r="AM93" s="100">
        <f>VLOOKUP(TableWRRanks3242[[#This Row],[Player]],WR!B:O,9,FALSE)</f>
        <v>2.6960562633060001</v>
      </c>
      <c r="AN93" s="95">
        <f>VLOOKUP(TableWRRanks3242[[#This Row],[Player]],WR!B:O,13,FALSE)</f>
        <v>69.155467284078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VLOOKUP(TableTERanks3343[[#This Row],[RK]],Rankings!A:T,18,FALSE)</f>
        <v>0</v>
      </c>
      <c r="AS93" s="58" t="str">
        <f>IFERROR(INDEX(TableTECalcPts[TM],MATCH(TableTERanks3343[[#This Row],[Player]],TableTECalcPts[PLAYER],0)),"")</f>
        <v/>
      </c>
      <c r="AT93" s="58" t="str">
        <f>IFERROR(INDEX(TableTECalcPts[BYE],MATCH(TableTERanks3343[[#This Row],[Player]],TableTECalcPts[PLAYER],0)),"")</f>
        <v/>
      </c>
      <c r="AU93" s="100">
        <f>VLOOKUP(TableTERanks3343[[#This Row],[Player]],TE!B:O,4,FALSE)</f>
        <v>0</v>
      </c>
      <c r="AV93" s="100">
        <f>VLOOKUP(TableTERanks3343[[#This Row],[Player]],TE!B:O,5,FALSE)</f>
        <v>0</v>
      </c>
      <c r="AW93" s="100">
        <f>VLOOKUP(TableTERanks3343[[#This Row],[Player]],TE!B:O,6,FALSE)</f>
        <v>0</v>
      </c>
      <c r="AX93" s="100">
        <f>VLOOKUP(TableTERanks3343[[#This Row],[Player]],TE!B:O,7,FALSE)</f>
        <v>0</v>
      </c>
      <c r="AY93" s="95">
        <f>VLOOKUP(TableTERanks3343[[#This Row],[Player]],TE!B:O,11,FALSE)</f>
        <v>0</v>
      </c>
      <c r="AZ93" s="140" t="e">
        <f>IF(VLOOKUP(TableTERanks3343[[#This Row],[Player]],'Ranks w Proj'!$AR:$AZ,9,FALSE)&lt;0,0,VLOOKUP(TableTERanks3343[[#This Row],[Player]],'Ranks w Proj'!$AR:$AZ,9,FALSE))</f>
        <v>#N/A</v>
      </c>
    </row>
    <row r="94" spans="16:52" x14ac:dyDescent="0.25">
      <c r="P94" s="58">
        <v>93</v>
      </c>
      <c r="Q94" s="58">
        <f>VLOOKUP(TableRBRanks3141[[#This Row],[RK]],Rankings!A:T,8,FALSE)</f>
        <v>0</v>
      </c>
      <c r="R94" s="58" t="str">
        <f>IFERROR(INDEX(TableRBCalcPts[TM],MATCH(TableRBRanks3141[[#This Row],[Player]],TableRBCalcPts[PLAYER],0)),"")</f>
        <v/>
      </c>
      <c r="S94" s="58" t="str">
        <f>IFERROR(INDEX(TableRBCalcPts[BYE],MATCH(TableRBRanks3141[[#This Row],[Player]],TableRBCalcPts[PLAYER],0)),"")</f>
        <v/>
      </c>
      <c r="T94" s="100">
        <f>VLOOKUP(TableRBRanks3141[[#This Row],[Player]],RB!B:O,4,FALSE)</f>
        <v>0</v>
      </c>
      <c r="U94" s="100">
        <f>VLOOKUP(TableRBRanks3141[[#This Row],[Player]],RB!B:O,5,FALSE)</f>
        <v>0</v>
      </c>
      <c r="V94" s="100">
        <f>VLOOKUP(TableRBRanks3141[[#This Row],[Player]],RB!B:O,6,FALSE)</f>
        <v>0</v>
      </c>
      <c r="W94" s="100">
        <f>VLOOKUP(TableRBRanks3141[[#This Row],[Player]],RB!B:O,7,FALSE)</f>
        <v>0</v>
      </c>
      <c r="X94" s="100">
        <f>VLOOKUP(TableRBRanks3141[[#This Row],[Player]],RB!B:O,8,FALSE)</f>
        <v>0</v>
      </c>
      <c r="Y94" s="100">
        <f>VLOOKUP(TableRBRanks3141[[#This Row],[Player]],RB!B:O,9,FALSE)</f>
        <v>0</v>
      </c>
      <c r="Z94" s="100">
        <f>VLOOKUP(TableRBRanks3141[[#This Row],[Player]],RB!B:O,10,FALSE)</f>
        <v>0</v>
      </c>
      <c r="AA94" s="95">
        <f>VLOOKUP(TableRBRanks3141[[#This Row],[Player]],RB!B:O,14,FALSE)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VLOOKUP(TableWRRanks3242[[#This Row],[RK]],Rankings!A:T,13,FALSE)</f>
        <v>Troy Franklin</v>
      </c>
      <c r="AF94" s="58" t="str">
        <f>IFERROR(INDEX(TableWRCalcPts[TM],MATCH(TableWRRanks3242[[#This Row],[Player]],TableWRCalcPts[PLAYER],0)),"")</f>
        <v>DEN</v>
      </c>
      <c r="AG94" s="58">
        <f>IFERROR(INDEX(TableWRCalcPts[BYE],MATCH(TableWRRanks3242[[#This Row],[Player]],TableWRCalcPts[PLAYER],0)),"")</f>
        <v>10</v>
      </c>
      <c r="AH94" s="100">
        <f>VLOOKUP(TableWRRanks3242[[#This Row],[Player]],WR!B:O,4,FALSE)</f>
        <v>0</v>
      </c>
      <c r="AI94" s="100">
        <f>VLOOKUP(TableWRRanks3242[[#This Row],[Player]],WR!B:O,5,FALSE)</f>
        <v>0</v>
      </c>
      <c r="AJ94" s="100">
        <f>VLOOKUP(TableWRRanks3242[[#This Row],[Player]],WR!B:O,6,FALSE)</f>
        <v>46.22440284000001</v>
      </c>
      <c r="AK94" s="100">
        <f>VLOOKUP(TableWRRanks3242[[#This Row],[Player]],WR!B:O,7,FALSE)</f>
        <v>28.890251775000007</v>
      </c>
      <c r="AL94" s="100">
        <f>VLOOKUP(TableWRRanks3242[[#This Row],[Player]],WR!B:O,8,FALSE)</f>
        <v>332.44445441089141</v>
      </c>
      <c r="AM94" s="100">
        <f>VLOOKUP(TableWRRanks3242[[#This Row],[Player]],WR!B:O,9,FALSE)</f>
        <v>2.5423421562000006</v>
      </c>
      <c r="AN94" s="95">
        <f>VLOOKUP(TableWRRanks3242[[#This Row],[Player]],WR!B:O,13,FALSE)</f>
        <v>62.943624265789154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VLOOKUP(TableTERanks3343[[#This Row],[RK]],Rankings!A:T,18,FALSE)</f>
        <v>0</v>
      </c>
      <c r="AS94" s="58" t="str">
        <f>IFERROR(INDEX(TableTECalcPts[TM],MATCH(TableTERanks3343[[#This Row],[Player]],TableTECalcPts[PLAYER],0)),"")</f>
        <v/>
      </c>
      <c r="AT94" s="58" t="str">
        <f>IFERROR(INDEX(TableTECalcPts[BYE],MATCH(TableTERanks3343[[#This Row],[Player]],TableTECalcPts[PLAYER],0)),"")</f>
        <v/>
      </c>
      <c r="AU94" s="100">
        <f>VLOOKUP(TableTERanks3343[[#This Row],[Player]],TE!B:O,4,FALSE)</f>
        <v>0</v>
      </c>
      <c r="AV94" s="100">
        <f>VLOOKUP(TableTERanks3343[[#This Row],[Player]],TE!B:O,5,FALSE)</f>
        <v>0</v>
      </c>
      <c r="AW94" s="100">
        <f>VLOOKUP(TableTERanks3343[[#This Row],[Player]],TE!B:O,6,FALSE)</f>
        <v>0</v>
      </c>
      <c r="AX94" s="100">
        <f>VLOOKUP(TableTERanks3343[[#This Row],[Player]],TE!B:O,7,FALSE)</f>
        <v>0</v>
      </c>
      <c r="AY94" s="95">
        <f>VLOOKUP(TableTERanks3343[[#This Row],[Player]],TE!B:O,11,FALSE)</f>
        <v>0</v>
      </c>
      <c r="AZ94" s="140" t="e">
        <f>IF(VLOOKUP(TableTERanks3343[[#This Row],[Player]],'Ranks w Proj'!$AR:$AZ,9,FALSE)&lt;0,0,VLOOKUP(TableTERanks3343[[#This Row],[Player]],'Ranks w Proj'!$AR:$AZ,9,FALSE))</f>
        <v>#N/A</v>
      </c>
    </row>
    <row r="95" spans="16:52" x14ac:dyDescent="0.25">
      <c r="P95" s="58">
        <v>94</v>
      </c>
      <c r="Q95" s="58">
        <f>VLOOKUP(TableRBRanks3141[[#This Row],[RK]],Rankings!A:T,8,FALSE)</f>
        <v>0</v>
      </c>
      <c r="R95" s="58" t="str">
        <f>IFERROR(INDEX(TableRBCalcPts[TM],MATCH(TableRBRanks3141[[#This Row],[Player]],TableRBCalcPts[PLAYER],0)),"")</f>
        <v/>
      </c>
      <c r="S95" s="58" t="str">
        <f>IFERROR(INDEX(TableRBCalcPts[BYE],MATCH(TableRBRanks3141[[#This Row],[Player]],TableRBCalcPts[PLAYER],0)),"")</f>
        <v/>
      </c>
      <c r="T95" s="100">
        <f>VLOOKUP(TableRBRanks3141[[#This Row],[Player]],RB!B:O,4,FALSE)</f>
        <v>0</v>
      </c>
      <c r="U95" s="100">
        <f>VLOOKUP(TableRBRanks3141[[#This Row],[Player]],RB!B:O,5,FALSE)</f>
        <v>0</v>
      </c>
      <c r="V95" s="100">
        <f>VLOOKUP(TableRBRanks3141[[#This Row],[Player]],RB!B:O,6,FALSE)</f>
        <v>0</v>
      </c>
      <c r="W95" s="100">
        <f>VLOOKUP(TableRBRanks3141[[#This Row],[Player]],RB!B:O,7,FALSE)</f>
        <v>0</v>
      </c>
      <c r="X95" s="100">
        <f>VLOOKUP(TableRBRanks3141[[#This Row],[Player]],RB!B:O,8,FALSE)</f>
        <v>0</v>
      </c>
      <c r="Y95" s="100">
        <f>VLOOKUP(TableRBRanks3141[[#This Row],[Player]],RB!B:O,9,FALSE)</f>
        <v>0</v>
      </c>
      <c r="Z95" s="100">
        <f>VLOOKUP(TableRBRanks3141[[#This Row],[Player]],RB!B:O,10,FALSE)</f>
        <v>0</v>
      </c>
      <c r="AA95" s="95">
        <f>VLOOKUP(TableRBRanks3141[[#This Row],[Player]],RB!B:O,14,FALSE)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VLOOKUP(TableWRRanks3242[[#This Row],[RK]],Rankings!A:T,13,FALSE)</f>
        <v>Olamide Zaccheaus</v>
      </c>
      <c r="AF95" s="58" t="str">
        <f>IFERROR(INDEX(TableWRCalcPts[TM],MATCH(TableWRRanks3242[[#This Row],[Player]],TableWRCalcPts[PLAYER],0)),"")</f>
        <v>ATL</v>
      </c>
      <c r="AG95" s="58">
        <f>IFERROR(INDEX(TableWRCalcPts[BYE],MATCH(TableWRRanks3242[[#This Row],[Player]],TableWRCalcPts[PLAYER],0)),"")</f>
        <v>11</v>
      </c>
      <c r="AH95" s="100">
        <f>VLOOKUP(TableWRRanks3242[[#This Row],[Player]],WR!B:O,4,FALSE)</f>
        <v>0</v>
      </c>
      <c r="AI95" s="100">
        <f>VLOOKUP(TableWRRanks3242[[#This Row],[Player]],WR!B:O,5,FALSE)</f>
        <v>0</v>
      </c>
      <c r="AJ95" s="100">
        <f>VLOOKUP(TableWRRanks3242[[#This Row],[Player]],WR!B:O,6,FALSE)</f>
        <v>46.547887120000013</v>
      </c>
      <c r="AK95" s="100">
        <f>VLOOKUP(TableWRRanks3242[[#This Row],[Player]],WR!B:O,7,FALSE)</f>
        <v>30.19048217180514</v>
      </c>
      <c r="AL95" s="100">
        <f>VLOOKUP(TableWRRanks3242[[#This Row],[Player]],WR!B:O,8,FALSE)</f>
        <v>304.01815547007777</v>
      </c>
      <c r="AM95" s="100">
        <f>VLOOKUP(TableWRRanks3242[[#This Row],[Player]],WR!B:O,9,FALSE)</f>
        <v>1.5614429057625647</v>
      </c>
      <c r="AN95" s="95">
        <f>VLOOKUP(TableWRRanks3242[[#This Row],[Player]],WR!B:O,13,FALSE)</f>
        <v>54.86571406748574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VLOOKUP(TableTERanks3343[[#This Row],[RK]],Rankings!A:T,18,FALSE)</f>
        <v>0</v>
      </c>
      <c r="AS95" s="58" t="str">
        <f>IFERROR(INDEX(TableTECalcPts[TM],MATCH(TableTERanks3343[[#This Row],[Player]],TableTECalcPts[PLAYER],0)),"")</f>
        <v/>
      </c>
      <c r="AT95" s="58" t="str">
        <f>IFERROR(INDEX(TableTECalcPts[BYE],MATCH(TableTERanks3343[[#This Row],[Player]],TableTECalcPts[PLAYER],0)),"")</f>
        <v/>
      </c>
      <c r="AU95" s="100">
        <f>VLOOKUP(TableTERanks3343[[#This Row],[Player]],TE!B:O,4,FALSE)</f>
        <v>0</v>
      </c>
      <c r="AV95" s="100">
        <f>VLOOKUP(TableTERanks3343[[#This Row],[Player]],TE!B:O,5,FALSE)</f>
        <v>0</v>
      </c>
      <c r="AW95" s="100">
        <f>VLOOKUP(TableTERanks3343[[#This Row],[Player]],TE!B:O,6,FALSE)</f>
        <v>0</v>
      </c>
      <c r="AX95" s="100">
        <f>VLOOKUP(TableTERanks3343[[#This Row],[Player]],TE!B:O,7,FALSE)</f>
        <v>0</v>
      </c>
      <c r="AY95" s="95">
        <f>VLOOKUP(TableTERanks3343[[#This Row],[Player]],TE!B:O,11,FALSE)</f>
        <v>0</v>
      </c>
      <c r="AZ95" s="140" t="e">
        <f>IF(VLOOKUP(TableTERanks3343[[#This Row],[Player]],'Ranks w Proj'!$AR:$AZ,9,FALSE)&lt;0,0,VLOOKUP(TableTERanks3343[[#This Row],[Player]],'Ranks w Proj'!$AR:$AZ,9,FALSE))</f>
        <v>#N/A</v>
      </c>
    </row>
    <row r="96" spans="16:52" x14ac:dyDescent="0.25">
      <c r="P96" s="58">
        <v>95</v>
      </c>
      <c r="Q96" s="58">
        <f>VLOOKUP(TableRBRanks3141[[#This Row],[RK]],Rankings!A:T,8,FALSE)</f>
        <v>0</v>
      </c>
      <c r="R96" s="58" t="str">
        <f>IFERROR(INDEX(TableRBCalcPts[TM],MATCH(TableRBRanks3141[[#This Row],[Player]],TableRBCalcPts[PLAYER],0)),"")</f>
        <v/>
      </c>
      <c r="S96" s="58" t="str">
        <f>IFERROR(INDEX(TableRBCalcPts[BYE],MATCH(TableRBRanks3141[[#This Row],[Player]],TableRBCalcPts[PLAYER],0)),"")</f>
        <v/>
      </c>
      <c r="T96" s="100">
        <f>VLOOKUP(TableRBRanks3141[[#This Row],[Player]],RB!B:O,4,FALSE)</f>
        <v>0</v>
      </c>
      <c r="U96" s="100">
        <f>VLOOKUP(TableRBRanks3141[[#This Row],[Player]],RB!B:O,5,FALSE)</f>
        <v>0</v>
      </c>
      <c r="V96" s="100">
        <f>VLOOKUP(TableRBRanks3141[[#This Row],[Player]],RB!B:O,6,FALSE)</f>
        <v>0</v>
      </c>
      <c r="W96" s="100">
        <f>VLOOKUP(TableRBRanks3141[[#This Row],[Player]],RB!B:O,7,FALSE)</f>
        <v>0</v>
      </c>
      <c r="X96" s="100">
        <f>VLOOKUP(TableRBRanks3141[[#This Row],[Player]],RB!B:O,8,FALSE)</f>
        <v>0</v>
      </c>
      <c r="Y96" s="100">
        <f>VLOOKUP(TableRBRanks3141[[#This Row],[Player]],RB!B:O,9,FALSE)</f>
        <v>0</v>
      </c>
      <c r="Z96" s="100">
        <f>VLOOKUP(TableRBRanks3141[[#This Row],[Player]],RB!B:O,10,FALSE)</f>
        <v>0</v>
      </c>
      <c r="AA96" s="95">
        <f>VLOOKUP(TableRBRanks3141[[#This Row],[Player]],RB!B:O,14,FALSE)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VLOOKUP(TableWRRanks3242[[#This Row],[RK]],Rankings!A:T,13,FALSE)</f>
        <v>Xavier Legette</v>
      </c>
      <c r="AF96" s="58" t="str">
        <f>IFERROR(INDEX(TableWRCalcPts[TM],MATCH(TableWRRanks3242[[#This Row],[Player]],TableWRCalcPts[PLAYER],0)),"")</f>
        <v>CAR</v>
      </c>
      <c r="AG96" s="58">
        <f>IFERROR(INDEX(TableWRCalcPts[BYE],MATCH(TableWRRanks3242[[#This Row],[Player]],TableWRCalcPts[PLAYER],0)),"")</f>
        <v>5</v>
      </c>
      <c r="AH96" s="100">
        <f>VLOOKUP(TableWRRanks3242[[#This Row],[Player]],WR!B:O,4,FALSE)</f>
        <v>0</v>
      </c>
      <c r="AI96" s="100">
        <f>VLOOKUP(TableWRRanks3242[[#This Row],[Player]],WR!B:O,5,FALSE)</f>
        <v>0</v>
      </c>
      <c r="AJ96" s="100">
        <f>VLOOKUP(TableWRRanks3242[[#This Row],[Player]],WR!B:O,6,FALSE)</f>
        <v>47.923028999999993</v>
      </c>
      <c r="AK96" s="100">
        <f>VLOOKUP(TableWRRanks3242[[#This Row],[Player]],WR!B:O,7,FALSE)</f>
        <v>28.945509515999994</v>
      </c>
      <c r="AL96" s="100">
        <f>VLOOKUP(TableWRRanks3242[[#This Row],[Player]],WR!B:O,8,FALSE)</f>
        <v>298.90970693152786</v>
      </c>
      <c r="AM96" s="100">
        <f>VLOOKUP(TableWRRanks3242[[#This Row],[Player]],WR!B:O,9,FALSE)</f>
        <v>2.4314227993439999</v>
      </c>
      <c r="AN96" s="95">
        <f>VLOOKUP(TableWRRanks3242[[#This Row],[Player]],WR!B:O,13,FALSE)</f>
        <v>58.952262247216787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VLOOKUP(TableTERanks3343[[#This Row],[RK]],Rankings!A:T,18,FALSE)</f>
        <v>0</v>
      </c>
      <c r="AS96" s="58" t="str">
        <f>IFERROR(INDEX(TableTECalcPts[TM],MATCH(TableTERanks3343[[#This Row],[Player]],TableTECalcPts[PLAYER],0)),"")</f>
        <v/>
      </c>
      <c r="AT96" s="58" t="str">
        <f>IFERROR(INDEX(TableTECalcPts[BYE],MATCH(TableTERanks3343[[#This Row],[Player]],TableTECalcPts[PLAYER],0)),"")</f>
        <v/>
      </c>
      <c r="AU96" s="100">
        <f>VLOOKUP(TableTERanks3343[[#This Row],[Player]],TE!B:O,4,FALSE)</f>
        <v>0</v>
      </c>
      <c r="AV96" s="100">
        <f>VLOOKUP(TableTERanks3343[[#This Row],[Player]],TE!B:O,5,FALSE)</f>
        <v>0</v>
      </c>
      <c r="AW96" s="100">
        <f>VLOOKUP(TableTERanks3343[[#This Row],[Player]],TE!B:O,6,FALSE)</f>
        <v>0</v>
      </c>
      <c r="AX96" s="100">
        <f>VLOOKUP(TableTERanks3343[[#This Row],[Player]],TE!B:O,7,FALSE)</f>
        <v>0</v>
      </c>
      <c r="AY96" s="95">
        <f>VLOOKUP(TableTERanks3343[[#This Row],[Player]],TE!B:O,11,FALSE)</f>
        <v>0</v>
      </c>
      <c r="AZ96" s="140" t="e">
        <f>IF(VLOOKUP(TableTERanks3343[[#This Row],[Player]],'Ranks w Proj'!$AR:$AZ,9,FALSE)&lt;0,0,VLOOKUP(TableTERanks3343[[#This Row],[Player]],'Ranks w Proj'!$AR:$AZ,9,FALSE))</f>
        <v>#N/A</v>
      </c>
    </row>
    <row r="97" spans="16:52" x14ac:dyDescent="0.25">
      <c r="P97" s="58">
        <v>96</v>
      </c>
      <c r="Q97" s="58">
        <f>VLOOKUP(TableRBRanks3141[[#This Row],[RK]],Rankings!A:T,8,FALSE)</f>
        <v>0</v>
      </c>
      <c r="R97" s="58" t="str">
        <f>IFERROR(INDEX(TableRBCalcPts[TM],MATCH(TableRBRanks3141[[#This Row],[Player]],TableRBCalcPts[PLAYER],0)),"")</f>
        <v/>
      </c>
      <c r="S97" s="58" t="str">
        <f>IFERROR(INDEX(TableRBCalcPts[BYE],MATCH(TableRBRanks3141[[#This Row],[Player]],TableRBCalcPts[PLAYER],0)),"")</f>
        <v/>
      </c>
      <c r="T97" s="100">
        <f>VLOOKUP(TableRBRanks3141[[#This Row],[Player]],RB!B:O,4,FALSE)</f>
        <v>0</v>
      </c>
      <c r="U97" s="100">
        <f>VLOOKUP(TableRBRanks3141[[#This Row],[Player]],RB!B:O,5,FALSE)</f>
        <v>0</v>
      </c>
      <c r="V97" s="100">
        <f>VLOOKUP(TableRBRanks3141[[#This Row],[Player]],RB!B:O,6,FALSE)</f>
        <v>0</v>
      </c>
      <c r="W97" s="100">
        <f>VLOOKUP(TableRBRanks3141[[#This Row],[Player]],RB!B:O,7,FALSE)</f>
        <v>0</v>
      </c>
      <c r="X97" s="100">
        <f>VLOOKUP(TableRBRanks3141[[#This Row],[Player]],RB!B:O,8,FALSE)</f>
        <v>0</v>
      </c>
      <c r="Y97" s="100">
        <f>VLOOKUP(TableRBRanks3141[[#This Row],[Player]],RB!B:O,9,FALSE)</f>
        <v>0</v>
      </c>
      <c r="Z97" s="100">
        <f>VLOOKUP(TableRBRanks3141[[#This Row],[Player]],RB!B:O,10,FALSE)</f>
        <v>0</v>
      </c>
      <c r="AA97" s="95">
        <f>VLOOKUP(TableRBRanks3141[[#This Row],[Player]],RB!B:O,14,FALSE)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VLOOKUP(TableWRRanks3242[[#This Row],[RK]],Rankings!A:T,13,FALSE)</f>
        <v>Jalen Tolbert</v>
      </c>
      <c r="AF97" s="58" t="str">
        <f>IFERROR(INDEX(TableWRCalcPts[TM],MATCH(TableWRRanks3242[[#This Row],[Player]],TableWRCalcPts[PLAYER],0)),"")</f>
        <v>MIA</v>
      </c>
      <c r="AG97" s="58">
        <f>IFERROR(INDEX(TableWRCalcPts[BYE],MATCH(TableWRRanks3242[[#This Row],[Player]],TableWRCalcPts[PLAYER],0)),"")</f>
        <v>6</v>
      </c>
      <c r="AH97" s="100">
        <f>VLOOKUP(TableWRRanks3242[[#This Row],[Player]],WR!B:O,4,FALSE)</f>
        <v>0</v>
      </c>
      <c r="AI97" s="100">
        <f>VLOOKUP(TableWRRanks3242[[#This Row],[Player]],WR!B:O,5,FALSE)</f>
        <v>0</v>
      </c>
      <c r="AJ97" s="100">
        <f>VLOOKUP(TableWRRanks3242[[#This Row],[Player]],WR!B:O,6,FALSE)</f>
        <v>70.912376639999991</v>
      </c>
      <c r="AK97" s="100">
        <f>VLOOKUP(TableWRRanks3242[[#This Row],[Player]],WR!B:O,7,FALSE)</f>
        <v>48.787715128319988</v>
      </c>
      <c r="AL97" s="100">
        <f>VLOOKUP(TableWRRanks3242[[#This Row],[Player]],WR!B:O,8,FALSE)</f>
        <v>566.91324979107821</v>
      </c>
      <c r="AM97" s="100">
        <f>VLOOKUP(TableWRRanks3242[[#This Row],[Player]],WR!B:O,9,FALSE)</f>
        <v>3.1224137682124793</v>
      </c>
      <c r="AN97" s="95">
        <f>VLOOKUP(TableWRRanks3242[[#This Row],[Player]],WR!B:O,13,FALSE)</f>
        <v>99.819665152542697</v>
      </c>
      <c r="AO97" s="140">
        <f>IF(VLOOKUP(TableWRRanks3242[[#This Row],[Player]],'Ranks w Proj'!$AE:$AO,11,FALSE)&lt;0,0,VLOOKUP(TableWRRanks3242[[#This Row],[Player]],'Ranks w Proj'!$AE:$AO,11,FALSE))</f>
        <v>1.7915086608268136</v>
      </c>
      <c r="AQ97" s="58">
        <v>96</v>
      </c>
      <c r="AR97" s="58">
        <f>VLOOKUP(TableTERanks3343[[#This Row],[RK]],Rankings!A:T,18,FALSE)</f>
        <v>0</v>
      </c>
      <c r="AS97" s="58" t="str">
        <f>IFERROR(INDEX(TableTECalcPts[TM],MATCH(TableTERanks3343[[#This Row],[Player]],TableTECalcPts[PLAYER],0)),"")</f>
        <v/>
      </c>
      <c r="AT97" s="58" t="str">
        <f>IFERROR(INDEX(TableTECalcPts[BYE],MATCH(TableTERanks3343[[#This Row],[Player]],TableTECalcPts[PLAYER],0)),"")</f>
        <v/>
      </c>
      <c r="AU97" s="100">
        <f>VLOOKUP(TableTERanks3343[[#This Row],[Player]],TE!B:O,4,FALSE)</f>
        <v>0</v>
      </c>
      <c r="AV97" s="100">
        <f>VLOOKUP(TableTERanks3343[[#This Row],[Player]],TE!B:O,5,FALSE)</f>
        <v>0</v>
      </c>
      <c r="AW97" s="100">
        <f>VLOOKUP(TableTERanks3343[[#This Row],[Player]],TE!B:O,6,FALSE)</f>
        <v>0</v>
      </c>
      <c r="AX97" s="100">
        <f>VLOOKUP(TableTERanks3343[[#This Row],[Player]],TE!B:O,7,FALSE)</f>
        <v>0</v>
      </c>
      <c r="AY97" s="95">
        <f>VLOOKUP(TableTERanks3343[[#This Row],[Player]],TE!B:O,11,FALSE)</f>
        <v>0</v>
      </c>
      <c r="AZ97" s="140" t="e">
        <f>IF(VLOOKUP(TableTERanks3343[[#This Row],[Player]],'Ranks w Proj'!$AR:$AZ,9,FALSE)&lt;0,0,VLOOKUP(TableTERanks3343[[#This Row],[Player]],'Ranks w Proj'!$AR:$AZ,9,FALSE))</f>
        <v>#N/A</v>
      </c>
    </row>
    <row r="98" spans="16:52" x14ac:dyDescent="0.25">
      <c r="P98" s="58">
        <v>97</v>
      </c>
      <c r="Q98" s="58">
        <f>VLOOKUP(TableRBRanks3141[[#This Row],[RK]],Rankings!A:T,8,FALSE)</f>
        <v>0</v>
      </c>
      <c r="R98" s="58" t="str">
        <f>IFERROR(INDEX(TableRBCalcPts[TM],MATCH(TableRBRanks3141[[#This Row],[Player]],TableRBCalcPts[PLAYER],0)),"")</f>
        <v/>
      </c>
      <c r="S98" s="58" t="str">
        <f>IFERROR(INDEX(TableRBCalcPts[BYE],MATCH(TableRBRanks3141[[#This Row],[Player]],TableRBCalcPts[PLAYER],0)),"")</f>
        <v/>
      </c>
      <c r="T98" s="100">
        <f>VLOOKUP(TableRBRanks3141[[#This Row],[Player]],RB!B:O,4,FALSE)</f>
        <v>0</v>
      </c>
      <c r="U98" s="100">
        <f>VLOOKUP(TableRBRanks3141[[#This Row],[Player]],RB!B:O,5,FALSE)</f>
        <v>0</v>
      </c>
      <c r="V98" s="100">
        <f>VLOOKUP(TableRBRanks3141[[#This Row],[Player]],RB!B:O,6,FALSE)</f>
        <v>0</v>
      </c>
      <c r="W98" s="100">
        <f>VLOOKUP(TableRBRanks3141[[#This Row],[Player]],RB!B:O,7,FALSE)</f>
        <v>0</v>
      </c>
      <c r="X98" s="100">
        <f>VLOOKUP(TableRBRanks3141[[#This Row],[Player]],RB!B:O,8,FALSE)</f>
        <v>0</v>
      </c>
      <c r="Y98" s="100">
        <f>VLOOKUP(TableRBRanks3141[[#This Row],[Player]],RB!B:O,9,FALSE)</f>
        <v>0</v>
      </c>
      <c r="Z98" s="100">
        <f>VLOOKUP(TableRBRanks3141[[#This Row],[Player]],RB!B:O,10,FALSE)</f>
        <v>0</v>
      </c>
      <c r="AA98" s="95">
        <f>VLOOKUP(TableRBRanks3141[[#This Row],[Player]],RB!B:O,14,FALSE)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VLOOKUP(TableWRRanks3242[[#This Row],[RK]],Rankings!A:T,13,FALSE)</f>
        <v>Mack Hollins</v>
      </c>
      <c r="AF98" s="58" t="str">
        <f>IFERROR(INDEX(TableWRCalcPts[TM],MATCH(TableWRRanks3242[[#This Row],[Player]],TableWRCalcPts[PLAYER],0)),"")</f>
        <v>NE</v>
      </c>
      <c r="AG98" s="58">
        <f>IFERROR(INDEX(TableWRCalcPts[BYE],MATCH(TableWRRanks3242[[#This Row],[Player]],TableWRCalcPts[PLAYER],0)),"")</f>
        <v>11</v>
      </c>
      <c r="AH98" s="100">
        <f>VLOOKUP(TableWRRanks3242[[#This Row],[Player]],WR!B:O,4,FALSE)</f>
        <v>6.6663029999999992</v>
      </c>
      <c r="AI98" s="100">
        <f>VLOOKUP(TableWRRanks3242[[#This Row],[Player]],WR!B:O,5,FALSE)</f>
        <v>1.5554706999999999E-2</v>
      </c>
      <c r="AJ98" s="100">
        <f>VLOOKUP(TableWRRanks3242[[#This Row],[Player]],WR!B:O,6,FALSE)</f>
        <v>27.814369799999984</v>
      </c>
      <c r="AK98" s="100">
        <f>VLOOKUP(TableWRRanks3242[[#This Row],[Player]],WR!B:O,7,FALSE)</f>
        <v>19.887274406999989</v>
      </c>
      <c r="AL98" s="100">
        <f>VLOOKUP(TableWRRanks3242[[#This Row],[Player]],WR!B:O,8,FALSE)</f>
        <v>232.33389638627654</v>
      </c>
      <c r="AM98" s="100">
        <f>VLOOKUP(TableWRRanks3242[[#This Row],[Player]],WR!B:O,9,FALSE)</f>
        <v>1.4119964828969991</v>
      </c>
      <c r="AN98" s="95">
        <f>VLOOKUP(TableWRRanks3242[[#This Row],[Player]],WR!B:O,13,FALSE)</f>
        <v>42.408964281509647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VLOOKUP(TableTERanks3343[[#This Row],[RK]],Rankings!A:T,18,FALSE)</f>
        <v>0</v>
      </c>
      <c r="AS98" s="58" t="str">
        <f>IFERROR(INDEX(TableTECalcPts[TM],MATCH(TableTERanks3343[[#This Row],[Player]],TableTECalcPts[PLAYER],0)),"")</f>
        <v/>
      </c>
      <c r="AT98" s="58" t="str">
        <f>IFERROR(INDEX(TableTECalcPts[BYE],MATCH(TableTERanks3343[[#This Row],[Player]],TableTECalcPts[PLAYER],0)),"")</f>
        <v/>
      </c>
      <c r="AU98" s="100">
        <f>VLOOKUP(TableTERanks3343[[#This Row],[Player]],TE!B:O,4,FALSE)</f>
        <v>0</v>
      </c>
      <c r="AV98" s="100">
        <f>VLOOKUP(TableTERanks3343[[#This Row],[Player]],TE!B:O,5,FALSE)</f>
        <v>0</v>
      </c>
      <c r="AW98" s="100">
        <f>VLOOKUP(TableTERanks3343[[#This Row],[Player]],TE!B:O,6,FALSE)</f>
        <v>0</v>
      </c>
      <c r="AX98" s="100">
        <f>VLOOKUP(TableTERanks3343[[#This Row],[Player]],TE!B:O,7,FALSE)</f>
        <v>0</v>
      </c>
      <c r="AY98" s="95">
        <f>VLOOKUP(TableTERanks3343[[#This Row],[Player]],TE!B:O,11,FALSE)</f>
        <v>0</v>
      </c>
      <c r="AZ98" s="140" t="e">
        <f>IF(VLOOKUP(TableTERanks3343[[#This Row],[Player]],'Ranks w Proj'!$AR:$AZ,9,FALSE)&lt;0,0,VLOOKUP(TableTERanks3343[[#This Row],[Player]],'Ranks w Proj'!$AR:$AZ,9,FALSE))</f>
        <v>#N/A</v>
      </c>
    </row>
    <row r="99" spans="16:52" x14ac:dyDescent="0.25">
      <c r="P99" s="58">
        <v>98</v>
      </c>
      <c r="Q99" s="58">
        <f>VLOOKUP(TableRBRanks3141[[#This Row],[RK]],Rankings!A:T,8,FALSE)</f>
        <v>0</v>
      </c>
      <c r="R99" s="58" t="str">
        <f>IFERROR(INDEX(TableRBCalcPts[TM],MATCH(TableRBRanks3141[[#This Row],[Player]],TableRBCalcPts[PLAYER],0)),"")</f>
        <v/>
      </c>
      <c r="S99" s="58" t="str">
        <f>IFERROR(INDEX(TableRBCalcPts[BYE],MATCH(TableRBRanks3141[[#This Row],[Player]],TableRBCalcPts[PLAYER],0)),"")</f>
        <v/>
      </c>
      <c r="T99" s="100">
        <f>VLOOKUP(TableRBRanks3141[[#This Row],[Player]],RB!B:O,4,FALSE)</f>
        <v>0</v>
      </c>
      <c r="U99" s="100">
        <f>VLOOKUP(TableRBRanks3141[[#This Row],[Player]],RB!B:O,5,FALSE)</f>
        <v>0</v>
      </c>
      <c r="V99" s="100">
        <f>VLOOKUP(TableRBRanks3141[[#This Row],[Player]],RB!B:O,6,FALSE)</f>
        <v>0</v>
      </c>
      <c r="W99" s="100">
        <f>VLOOKUP(TableRBRanks3141[[#This Row],[Player]],RB!B:O,7,FALSE)</f>
        <v>0</v>
      </c>
      <c r="X99" s="100">
        <f>VLOOKUP(TableRBRanks3141[[#This Row],[Player]],RB!B:O,8,FALSE)</f>
        <v>0</v>
      </c>
      <c r="Y99" s="100">
        <f>VLOOKUP(TableRBRanks3141[[#This Row],[Player]],RB!B:O,9,FALSE)</f>
        <v>0</v>
      </c>
      <c r="Z99" s="100">
        <f>VLOOKUP(TableRBRanks3141[[#This Row],[Player]],RB!B:O,10,FALSE)</f>
        <v>0</v>
      </c>
      <c r="AA99" s="95">
        <f>VLOOKUP(TableRBRanks3141[[#This Row],[Player]],RB!B:O,14,FALSE)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VLOOKUP(TableWRRanks3242[[#This Row],[RK]],Rankings!A:T,13,FALSE)</f>
        <v>Elijah Sarratt</v>
      </c>
      <c r="AF99" s="58" t="str">
        <f>IFERROR(INDEX(TableWRCalcPts[TM],MATCH(TableWRRanks3242[[#This Row],[Player]],TableWRCalcPts[PLAYER],0)),"")</f>
        <v>BAL</v>
      </c>
      <c r="AG99" s="58">
        <f>IFERROR(INDEX(TableWRCalcPts[BYE],MATCH(TableWRRanks3242[[#This Row],[Player]],TableWRCalcPts[PLAYER],0)),"")</f>
        <v>13</v>
      </c>
      <c r="AH99" s="100">
        <f>VLOOKUP(TableWRRanks3242[[#This Row],[Player]],WR!B:O,4,FALSE)</f>
        <v>0</v>
      </c>
      <c r="AI99" s="100">
        <f>VLOOKUP(TableWRRanks3242[[#This Row],[Player]],WR!B:O,5,FALSE)</f>
        <v>0</v>
      </c>
      <c r="AJ99" s="100">
        <f>VLOOKUP(TableWRRanks3242[[#This Row],[Player]],WR!B:O,6,FALSE)</f>
        <v>44.6462912</v>
      </c>
      <c r="AK99" s="100">
        <f>VLOOKUP(TableWRRanks3242[[#This Row],[Player]],WR!B:O,7,FALSE)</f>
        <v>26.207184553424476</v>
      </c>
      <c r="AL99" s="100">
        <f>VLOOKUP(TableWRRanks3242[[#This Row],[Player]],WR!B:O,8,FALSE)</f>
        <v>361.32337658647765</v>
      </c>
      <c r="AM99" s="100">
        <f>VLOOKUP(TableWRRanks3242[[#This Row],[Player]],WR!B:O,9,FALSE)</f>
        <v>2.5158897171287498</v>
      </c>
      <c r="AN99" s="95">
        <f>VLOOKUP(TableWRRanks3242[[#This Row],[Player]],WR!B:O,13,FALSE)</f>
        <v>64.331268238132509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VLOOKUP(TableTERanks3343[[#This Row],[RK]],Rankings!A:T,18,FALSE)</f>
        <v>0</v>
      </c>
      <c r="AS99" s="58" t="str">
        <f>IFERROR(INDEX(TableTECalcPts[TM],MATCH(TableTERanks3343[[#This Row],[Player]],TableTECalcPts[PLAYER],0)),"")</f>
        <v/>
      </c>
      <c r="AT99" s="58" t="str">
        <f>IFERROR(INDEX(TableTECalcPts[BYE],MATCH(TableTERanks3343[[#This Row],[Player]],TableTECalcPts[PLAYER],0)),"")</f>
        <v/>
      </c>
      <c r="AU99" s="100">
        <f>VLOOKUP(TableTERanks3343[[#This Row],[Player]],TE!B:O,4,FALSE)</f>
        <v>0</v>
      </c>
      <c r="AV99" s="100">
        <f>VLOOKUP(TableTERanks3343[[#This Row],[Player]],TE!B:O,5,FALSE)</f>
        <v>0</v>
      </c>
      <c r="AW99" s="100">
        <f>VLOOKUP(TableTERanks3343[[#This Row],[Player]],TE!B:O,6,FALSE)</f>
        <v>0</v>
      </c>
      <c r="AX99" s="100">
        <f>VLOOKUP(TableTERanks3343[[#This Row],[Player]],TE!B:O,7,FALSE)</f>
        <v>0</v>
      </c>
      <c r="AY99" s="95">
        <f>VLOOKUP(TableTERanks3343[[#This Row],[Player]],TE!B:O,11,FALSE)</f>
        <v>0</v>
      </c>
      <c r="AZ99" s="140" t="e">
        <f>IF(VLOOKUP(TableTERanks3343[[#This Row],[Player]],'Ranks w Proj'!$AR:$AZ,9,FALSE)&lt;0,0,VLOOKUP(TableTERanks3343[[#This Row],[Player]],'Ranks w Proj'!$AR:$AZ,9,FALSE))</f>
        <v>#N/A</v>
      </c>
    </row>
    <row r="100" spans="16:52" x14ac:dyDescent="0.25">
      <c r="P100" s="58">
        <v>99</v>
      </c>
      <c r="Q100" s="58">
        <f>VLOOKUP(TableRBRanks3141[[#This Row],[RK]],Rankings!A:T,8,FALSE)</f>
        <v>0</v>
      </c>
      <c r="R100" s="58" t="str">
        <f>IFERROR(INDEX(TableRBCalcPts[TM],MATCH(TableRBRanks3141[[#This Row],[Player]],TableRBCalcPts[PLAYER],0)),"")</f>
        <v/>
      </c>
      <c r="S100" s="58" t="str">
        <f>IFERROR(INDEX(TableRBCalcPts[BYE],MATCH(TableRBRanks3141[[#This Row],[Player]],TableRBCalcPts[PLAYER],0)),"")</f>
        <v/>
      </c>
      <c r="T100" s="100">
        <f>VLOOKUP(TableRBRanks3141[[#This Row],[Player]],RB!B:O,4,FALSE)</f>
        <v>0</v>
      </c>
      <c r="U100" s="100">
        <f>VLOOKUP(TableRBRanks3141[[#This Row],[Player]],RB!B:O,5,FALSE)</f>
        <v>0</v>
      </c>
      <c r="V100" s="100">
        <f>VLOOKUP(TableRBRanks3141[[#This Row],[Player]],RB!B:O,6,FALSE)</f>
        <v>0</v>
      </c>
      <c r="W100" s="100">
        <f>VLOOKUP(TableRBRanks3141[[#This Row],[Player]],RB!B:O,7,FALSE)</f>
        <v>0</v>
      </c>
      <c r="X100" s="100">
        <f>VLOOKUP(TableRBRanks3141[[#This Row],[Player]],RB!B:O,8,FALSE)</f>
        <v>0</v>
      </c>
      <c r="Y100" s="100">
        <f>VLOOKUP(TableRBRanks3141[[#This Row],[Player]],RB!B:O,9,FALSE)</f>
        <v>0</v>
      </c>
      <c r="Z100" s="100">
        <f>VLOOKUP(TableRBRanks3141[[#This Row],[Player]],RB!B:O,10,FALSE)</f>
        <v>0</v>
      </c>
      <c r="AA100" s="95">
        <f>VLOOKUP(TableRBRanks3141[[#This Row],[Player]],RB!B:O,14,FALSE)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VLOOKUP(TableWRRanks3242[[#This Row],[RK]],Rankings!A:T,13,FALSE)</f>
        <v>KaVontae Turpin</v>
      </c>
      <c r="AF100" s="58" t="str">
        <f>IFERROR(INDEX(TableWRCalcPts[TM],MATCH(TableWRRanks3242[[#This Row],[Player]],TableWRCalcPts[PLAYER],0)),"")</f>
        <v>DAL</v>
      </c>
      <c r="AG100" s="58">
        <f>IFERROR(INDEX(TableWRCalcPts[BYE],MATCH(TableWRRanks3242[[#This Row],[Player]],TableWRCalcPts[PLAYER],0)),"")</f>
        <v>14</v>
      </c>
      <c r="AH100" s="100">
        <f>VLOOKUP(TableWRRanks3242[[#This Row],[Player]],WR!B:O,4,FALSE)</f>
        <v>85.88473528786632</v>
      </c>
      <c r="AI100" s="100">
        <f>VLOOKUP(TableWRRanks3242[[#This Row],[Player]],WR!B:O,5,FALSE)</f>
        <v>0.14827909616178298</v>
      </c>
      <c r="AJ100" s="100">
        <f>VLOOKUP(TableWRRanks3242[[#This Row],[Player]],WR!B:O,6,FALSE)</f>
        <v>33.754767199999996</v>
      </c>
      <c r="AK100" s="100">
        <f>VLOOKUP(TableWRRanks3242[[#This Row],[Player]],WR!B:O,7,FALSE)</f>
        <v>24.100903780799996</v>
      </c>
      <c r="AL100" s="100">
        <f>VLOOKUP(TableWRRanks3242[[#This Row],[Player]],WR!B:O,8,FALSE)</f>
        <v>303.37231656835706</v>
      </c>
      <c r="AM100" s="100">
        <f>VLOOKUP(TableWRRanks3242[[#This Row],[Player]],WR!B:O,9,FALSE)</f>
        <v>2.0726777251487993</v>
      </c>
      <c r="AN100" s="95">
        <f>VLOOKUP(TableWRRanks3242[[#This Row],[Player]],WR!B:O,13,FALSE)</f>
        <v>64.301898003885839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VLOOKUP(TableTERanks3343[[#This Row],[RK]],Rankings!A:T,18,FALSE)</f>
        <v>0</v>
      </c>
      <c r="AS100" s="58" t="str">
        <f>IFERROR(INDEX(TableTECalcPts[TM],MATCH(TableTERanks3343[[#This Row],[Player]],TableTECalcPts[PLAYER],0)),"")</f>
        <v/>
      </c>
      <c r="AT100" s="58" t="str">
        <f>IFERROR(INDEX(TableTECalcPts[BYE],MATCH(TableTERanks3343[[#This Row],[Player]],TableTECalcPts[PLAYER],0)),"")</f>
        <v/>
      </c>
      <c r="AU100" s="100">
        <f>VLOOKUP(TableTERanks3343[[#This Row],[Player]],TE!B:O,4,FALSE)</f>
        <v>0</v>
      </c>
      <c r="AV100" s="100">
        <f>VLOOKUP(TableTERanks3343[[#This Row],[Player]],TE!B:O,5,FALSE)</f>
        <v>0</v>
      </c>
      <c r="AW100" s="100">
        <f>VLOOKUP(TableTERanks3343[[#This Row],[Player]],TE!B:O,6,FALSE)</f>
        <v>0</v>
      </c>
      <c r="AX100" s="100">
        <f>VLOOKUP(TableTERanks3343[[#This Row],[Player]],TE!B:O,7,FALSE)</f>
        <v>0</v>
      </c>
      <c r="AY100" s="95">
        <f>VLOOKUP(TableTERanks3343[[#This Row],[Player]],TE!B:O,11,FALSE)</f>
        <v>0</v>
      </c>
      <c r="AZ100" s="140" t="e">
        <f>IF(VLOOKUP(TableTERanks3343[[#This Row],[Player]],'Ranks w Proj'!$AR:$AZ,9,FALSE)&lt;0,0,VLOOKUP(TableTERanks3343[[#This Row],[Player]],'Ranks w Proj'!$AR:$AZ,9,FALSE))</f>
        <v>#N/A</v>
      </c>
    </row>
    <row r="101" spans="16:52" x14ac:dyDescent="0.25">
      <c r="P101" s="58">
        <v>100</v>
      </c>
      <c r="Q101" s="58">
        <f>VLOOKUP(TableRBRanks3141[[#This Row],[RK]],Rankings!A:T,8,FALSE)</f>
        <v>0</v>
      </c>
      <c r="R101" s="58" t="str">
        <f>IFERROR(INDEX(TableRBCalcPts[TM],MATCH(TableRBRanks3141[[#This Row],[Player]],TableRBCalcPts[PLAYER],0)),"")</f>
        <v/>
      </c>
      <c r="S101" s="58" t="str">
        <f>IFERROR(INDEX(TableRBCalcPts[BYE],MATCH(TableRBRanks3141[[#This Row],[Player]],TableRBCalcPts[PLAYER],0)),"")</f>
        <v/>
      </c>
      <c r="T101" s="100">
        <f>VLOOKUP(TableRBRanks3141[[#This Row],[Player]],RB!B:O,4,FALSE)</f>
        <v>0</v>
      </c>
      <c r="U101" s="100">
        <f>VLOOKUP(TableRBRanks3141[[#This Row],[Player]],RB!B:O,5,FALSE)</f>
        <v>0</v>
      </c>
      <c r="V101" s="100">
        <f>VLOOKUP(TableRBRanks3141[[#This Row],[Player]],RB!B:O,6,FALSE)</f>
        <v>0</v>
      </c>
      <c r="W101" s="100">
        <f>VLOOKUP(TableRBRanks3141[[#This Row],[Player]],RB!B:O,7,FALSE)</f>
        <v>0</v>
      </c>
      <c r="X101" s="100">
        <f>VLOOKUP(TableRBRanks3141[[#This Row],[Player]],RB!B:O,8,FALSE)</f>
        <v>0</v>
      </c>
      <c r="Y101" s="100">
        <f>VLOOKUP(TableRBRanks3141[[#This Row],[Player]],RB!B:O,9,FALSE)</f>
        <v>0</v>
      </c>
      <c r="Z101" s="100">
        <f>VLOOKUP(TableRBRanks3141[[#This Row],[Player]],RB!B:O,10,FALSE)</f>
        <v>0</v>
      </c>
      <c r="AA101" s="95">
        <f>VLOOKUP(TableRBRanks3141[[#This Row],[Player]],RB!B:O,14,FALSE)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VLOOKUP(TableWRRanks3242[[#This Row],[RK]],Rankings!A:T,13,FALSE)</f>
        <v>DeMario Douglas</v>
      </c>
      <c r="AF101" s="58" t="str">
        <f>IFERROR(INDEX(TableWRCalcPts[TM],MATCH(TableWRRanks3242[[#This Row],[Player]],TableWRCalcPts[PLAYER],0)),"")</f>
        <v>NE</v>
      </c>
      <c r="AG101" s="58">
        <f>IFERROR(INDEX(TableWRCalcPts[BYE],MATCH(TableWRRanks3242[[#This Row],[Player]],TableWRCalcPts[PLAYER],0)),"")</f>
        <v>11</v>
      </c>
      <c r="AH101" s="100">
        <f>VLOOKUP(TableWRRanks3242[[#This Row],[Player]],WR!B:O,4,FALSE)</f>
        <v>0</v>
      </c>
      <c r="AI101" s="100">
        <f>VLOOKUP(TableWRRanks3242[[#This Row],[Player]],WR!B:O,5,FALSE)</f>
        <v>0</v>
      </c>
      <c r="AJ101" s="100">
        <f>VLOOKUP(TableWRRanks3242[[#This Row],[Player]],WR!B:O,6,FALSE)</f>
        <v>23.996711199999989</v>
      </c>
      <c r="AK101" s="100">
        <f>VLOOKUP(TableWRRanks3242[[#This Row],[Player]],WR!B:O,7,FALSE)</f>
        <v>18.069523533599991</v>
      </c>
      <c r="AL101" s="100">
        <f>VLOOKUP(TableWRRanks3242[[#This Row],[Player]],WR!B:O,8,FALSE)</f>
        <v>226.50154011703694</v>
      </c>
      <c r="AM101" s="100">
        <f>VLOOKUP(TableWRRanks3242[[#This Row],[Player]],WR!B:O,9,FALSE)</f>
        <v>1.3010056944191992</v>
      </c>
      <c r="AN101" s="95">
        <f>VLOOKUP(TableWRRanks3242[[#This Row],[Player]],WR!B:O,13,FALSE)</f>
        <v>39.490949945018883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VLOOKUP(TableTERanks3343[[#This Row],[RK]],Rankings!A:T,18,FALSE)</f>
        <v>0</v>
      </c>
      <c r="AS101" s="58" t="str">
        <f>IFERROR(INDEX(TableTECalcPts[TM],MATCH(TableTERanks3343[[#This Row],[Player]],TableTECalcPts[PLAYER],0)),"")</f>
        <v/>
      </c>
      <c r="AT101" s="58" t="str">
        <f>IFERROR(INDEX(TableTECalcPts[BYE],MATCH(TableTERanks3343[[#This Row],[Player]],TableTECalcPts[PLAYER],0)),"")</f>
        <v/>
      </c>
      <c r="AU101" s="100">
        <f>VLOOKUP(TableTERanks3343[[#This Row],[Player]],TE!B:O,4,FALSE)</f>
        <v>0</v>
      </c>
      <c r="AV101" s="100">
        <f>VLOOKUP(TableTERanks3343[[#This Row],[Player]],TE!B:O,5,FALSE)</f>
        <v>0</v>
      </c>
      <c r="AW101" s="100">
        <f>VLOOKUP(TableTERanks3343[[#This Row],[Player]],TE!B:O,6,FALSE)</f>
        <v>0</v>
      </c>
      <c r="AX101" s="100">
        <f>VLOOKUP(TableTERanks3343[[#This Row],[Player]],TE!B:O,7,FALSE)</f>
        <v>0</v>
      </c>
      <c r="AY101" s="95">
        <f>VLOOKUP(TableTERanks3343[[#This Row],[Player]],TE!B:O,11,FALSE)</f>
        <v>0</v>
      </c>
      <c r="AZ101" s="140" t="e">
        <f>IF(VLOOKUP(TableTERanks3343[[#This Row],[Player]],'Ranks w Proj'!$AR:$AZ,9,FALSE)&lt;0,0,VLOOKUP(TableTERanks3343[[#This Row],[Player]],'Ranks w Proj'!$AR:$AZ,9,FALSE))</f>
        <v>#N/A</v>
      </c>
    </row>
    <row r="102" spans="16:52" x14ac:dyDescent="0.25">
      <c r="P102" s="58">
        <v>101</v>
      </c>
      <c r="Q102" s="58">
        <f>VLOOKUP(TableRBRanks3141[[#This Row],[RK]],Rankings!A:T,8,FALSE)</f>
        <v>0</v>
      </c>
      <c r="R102" s="58" t="str">
        <f>IFERROR(INDEX(TableRBCalcPts[TM],MATCH(TableRBRanks3141[[#This Row],[Player]],TableRBCalcPts[PLAYER],0)),"")</f>
        <v/>
      </c>
      <c r="S102" s="58" t="str">
        <f>IFERROR(INDEX(TableRBCalcPts[BYE],MATCH(TableRBRanks3141[[#This Row],[Player]],TableRBCalcPts[PLAYER],0)),"")</f>
        <v/>
      </c>
      <c r="T102" s="100">
        <f>VLOOKUP(TableRBRanks3141[[#This Row],[Player]],RB!B:O,4,FALSE)</f>
        <v>0</v>
      </c>
      <c r="U102" s="100">
        <f>VLOOKUP(TableRBRanks3141[[#This Row],[Player]],RB!B:O,5,FALSE)</f>
        <v>0</v>
      </c>
      <c r="V102" s="100">
        <f>VLOOKUP(TableRBRanks3141[[#This Row],[Player]],RB!B:O,6,FALSE)</f>
        <v>0</v>
      </c>
      <c r="W102" s="100">
        <f>VLOOKUP(TableRBRanks3141[[#This Row],[Player]],RB!B:O,7,FALSE)</f>
        <v>0</v>
      </c>
      <c r="X102" s="100">
        <f>VLOOKUP(TableRBRanks3141[[#This Row],[Player]],RB!B:O,8,FALSE)</f>
        <v>0</v>
      </c>
      <c r="Y102" s="100">
        <f>VLOOKUP(TableRBRanks3141[[#This Row],[Player]],RB!B:O,9,FALSE)</f>
        <v>0</v>
      </c>
      <c r="Z102" s="100">
        <f>VLOOKUP(TableRBRanks3141[[#This Row],[Player]],RB!B:O,10,FALSE)</f>
        <v>0</v>
      </c>
      <c r="AA102" s="95">
        <f>VLOOKUP(TableRBRanks3141[[#This Row],[Player]],RB!B:O,14,FALSE)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VLOOKUP(TableWRRanks3242[[#This Row],[RK]],Rankings!A:T,13,FALSE)</f>
        <v>Travis Hunter</v>
      </c>
      <c r="AF102" s="58" t="str">
        <f>IFERROR(INDEX(TableWRCalcPts[TM],MATCH(TableWRRanks3242[[#This Row],[Player]],TableWRCalcPts[PLAYER],0)),"")</f>
        <v>JAX</v>
      </c>
      <c r="AG102" s="58">
        <f>IFERROR(INDEX(TableWRCalcPts[BYE],MATCH(TableWRRanks3242[[#This Row],[Player]],TableWRCalcPts[PLAYER],0)),"")</f>
        <v>7</v>
      </c>
      <c r="AH102" s="100">
        <f>VLOOKUP(TableWRRanks3242[[#This Row],[Player]],WR!B:O,4,FALSE)</f>
        <v>0</v>
      </c>
      <c r="AI102" s="100">
        <f>VLOOKUP(TableWRRanks3242[[#This Row],[Player]],WR!B:O,5,FALSE)</f>
        <v>0</v>
      </c>
      <c r="AJ102" s="100">
        <f>VLOOKUP(TableWRRanks3242[[#This Row],[Player]],WR!B:O,6,FALSE)</f>
        <v>35.819078400000002</v>
      </c>
      <c r="AK102" s="100">
        <f>VLOOKUP(TableWRRanks3242[[#This Row],[Player]],WR!B:O,7,FALSE)</f>
        <v>22.351104921600001</v>
      </c>
      <c r="AL102" s="100">
        <f>VLOOKUP(TableWRRanks3242[[#This Row],[Player]],WR!B:O,8,FALSE)</f>
        <v>244.29757679308801</v>
      </c>
      <c r="AM102" s="100">
        <f>VLOOKUP(TableWRRanks3242[[#This Row],[Player]],WR!B:O,9,FALSE)</f>
        <v>1.6316306592768</v>
      </c>
      <c r="AN102" s="95">
        <f>VLOOKUP(TableWRRanks3242[[#This Row],[Player]],WR!B:O,13,FALSE)</f>
        <v>45.395094095769608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VLOOKUP(TableRBRanks3141[[#This Row],[RK]],Rankings!A:T,8,FALSE)</f>
        <v>0</v>
      </c>
      <c r="R103" s="58" t="str">
        <f>IFERROR(INDEX(TableRBCalcPts[TM],MATCH(TableRBRanks3141[[#This Row],[Player]],TableRBCalcPts[PLAYER],0)),"")</f>
        <v/>
      </c>
      <c r="S103" s="58" t="str">
        <f>IFERROR(INDEX(TableRBCalcPts[BYE],MATCH(TableRBRanks3141[[#This Row],[Player]],TableRBCalcPts[PLAYER],0)),"")</f>
        <v/>
      </c>
      <c r="T103" s="100">
        <f>VLOOKUP(TableRBRanks3141[[#This Row],[Player]],RB!B:O,4,FALSE)</f>
        <v>0</v>
      </c>
      <c r="U103" s="100">
        <f>VLOOKUP(TableRBRanks3141[[#This Row],[Player]],RB!B:O,5,FALSE)</f>
        <v>0</v>
      </c>
      <c r="V103" s="100">
        <f>VLOOKUP(TableRBRanks3141[[#This Row],[Player]],RB!B:O,6,FALSE)</f>
        <v>0</v>
      </c>
      <c r="W103" s="100">
        <f>VLOOKUP(TableRBRanks3141[[#This Row],[Player]],RB!B:O,7,FALSE)</f>
        <v>0</v>
      </c>
      <c r="X103" s="100">
        <f>VLOOKUP(TableRBRanks3141[[#This Row],[Player]],RB!B:O,8,FALSE)</f>
        <v>0</v>
      </c>
      <c r="Y103" s="100">
        <f>VLOOKUP(TableRBRanks3141[[#This Row],[Player]],RB!B:O,9,FALSE)</f>
        <v>0</v>
      </c>
      <c r="Z103" s="100">
        <f>VLOOKUP(TableRBRanks3141[[#This Row],[Player]],RB!B:O,10,FALSE)</f>
        <v>0</v>
      </c>
      <c r="AA103" s="95">
        <f>VLOOKUP(TableRBRanks3141[[#This Row],[Player]],RB!B:O,14,FALSE)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VLOOKUP(TableWRRanks3242[[#This Row],[RK]],Rankings!A:T,13,FALSE)</f>
        <v>Ja'Kobi Lane</v>
      </c>
      <c r="AF103" s="58" t="str">
        <f>IFERROR(INDEX(TableWRCalcPts[TM],MATCH(TableWRRanks3242[[#This Row],[Player]],TableWRCalcPts[PLAYER],0)),"")</f>
        <v>BAL</v>
      </c>
      <c r="AG103" s="58">
        <f>IFERROR(INDEX(TableWRCalcPts[BYE],MATCH(TableWRRanks3242[[#This Row],[Player]],TableWRCalcPts[PLAYER],0)),"")</f>
        <v>13</v>
      </c>
      <c r="AH103" s="100">
        <f>VLOOKUP(TableWRRanks3242[[#This Row],[Player]],WR!B:O,4,FALSE)</f>
        <v>0</v>
      </c>
      <c r="AI103" s="100">
        <f>VLOOKUP(TableWRRanks3242[[#This Row],[Player]],WR!B:O,5,FALSE)</f>
        <v>0</v>
      </c>
      <c r="AJ103" s="100">
        <f>VLOOKUP(TableWRRanks3242[[#This Row],[Player]],WR!B:O,6,FALSE)</f>
        <v>40.416642559999993</v>
      </c>
      <c r="AK103" s="100">
        <f>VLOOKUP(TableWRRanks3242[[#This Row],[Player]],WR!B:O,7,FALSE)</f>
        <v>23.393931829729151</v>
      </c>
      <c r="AL103" s="100">
        <f>VLOOKUP(TableWRRanks3242[[#This Row],[Player]],WR!B:O,8,FALSE)</f>
        <v>333.14545725123338</v>
      </c>
      <c r="AM103" s="100">
        <f>VLOOKUP(TableWRRanks3242[[#This Row],[Player]],WR!B:O,9,FALSE)</f>
        <v>2.3159992511431859</v>
      </c>
      <c r="AN103" s="95">
        <f>VLOOKUP(TableWRRanks3242[[#This Row],[Player]],WR!B:O,13,FALSE)</f>
        <v>58.907507146847031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VLOOKUP(TableRBRanks3141[[#This Row],[RK]],Rankings!A:T,8,FALSE)</f>
        <v>0</v>
      </c>
      <c r="R104" s="58" t="str">
        <f>IFERROR(INDEX(TableRBCalcPts[TM],MATCH(TableRBRanks3141[[#This Row],[Player]],TableRBCalcPts[PLAYER],0)),"")</f>
        <v/>
      </c>
      <c r="S104" s="58" t="str">
        <f>IFERROR(INDEX(TableRBCalcPts[BYE],MATCH(TableRBRanks3141[[#This Row],[Player]],TableRBCalcPts[PLAYER],0)),"")</f>
        <v/>
      </c>
      <c r="T104" s="100">
        <f>VLOOKUP(TableRBRanks3141[[#This Row],[Player]],RB!B:O,4,FALSE)</f>
        <v>0</v>
      </c>
      <c r="U104" s="100">
        <f>VLOOKUP(TableRBRanks3141[[#This Row],[Player]],RB!B:O,5,FALSE)</f>
        <v>0</v>
      </c>
      <c r="V104" s="100">
        <f>VLOOKUP(TableRBRanks3141[[#This Row],[Player]],RB!B:O,6,FALSE)</f>
        <v>0</v>
      </c>
      <c r="W104" s="100">
        <f>VLOOKUP(TableRBRanks3141[[#This Row],[Player]],RB!B:O,7,FALSE)</f>
        <v>0</v>
      </c>
      <c r="X104" s="100">
        <f>VLOOKUP(TableRBRanks3141[[#This Row],[Player]],RB!B:O,8,FALSE)</f>
        <v>0</v>
      </c>
      <c r="Y104" s="100">
        <f>VLOOKUP(TableRBRanks3141[[#This Row],[Player]],RB!B:O,9,FALSE)</f>
        <v>0</v>
      </c>
      <c r="Z104" s="100">
        <f>VLOOKUP(TableRBRanks3141[[#This Row],[Player]],RB!B:O,10,FALSE)</f>
        <v>0</v>
      </c>
      <c r="AA104" s="95">
        <f>VLOOKUP(TableRBRanks3141[[#This Row],[Player]],RB!B:O,14,FALSE)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VLOOKUP(TableWRRanks3242[[#This Row],[RK]],Rankings!A:T,13,FALSE)</f>
        <v>Ted Hurst</v>
      </c>
      <c r="AF104" s="58" t="str">
        <f>IFERROR(INDEX(TableWRCalcPts[TM],MATCH(TableWRRanks3242[[#This Row],[Player]],TableWRCalcPts[PLAYER],0)),"")</f>
        <v>TB</v>
      </c>
      <c r="AG104" s="58">
        <f>IFERROR(INDEX(TableWRCalcPts[BYE],MATCH(TableWRRanks3242[[#This Row],[Player]],TableWRCalcPts[PLAYER],0)),"")</f>
        <v>10</v>
      </c>
      <c r="AH104" s="100">
        <f>VLOOKUP(TableWRRanks3242[[#This Row],[Player]],WR!B:O,4,FALSE)</f>
        <v>0</v>
      </c>
      <c r="AI104" s="100">
        <f>VLOOKUP(TableWRRanks3242[[#This Row],[Player]],WR!B:O,5,FALSE)</f>
        <v>0</v>
      </c>
      <c r="AJ104" s="100">
        <f>VLOOKUP(TableWRRanks3242[[#This Row],[Player]],WR!B:O,6,FALSE)</f>
        <v>34.213409159999983</v>
      </c>
      <c r="AK104" s="100">
        <f>VLOOKUP(TableWRRanks3242[[#This Row],[Player]],WR!B:O,7,FALSE)</f>
        <v>20.596472314319989</v>
      </c>
      <c r="AL104" s="100">
        <f>VLOOKUP(TableWRRanks3242[[#This Row],[Player]],WR!B:O,8,FALSE)</f>
        <v>261.98712783815029</v>
      </c>
      <c r="AM104" s="100">
        <f>VLOOKUP(TableWRRanks3242[[#This Row],[Player]],WR!B:O,9,FALSE)</f>
        <v>1.8536825082887989</v>
      </c>
      <c r="AN104" s="95">
        <f>VLOOKUP(TableWRRanks3242[[#This Row],[Player]],WR!B:O,13,FALSE)</f>
        <v>47.619043990707816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VLOOKUP(TableRBRanks3141[[#This Row],[RK]],Rankings!A:T,8,FALSE)</f>
        <v>0</v>
      </c>
      <c r="R105" s="58" t="str">
        <f>IFERROR(INDEX(TableRBCalcPts[TM],MATCH(TableRBRanks3141[[#This Row],[Player]],TableRBCalcPts[PLAYER],0)),"")</f>
        <v/>
      </c>
      <c r="S105" s="58" t="str">
        <f>IFERROR(INDEX(TableRBCalcPts[BYE],MATCH(TableRBRanks3141[[#This Row],[Player]],TableRBCalcPts[PLAYER],0)),"")</f>
        <v/>
      </c>
      <c r="T105" s="100">
        <f>VLOOKUP(TableRBRanks3141[[#This Row],[Player]],RB!B:O,4,FALSE)</f>
        <v>0</v>
      </c>
      <c r="U105" s="100">
        <f>VLOOKUP(TableRBRanks3141[[#This Row],[Player]],RB!B:O,5,FALSE)</f>
        <v>0</v>
      </c>
      <c r="V105" s="100">
        <f>VLOOKUP(TableRBRanks3141[[#This Row],[Player]],RB!B:O,6,FALSE)</f>
        <v>0</v>
      </c>
      <c r="W105" s="100">
        <f>VLOOKUP(TableRBRanks3141[[#This Row],[Player]],RB!B:O,7,FALSE)</f>
        <v>0</v>
      </c>
      <c r="X105" s="100">
        <f>VLOOKUP(TableRBRanks3141[[#This Row],[Player]],RB!B:O,8,FALSE)</f>
        <v>0</v>
      </c>
      <c r="Y105" s="100">
        <f>VLOOKUP(TableRBRanks3141[[#This Row],[Player]],RB!B:O,9,FALSE)</f>
        <v>0</v>
      </c>
      <c r="Z105" s="100">
        <f>VLOOKUP(TableRBRanks3141[[#This Row],[Player]],RB!B:O,10,FALSE)</f>
        <v>0</v>
      </c>
      <c r="AA105" s="95">
        <f>VLOOKUP(TableRBRanks3141[[#This Row],[Player]],RB!B:O,14,FALSE)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VLOOKUP(TableWRRanks3242[[#This Row],[RK]],Rankings!A:T,13,FALSE)</f>
        <v>Kendrick Bourne</v>
      </c>
      <c r="AF105" s="58" t="str">
        <f>IFERROR(INDEX(TableWRCalcPts[TM],MATCH(TableWRRanks3242[[#This Row],[Player]],TableWRCalcPts[PLAYER],0)),"")</f>
        <v>ARI</v>
      </c>
      <c r="AG105" s="58">
        <f>IFERROR(INDEX(TableWRCalcPts[BYE],MATCH(TableWRRanks3242[[#This Row],[Player]],TableWRCalcPts[PLAYER],0)),"")</f>
        <v>14</v>
      </c>
      <c r="AH105" s="100">
        <f>VLOOKUP(TableWRRanks3242[[#This Row],[Player]],WR!B:O,4,FALSE)</f>
        <v>0</v>
      </c>
      <c r="AI105" s="100">
        <f>VLOOKUP(TableWRRanks3242[[#This Row],[Player]],WR!B:O,5,FALSE)</f>
        <v>0</v>
      </c>
      <c r="AJ105" s="100">
        <f>VLOOKUP(TableWRRanks3242[[#This Row],[Player]],WR!B:O,6,FALSE)</f>
        <v>44.474752000000002</v>
      </c>
      <c r="AK105" s="100">
        <f>VLOOKUP(TableWRRanks3242[[#This Row],[Player]],WR!B:O,7,FALSE)</f>
        <v>27.529871488000001</v>
      </c>
      <c r="AL105" s="100">
        <f>VLOOKUP(TableWRRanks3242[[#This Row],[Player]],WR!B:O,8,FALSE)</f>
        <v>296.77201464064001</v>
      </c>
      <c r="AM105" s="100">
        <f>VLOOKUP(TableWRRanks3242[[#This Row],[Player]],WR!B:O,9,FALSE)</f>
        <v>1.6517922892800001</v>
      </c>
      <c r="AN105" s="95">
        <f>VLOOKUP(TableWRRanks3242[[#This Row],[Player]],WR!B:O,13,FALSE)</f>
        <v>53.352890943744001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VLOOKUP(TableRBRanks3141[[#This Row],[RK]],Rankings!A:T,8,FALSE)</f>
        <v>0</v>
      </c>
      <c r="R106" s="58" t="str">
        <f>IFERROR(INDEX(TableRBCalcPts[TM],MATCH(TableRBRanks3141[[#This Row],[Player]],TableRBCalcPts[PLAYER],0)),"")</f>
        <v/>
      </c>
      <c r="S106" s="58" t="str">
        <f>IFERROR(INDEX(TableRBCalcPts[BYE],MATCH(TableRBRanks3141[[#This Row],[Player]],TableRBCalcPts[PLAYER],0)),"")</f>
        <v/>
      </c>
      <c r="T106" s="100">
        <f>VLOOKUP(TableRBRanks3141[[#This Row],[Player]],RB!B:O,4,FALSE)</f>
        <v>0</v>
      </c>
      <c r="U106" s="100">
        <f>VLOOKUP(TableRBRanks3141[[#This Row],[Player]],RB!B:O,5,FALSE)</f>
        <v>0</v>
      </c>
      <c r="V106" s="100">
        <f>VLOOKUP(TableRBRanks3141[[#This Row],[Player]],RB!B:O,6,FALSE)</f>
        <v>0</v>
      </c>
      <c r="W106" s="100">
        <f>VLOOKUP(TableRBRanks3141[[#This Row],[Player]],RB!B:O,7,FALSE)</f>
        <v>0</v>
      </c>
      <c r="X106" s="100">
        <f>VLOOKUP(TableRBRanks3141[[#This Row],[Player]],RB!B:O,8,FALSE)</f>
        <v>0</v>
      </c>
      <c r="Y106" s="100">
        <f>VLOOKUP(TableRBRanks3141[[#This Row],[Player]],RB!B:O,9,FALSE)</f>
        <v>0</v>
      </c>
      <c r="Z106" s="100">
        <f>VLOOKUP(TableRBRanks3141[[#This Row],[Player]],RB!B:O,10,FALSE)</f>
        <v>0</v>
      </c>
      <c r="AA106" s="95">
        <f>VLOOKUP(TableRBRanks3141[[#This Row],[Player]],RB!B:O,14,FALSE)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VLOOKUP(TableWRRanks3242[[#This Row],[RK]],Rankings!A:T,13,FALSE)</f>
        <v>Nick Westbrook-Ikhine</v>
      </c>
      <c r="AF106" s="58" t="str">
        <f>IFERROR(INDEX(TableWRCalcPts[TM],MATCH(TableWRRanks3242[[#This Row],[Player]],TableWRCalcPts[PLAYER],0)),"")</f>
        <v>IND</v>
      </c>
      <c r="AG106" s="58">
        <f>IFERROR(INDEX(TableWRCalcPts[BYE],MATCH(TableWRRanks3242[[#This Row],[Player]],TableWRCalcPts[PLAYER],0)),"")</f>
        <v>13</v>
      </c>
      <c r="AH106" s="100">
        <f>VLOOKUP(TableWRRanks3242[[#This Row],[Player]],WR!B:O,4,FALSE)</f>
        <v>0</v>
      </c>
      <c r="AI106" s="100">
        <f>VLOOKUP(TableWRRanks3242[[#This Row],[Player]],WR!B:O,5,FALSE)</f>
        <v>0</v>
      </c>
      <c r="AJ106" s="100">
        <f>VLOOKUP(TableWRRanks3242[[#This Row],[Player]],WR!B:O,6,FALSE)</f>
        <v>53.306668799999997</v>
      </c>
      <c r="AK106" s="100">
        <f>VLOOKUP(TableWRRanks3242[[#This Row],[Player]],WR!B:O,7,FALSE)</f>
        <v>31.077787910399998</v>
      </c>
      <c r="AL106" s="100">
        <f>VLOOKUP(TableWRRanks3242[[#This Row],[Player]],WR!B:O,8,FALSE)</f>
        <v>366.09634158451195</v>
      </c>
      <c r="AM106" s="100">
        <f>VLOOKUP(TableWRRanks3242[[#This Row],[Player]],WR!B:O,9,FALSE)</f>
        <v>2.7659231240255995</v>
      </c>
      <c r="AN106" s="95">
        <f>VLOOKUP(TableWRRanks3242[[#This Row],[Player]],WR!B:O,13,FALSE)</f>
        <v>68.744066857804796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VLOOKUP(TableRBRanks3141[[#This Row],[RK]],Rankings!A:T,8,FALSE)</f>
        <v>0</v>
      </c>
      <c r="R107" s="58" t="str">
        <f>IFERROR(INDEX(TableRBCalcPts[TM],MATCH(TableRBRanks3141[[#This Row],[Player]],TableRBCalcPts[PLAYER],0)),"")</f>
        <v/>
      </c>
      <c r="S107" s="58" t="str">
        <f>IFERROR(INDEX(TableRBCalcPts[BYE],MATCH(TableRBRanks3141[[#This Row],[Player]],TableRBCalcPts[PLAYER],0)),"")</f>
        <v/>
      </c>
      <c r="T107" s="100">
        <f>VLOOKUP(TableRBRanks3141[[#This Row],[Player]],RB!B:O,4,FALSE)</f>
        <v>0</v>
      </c>
      <c r="U107" s="100">
        <f>VLOOKUP(TableRBRanks3141[[#This Row],[Player]],RB!B:O,5,FALSE)</f>
        <v>0</v>
      </c>
      <c r="V107" s="100">
        <f>VLOOKUP(TableRBRanks3141[[#This Row],[Player]],RB!B:O,6,FALSE)</f>
        <v>0</v>
      </c>
      <c r="W107" s="100">
        <f>VLOOKUP(TableRBRanks3141[[#This Row],[Player]],RB!B:O,7,FALSE)</f>
        <v>0</v>
      </c>
      <c r="X107" s="100">
        <f>VLOOKUP(TableRBRanks3141[[#This Row],[Player]],RB!B:O,8,FALSE)</f>
        <v>0</v>
      </c>
      <c r="Y107" s="100">
        <f>VLOOKUP(TableRBRanks3141[[#This Row],[Player]],RB!B:O,9,FALSE)</f>
        <v>0</v>
      </c>
      <c r="Z107" s="100">
        <f>VLOOKUP(TableRBRanks3141[[#This Row],[Player]],RB!B:O,10,FALSE)</f>
        <v>0</v>
      </c>
      <c r="AA107" s="95">
        <f>VLOOKUP(TableRBRanks3141[[#This Row],[Player]],RB!B:O,14,FALSE)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VLOOKUP(TableWRRanks3242[[#This Row],[RK]],Rankings!A:T,13,FALSE)</f>
        <v>Pat Bryant</v>
      </c>
      <c r="AF107" s="58" t="str">
        <f>IFERROR(INDEX(TableWRCalcPts[TM],MATCH(TableWRRanks3242[[#This Row],[Player]],TableWRCalcPts[PLAYER],0)),"")</f>
        <v>DEN</v>
      </c>
      <c r="AG107" s="58">
        <f>IFERROR(INDEX(TableWRCalcPts[BYE],MATCH(TableWRRanks3242[[#This Row],[Player]],TableWRCalcPts[PLAYER],0)),"")</f>
        <v>10</v>
      </c>
      <c r="AH107" s="100">
        <f>VLOOKUP(TableWRRanks3242[[#This Row],[Player]],WR!B:O,4,FALSE)</f>
        <v>0</v>
      </c>
      <c r="AI107" s="100">
        <f>VLOOKUP(TableWRRanks3242[[#This Row],[Player]],WR!B:O,5,FALSE)</f>
        <v>0</v>
      </c>
      <c r="AJ107" s="100">
        <f>VLOOKUP(TableWRRanks3242[[#This Row],[Player]],WR!B:O,6,FALSE)</f>
        <v>43.941716280000009</v>
      </c>
      <c r="AK107" s="100">
        <f>VLOOKUP(TableWRRanks3242[[#This Row],[Player]],WR!B:O,7,FALSE)</f>
        <v>25.235181978160007</v>
      </c>
      <c r="AL107" s="100">
        <f>VLOOKUP(TableWRRanks3242[[#This Row],[Player]],WR!B:O,8,FALSE)</f>
        <v>296.52501987416008</v>
      </c>
      <c r="AM107" s="100">
        <f>VLOOKUP(TableWRRanks3242[[#This Row],[Player]],WR!B:O,9,FALSE)</f>
        <v>1.5141109186896005</v>
      </c>
      <c r="AN107" s="95">
        <f>VLOOKUP(TableWRRanks3242[[#This Row],[Player]],WR!B:O,13,FALSE)</f>
        <v>51.354758488633621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VLOOKUP(TableRBRanks3141[[#This Row],[RK]],Rankings!A:T,8,FALSE)</f>
        <v>0</v>
      </c>
      <c r="R108" s="58" t="str">
        <f>IFERROR(INDEX(TableRBCalcPts[TM],MATCH(TableRBRanks3141[[#This Row],[Player]],TableRBCalcPts[PLAYER],0)),"")</f>
        <v/>
      </c>
      <c r="S108" s="58" t="str">
        <f>IFERROR(INDEX(TableRBCalcPts[BYE],MATCH(TableRBRanks3141[[#This Row],[Player]],TableRBCalcPts[PLAYER],0)),"")</f>
        <v/>
      </c>
      <c r="T108" s="100">
        <f>VLOOKUP(TableRBRanks3141[[#This Row],[Player]],RB!B:O,4,FALSE)</f>
        <v>0</v>
      </c>
      <c r="U108" s="100">
        <f>VLOOKUP(TableRBRanks3141[[#This Row],[Player]],RB!B:O,5,FALSE)</f>
        <v>0</v>
      </c>
      <c r="V108" s="100">
        <f>VLOOKUP(TableRBRanks3141[[#This Row],[Player]],RB!B:O,6,FALSE)</f>
        <v>0</v>
      </c>
      <c r="W108" s="100">
        <f>VLOOKUP(TableRBRanks3141[[#This Row],[Player]],RB!B:O,7,FALSE)</f>
        <v>0</v>
      </c>
      <c r="X108" s="100">
        <f>VLOOKUP(TableRBRanks3141[[#This Row],[Player]],RB!B:O,8,FALSE)</f>
        <v>0</v>
      </c>
      <c r="Y108" s="100">
        <f>VLOOKUP(TableRBRanks3141[[#This Row],[Player]],RB!B:O,9,FALSE)</f>
        <v>0</v>
      </c>
      <c r="Z108" s="100">
        <f>VLOOKUP(TableRBRanks3141[[#This Row],[Player]],RB!B:O,10,FALSE)</f>
        <v>0</v>
      </c>
      <c r="AA108" s="95">
        <f>VLOOKUP(TableRBRanks3141[[#This Row],[Player]],RB!B:O,14,FALSE)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VLOOKUP(TableWRRanks3242[[#This Row],[RK]],Rankings!A:T,13,FALSE)</f>
        <v>Christian Kirk</v>
      </c>
      <c r="AF108" s="58" t="str">
        <f>IFERROR(INDEX(TableWRCalcPts[TM],MATCH(TableWRRanks3242[[#This Row],[Player]],TableWRCalcPts[PLAYER],0)),"")</f>
        <v>SF</v>
      </c>
      <c r="AG108" s="58">
        <f>IFERROR(INDEX(TableWRCalcPts[BYE],MATCH(TableWRRanks3242[[#This Row],[Player]],TableWRCalcPts[PLAYER],0)),"")</f>
        <v>8</v>
      </c>
      <c r="AH108" s="100">
        <f>VLOOKUP(TableWRRanks3242[[#This Row],[Player]],WR!B:O,4,FALSE)</f>
        <v>0</v>
      </c>
      <c r="AI108" s="100">
        <f>VLOOKUP(TableWRRanks3242[[#This Row],[Player]],WR!B:O,5,FALSE)</f>
        <v>0</v>
      </c>
      <c r="AJ108" s="100">
        <f>VLOOKUP(TableWRRanks3242[[#This Row],[Player]],WR!B:O,6,FALSE)</f>
        <v>28.989152640000004</v>
      </c>
      <c r="AK108" s="100">
        <f>VLOOKUP(TableWRRanks3242[[#This Row],[Player]],WR!B:O,7,FALSE)</f>
        <v>18.611035994880002</v>
      </c>
      <c r="AL108" s="100">
        <f>VLOOKUP(TableWRRanks3242[[#This Row],[Player]],WR!B:O,8,FALSE)</f>
        <v>217.72554363189559</v>
      </c>
      <c r="AM108" s="100">
        <f>VLOOKUP(TableWRRanks3242[[#This Row],[Player]],WR!B:O,9,FALSE)</f>
        <v>1.2655504476518402</v>
      </c>
      <c r="AN108" s="95">
        <f>VLOOKUP(TableWRRanks3242[[#This Row],[Player]],WR!B:O,13,FALSE)</f>
        <v>38.671375046540604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VLOOKUP(TableRBRanks3141[[#This Row],[RK]],Rankings!A:T,8,FALSE)</f>
        <v>0</v>
      </c>
      <c r="R109" s="58" t="str">
        <f>IFERROR(INDEX(TableRBCalcPts[TM],MATCH(TableRBRanks3141[[#This Row],[Player]],TableRBCalcPts[PLAYER],0)),"")</f>
        <v/>
      </c>
      <c r="S109" s="58" t="str">
        <f>IFERROR(INDEX(TableRBCalcPts[BYE],MATCH(TableRBRanks3141[[#This Row],[Player]],TableRBCalcPts[PLAYER],0)),"")</f>
        <v/>
      </c>
      <c r="T109" s="100">
        <f>VLOOKUP(TableRBRanks3141[[#This Row],[Player]],RB!B:O,4,FALSE)</f>
        <v>0</v>
      </c>
      <c r="U109" s="100">
        <f>VLOOKUP(TableRBRanks3141[[#This Row],[Player]],RB!B:O,5,FALSE)</f>
        <v>0</v>
      </c>
      <c r="V109" s="100">
        <f>VLOOKUP(TableRBRanks3141[[#This Row],[Player]],RB!B:O,6,FALSE)</f>
        <v>0</v>
      </c>
      <c r="W109" s="100">
        <f>VLOOKUP(TableRBRanks3141[[#This Row],[Player]],RB!B:O,7,FALSE)</f>
        <v>0</v>
      </c>
      <c r="X109" s="100">
        <f>VLOOKUP(TableRBRanks3141[[#This Row],[Player]],RB!B:O,8,FALSE)</f>
        <v>0</v>
      </c>
      <c r="Y109" s="100">
        <f>VLOOKUP(TableRBRanks3141[[#This Row],[Player]],RB!B:O,9,FALSE)</f>
        <v>0</v>
      </c>
      <c r="Z109" s="100">
        <f>VLOOKUP(TableRBRanks3141[[#This Row],[Player]],RB!B:O,10,FALSE)</f>
        <v>0</v>
      </c>
      <c r="AA109" s="95">
        <f>VLOOKUP(TableRBRanks3141[[#This Row],[Player]],RB!B:O,14,FALSE)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VLOOKUP(TableWRRanks3242[[#This Row],[RK]],Rankings!A:T,13,FALSE)</f>
        <v>Devaughn Vele</v>
      </c>
      <c r="AF109" s="58" t="str">
        <f>IFERROR(INDEX(TableWRCalcPts[TM],MATCH(TableWRRanks3242[[#This Row],[Player]],TableWRCalcPts[PLAYER],0)),"")</f>
        <v>NO</v>
      </c>
      <c r="AG109" s="58">
        <f>IFERROR(INDEX(TableWRCalcPts[BYE],MATCH(TableWRRanks3242[[#This Row],[Player]],TableWRCalcPts[PLAYER],0)),"")</f>
        <v>8</v>
      </c>
      <c r="AH109" s="100">
        <f>VLOOKUP(TableWRRanks3242[[#This Row],[Player]],WR!B:O,4,FALSE)</f>
        <v>0</v>
      </c>
      <c r="AI109" s="100">
        <f>VLOOKUP(TableWRRanks3242[[#This Row],[Player]],WR!B:O,5,FALSE)</f>
        <v>0</v>
      </c>
      <c r="AJ109" s="100">
        <f>VLOOKUP(TableWRRanks3242[[#This Row],[Player]],WR!B:O,6,FALSE)</f>
        <v>37.575802879999998</v>
      </c>
      <c r="AK109" s="100">
        <f>VLOOKUP(TableWRRanks3242[[#This Row],[Player]],WR!B:O,7,FALSE)</f>
        <v>24.992278194604651</v>
      </c>
      <c r="AL109" s="100">
        <f>VLOOKUP(TableWRRanks3242[[#This Row],[Player]],WR!B:O,8,FALSE)</f>
        <v>292.88095448198948</v>
      </c>
      <c r="AM109" s="100">
        <f>VLOOKUP(TableWRRanks3242[[#This Row],[Player]],WR!B:O,9,FALSE)</f>
        <v>1.5816791444837208</v>
      </c>
      <c r="AN109" s="95">
        <f>VLOOKUP(TableWRRanks3242[[#This Row],[Player]],WR!B:O,13,FALSE)</f>
        <v>51.274309412403603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VLOOKUP(TableRBRanks3141[[#This Row],[RK]],Rankings!A:T,8,FALSE)</f>
        <v>0</v>
      </c>
      <c r="R110" s="58" t="str">
        <f>IFERROR(INDEX(TableRBCalcPts[TM],MATCH(TableRBRanks3141[[#This Row],[Player]],TableRBCalcPts[PLAYER],0)),"")</f>
        <v/>
      </c>
      <c r="S110" s="58" t="str">
        <f>IFERROR(INDEX(TableRBCalcPts[BYE],MATCH(TableRBRanks3141[[#This Row],[Player]],TableRBCalcPts[PLAYER],0)),"")</f>
        <v/>
      </c>
      <c r="T110" s="100">
        <f>VLOOKUP(TableRBRanks3141[[#This Row],[Player]],RB!B:O,4,FALSE)</f>
        <v>0</v>
      </c>
      <c r="U110" s="100">
        <f>VLOOKUP(TableRBRanks3141[[#This Row],[Player]],RB!B:O,5,FALSE)</f>
        <v>0</v>
      </c>
      <c r="V110" s="100">
        <f>VLOOKUP(TableRBRanks3141[[#This Row],[Player]],RB!B:O,6,FALSE)</f>
        <v>0</v>
      </c>
      <c r="W110" s="100">
        <f>VLOOKUP(TableRBRanks3141[[#This Row],[Player]],RB!B:O,7,FALSE)</f>
        <v>0</v>
      </c>
      <c r="X110" s="100">
        <f>VLOOKUP(TableRBRanks3141[[#This Row],[Player]],RB!B:O,8,FALSE)</f>
        <v>0</v>
      </c>
      <c r="Y110" s="100">
        <f>VLOOKUP(TableRBRanks3141[[#This Row],[Player]],RB!B:O,9,FALSE)</f>
        <v>0</v>
      </c>
      <c r="Z110" s="100">
        <f>VLOOKUP(TableRBRanks3141[[#This Row],[Player]],RB!B:O,10,FALSE)</f>
        <v>0</v>
      </c>
      <c r="AA110" s="95">
        <f>VLOOKUP(TableRBRanks3141[[#This Row],[Player]],RB!B:O,14,FALSE)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VLOOKUP(TableWRRanks3242[[#This Row],[RK]],Rankings!A:T,13,FALSE)</f>
        <v>Dyami Brown</v>
      </c>
      <c r="AF110" s="58" t="str">
        <f>IFERROR(INDEX(TableWRCalcPts[TM],MATCH(TableWRRanks3242[[#This Row],[Player]],TableWRCalcPts[PLAYER],0)),"")</f>
        <v>WSH</v>
      </c>
      <c r="AG110" s="58">
        <f>IFERROR(INDEX(TableWRCalcPts[BYE],MATCH(TableWRRanks3242[[#This Row],[Player]],TableWRCalcPts[PLAYER],0)),"")</f>
        <v>7</v>
      </c>
      <c r="AH110" s="100">
        <f>VLOOKUP(TableWRRanks3242[[#This Row],[Player]],WR!B:O,4,FALSE)</f>
        <v>0</v>
      </c>
      <c r="AI110" s="100">
        <f>VLOOKUP(TableWRRanks3242[[#This Row],[Player]],WR!B:O,5,FALSE)</f>
        <v>0</v>
      </c>
      <c r="AJ110" s="100">
        <f>VLOOKUP(TableWRRanks3242[[#This Row],[Player]],WR!B:O,6,FALSE)</f>
        <v>42.812722959999988</v>
      </c>
      <c r="AK110" s="100">
        <f>VLOOKUP(TableWRRanks3242[[#This Row],[Player]],WR!B:O,7,FALSE)</f>
        <v>22.348241385119994</v>
      </c>
      <c r="AL110" s="100">
        <f>VLOOKUP(TableWRRanks3242[[#This Row],[Player]],WR!B:O,8,FALSE)</f>
        <v>281.14087662480955</v>
      </c>
      <c r="AM110" s="100">
        <f>VLOOKUP(TableWRRanks3242[[#This Row],[Player]],WR!B:O,9,FALSE)</f>
        <v>1.7878593108095995</v>
      </c>
      <c r="AN110" s="95">
        <f>VLOOKUP(TableWRRanks3242[[#This Row],[Player]],WR!B:O,13,FALSE)</f>
        <v>50.015364219898544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VLOOKUP(TableRBRanks3141[[#This Row],[RK]],Rankings!A:T,8,FALSE)</f>
        <v>0</v>
      </c>
      <c r="R111" s="58" t="str">
        <f>IFERROR(INDEX(TableRBCalcPts[TM],MATCH(TableRBRanks3141[[#This Row],[Player]],TableRBCalcPts[PLAYER],0)),"")</f>
        <v/>
      </c>
      <c r="S111" s="58" t="str">
        <f>IFERROR(INDEX(TableRBCalcPts[BYE],MATCH(TableRBRanks3141[[#This Row],[Player]],TableRBCalcPts[PLAYER],0)),"")</f>
        <v/>
      </c>
      <c r="T111" s="100">
        <f>VLOOKUP(TableRBRanks3141[[#This Row],[Player]],RB!B:O,4,FALSE)</f>
        <v>0</v>
      </c>
      <c r="U111" s="100">
        <f>VLOOKUP(TableRBRanks3141[[#This Row],[Player]],RB!B:O,5,FALSE)</f>
        <v>0</v>
      </c>
      <c r="V111" s="100">
        <f>VLOOKUP(TableRBRanks3141[[#This Row],[Player]],RB!B:O,6,FALSE)</f>
        <v>0</v>
      </c>
      <c r="W111" s="100">
        <f>VLOOKUP(TableRBRanks3141[[#This Row],[Player]],RB!B:O,7,FALSE)</f>
        <v>0</v>
      </c>
      <c r="X111" s="100">
        <f>VLOOKUP(TableRBRanks3141[[#This Row],[Player]],RB!B:O,8,FALSE)</f>
        <v>0</v>
      </c>
      <c r="Y111" s="100">
        <f>VLOOKUP(TableRBRanks3141[[#This Row],[Player]],RB!B:O,9,FALSE)</f>
        <v>0</v>
      </c>
      <c r="Z111" s="100">
        <f>VLOOKUP(TableRBRanks3141[[#This Row],[Player]],RB!B:O,10,FALSE)</f>
        <v>0</v>
      </c>
      <c r="AA111" s="95">
        <f>VLOOKUP(TableRBRanks3141[[#This Row],[Player]],RB!B:O,14,FALSE)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VLOOKUP(TableWRRanks3242[[#This Row],[RK]],Rankings!A:T,13,FALSE)</f>
        <v>Joshua Palmer</v>
      </c>
      <c r="AF111" s="58" t="str">
        <f>IFERROR(INDEX(TableWRCalcPts[TM],MATCH(TableWRRanks3242[[#This Row],[Player]],TableWRCalcPts[PLAYER],0)),"")</f>
        <v>BUF</v>
      </c>
      <c r="AG111" s="58">
        <f>IFERROR(INDEX(TableWRCalcPts[BYE],MATCH(TableWRRanks3242[[#This Row],[Player]],TableWRCalcPts[PLAYER],0)),"")</f>
        <v>7</v>
      </c>
      <c r="AH111" s="100">
        <f>VLOOKUP(TableWRRanks3242[[#This Row],[Player]],WR!B:O,4,FALSE)</f>
        <v>0</v>
      </c>
      <c r="AI111" s="100">
        <f>VLOOKUP(TableWRRanks3242[[#This Row],[Player]],WR!B:O,5,FALSE)</f>
        <v>0</v>
      </c>
      <c r="AJ111" s="100">
        <f>VLOOKUP(TableWRRanks3242[[#This Row],[Player]],WR!B:O,6,FALSE)</f>
        <v>24.005550799999988</v>
      </c>
      <c r="AK111" s="100">
        <f>VLOOKUP(TableWRRanks3242[[#This Row],[Player]],WR!B:O,7,FALSE)</f>
        <v>16.251757891599993</v>
      </c>
      <c r="AL111" s="100">
        <f>VLOOKUP(TableWRRanks3242[[#This Row],[Player]],WR!B:O,8,FALSE)</f>
        <v>228.66223353481192</v>
      </c>
      <c r="AM111" s="100">
        <f>VLOOKUP(TableWRRanks3242[[#This Row],[Player]],WR!B:O,9,FALSE)</f>
        <v>1.0092661199777342</v>
      </c>
      <c r="AN111" s="95">
        <f>VLOOKUP(TableWRRanks3242[[#This Row],[Player]],WR!B:O,13,FALSE)</f>
        <v>37.047699019147593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VLOOKUP(TableRBRanks3141[[#This Row],[RK]],Rankings!A:T,8,FALSE)</f>
        <v>0</v>
      </c>
      <c r="R112" s="58" t="str">
        <f>IFERROR(INDEX(TableRBCalcPts[TM],MATCH(TableRBRanks3141[[#This Row],[Player]],TableRBCalcPts[PLAYER],0)),"")</f>
        <v/>
      </c>
      <c r="S112" s="58" t="str">
        <f>IFERROR(INDEX(TableRBCalcPts[BYE],MATCH(TableRBRanks3141[[#This Row],[Player]],TableRBCalcPts[PLAYER],0)),"")</f>
        <v/>
      </c>
      <c r="T112" s="100">
        <f>VLOOKUP(TableRBRanks3141[[#This Row],[Player]],RB!B:O,4,FALSE)</f>
        <v>0</v>
      </c>
      <c r="U112" s="100">
        <f>VLOOKUP(TableRBRanks3141[[#This Row],[Player]],RB!B:O,5,FALSE)</f>
        <v>0</v>
      </c>
      <c r="V112" s="100">
        <f>VLOOKUP(TableRBRanks3141[[#This Row],[Player]],RB!B:O,6,FALSE)</f>
        <v>0</v>
      </c>
      <c r="W112" s="100">
        <f>VLOOKUP(TableRBRanks3141[[#This Row],[Player]],RB!B:O,7,FALSE)</f>
        <v>0</v>
      </c>
      <c r="X112" s="100">
        <f>VLOOKUP(TableRBRanks3141[[#This Row],[Player]],RB!B:O,8,FALSE)</f>
        <v>0</v>
      </c>
      <c r="Y112" s="100">
        <f>VLOOKUP(TableRBRanks3141[[#This Row],[Player]],RB!B:O,9,FALSE)</f>
        <v>0</v>
      </c>
      <c r="Z112" s="100">
        <f>VLOOKUP(TableRBRanks3141[[#This Row],[Player]],RB!B:O,10,FALSE)</f>
        <v>0</v>
      </c>
      <c r="AA112" s="95">
        <f>VLOOKUP(TableRBRanks3141[[#This Row],[Player]],RB!B:O,14,FALSE)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VLOOKUP(TableWRRanks3242[[#This Row],[RK]],Rankings!A:T,13,FALSE)</f>
        <v>Elic Ayomanor</v>
      </c>
      <c r="AF112" s="58" t="str">
        <f>IFERROR(INDEX(TableWRCalcPts[TM],MATCH(TableWRRanks3242[[#This Row],[Player]],TableWRCalcPts[PLAYER],0)),"")</f>
        <v>TEN</v>
      </c>
      <c r="AG112" s="58">
        <f>IFERROR(INDEX(TableWRCalcPts[BYE],MATCH(TableWRRanks3242[[#This Row],[Player]],TableWRCalcPts[PLAYER],0)),"")</f>
        <v>9</v>
      </c>
      <c r="AH112" s="100">
        <f>VLOOKUP(TableWRRanks3242[[#This Row],[Player]],WR!B:O,4,FALSE)</f>
        <v>0</v>
      </c>
      <c r="AI112" s="100">
        <f>VLOOKUP(TableWRRanks3242[[#This Row],[Player]],WR!B:O,5,FALSE)</f>
        <v>0</v>
      </c>
      <c r="AJ112" s="100">
        <f>VLOOKUP(TableWRRanks3242[[#This Row],[Player]],WR!B:O,6,FALSE)</f>
        <v>29.658908160000006</v>
      </c>
      <c r="AK112" s="100">
        <f>VLOOKUP(TableWRRanks3242[[#This Row],[Player]],WR!B:O,7,FALSE)</f>
        <v>17.943639436800002</v>
      </c>
      <c r="AL112" s="100">
        <f>VLOOKUP(TableWRRanks3242[[#This Row],[Player]],WR!B:O,8,FALSE)</f>
        <v>239.54758648128001</v>
      </c>
      <c r="AM112" s="100">
        <f>VLOOKUP(TableWRRanks3242[[#This Row],[Player]],WR!B:O,9,FALSE)</f>
        <v>1.5610966310016001</v>
      </c>
      <c r="AN112" s="95">
        <f>VLOOKUP(TableWRRanks3242[[#This Row],[Player]],WR!B:O,13,FALSE)</f>
        <v>42.293158152537607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VLOOKUP(TableRBRanks3141[[#This Row],[RK]],Rankings!A:T,8,FALSE)</f>
        <v>0</v>
      </c>
      <c r="R113" s="58" t="str">
        <f>IFERROR(INDEX(TableRBCalcPts[TM],MATCH(TableRBRanks3141[[#This Row],[Player]],TableRBCalcPts[PLAYER],0)),"")</f>
        <v/>
      </c>
      <c r="S113" s="58" t="str">
        <f>IFERROR(INDEX(TableRBCalcPts[BYE],MATCH(TableRBRanks3141[[#This Row],[Player]],TableRBCalcPts[PLAYER],0)),"")</f>
        <v/>
      </c>
      <c r="T113" s="100">
        <f>VLOOKUP(TableRBRanks3141[[#This Row],[Player]],RB!B:O,4,FALSE)</f>
        <v>0</v>
      </c>
      <c r="U113" s="100">
        <f>VLOOKUP(TableRBRanks3141[[#This Row],[Player]],RB!B:O,5,FALSE)</f>
        <v>0</v>
      </c>
      <c r="V113" s="100">
        <f>VLOOKUP(TableRBRanks3141[[#This Row],[Player]],RB!B:O,6,FALSE)</f>
        <v>0</v>
      </c>
      <c r="W113" s="100">
        <f>VLOOKUP(TableRBRanks3141[[#This Row],[Player]],RB!B:O,7,FALSE)</f>
        <v>0</v>
      </c>
      <c r="X113" s="100">
        <f>VLOOKUP(TableRBRanks3141[[#This Row],[Player]],RB!B:O,8,FALSE)</f>
        <v>0</v>
      </c>
      <c r="Y113" s="100">
        <f>VLOOKUP(TableRBRanks3141[[#This Row],[Player]],RB!B:O,9,FALSE)</f>
        <v>0</v>
      </c>
      <c r="Z113" s="100">
        <f>VLOOKUP(TableRBRanks3141[[#This Row],[Player]],RB!B:O,10,FALSE)</f>
        <v>0</v>
      </c>
      <c r="AA113" s="95">
        <f>VLOOKUP(TableRBRanks3141[[#This Row],[Player]],RB!B:O,14,FALSE)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VLOOKUP(TableWRRanks3242[[#This Row],[RK]],Rankings!A:T,13,FALSE)</f>
        <v>Brenen Thompson</v>
      </c>
      <c r="AF113" s="58" t="str">
        <f>IFERROR(INDEX(TableWRCalcPts[TM],MATCH(TableWRRanks3242[[#This Row],[Player]],TableWRCalcPts[PLAYER],0)),"")</f>
        <v>LAC</v>
      </c>
      <c r="AG113" s="58">
        <f>IFERROR(INDEX(TableWRCalcPts[BYE],MATCH(TableWRRanks3242[[#This Row],[Player]],TableWRCalcPts[PLAYER],0)),"")</f>
        <v>7</v>
      </c>
      <c r="AH113" s="100">
        <f>VLOOKUP(TableWRRanks3242[[#This Row],[Player]],WR!B:O,4,FALSE)</f>
        <v>0</v>
      </c>
      <c r="AI113" s="100">
        <f>VLOOKUP(TableWRRanks3242[[#This Row],[Player]],WR!B:O,5,FALSE)</f>
        <v>0</v>
      </c>
      <c r="AJ113" s="100">
        <f>VLOOKUP(TableWRRanks3242[[#This Row],[Player]],WR!B:O,6,FALSE)</f>
        <v>18.609190599999998</v>
      </c>
      <c r="AK113" s="100">
        <f>VLOOKUP(TableWRRanks3242[[#This Row],[Player]],WR!B:O,7,FALSE)</f>
        <v>12.375111749</v>
      </c>
      <c r="AL113" s="100">
        <f>VLOOKUP(TableWRRanks3242[[#This Row],[Player]],WR!B:O,8,FALSE)</f>
        <v>150.11010551537001</v>
      </c>
      <c r="AM113" s="100">
        <f>VLOOKUP(TableWRRanks3242[[#This Row],[Player]],WR!B:O,9,FALSE)</f>
        <v>0.8786329341789999</v>
      </c>
      <c r="AN113" s="95">
        <f>VLOOKUP(TableWRRanks3242[[#This Row],[Player]],WR!B:O,13,FALSE)</f>
        <v>26.470364031111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VLOOKUP(TableRBRanks3141[[#This Row],[RK]],Rankings!A:T,8,FALSE)</f>
        <v>0</v>
      </c>
      <c r="R114" s="58" t="str">
        <f>IFERROR(INDEX(TableRBCalcPts[TM],MATCH(TableRBRanks3141[[#This Row],[Player]],TableRBCalcPts[PLAYER],0)),"")</f>
        <v/>
      </c>
      <c r="S114" s="58" t="str">
        <f>IFERROR(INDEX(TableRBCalcPts[BYE],MATCH(TableRBRanks3141[[#This Row],[Player]],TableRBCalcPts[PLAYER],0)),"")</f>
        <v/>
      </c>
      <c r="T114" s="100">
        <f>VLOOKUP(TableRBRanks3141[[#This Row],[Player]],RB!B:O,4,FALSE)</f>
        <v>0</v>
      </c>
      <c r="U114" s="100">
        <f>VLOOKUP(TableRBRanks3141[[#This Row],[Player]],RB!B:O,5,FALSE)</f>
        <v>0</v>
      </c>
      <c r="V114" s="100">
        <f>VLOOKUP(TableRBRanks3141[[#This Row],[Player]],RB!B:O,6,FALSE)</f>
        <v>0</v>
      </c>
      <c r="W114" s="100">
        <f>VLOOKUP(TableRBRanks3141[[#This Row],[Player]],RB!B:O,7,FALSE)</f>
        <v>0</v>
      </c>
      <c r="X114" s="100">
        <f>VLOOKUP(TableRBRanks3141[[#This Row],[Player]],RB!B:O,8,FALSE)</f>
        <v>0</v>
      </c>
      <c r="Y114" s="100">
        <f>VLOOKUP(TableRBRanks3141[[#This Row],[Player]],RB!B:O,9,FALSE)</f>
        <v>0</v>
      </c>
      <c r="Z114" s="100">
        <f>VLOOKUP(TableRBRanks3141[[#This Row],[Player]],RB!B:O,10,FALSE)</f>
        <v>0</v>
      </c>
      <c r="AA114" s="95">
        <f>VLOOKUP(TableRBRanks3141[[#This Row],[Player]],RB!B:O,14,FALSE)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VLOOKUP(TableWRRanks3242[[#This Row],[RK]],Rankings!A:T,13,FALSE)</f>
        <v>Zavion Thomas</v>
      </c>
      <c r="AF114" s="58" t="str">
        <f>IFERROR(INDEX(TableWRCalcPts[TM],MATCH(TableWRRanks3242[[#This Row],[Player]],TableWRCalcPts[PLAYER],0)),"")</f>
        <v>CHI</v>
      </c>
      <c r="AG114" s="58">
        <f>IFERROR(INDEX(TableWRCalcPts[BYE],MATCH(TableWRRanks3242[[#This Row],[Player]],TableWRCalcPts[PLAYER],0)),"")</f>
        <v>10</v>
      </c>
      <c r="AH114" s="100">
        <f>VLOOKUP(TableWRRanks3242[[#This Row],[Player]],WR!B:O,4,FALSE)</f>
        <v>0</v>
      </c>
      <c r="AI114" s="100">
        <f>VLOOKUP(TableWRRanks3242[[#This Row],[Player]],WR!B:O,5,FALSE)</f>
        <v>0</v>
      </c>
      <c r="AJ114" s="100">
        <f>VLOOKUP(TableWRRanks3242[[#This Row],[Player]],WR!B:O,6,FALSE)</f>
        <v>11.2787024</v>
      </c>
      <c r="AK114" s="100">
        <f>VLOOKUP(TableWRRanks3242[[#This Row],[Player]],WR!B:O,7,FALSE)</f>
        <v>6.8800084640000003</v>
      </c>
      <c r="AL114" s="100">
        <f>VLOOKUP(TableWRRanks3242[[#This Row],[Player]],WR!B:O,8,FALSE)</f>
        <v>66.116881339040006</v>
      </c>
      <c r="AM114" s="100">
        <f>VLOOKUP(TableWRRanks3242[[#This Row],[Player]],WR!B:O,9,FALSE)</f>
        <v>0.5652210025082155</v>
      </c>
      <c r="AN114" s="95">
        <f>VLOOKUP(TableWRRanks3242[[#This Row],[Player]],WR!B:O,13,FALSE)</f>
        <v>13.443018380953294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VLOOKUP(TableRBRanks3141[[#This Row],[RK]],Rankings!A:T,8,FALSE)</f>
        <v>0</v>
      </c>
      <c r="R115" s="58" t="str">
        <f>IFERROR(INDEX(TableRBCalcPts[TM],MATCH(TableRBRanks3141[[#This Row],[Player]],TableRBCalcPts[PLAYER],0)),"")</f>
        <v/>
      </c>
      <c r="S115" s="58" t="str">
        <f>IFERROR(INDEX(TableRBCalcPts[BYE],MATCH(TableRBRanks3141[[#This Row],[Player]],TableRBCalcPts[PLAYER],0)),"")</f>
        <v/>
      </c>
      <c r="T115" s="100">
        <f>VLOOKUP(TableRBRanks3141[[#This Row],[Player]],RB!B:O,4,FALSE)</f>
        <v>0</v>
      </c>
      <c r="U115" s="100">
        <f>VLOOKUP(TableRBRanks3141[[#This Row],[Player]],RB!B:O,5,FALSE)</f>
        <v>0</v>
      </c>
      <c r="V115" s="100">
        <f>VLOOKUP(TableRBRanks3141[[#This Row],[Player]],RB!B:O,6,FALSE)</f>
        <v>0</v>
      </c>
      <c r="W115" s="100">
        <f>VLOOKUP(TableRBRanks3141[[#This Row],[Player]],RB!B:O,7,FALSE)</f>
        <v>0</v>
      </c>
      <c r="X115" s="100">
        <f>VLOOKUP(TableRBRanks3141[[#This Row],[Player]],RB!B:O,8,FALSE)</f>
        <v>0</v>
      </c>
      <c r="Y115" s="100">
        <f>VLOOKUP(TableRBRanks3141[[#This Row],[Player]],RB!B:O,9,FALSE)</f>
        <v>0</v>
      </c>
      <c r="Z115" s="100">
        <f>VLOOKUP(TableRBRanks3141[[#This Row],[Player]],RB!B:O,10,FALSE)</f>
        <v>0</v>
      </c>
      <c r="AA115" s="95">
        <f>VLOOKUP(TableRBRanks3141[[#This Row],[Player]],RB!B:O,14,FALSE)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VLOOKUP(TableWRRanks3242[[#This Row],[RK]],Rankings!A:T,13,FALSE)</f>
        <v>Kyle Williams</v>
      </c>
      <c r="AF115" s="58" t="str">
        <f>IFERROR(INDEX(TableWRCalcPts[TM],MATCH(TableWRRanks3242[[#This Row],[Player]],TableWRCalcPts[PLAYER],0)),"")</f>
        <v>NE</v>
      </c>
      <c r="AG115" s="58">
        <f>IFERROR(INDEX(TableWRCalcPts[BYE],MATCH(TableWRRanks3242[[#This Row],[Player]],TableWRCalcPts[PLAYER],0)),"")</f>
        <v>11</v>
      </c>
      <c r="AH115" s="100">
        <f>VLOOKUP(TableWRRanks3242[[#This Row],[Player]],WR!B:O,4,FALSE)</f>
        <v>0</v>
      </c>
      <c r="AI115" s="100">
        <f>VLOOKUP(TableWRRanks3242[[#This Row],[Player]],WR!B:O,5,FALSE)</f>
        <v>0</v>
      </c>
      <c r="AJ115" s="100">
        <f>VLOOKUP(TableWRRanks3242[[#This Row],[Player]],WR!B:O,6,FALSE)</f>
        <v>4.363038399999998</v>
      </c>
      <c r="AK115" s="100">
        <f>VLOOKUP(TableWRRanks3242[[#This Row],[Player]],WR!B:O,7,FALSE)</f>
        <v>2.9843182655999989</v>
      </c>
      <c r="AL115" s="100">
        <f>VLOOKUP(TableWRRanks3242[[#This Row],[Player]],WR!B:O,8,FALSE)</f>
        <v>43.571046677759981</v>
      </c>
      <c r="AM115" s="100">
        <f>VLOOKUP(TableWRRanks3242[[#This Row],[Player]],WR!B:O,9,FALSE)</f>
        <v>0.20890227859199995</v>
      </c>
      <c r="AN115" s="95">
        <f>VLOOKUP(TableWRRanks3242[[#This Row],[Player]],WR!B:O,13,FALSE)</f>
        <v>7.1026774721279979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VLOOKUP(TableRBRanks3141[[#This Row],[RK]],Rankings!A:T,8,FALSE)</f>
        <v>0</v>
      </c>
      <c r="R116" s="58" t="str">
        <f>IFERROR(INDEX(TableRBCalcPts[TM],MATCH(TableRBRanks3141[[#This Row],[Player]],TableRBCalcPts[PLAYER],0)),"")</f>
        <v/>
      </c>
      <c r="S116" s="58" t="str">
        <f>IFERROR(INDEX(TableRBCalcPts[BYE],MATCH(TableRBRanks3141[[#This Row],[Player]],TableRBCalcPts[PLAYER],0)),"")</f>
        <v/>
      </c>
      <c r="T116" s="100">
        <f>VLOOKUP(TableRBRanks3141[[#This Row],[Player]],RB!B:O,4,FALSE)</f>
        <v>0</v>
      </c>
      <c r="U116" s="100">
        <f>VLOOKUP(TableRBRanks3141[[#This Row],[Player]],RB!B:O,5,FALSE)</f>
        <v>0</v>
      </c>
      <c r="V116" s="100">
        <f>VLOOKUP(TableRBRanks3141[[#This Row],[Player]],RB!B:O,6,FALSE)</f>
        <v>0</v>
      </c>
      <c r="W116" s="100">
        <f>VLOOKUP(TableRBRanks3141[[#This Row],[Player]],RB!B:O,7,FALSE)</f>
        <v>0</v>
      </c>
      <c r="X116" s="100">
        <f>VLOOKUP(TableRBRanks3141[[#This Row],[Player]],RB!B:O,8,FALSE)</f>
        <v>0</v>
      </c>
      <c r="Y116" s="100">
        <f>VLOOKUP(TableRBRanks3141[[#This Row],[Player]],RB!B:O,9,FALSE)</f>
        <v>0</v>
      </c>
      <c r="Z116" s="100">
        <f>VLOOKUP(TableRBRanks3141[[#This Row],[Player]],RB!B:O,10,FALSE)</f>
        <v>0</v>
      </c>
      <c r="AA116" s="95">
        <f>VLOOKUP(TableRBRanks3141[[#This Row],[Player]],RB!B:O,14,FALSE)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VLOOKUP(TableWRRanks3242[[#This Row],[RK]],Rankings!A:T,13,FALSE)</f>
        <v>Jahan Dotson</v>
      </c>
      <c r="AF116" s="58" t="str">
        <f>IFERROR(INDEX(TableWRCalcPts[TM],MATCH(TableWRRanks3242[[#This Row],[Player]],TableWRCalcPts[PLAYER],0)),"")</f>
        <v>ATL</v>
      </c>
      <c r="AG116" s="58">
        <f>IFERROR(INDEX(TableWRCalcPts[BYE],MATCH(TableWRRanks3242[[#This Row],[Player]],TableWRCalcPts[PLAYER],0)),"")</f>
        <v>11</v>
      </c>
      <c r="AH116" s="100">
        <f>VLOOKUP(TableWRRanks3242[[#This Row],[Player]],WR!B:O,4,FALSE)</f>
        <v>0</v>
      </c>
      <c r="AI116" s="100">
        <f>VLOOKUP(TableWRRanks3242[[#This Row],[Player]],WR!B:O,5,FALSE)</f>
        <v>0</v>
      </c>
      <c r="AJ116" s="100">
        <f>VLOOKUP(TableWRRanks3242[[#This Row],[Player]],WR!B:O,6,FALSE)</f>
        <v>45.412572800000014</v>
      </c>
      <c r="AK116" s="100">
        <f>VLOOKUP(TableWRRanks3242[[#This Row],[Player]],WR!B:O,7,FALSE)</f>
        <v>28.046307289249324</v>
      </c>
      <c r="AL116" s="100">
        <f>VLOOKUP(TableWRRanks3242[[#This Row],[Player]],WR!B:O,8,FALSE)</f>
        <v>348.89606267826156</v>
      </c>
      <c r="AM116" s="100">
        <f>VLOOKUP(TableWRRanks3242[[#This Row],[Player]],WR!B:O,9,FALSE)</f>
        <v>1.7108247446442086</v>
      </c>
      <c r="AN116" s="95">
        <f>VLOOKUP(TableWRRanks3242[[#This Row],[Player]],WR!B:O,13,FALSE)</f>
        <v>59.177708380316076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VLOOKUP(TableRBRanks3141[[#This Row],[RK]],Rankings!A:T,8,FALSE)</f>
        <v>0</v>
      </c>
      <c r="R117" s="58" t="str">
        <f>IFERROR(INDEX(TableRBCalcPts[TM],MATCH(TableRBRanks3141[[#This Row],[Player]],TableRBCalcPts[PLAYER],0)),"")</f>
        <v/>
      </c>
      <c r="S117" s="58" t="str">
        <f>IFERROR(INDEX(TableRBCalcPts[BYE],MATCH(TableRBRanks3141[[#This Row],[Player]],TableRBCalcPts[PLAYER],0)),"")</f>
        <v/>
      </c>
      <c r="T117" s="100">
        <f>VLOOKUP(TableRBRanks3141[[#This Row],[Player]],RB!B:O,4,FALSE)</f>
        <v>0</v>
      </c>
      <c r="U117" s="100">
        <f>VLOOKUP(TableRBRanks3141[[#This Row],[Player]],RB!B:O,5,FALSE)</f>
        <v>0</v>
      </c>
      <c r="V117" s="100">
        <f>VLOOKUP(TableRBRanks3141[[#This Row],[Player]],RB!B:O,6,FALSE)</f>
        <v>0</v>
      </c>
      <c r="W117" s="100">
        <f>VLOOKUP(TableRBRanks3141[[#This Row],[Player]],RB!B:O,7,FALSE)</f>
        <v>0</v>
      </c>
      <c r="X117" s="100">
        <f>VLOOKUP(TableRBRanks3141[[#This Row],[Player]],RB!B:O,8,FALSE)</f>
        <v>0</v>
      </c>
      <c r="Y117" s="100">
        <f>VLOOKUP(TableRBRanks3141[[#This Row],[Player]],RB!B:O,9,FALSE)</f>
        <v>0</v>
      </c>
      <c r="Z117" s="100">
        <f>VLOOKUP(TableRBRanks3141[[#This Row],[Player]],RB!B:O,10,FALSE)</f>
        <v>0</v>
      </c>
      <c r="AA117" s="95">
        <f>VLOOKUP(TableRBRanks3141[[#This Row],[Player]],RB!B:O,14,FALSE)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VLOOKUP(TableWRRanks3242[[#This Row],[RK]],Rankings!A:T,13,FALSE)</f>
        <v>Jaylin Lane</v>
      </c>
      <c r="AF117" s="58" t="str">
        <f>IFERROR(INDEX(TableWRCalcPts[TM],MATCH(TableWRRanks3242[[#This Row],[Player]],TableWRCalcPts[PLAYER],0)),"")</f>
        <v>WSH</v>
      </c>
      <c r="AG117" s="58">
        <f>IFERROR(INDEX(TableWRCalcPts[BYE],MATCH(TableWRRanks3242[[#This Row],[Player]],TableWRCalcPts[PLAYER],0)),"")</f>
        <v>7</v>
      </c>
      <c r="AH117" s="100">
        <f>VLOOKUP(TableWRRanks3242[[#This Row],[Player]],WR!B:O,4,FALSE)</f>
        <v>29.989058400000005</v>
      </c>
      <c r="AI117" s="100">
        <f>VLOOKUP(TableWRRanks3242[[#This Row],[Player]],WR!B:O,5,FALSE)</f>
        <v>3.498723480000001E-2</v>
      </c>
      <c r="AJ117" s="100">
        <f>VLOOKUP(TableWRRanks3242[[#This Row],[Player]],WR!B:O,6,FALSE)</f>
        <v>25.886762719999993</v>
      </c>
      <c r="AK117" s="100">
        <f>VLOOKUP(TableWRRanks3242[[#This Row],[Player]],WR!B:O,7,FALSE)</f>
        <v>13.279909275359996</v>
      </c>
      <c r="AL117" s="100">
        <f>VLOOKUP(TableWRRanks3242[[#This Row],[Player]],WR!B:O,8,FALSE)</f>
        <v>175.29480243475194</v>
      </c>
      <c r="AM117" s="100">
        <f>VLOOKUP(TableWRRanks3242[[#This Row],[Player]],WR!B:O,9,FALSE)</f>
        <v>1.0889525605795198</v>
      </c>
      <c r="AN117" s="95">
        <f>VLOOKUP(TableWRRanks3242[[#This Row],[Player]],WR!B:O,13,FALSE)</f>
        <v>33.911979493432312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VLOOKUP(TableRBRanks3141[[#This Row],[RK]],Rankings!A:T,8,FALSE)</f>
        <v>0</v>
      </c>
      <c r="R118" s="58" t="str">
        <f>IFERROR(INDEX(TableRBCalcPts[TM],MATCH(TableRBRanks3141[[#This Row],[Player]],TableRBCalcPts[PLAYER],0)),"")</f>
        <v/>
      </c>
      <c r="S118" s="58" t="str">
        <f>IFERROR(INDEX(TableRBCalcPts[BYE],MATCH(TableRBRanks3141[[#This Row],[Player]],TableRBCalcPts[PLAYER],0)),"")</f>
        <v/>
      </c>
      <c r="T118" s="100">
        <f>VLOOKUP(TableRBRanks3141[[#This Row],[Player]],RB!B:O,4,FALSE)</f>
        <v>0</v>
      </c>
      <c r="U118" s="100">
        <f>VLOOKUP(TableRBRanks3141[[#This Row],[Player]],RB!B:O,5,FALSE)</f>
        <v>0</v>
      </c>
      <c r="V118" s="100">
        <f>VLOOKUP(TableRBRanks3141[[#This Row],[Player]],RB!B:O,6,FALSE)</f>
        <v>0</v>
      </c>
      <c r="W118" s="100">
        <f>VLOOKUP(TableRBRanks3141[[#This Row],[Player]],RB!B:O,7,FALSE)</f>
        <v>0</v>
      </c>
      <c r="X118" s="100">
        <f>VLOOKUP(TableRBRanks3141[[#This Row],[Player]],RB!B:O,8,FALSE)</f>
        <v>0</v>
      </c>
      <c r="Y118" s="100">
        <f>VLOOKUP(TableRBRanks3141[[#This Row],[Player]],RB!B:O,9,FALSE)</f>
        <v>0</v>
      </c>
      <c r="Z118" s="100">
        <f>VLOOKUP(TableRBRanks3141[[#This Row],[Player]],RB!B:O,10,FALSE)</f>
        <v>0</v>
      </c>
      <c r="AA118" s="95">
        <f>VLOOKUP(TableRBRanks3141[[#This Row],[Player]],RB!B:O,14,FALSE)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VLOOKUP(TableWRRanks3242[[#This Row],[RK]],Rankings!A:T,13,FALSE)</f>
        <v>Tory Horton</v>
      </c>
      <c r="AF118" s="58" t="str">
        <f>IFERROR(INDEX(TableWRCalcPts[TM],MATCH(TableWRRanks3242[[#This Row],[Player]],TableWRCalcPts[PLAYER],0)),"")</f>
        <v>SEA</v>
      </c>
      <c r="AG118" s="58">
        <f>IFERROR(INDEX(TableWRCalcPts[BYE],MATCH(TableWRRanks3242[[#This Row],[Player]],TableWRCalcPts[PLAYER],0)),"")</f>
        <v>11</v>
      </c>
      <c r="AH118" s="100">
        <f>VLOOKUP(TableWRRanks3242[[#This Row],[Player]],WR!B:O,4,FALSE)</f>
        <v>0</v>
      </c>
      <c r="AI118" s="100">
        <f>VLOOKUP(TableWRRanks3242[[#This Row],[Player]],WR!B:O,5,FALSE)</f>
        <v>0</v>
      </c>
      <c r="AJ118" s="100">
        <f>VLOOKUP(TableWRRanks3242[[#This Row],[Player]],WR!B:O,6,FALSE)</f>
        <v>31.293101280000002</v>
      </c>
      <c r="AK118" s="100">
        <f>VLOOKUP(TableWRRanks3242[[#This Row],[Player]],WR!B:O,7,FALSE)</f>
        <v>16.522757475840002</v>
      </c>
      <c r="AL118" s="100">
        <f>VLOOKUP(TableWRRanks3242[[#This Row],[Player]],WR!B:O,8,FALSE)</f>
        <v>212.48266113930242</v>
      </c>
      <c r="AM118" s="100">
        <f>VLOOKUP(TableWRRanks3242[[#This Row],[Player]],WR!B:O,9,FALSE)</f>
        <v>1.7018440200115201</v>
      </c>
      <c r="AN118" s="95">
        <f>VLOOKUP(TableWRRanks3242[[#This Row],[Player]],WR!B:O,13,FALSE)</f>
        <v>39.720708971919365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VLOOKUP(TableRBRanks3141[[#This Row],[RK]],Rankings!A:T,8,FALSE)</f>
        <v>0</v>
      </c>
      <c r="R119" s="58" t="str">
        <f>IFERROR(INDEX(TableRBCalcPts[TM],MATCH(TableRBRanks3141[[#This Row],[Player]],TableRBCalcPts[PLAYER],0)),"")</f>
        <v/>
      </c>
      <c r="S119" s="58" t="str">
        <f>IFERROR(INDEX(TableRBCalcPts[BYE],MATCH(TableRBRanks3141[[#This Row],[Player]],TableRBCalcPts[PLAYER],0)),"")</f>
        <v/>
      </c>
      <c r="T119" s="100">
        <f>VLOOKUP(TableRBRanks3141[[#This Row],[Player]],RB!B:O,4,FALSE)</f>
        <v>0</v>
      </c>
      <c r="U119" s="100">
        <f>VLOOKUP(TableRBRanks3141[[#This Row],[Player]],RB!B:O,5,FALSE)</f>
        <v>0</v>
      </c>
      <c r="V119" s="100">
        <f>VLOOKUP(TableRBRanks3141[[#This Row],[Player]],RB!B:O,6,FALSE)</f>
        <v>0</v>
      </c>
      <c r="W119" s="100">
        <f>VLOOKUP(TableRBRanks3141[[#This Row],[Player]],RB!B:O,7,FALSE)</f>
        <v>0</v>
      </c>
      <c r="X119" s="100">
        <f>VLOOKUP(TableRBRanks3141[[#This Row],[Player]],RB!B:O,8,FALSE)</f>
        <v>0</v>
      </c>
      <c r="Y119" s="100">
        <f>VLOOKUP(TableRBRanks3141[[#This Row],[Player]],RB!B:O,9,FALSE)</f>
        <v>0</v>
      </c>
      <c r="Z119" s="100">
        <f>VLOOKUP(TableRBRanks3141[[#This Row],[Player]],RB!B:O,10,FALSE)</f>
        <v>0</v>
      </c>
      <c r="AA119" s="95">
        <f>VLOOKUP(TableRBRanks3141[[#This Row],[Player]],RB!B:O,14,FALSE)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VLOOKUP(TableWRRanks3242[[#This Row],[RK]],Rankings!A:T,13,FALSE)</f>
        <v>Kalif Raymond</v>
      </c>
      <c r="AF119" s="58" t="str">
        <f>IFERROR(INDEX(TableWRCalcPts[TM],MATCH(TableWRRanks3242[[#This Row],[Player]],TableWRCalcPts[PLAYER],0)),"")</f>
        <v>CHI</v>
      </c>
      <c r="AG119" s="58">
        <f>IFERROR(INDEX(TableWRCalcPts[BYE],MATCH(TableWRRanks3242[[#This Row],[Player]],TableWRCalcPts[PLAYER],0)),"")</f>
        <v>10</v>
      </c>
      <c r="AH119" s="100">
        <f>VLOOKUP(TableWRRanks3242[[#This Row],[Player]],WR!B:O,4,FALSE)</f>
        <v>14.529662933333332</v>
      </c>
      <c r="AI119" s="100">
        <f>VLOOKUP(TableWRRanks3242[[#This Row],[Player]],WR!B:O,5,FALSE)</f>
        <v>2.5945826666666665E-2</v>
      </c>
      <c r="AJ119" s="100">
        <f>VLOOKUP(TableWRRanks3242[[#This Row],[Player]],WR!B:O,6,FALSE)</f>
        <v>36.091847680000001</v>
      </c>
      <c r="AK119" s="100">
        <f>VLOOKUP(TableWRRanks3242[[#This Row],[Player]],WR!B:O,7,FALSE)</f>
        <v>20.283618396160001</v>
      </c>
      <c r="AL119" s="100">
        <f>VLOOKUP(TableWRRanks3242[[#This Row],[Player]],WR!B:O,8,FALSE)</f>
        <v>224.53965564549122</v>
      </c>
      <c r="AM119" s="100">
        <f>VLOOKUP(TableWRRanks3242[[#This Row],[Player]],WR!B:O,9,FALSE)</f>
        <v>1.25758434056192</v>
      </c>
      <c r="AN119" s="95">
        <f>VLOOKUP(TableWRRanks3242[[#This Row],[Player]],WR!B:O,13,FALSE)</f>
        <v>41.749922059333976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VLOOKUP(TableRBRanks3141[[#This Row],[RK]],Rankings!A:T,8,FALSE)</f>
        <v>0</v>
      </c>
      <c r="R120" s="58" t="str">
        <f>IFERROR(INDEX(TableRBCalcPts[TM],MATCH(TableRBRanks3141[[#This Row],[Player]],TableRBCalcPts[PLAYER],0)),"")</f>
        <v/>
      </c>
      <c r="S120" s="58" t="str">
        <f>IFERROR(INDEX(TableRBCalcPts[BYE],MATCH(TableRBRanks3141[[#This Row],[Player]],TableRBCalcPts[PLAYER],0)),"")</f>
        <v/>
      </c>
      <c r="T120" s="100">
        <f>VLOOKUP(TableRBRanks3141[[#This Row],[Player]],RB!B:O,4,FALSE)</f>
        <v>0</v>
      </c>
      <c r="U120" s="100">
        <f>VLOOKUP(TableRBRanks3141[[#This Row],[Player]],RB!B:O,5,FALSE)</f>
        <v>0</v>
      </c>
      <c r="V120" s="100">
        <f>VLOOKUP(TableRBRanks3141[[#This Row],[Player]],RB!B:O,6,FALSE)</f>
        <v>0</v>
      </c>
      <c r="W120" s="100">
        <f>VLOOKUP(TableRBRanks3141[[#This Row],[Player]],RB!B:O,7,FALSE)</f>
        <v>0</v>
      </c>
      <c r="X120" s="100">
        <f>VLOOKUP(TableRBRanks3141[[#This Row],[Player]],RB!B:O,8,FALSE)</f>
        <v>0</v>
      </c>
      <c r="Y120" s="100">
        <f>VLOOKUP(TableRBRanks3141[[#This Row],[Player]],RB!B:O,9,FALSE)</f>
        <v>0</v>
      </c>
      <c r="Z120" s="100">
        <f>VLOOKUP(TableRBRanks3141[[#This Row],[Player]],RB!B:O,10,FALSE)</f>
        <v>0</v>
      </c>
      <c r="AA120" s="95">
        <f>VLOOKUP(TableRBRanks3141[[#This Row],[Player]],RB!B:O,14,FALSE)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VLOOKUP(TableWRRanks3242[[#This Row],[RK]],Rankings!A:T,13,FALSE)</f>
        <v>Isaiah Bond</v>
      </c>
      <c r="AF120" s="58" t="str">
        <f>IFERROR(INDEX(TableWRCalcPts[TM],MATCH(TableWRRanks3242[[#This Row],[Player]],TableWRCalcPts[PLAYER],0)),"")</f>
        <v>CLE</v>
      </c>
      <c r="AG120" s="58">
        <f>IFERROR(INDEX(TableWRCalcPts[BYE],MATCH(TableWRRanks3242[[#This Row],[Player]],TableWRCalcPts[PLAYER],0)),"")</f>
        <v>11</v>
      </c>
      <c r="AH120" s="100">
        <f>VLOOKUP(TableWRRanks3242[[#This Row],[Player]],WR!B:O,4,FALSE)</f>
        <v>75.719700000000003</v>
      </c>
      <c r="AI120" s="100">
        <f>VLOOKUP(TableWRRanks3242[[#This Row],[Player]],WR!B:O,5,FALSE)</f>
        <v>0.37859850000000006</v>
      </c>
      <c r="AJ120" s="100">
        <f>VLOOKUP(TableWRRanks3242[[#This Row],[Player]],WR!B:O,6,FALSE)</f>
        <v>36.120545999999997</v>
      </c>
      <c r="AK120" s="100">
        <f>VLOOKUP(TableWRRanks3242[[#This Row],[Player]],WR!B:O,7,FALSE)</f>
        <v>22.105774151999999</v>
      </c>
      <c r="AL120" s="100">
        <f>VLOOKUP(TableWRRanks3242[[#This Row],[Player]],WR!B:O,8,FALSE)</f>
        <v>274.11159948479997</v>
      </c>
      <c r="AM120" s="100">
        <f>VLOOKUP(TableWRRanks3242[[#This Row],[Player]],WR!B:O,9,FALSE)</f>
        <v>1.348452223272</v>
      </c>
      <c r="AN120" s="95">
        <f>VLOOKUP(TableWRRanks3242[[#This Row],[Player]],WR!B:O,13,FALSE)</f>
        <v>56.398321364111993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VLOOKUP(TableRBRanks3141[[#This Row],[RK]],Rankings!A:T,8,FALSE)</f>
        <v>0</v>
      </c>
      <c r="R121" s="58" t="str">
        <f>IFERROR(INDEX(TableRBCalcPts[TM],MATCH(TableRBRanks3141[[#This Row],[Player]],TableRBCalcPts[PLAYER],0)),"")</f>
        <v/>
      </c>
      <c r="S121" s="58" t="str">
        <f>IFERROR(INDEX(TableRBCalcPts[BYE],MATCH(TableRBRanks3141[[#This Row],[Player]],TableRBCalcPts[PLAYER],0)),"")</f>
        <v/>
      </c>
      <c r="T121" s="100">
        <f>VLOOKUP(TableRBRanks3141[[#This Row],[Player]],RB!B:O,4,FALSE)</f>
        <v>0</v>
      </c>
      <c r="U121" s="100">
        <f>VLOOKUP(TableRBRanks3141[[#This Row],[Player]],RB!B:O,5,FALSE)</f>
        <v>0</v>
      </c>
      <c r="V121" s="100">
        <f>VLOOKUP(TableRBRanks3141[[#This Row],[Player]],RB!B:O,6,FALSE)</f>
        <v>0</v>
      </c>
      <c r="W121" s="100">
        <f>VLOOKUP(TableRBRanks3141[[#This Row],[Player]],RB!B:O,7,FALSE)</f>
        <v>0</v>
      </c>
      <c r="X121" s="100">
        <f>VLOOKUP(TableRBRanks3141[[#This Row],[Player]],RB!B:O,8,FALSE)</f>
        <v>0</v>
      </c>
      <c r="Y121" s="100">
        <f>VLOOKUP(TableRBRanks3141[[#This Row],[Player]],RB!B:O,9,FALSE)</f>
        <v>0</v>
      </c>
      <c r="Z121" s="100">
        <f>VLOOKUP(TableRBRanks3141[[#This Row],[Player]],RB!B:O,10,FALSE)</f>
        <v>0</v>
      </c>
      <c r="AA121" s="95">
        <f>VLOOKUP(TableRBRanks3141[[#This Row],[Player]],RB!B:O,14,FALSE)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VLOOKUP(TableWRRanks3242[[#This Row],[RK]],Rankings!A:T,13,FALSE)</f>
        <v>Devontez Walker</v>
      </c>
      <c r="AF121" s="58" t="str">
        <f>IFERROR(INDEX(TableWRCalcPts[TM],MATCH(TableWRRanks3242[[#This Row],[Player]],TableWRCalcPts[PLAYER],0)),"")</f>
        <v>BAL</v>
      </c>
      <c r="AG121" s="58">
        <f>IFERROR(INDEX(TableWRCalcPts[BYE],MATCH(TableWRRanks3242[[#This Row],[Player]],TableWRCalcPts[PLAYER],0)),"")</f>
        <v>13</v>
      </c>
      <c r="AH121" s="100">
        <f>VLOOKUP(TableWRRanks3242[[#This Row],[Player]],WR!B:O,4,FALSE)</f>
        <v>0</v>
      </c>
      <c r="AI121" s="100">
        <f>VLOOKUP(TableWRRanks3242[[#This Row],[Player]],WR!B:O,5,FALSE)</f>
        <v>0</v>
      </c>
      <c r="AJ121" s="100">
        <f>VLOOKUP(TableWRRanks3242[[#This Row],[Player]],WR!B:O,6,FALSE)</f>
        <v>22.558126079999997</v>
      </c>
      <c r="AK121" s="100">
        <f>VLOOKUP(TableWRRanks3242[[#This Row],[Player]],WR!B:O,7,FALSE)</f>
        <v>15.22556542338844</v>
      </c>
      <c r="AL121" s="100">
        <f>VLOOKUP(TableWRRanks3242[[#This Row],[Player]],WR!B:O,8,FALSE)</f>
        <v>230.46852058953951</v>
      </c>
      <c r="AM121" s="100">
        <f>VLOOKUP(TableWRRanks3242[[#This Row],[Player]],WR!B:O,9,FALSE)</f>
        <v>1.6748121965727285</v>
      </c>
      <c r="AN121" s="95">
        <f>VLOOKUP(TableWRRanks3242[[#This Row],[Player]],WR!B:O,13,FALSE)</f>
        <v>40.708507950084538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VLOOKUP(TableRBRanks3141[[#This Row],[RK]],Rankings!A:T,8,FALSE)</f>
        <v>0</v>
      </c>
      <c r="R122" s="58" t="str">
        <f>IFERROR(INDEX(TableRBCalcPts[TM],MATCH(TableRBRanks3141[[#This Row],[Player]],TableRBCalcPts[PLAYER],0)),"")</f>
        <v/>
      </c>
      <c r="S122" s="58" t="str">
        <f>IFERROR(INDEX(TableRBCalcPts[BYE],MATCH(TableRBRanks3141[[#This Row],[Player]],TableRBCalcPts[PLAYER],0)),"")</f>
        <v/>
      </c>
      <c r="T122" s="100">
        <f>VLOOKUP(TableRBRanks3141[[#This Row],[Player]],RB!B:O,4,FALSE)</f>
        <v>0</v>
      </c>
      <c r="U122" s="100">
        <f>VLOOKUP(TableRBRanks3141[[#This Row],[Player]],RB!B:O,5,FALSE)</f>
        <v>0</v>
      </c>
      <c r="V122" s="100">
        <f>VLOOKUP(TableRBRanks3141[[#This Row],[Player]],RB!B:O,6,FALSE)</f>
        <v>0</v>
      </c>
      <c r="W122" s="100">
        <f>VLOOKUP(TableRBRanks3141[[#This Row],[Player]],RB!B:O,7,FALSE)</f>
        <v>0</v>
      </c>
      <c r="X122" s="100">
        <f>VLOOKUP(TableRBRanks3141[[#This Row],[Player]],RB!B:O,8,FALSE)</f>
        <v>0</v>
      </c>
      <c r="Y122" s="100">
        <f>VLOOKUP(TableRBRanks3141[[#This Row],[Player]],RB!B:O,9,FALSE)</f>
        <v>0</v>
      </c>
      <c r="Z122" s="100">
        <f>VLOOKUP(TableRBRanks3141[[#This Row],[Player]],RB!B:O,10,FALSE)</f>
        <v>0</v>
      </c>
      <c r="AA122" s="95">
        <f>VLOOKUP(TableRBRanks3141[[#This Row],[Player]],RB!B:O,14,FALSE)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VLOOKUP(TableWRRanks3242[[#This Row],[RK]],Rankings!A:T,13,FALSE)</f>
        <v>Tutu Atwell</v>
      </c>
      <c r="AF122" s="58" t="str">
        <f>IFERROR(INDEX(TableWRCalcPts[TM],MATCH(TableWRRanks3242[[#This Row],[Player]],TableWRCalcPts[PLAYER],0)),"")</f>
        <v>MIA</v>
      </c>
      <c r="AG122" s="58">
        <f>IFERROR(INDEX(TableWRCalcPts[BYE],MATCH(TableWRRanks3242[[#This Row],[Player]],TableWRCalcPts[PLAYER],0)),"")</f>
        <v>6</v>
      </c>
      <c r="AH122" s="100">
        <f>VLOOKUP(TableWRRanks3242[[#This Row],[Player]],WR!B:O,4,FALSE)</f>
        <v>0</v>
      </c>
      <c r="AI122" s="100">
        <f>VLOOKUP(TableWRRanks3242[[#This Row],[Player]],WR!B:O,5,FALSE)</f>
        <v>0</v>
      </c>
      <c r="AJ122" s="100">
        <f>VLOOKUP(TableWRRanks3242[[#This Row],[Player]],WR!B:O,6,FALSE)</f>
        <v>22.652564759999997</v>
      </c>
      <c r="AK122" s="100">
        <f>VLOOKUP(TableWRRanks3242[[#This Row],[Player]],WR!B:O,7,FALSE)</f>
        <v>15.902100461519996</v>
      </c>
      <c r="AL122" s="100">
        <f>VLOOKUP(TableWRRanks3242[[#This Row],[Player]],WR!B:O,8,FALSE)</f>
        <v>202.43373887514957</v>
      </c>
      <c r="AM122" s="100">
        <f>VLOOKUP(TableWRRanks3242[[#This Row],[Player]],WR!B:O,9,FALSE)</f>
        <v>0.69969242030687984</v>
      </c>
      <c r="AN122" s="95">
        <f>VLOOKUP(TableWRRanks3242[[#This Row],[Player]],WR!B:O,13,FALSE)</f>
        <v>32.392578640116241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VLOOKUP(TableRBRanks3141[[#This Row],[RK]],Rankings!A:T,8,FALSE)</f>
        <v>0</v>
      </c>
      <c r="R123" s="58" t="str">
        <f>IFERROR(INDEX(TableRBCalcPts[TM],MATCH(TableRBRanks3141[[#This Row],[Player]],TableRBCalcPts[PLAYER],0)),"")</f>
        <v/>
      </c>
      <c r="S123" s="58" t="str">
        <f>IFERROR(INDEX(TableRBCalcPts[BYE],MATCH(TableRBRanks3141[[#This Row],[Player]],TableRBCalcPts[PLAYER],0)),"")</f>
        <v/>
      </c>
      <c r="T123" s="100">
        <f>VLOOKUP(TableRBRanks3141[[#This Row],[Player]],RB!B:O,4,FALSE)</f>
        <v>0</v>
      </c>
      <c r="U123" s="100">
        <f>VLOOKUP(TableRBRanks3141[[#This Row],[Player]],RB!B:O,5,FALSE)</f>
        <v>0</v>
      </c>
      <c r="V123" s="100">
        <f>VLOOKUP(TableRBRanks3141[[#This Row],[Player]],RB!B:O,6,FALSE)</f>
        <v>0</v>
      </c>
      <c r="W123" s="100">
        <f>VLOOKUP(TableRBRanks3141[[#This Row],[Player]],RB!B:O,7,FALSE)</f>
        <v>0</v>
      </c>
      <c r="X123" s="100">
        <f>VLOOKUP(TableRBRanks3141[[#This Row],[Player]],RB!B:O,8,FALSE)</f>
        <v>0</v>
      </c>
      <c r="Y123" s="100">
        <f>VLOOKUP(TableRBRanks3141[[#This Row],[Player]],RB!B:O,9,FALSE)</f>
        <v>0</v>
      </c>
      <c r="Z123" s="100">
        <f>VLOOKUP(TableRBRanks3141[[#This Row],[Player]],RB!B:O,10,FALSE)</f>
        <v>0</v>
      </c>
      <c r="AA123" s="95">
        <f>VLOOKUP(TableRBRanks3141[[#This Row],[Player]],RB!B:O,14,FALSE)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VLOOKUP(TableWRRanks3242[[#This Row],[RK]],Rankings!A:T,13,FALSE)</f>
        <v>Marvin Mims</v>
      </c>
      <c r="AF123" s="58" t="str">
        <f>IFERROR(INDEX(TableWRCalcPts[TM],MATCH(TableWRRanks3242[[#This Row],[Player]],TableWRCalcPts[PLAYER],0)),"")</f>
        <v>DEN</v>
      </c>
      <c r="AG123" s="58">
        <f>IFERROR(INDEX(TableWRCalcPts[BYE],MATCH(TableWRRanks3242[[#This Row],[Player]],TableWRCalcPts[PLAYER],0)),"")</f>
        <v>10</v>
      </c>
      <c r="AH123" s="100">
        <f>VLOOKUP(TableWRRanks3242[[#This Row],[Player]],WR!B:O,4,FALSE)</f>
        <v>40.606619846057285</v>
      </c>
      <c r="AI123" s="100">
        <f>VLOOKUP(TableWRRanks3242[[#This Row],[Player]],WR!B:O,5,FALSE)</f>
        <v>0.3122830212152084</v>
      </c>
      <c r="AJ123" s="100">
        <f>VLOOKUP(TableWRRanks3242[[#This Row],[Player]],WR!B:O,6,FALSE)</f>
        <v>22.256193960000001</v>
      </c>
      <c r="AK123" s="100">
        <f>VLOOKUP(TableWRRanks3242[[#This Row],[Player]],WR!B:O,7,FALSE)</f>
        <v>15.089699504880002</v>
      </c>
      <c r="AL123" s="100">
        <f>VLOOKUP(TableWRRanks3242[[#This Row],[Player]],WR!B:O,8,FALSE)</f>
        <v>154.7447262544562</v>
      </c>
      <c r="AM123" s="100">
        <f>VLOOKUP(TableWRRanks3242[[#This Row],[Player]],WR!B:O,9,FALSE)</f>
        <v>0.78466437425376012</v>
      </c>
      <c r="AN123" s="95">
        <f>VLOOKUP(TableWRRanks3242[[#This Row],[Player]],WR!B:O,13,FALSE)</f>
        <v>33.661668735305163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VLOOKUP(TableRBRanks3141[[#This Row],[RK]],Rankings!A:T,8,FALSE)</f>
        <v>0</v>
      </c>
      <c r="R124" s="58" t="str">
        <f>IFERROR(INDEX(TableRBCalcPts[TM],MATCH(TableRBRanks3141[[#This Row],[Player]],TableRBCalcPts[PLAYER],0)),"")</f>
        <v/>
      </c>
      <c r="S124" s="58" t="str">
        <f>IFERROR(INDEX(TableRBCalcPts[BYE],MATCH(TableRBRanks3141[[#This Row],[Player]],TableRBCalcPts[PLAYER],0)),"")</f>
        <v/>
      </c>
      <c r="T124" s="100">
        <f>VLOOKUP(TableRBRanks3141[[#This Row],[Player]],RB!B:O,4,FALSE)</f>
        <v>0</v>
      </c>
      <c r="U124" s="100">
        <f>VLOOKUP(TableRBRanks3141[[#This Row],[Player]],RB!B:O,5,FALSE)</f>
        <v>0</v>
      </c>
      <c r="V124" s="100">
        <f>VLOOKUP(TableRBRanks3141[[#This Row],[Player]],RB!B:O,6,FALSE)</f>
        <v>0</v>
      </c>
      <c r="W124" s="100">
        <f>VLOOKUP(TableRBRanks3141[[#This Row],[Player]],RB!B:O,7,FALSE)</f>
        <v>0</v>
      </c>
      <c r="X124" s="100">
        <f>VLOOKUP(TableRBRanks3141[[#This Row],[Player]],RB!B:O,8,FALSE)</f>
        <v>0</v>
      </c>
      <c r="Y124" s="100">
        <f>VLOOKUP(TableRBRanks3141[[#This Row],[Player]],RB!B:O,9,FALSE)</f>
        <v>0</v>
      </c>
      <c r="Z124" s="100">
        <f>VLOOKUP(TableRBRanks3141[[#This Row],[Player]],RB!B:O,10,FALSE)</f>
        <v>0</v>
      </c>
      <c r="AA124" s="95">
        <f>VLOOKUP(TableRBRanks3141[[#This Row],[Player]],RB!B:O,14,FALSE)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VLOOKUP(TableWRRanks3242[[#This Row],[RK]],Rankings!A:T,13,FALSE)</f>
        <v>Jalen Royals</v>
      </c>
      <c r="AF124" s="58" t="str">
        <f>IFERROR(INDEX(TableWRCalcPts[TM],MATCH(TableWRRanks3242[[#This Row],[Player]],TableWRCalcPts[PLAYER],0)),"")</f>
        <v>KC</v>
      </c>
      <c r="AG124" s="58">
        <f>IFERROR(INDEX(TableWRCalcPts[BYE],MATCH(TableWRRanks3242[[#This Row],[Player]],TableWRCalcPts[PLAYER],0)),"")</f>
        <v>5</v>
      </c>
      <c r="AH124" s="100">
        <f>VLOOKUP(TableWRRanks3242[[#This Row],[Player]],WR!B:O,4,FALSE)</f>
        <v>0</v>
      </c>
      <c r="AI124" s="100">
        <f>VLOOKUP(TableWRRanks3242[[#This Row],[Player]],WR!B:O,5,FALSE)</f>
        <v>0</v>
      </c>
      <c r="AJ124" s="100">
        <f>VLOOKUP(TableWRRanks3242[[#This Row],[Player]],WR!B:O,6,FALSE)</f>
        <v>26.346442499999998</v>
      </c>
      <c r="AK124" s="100">
        <f>VLOOKUP(TableWRRanks3242[[#This Row],[Player]],WR!B:O,7,FALSE)</f>
        <v>16.545565889999999</v>
      </c>
      <c r="AL124" s="100">
        <f>VLOOKUP(TableWRRanks3242[[#This Row],[Player]],WR!B:O,8,FALSE)</f>
        <v>173.51816124730254</v>
      </c>
      <c r="AM124" s="100">
        <f>VLOOKUP(TableWRRanks3242[[#This Row],[Player]],WR!B:O,9,FALSE)</f>
        <v>1.24091744175</v>
      </c>
      <c r="AN124" s="95">
        <f>VLOOKUP(TableWRRanks3242[[#This Row],[Player]],WR!B:O,13,FALSE)</f>
        <v>33.070103720230257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VLOOKUP(TableRBRanks3141[[#This Row],[RK]],Rankings!A:T,8,FALSE)</f>
        <v>0</v>
      </c>
      <c r="R125" s="58" t="str">
        <f>IFERROR(INDEX(TableRBCalcPts[TM],MATCH(TableRBRanks3141[[#This Row],[Player]],TableRBCalcPts[PLAYER],0)),"")</f>
        <v/>
      </c>
      <c r="S125" s="58" t="str">
        <f>IFERROR(INDEX(TableRBCalcPts[BYE],MATCH(TableRBRanks3141[[#This Row],[Player]],TableRBCalcPts[PLAYER],0)),"")</f>
        <v/>
      </c>
      <c r="T125" s="100">
        <f>VLOOKUP(TableRBRanks3141[[#This Row],[Player]],RB!B:O,4,FALSE)</f>
        <v>0</v>
      </c>
      <c r="U125" s="100">
        <f>VLOOKUP(TableRBRanks3141[[#This Row],[Player]],RB!B:O,5,FALSE)</f>
        <v>0</v>
      </c>
      <c r="V125" s="100">
        <f>VLOOKUP(TableRBRanks3141[[#This Row],[Player]],RB!B:O,6,FALSE)</f>
        <v>0</v>
      </c>
      <c r="W125" s="100">
        <f>VLOOKUP(TableRBRanks3141[[#This Row],[Player]],RB!B:O,7,FALSE)</f>
        <v>0</v>
      </c>
      <c r="X125" s="100">
        <f>VLOOKUP(TableRBRanks3141[[#This Row],[Player]],RB!B:O,8,FALSE)</f>
        <v>0</v>
      </c>
      <c r="Y125" s="100">
        <f>VLOOKUP(TableRBRanks3141[[#This Row],[Player]],RB!B:O,9,FALSE)</f>
        <v>0</v>
      </c>
      <c r="Z125" s="100">
        <f>VLOOKUP(TableRBRanks3141[[#This Row],[Player]],RB!B:O,10,FALSE)</f>
        <v>0</v>
      </c>
      <c r="AA125" s="95">
        <f>VLOOKUP(TableRBRanks3141[[#This Row],[Player]],RB!B:O,14,FALSE)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VLOOKUP(TableWRRanks3242[[#This Row],[RK]],Rankings!A:T,13,FALSE)</f>
        <v>Chimere Dike</v>
      </c>
      <c r="AF125" s="58" t="str">
        <f>IFERROR(INDEX(TableWRCalcPts[TM],MATCH(TableWRRanks3242[[#This Row],[Player]],TableWRCalcPts[PLAYER],0)),"")</f>
        <v>TEN</v>
      </c>
      <c r="AG125" s="58">
        <f>IFERROR(INDEX(TableWRCalcPts[BYE],MATCH(TableWRRanks3242[[#This Row],[Player]],TableWRCalcPts[PLAYER],0)),"")</f>
        <v>9</v>
      </c>
      <c r="AH125" s="100">
        <f>VLOOKUP(TableWRRanks3242[[#This Row],[Player]],WR!B:O,4,FALSE)</f>
        <v>18.365849940778077</v>
      </c>
      <c r="AI125" s="100">
        <f>VLOOKUP(TableWRRanks3242[[#This Row],[Player]],WR!B:O,5,FALSE)</f>
        <v>0.24117726801997885</v>
      </c>
      <c r="AJ125" s="100">
        <f>VLOOKUP(TableWRRanks3242[[#This Row],[Player]],WR!B:O,6,FALSE)</f>
        <v>13.730976000000004</v>
      </c>
      <c r="AK125" s="100">
        <f>VLOOKUP(TableWRRanks3242[[#This Row],[Player]],WR!B:O,7,FALSE)</f>
        <v>9.0761751360000034</v>
      </c>
      <c r="AL125" s="100">
        <f>VLOOKUP(TableWRRanks3242[[#This Row],[Player]],WR!B:O,8,FALSE)</f>
        <v>85.924693191770871</v>
      </c>
      <c r="AM125" s="100">
        <f>VLOOKUP(TableWRRanks3242[[#This Row],[Player]],WR!B:O,9,FALSE)</f>
        <v>0.58995138384000023</v>
      </c>
      <c r="AN125" s="95">
        <f>VLOOKUP(TableWRRanks3242[[#This Row],[Player]],WR!B:O,13,FALSE)</f>
        <v>19.953913792414774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VLOOKUP(TableRBRanks3141[[#This Row],[RK]],Rankings!A:T,8,FALSE)</f>
        <v>0</v>
      </c>
      <c r="R126" s="58" t="str">
        <f>IFERROR(INDEX(TableRBCalcPts[TM],MATCH(TableRBRanks3141[[#This Row],[Player]],TableRBCalcPts[PLAYER],0)),"")</f>
        <v/>
      </c>
      <c r="S126" s="58" t="str">
        <f>IFERROR(INDEX(TableRBCalcPts[BYE],MATCH(TableRBRanks3141[[#This Row],[Player]],TableRBCalcPts[PLAYER],0)),"")</f>
        <v/>
      </c>
      <c r="T126" s="100">
        <f>VLOOKUP(TableRBRanks3141[[#This Row],[Player]],RB!B:O,4,FALSE)</f>
        <v>0</v>
      </c>
      <c r="U126" s="100">
        <f>VLOOKUP(TableRBRanks3141[[#This Row],[Player]],RB!B:O,5,FALSE)</f>
        <v>0</v>
      </c>
      <c r="V126" s="100">
        <f>VLOOKUP(TableRBRanks3141[[#This Row],[Player]],RB!B:O,6,FALSE)</f>
        <v>0</v>
      </c>
      <c r="W126" s="100">
        <f>VLOOKUP(TableRBRanks3141[[#This Row],[Player]],RB!B:O,7,FALSE)</f>
        <v>0</v>
      </c>
      <c r="X126" s="100">
        <f>VLOOKUP(TableRBRanks3141[[#This Row],[Player]],RB!B:O,8,FALSE)</f>
        <v>0</v>
      </c>
      <c r="Y126" s="100">
        <f>VLOOKUP(TableRBRanks3141[[#This Row],[Player]],RB!B:O,9,FALSE)</f>
        <v>0</v>
      </c>
      <c r="Z126" s="100">
        <f>VLOOKUP(TableRBRanks3141[[#This Row],[Player]],RB!B:O,10,FALSE)</f>
        <v>0</v>
      </c>
      <c r="AA126" s="95">
        <f>VLOOKUP(TableRBRanks3141[[#This Row],[Player]],RB!B:O,14,FALSE)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VLOOKUP(TableWRRanks3242[[#This Row],[RK]],Rankings!A:T,13,FALSE)</f>
        <v>Cyrus Allen</v>
      </c>
      <c r="AF126" s="58" t="str">
        <f>IFERROR(INDEX(TableWRCalcPts[TM],MATCH(TableWRRanks3242[[#This Row],[Player]],TableWRCalcPts[PLAYER],0)),"")</f>
        <v>KC</v>
      </c>
      <c r="AG126" s="58">
        <f>IFERROR(INDEX(TableWRCalcPts[BYE],MATCH(TableWRRanks3242[[#This Row],[Player]],TableWRCalcPts[PLAYER],0)),"")</f>
        <v>5</v>
      </c>
      <c r="AH126" s="100">
        <f>VLOOKUP(TableWRRanks3242[[#This Row],[Player]],WR!B:O,4,FALSE)</f>
        <v>0</v>
      </c>
      <c r="AI126" s="100">
        <f>VLOOKUP(TableWRRanks3242[[#This Row],[Player]],WR!B:O,5,FALSE)</f>
        <v>0</v>
      </c>
      <c r="AJ126" s="100">
        <f>VLOOKUP(TableWRRanks3242[[#This Row],[Player]],WR!B:O,6,FALSE)</f>
        <v>8.7821474999999989</v>
      </c>
      <c r="AK126" s="100">
        <f>VLOOKUP(TableWRRanks3242[[#This Row],[Player]],WR!B:O,7,FALSE)</f>
        <v>4.6272159383333324</v>
      </c>
      <c r="AL126" s="100">
        <f>VLOOKUP(TableWRRanks3242[[#This Row],[Player]],WR!B:O,8,FALSE)</f>
        <v>55.322455120333316</v>
      </c>
      <c r="AM126" s="100">
        <f>VLOOKUP(TableWRRanks3242[[#This Row],[Player]],WR!B:O,9,FALSE)</f>
        <v>0.33778676349833325</v>
      </c>
      <c r="AN126" s="95">
        <f>VLOOKUP(TableWRRanks3242[[#This Row],[Player]],WR!B:O,13,FALSE)</f>
        <v>9.8725740621899973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VLOOKUP(TableRBRanks3141[[#This Row],[RK]],Rankings!A:T,8,FALSE)</f>
        <v>0</v>
      </c>
      <c r="R127" s="58" t="str">
        <f>IFERROR(INDEX(TableRBCalcPts[TM],MATCH(TableRBRanks3141[[#This Row],[Player]],TableRBCalcPts[PLAYER],0)),"")</f>
        <v/>
      </c>
      <c r="S127" s="58" t="str">
        <f>IFERROR(INDEX(TableRBCalcPts[BYE],MATCH(TableRBRanks3141[[#This Row],[Player]],TableRBCalcPts[PLAYER],0)),"")</f>
        <v/>
      </c>
      <c r="T127" s="100">
        <f>VLOOKUP(TableRBRanks3141[[#This Row],[Player]],RB!B:O,4,FALSE)</f>
        <v>0</v>
      </c>
      <c r="U127" s="100">
        <f>VLOOKUP(TableRBRanks3141[[#This Row],[Player]],RB!B:O,5,FALSE)</f>
        <v>0</v>
      </c>
      <c r="V127" s="100">
        <f>VLOOKUP(TableRBRanks3141[[#This Row],[Player]],RB!B:O,6,FALSE)</f>
        <v>0</v>
      </c>
      <c r="W127" s="100">
        <f>VLOOKUP(TableRBRanks3141[[#This Row],[Player]],RB!B:O,7,FALSE)</f>
        <v>0</v>
      </c>
      <c r="X127" s="100">
        <f>VLOOKUP(TableRBRanks3141[[#This Row],[Player]],RB!B:O,8,FALSE)</f>
        <v>0</v>
      </c>
      <c r="Y127" s="100">
        <f>VLOOKUP(TableRBRanks3141[[#This Row],[Player]],RB!B:O,9,FALSE)</f>
        <v>0</v>
      </c>
      <c r="Z127" s="100">
        <f>VLOOKUP(TableRBRanks3141[[#This Row],[Player]],RB!B:O,10,FALSE)</f>
        <v>0</v>
      </c>
      <c r="AA127" s="95">
        <f>VLOOKUP(TableRBRanks3141[[#This Row],[Player]],RB!B:O,14,FALSE)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VLOOKUP(TableWRRanks3242[[#This Row],[RK]],Rankings!A:T,13,FALSE)</f>
        <v>Jordan Whittington</v>
      </c>
      <c r="AF127" s="58" t="str">
        <f>IFERROR(INDEX(TableWRCalcPts[TM],MATCH(TableWRRanks3242[[#This Row],[Player]],TableWRCalcPts[PLAYER],0)),"")</f>
        <v>LAR</v>
      </c>
      <c r="AG127" s="58">
        <f>IFERROR(INDEX(TableWRCalcPts[BYE],MATCH(TableWRRanks3242[[#This Row],[Player]],TableWRCalcPts[PLAYER],0)),"")</f>
        <v>11</v>
      </c>
      <c r="AH127" s="100">
        <f>VLOOKUP(TableWRRanks3242[[#This Row],[Player]],WR!B:O,4,FALSE)</f>
        <v>0</v>
      </c>
      <c r="AI127" s="100">
        <f>VLOOKUP(TableWRRanks3242[[#This Row],[Player]],WR!B:O,5,FALSE)</f>
        <v>0</v>
      </c>
      <c r="AJ127" s="100">
        <f>VLOOKUP(TableWRRanks3242[[#This Row],[Player]],WR!B:O,6,FALSE)</f>
        <v>15.267371012969585</v>
      </c>
      <c r="AK127" s="100">
        <f>VLOOKUP(TableWRRanks3242[[#This Row],[Player]],WR!B:O,7,FALSE)</f>
        <v>10.732961822117618</v>
      </c>
      <c r="AL127" s="100">
        <f>VLOOKUP(TableWRRanks3242[[#This Row],[Player]],WR!B:O,8,FALSE)</f>
        <v>111.12923962094875</v>
      </c>
      <c r="AM127" s="100">
        <f>VLOOKUP(TableWRRanks3242[[#This Row],[Player]],WR!B:O,9,FALSE)</f>
        <v>0.66544363297129228</v>
      </c>
      <c r="AN127" s="95">
        <f>VLOOKUP(TableWRRanks3242[[#This Row],[Player]],WR!B:O,13,FALSE)</f>
        <v>20.472066670981437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VLOOKUP(TableRBRanks3141[[#This Row],[RK]],Rankings!A:T,8,FALSE)</f>
        <v>0</v>
      </c>
      <c r="R128" s="58" t="str">
        <f>IFERROR(INDEX(TableRBCalcPts[TM],MATCH(TableRBRanks3141[[#This Row],[Player]],TableRBCalcPts[PLAYER],0)),"")</f>
        <v/>
      </c>
      <c r="S128" s="58" t="str">
        <f>IFERROR(INDEX(TableRBCalcPts[BYE],MATCH(TableRBRanks3141[[#This Row],[Player]],TableRBCalcPts[PLAYER],0)),"")</f>
        <v/>
      </c>
      <c r="T128" s="100">
        <f>VLOOKUP(TableRBRanks3141[[#This Row],[Player]],RB!B:O,4,FALSE)</f>
        <v>0</v>
      </c>
      <c r="U128" s="100">
        <f>VLOOKUP(TableRBRanks3141[[#This Row],[Player]],RB!B:O,5,FALSE)</f>
        <v>0</v>
      </c>
      <c r="V128" s="100">
        <f>VLOOKUP(TableRBRanks3141[[#This Row],[Player]],RB!B:O,6,FALSE)</f>
        <v>0</v>
      </c>
      <c r="W128" s="100">
        <f>VLOOKUP(TableRBRanks3141[[#This Row],[Player]],RB!B:O,7,FALSE)</f>
        <v>0</v>
      </c>
      <c r="X128" s="100">
        <f>VLOOKUP(TableRBRanks3141[[#This Row],[Player]],RB!B:O,8,FALSE)</f>
        <v>0</v>
      </c>
      <c r="Y128" s="100">
        <f>VLOOKUP(TableRBRanks3141[[#This Row],[Player]],RB!B:O,9,FALSE)</f>
        <v>0</v>
      </c>
      <c r="Z128" s="100">
        <f>VLOOKUP(TableRBRanks3141[[#This Row],[Player]],RB!B:O,10,FALSE)</f>
        <v>0</v>
      </c>
      <c r="AA128" s="95">
        <f>VLOOKUP(TableRBRanks3141[[#This Row],[Player]],RB!B:O,14,FALSE)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VLOOKUP(TableWRRanks3242[[#This Row],[RK]],Rankings!A:T,13,FALSE)</f>
        <v>Skyler Bell</v>
      </c>
      <c r="AF128" s="58" t="str">
        <f>IFERROR(INDEX(TableWRCalcPts[TM],MATCH(TableWRRanks3242[[#This Row],[Player]],TableWRCalcPts[PLAYER],0)),"")</f>
        <v>BUF</v>
      </c>
      <c r="AG128" s="58">
        <f>IFERROR(INDEX(TableWRCalcPts[BYE],MATCH(TableWRRanks3242[[#This Row],[Player]],TableWRCalcPts[PLAYER],0)),"")</f>
        <v>7</v>
      </c>
      <c r="AH128" s="100">
        <f>VLOOKUP(TableWRRanks3242[[#This Row],[Player]],WR!B:O,4,FALSE)</f>
        <v>0</v>
      </c>
      <c r="AI128" s="100">
        <f>VLOOKUP(TableWRRanks3242[[#This Row],[Player]],WR!B:O,5,FALSE)</f>
        <v>0</v>
      </c>
      <c r="AJ128" s="100">
        <f>VLOOKUP(TableWRRanks3242[[#This Row],[Player]],WR!B:O,6,FALSE)</f>
        <v>20.430255999999993</v>
      </c>
      <c r="AK128" s="100">
        <f>VLOOKUP(TableWRRanks3242[[#This Row],[Player]],WR!B:O,7,FALSE)</f>
        <v>12.728049487999996</v>
      </c>
      <c r="AL128" s="100">
        <f>VLOOKUP(TableWRRanks3242[[#This Row],[Player]],WR!B:O,8,FALSE)</f>
        <v>161.05822684422731</v>
      </c>
      <c r="AM128" s="100">
        <f>VLOOKUP(TableWRRanks3242[[#This Row],[Player]],WR!B:O,9,FALSE)</f>
        <v>0.99498567446310282</v>
      </c>
      <c r="AN128" s="95">
        <f>VLOOKUP(TableWRRanks3242[[#This Row],[Player]],WR!B:O,13,FALSE)</f>
        <v>28.439761475201344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VLOOKUP(TableRBRanks3141[[#This Row],[RK]],Rankings!A:T,8,FALSE)</f>
        <v>0</v>
      </c>
      <c r="R129" s="58" t="str">
        <f>IFERROR(INDEX(TableRBCalcPts[TM],MATCH(TableRBRanks3141[[#This Row],[Player]],TableRBCalcPts[PLAYER],0)),"")</f>
        <v/>
      </c>
      <c r="S129" s="58" t="str">
        <f>IFERROR(INDEX(TableRBCalcPts[BYE],MATCH(TableRBRanks3141[[#This Row],[Player]],TableRBCalcPts[PLAYER],0)),"")</f>
        <v/>
      </c>
      <c r="T129" s="100">
        <f>VLOOKUP(TableRBRanks3141[[#This Row],[Player]],RB!B:O,4,FALSE)</f>
        <v>0</v>
      </c>
      <c r="U129" s="100">
        <f>VLOOKUP(TableRBRanks3141[[#This Row],[Player]],RB!B:O,5,FALSE)</f>
        <v>0</v>
      </c>
      <c r="V129" s="100">
        <f>VLOOKUP(TableRBRanks3141[[#This Row],[Player]],RB!B:O,6,FALSE)</f>
        <v>0</v>
      </c>
      <c r="W129" s="100">
        <f>VLOOKUP(TableRBRanks3141[[#This Row],[Player]],RB!B:O,7,FALSE)</f>
        <v>0</v>
      </c>
      <c r="X129" s="100">
        <f>VLOOKUP(TableRBRanks3141[[#This Row],[Player]],RB!B:O,8,FALSE)</f>
        <v>0</v>
      </c>
      <c r="Y129" s="100">
        <f>VLOOKUP(TableRBRanks3141[[#This Row],[Player]],RB!B:O,9,FALSE)</f>
        <v>0</v>
      </c>
      <c r="Z129" s="100">
        <f>VLOOKUP(TableRBRanks3141[[#This Row],[Player]],RB!B:O,10,FALSE)</f>
        <v>0</v>
      </c>
      <c r="AA129" s="95">
        <f>VLOOKUP(TableRBRanks3141[[#This Row],[Player]],RB!B:O,14,FALSE)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VLOOKUP(TableWRRanks3242[[#This Row],[RK]],Rankings!A:T,13,FALSE)</f>
        <v>Treylon Burks</v>
      </c>
      <c r="AF129" s="58" t="str">
        <f>IFERROR(INDEX(TableWRCalcPts[TM],MATCH(TableWRRanks3242[[#This Row],[Player]],TableWRCalcPts[PLAYER],0)),"")</f>
        <v>WSH</v>
      </c>
      <c r="AG129" s="58">
        <f>IFERROR(INDEX(TableWRCalcPts[BYE],MATCH(TableWRRanks3242[[#This Row],[Player]],TableWRCalcPts[PLAYER],0)),"")</f>
        <v>7</v>
      </c>
      <c r="AH129" s="100">
        <f>VLOOKUP(TableWRRanks3242[[#This Row],[Player]],WR!B:O,4,FALSE)</f>
        <v>0</v>
      </c>
      <c r="AI129" s="100">
        <f>VLOOKUP(TableWRRanks3242[[#This Row],[Player]],WR!B:O,5,FALSE)</f>
        <v>0</v>
      </c>
      <c r="AJ129" s="100">
        <f>VLOOKUP(TableWRRanks3242[[#This Row],[Player]],WR!B:O,6,FALSE)</f>
        <v>29.371519239999994</v>
      </c>
      <c r="AK129" s="100">
        <f>VLOOKUP(TableWRRanks3242[[#This Row],[Player]],WR!B:O,7,FALSE)</f>
        <v>18.063484332599995</v>
      </c>
      <c r="AL129" s="100">
        <f>VLOOKUP(TableWRRanks3242[[#This Row],[Player]],WR!B:O,8,FALSE)</f>
        <v>229.76752071067193</v>
      </c>
      <c r="AM129" s="100">
        <f>VLOOKUP(TableWRRanks3242[[#This Row],[Player]],WR!B:O,9,FALSE)</f>
        <v>1.2473787627294641</v>
      </c>
      <c r="AN129" s="95">
        <f>VLOOKUP(TableWRRanks3242[[#This Row],[Player]],WR!B:O,13,FALSE)</f>
        <v>39.492766813743984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VLOOKUP(TableRBRanks3141[[#This Row],[RK]],Rankings!A:T,8,FALSE)</f>
        <v>0</v>
      </c>
      <c r="R130" s="58" t="str">
        <f>IFERROR(INDEX(TableRBCalcPts[TM],MATCH(TableRBRanks3141[[#This Row],[Player]],TableRBCalcPts[PLAYER],0)),"")</f>
        <v/>
      </c>
      <c r="S130" s="58" t="str">
        <f>IFERROR(INDEX(TableRBCalcPts[BYE],MATCH(TableRBRanks3141[[#This Row],[Player]],TableRBCalcPts[PLAYER],0)),"")</f>
        <v/>
      </c>
      <c r="T130" s="100">
        <f>VLOOKUP(TableRBRanks3141[[#This Row],[Player]],RB!B:O,4,FALSE)</f>
        <v>0</v>
      </c>
      <c r="U130" s="100">
        <f>VLOOKUP(TableRBRanks3141[[#This Row],[Player]],RB!B:O,5,FALSE)</f>
        <v>0</v>
      </c>
      <c r="V130" s="100">
        <f>VLOOKUP(TableRBRanks3141[[#This Row],[Player]],RB!B:O,6,FALSE)</f>
        <v>0</v>
      </c>
      <c r="W130" s="100">
        <f>VLOOKUP(TableRBRanks3141[[#This Row],[Player]],RB!B:O,7,FALSE)</f>
        <v>0</v>
      </c>
      <c r="X130" s="100">
        <f>VLOOKUP(TableRBRanks3141[[#This Row],[Player]],RB!B:O,8,FALSE)</f>
        <v>0</v>
      </c>
      <c r="Y130" s="100">
        <f>VLOOKUP(TableRBRanks3141[[#This Row],[Player]],RB!B:O,9,FALSE)</f>
        <v>0</v>
      </c>
      <c r="Z130" s="100">
        <f>VLOOKUP(TableRBRanks3141[[#This Row],[Player]],RB!B:O,10,FALSE)</f>
        <v>0</v>
      </c>
      <c r="AA130" s="95">
        <f>VLOOKUP(TableRBRanks3141[[#This Row],[Player]],RB!B:O,14,FALSE)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VLOOKUP(TableWRRanks3242[[#This Row],[RK]],Rankings!A:T,13,FALSE)</f>
        <v>Deion Burks</v>
      </c>
      <c r="AF130" s="58" t="str">
        <f>IFERROR(INDEX(TableWRCalcPts[TM],MATCH(TableWRRanks3242[[#This Row],[Player]],TableWRCalcPts[PLAYER],0)),"")</f>
        <v>IND</v>
      </c>
      <c r="AG130" s="58">
        <f>IFERROR(INDEX(TableWRCalcPts[BYE],MATCH(TableWRRanks3242[[#This Row],[Player]],TableWRCalcPts[PLAYER],0)),"")</f>
        <v>13</v>
      </c>
      <c r="AH130" s="100">
        <f>VLOOKUP(TableWRRanks3242[[#This Row],[Player]],WR!B:O,4,FALSE)</f>
        <v>0</v>
      </c>
      <c r="AI130" s="100">
        <f>VLOOKUP(TableWRRanks3242[[#This Row],[Player]],WR!B:O,5,FALSE)</f>
        <v>0</v>
      </c>
      <c r="AJ130" s="100">
        <f>VLOOKUP(TableWRRanks3242[[#This Row],[Player]],WR!B:O,6,FALSE)</f>
        <v>18.291504</v>
      </c>
      <c r="AK130" s="100">
        <f>VLOOKUP(TableWRRanks3242[[#This Row],[Player]],WR!B:O,7,FALSE)</f>
        <v>10.279825248000002</v>
      </c>
      <c r="AL130" s="100">
        <f>VLOOKUP(TableWRRanks3242[[#This Row],[Player]],WR!B:O,8,FALSE)</f>
        <v>115.64803404000001</v>
      </c>
      <c r="AM130" s="100">
        <f>VLOOKUP(TableWRRanks3242[[#This Row],[Player]],WR!B:O,9,FALSE)</f>
        <v>0.63734916537600006</v>
      </c>
      <c r="AN130" s="95">
        <f>VLOOKUP(TableWRRanks3242[[#This Row],[Player]],WR!B:O,13,FALSE)</f>
        <v>20.528811020256004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VLOOKUP(TableRBRanks3141[[#This Row],[RK]],Rankings!A:T,8,FALSE)</f>
        <v>0</v>
      </c>
      <c r="R131" s="58" t="str">
        <f>IFERROR(INDEX(TableRBCalcPts[TM],MATCH(TableRBRanks3141[[#This Row],[Player]],TableRBCalcPts[PLAYER],0)),"")</f>
        <v/>
      </c>
      <c r="S131" s="58" t="str">
        <f>IFERROR(INDEX(TableRBCalcPts[BYE],MATCH(TableRBRanks3141[[#This Row],[Player]],TableRBCalcPts[PLAYER],0)),"")</f>
        <v/>
      </c>
      <c r="T131" s="100">
        <f>VLOOKUP(TableRBRanks3141[[#This Row],[Player]],RB!B:O,4,FALSE)</f>
        <v>0</v>
      </c>
      <c r="U131" s="100">
        <f>VLOOKUP(TableRBRanks3141[[#This Row],[Player]],RB!B:O,5,FALSE)</f>
        <v>0</v>
      </c>
      <c r="V131" s="100">
        <f>VLOOKUP(TableRBRanks3141[[#This Row],[Player]],RB!B:O,6,FALSE)</f>
        <v>0</v>
      </c>
      <c r="W131" s="100">
        <f>VLOOKUP(TableRBRanks3141[[#This Row],[Player]],RB!B:O,7,FALSE)</f>
        <v>0</v>
      </c>
      <c r="X131" s="100">
        <f>VLOOKUP(TableRBRanks3141[[#This Row],[Player]],RB!B:O,8,FALSE)</f>
        <v>0</v>
      </c>
      <c r="Y131" s="100">
        <f>VLOOKUP(TableRBRanks3141[[#This Row],[Player]],RB!B:O,9,FALSE)</f>
        <v>0</v>
      </c>
      <c r="Z131" s="100">
        <f>VLOOKUP(TableRBRanks3141[[#This Row],[Player]],RB!B:O,10,FALSE)</f>
        <v>0</v>
      </c>
      <c r="AA131" s="95">
        <f>VLOOKUP(TableRBRanks3141[[#This Row],[Player]],RB!B:O,14,FALSE)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VLOOKUP(TableWRRanks3242[[#This Row],[RK]],Rankings!A:T,13,FALSE)</f>
        <v>Hollywood Brown</v>
      </c>
      <c r="AF131" s="58" t="str">
        <f>IFERROR(INDEX(TableWRCalcPts[TM],MATCH(TableWRRanks3242[[#This Row],[Player]],TableWRCalcPts[PLAYER],0)),"")</f>
        <v>PHI</v>
      </c>
      <c r="AG131" s="58">
        <f>IFERROR(INDEX(TableWRCalcPts[BYE],MATCH(TableWRRanks3242[[#This Row],[Player]],TableWRCalcPts[PLAYER],0)),"")</f>
        <v>10</v>
      </c>
      <c r="AH131" s="100">
        <f>VLOOKUP(TableWRRanks3242[[#This Row],[Player]],WR!B:O,4,FALSE)</f>
        <v>0</v>
      </c>
      <c r="AI131" s="100">
        <f>VLOOKUP(TableWRRanks3242[[#This Row],[Player]],WR!B:O,5,FALSE)</f>
        <v>0</v>
      </c>
      <c r="AJ131" s="100">
        <f>VLOOKUP(TableWRRanks3242[[#This Row],[Player]],WR!B:O,6,FALSE)</f>
        <v>23.535370319999998</v>
      </c>
      <c r="AK131" s="100">
        <f>VLOOKUP(TableWRRanks3242[[#This Row],[Player]],WR!B:O,7,FALSE)</f>
        <v>12.920918305680001</v>
      </c>
      <c r="AL131" s="100">
        <f>VLOOKUP(TableWRRanks3242[[#This Row],[Player]],WR!B:O,8,FALSE)</f>
        <v>148.92933417916109</v>
      </c>
      <c r="AM131" s="100">
        <f>VLOOKUP(TableWRRanks3242[[#This Row],[Player]],WR!B:O,9,FALSE)</f>
        <v>1.0078316278430401</v>
      </c>
      <c r="AN131" s="95">
        <f>VLOOKUP(TableWRRanks3242[[#This Row],[Player]],WR!B:O,13,FALSE)</f>
        <v>27.400382337814349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VLOOKUP(TableRBRanks3141[[#This Row],[RK]],Rankings!A:T,8,FALSE)</f>
        <v>0</v>
      </c>
      <c r="R132" s="58" t="str">
        <f>IFERROR(INDEX(TableRBCalcPts[TM],MATCH(TableRBRanks3141[[#This Row],[Player]],TableRBCalcPts[PLAYER],0)),"")</f>
        <v/>
      </c>
      <c r="S132" s="58" t="str">
        <f>IFERROR(INDEX(TableRBCalcPts[BYE],MATCH(TableRBRanks3141[[#This Row],[Player]],TableRBCalcPts[PLAYER],0)),"")</f>
        <v/>
      </c>
      <c r="T132" s="100">
        <f>VLOOKUP(TableRBRanks3141[[#This Row],[Player]],RB!B:O,4,FALSE)</f>
        <v>0</v>
      </c>
      <c r="U132" s="100">
        <f>VLOOKUP(TableRBRanks3141[[#This Row],[Player]],RB!B:O,5,FALSE)</f>
        <v>0</v>
      </c>
      <c r="V132" s="100">
        <f>VLOOKUP(TableRBRanks3141[[#This Row],[Player]],RB!B:O,6,FALSE)</f>
        <v>0</v>
      </c>
      <c r="W132" s="100">
        <f>VLOOKUP(TableRBRanks3141[[#This Row],[Player]],RB!B:O,7,FALSE)</f>
        <v>0</v>
      </c>
      <c r="X132" s="100">
        <f>VLOOKUP(TableRBRanks3141[[#This Row],[Player]],RB!B:O,8,FALSE)</f>
        <v>0</v>
      </c>
      <c r="Y132" s="100">
        <f>VLOOKUP(TableRBRanks3141[[#This Row],[Player]],RB!B:O,9,FALSE)</f>
        <v>0</v>
      </c>
      <c r="Z132" s="100">
        <f>VLOOKUP(TableRBRanks3141[[#This Row],[Player]],RB!B:O,10,FALSE)</f>
        <v>0</v>
      </c>
      <c r="AA132" s="95">
        <f>VLOOKUP(TableRBRanks3141[[#This Row],[Player]],RB!B:O,14,FALSE)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 t="str">
        <f>VLOOKUP(TableWRRanks3242[[#This Row],[RK]],Rankings!A:T,13,FALSE)</f>
        <v>Tim Patrick</v>
      </c>
      <c r="AF132" s="58" t="str">
        <f>IFERROR(INDEX(TableWRCalcPts[TM],MATCH(TableWRRanks3242[[#This Row],[Player]],TableWRCalcPts[PLAYER],0)),"")</f>
        <v>NYJ</v>
      </c>
      <c r="AG132" s="58">
        <f>IFERROR(INDEX(TableWRCalcPts[BYE],MATCH(TableWRRanks3242[[#This Row],[Player]],TableWRCalcPts[PLAYER],0)),"")</f>
        <v>13</v>
      </c>
      <c r="AH132" s="100">
        <f>VLOOKUP(TableWRRanks3242[[#This Row],[Player]],WR!B:O,4,FALSE)</f>
        <v>0</v>
      </c>
      <c r="AI132" s="100">
        <f>VLOOKUP(TableWRRanks3242[[#This Row],[Player]],WR!B:O,5,FALSE)</f>
        <v>0</v>
      </c>
      <c r="AJ132" s="100">
        <f>VLOOKUP(TableWRRanks3242[[#This Row],[Player]],WR!B:O,6,FALSE)</f>
        <v>14.049932817501903</v>
      </c>
      <c r="AK132" s="100">
        <f>VLOOKUP(TableWRRanks3242[[#This Row],[Player]],WR!B:O,7,FALSE)</f>
        <v>8.9498072047487121</v>
      </c>
      <c r="AL132" s="100">
        <f>VLOOKUP(TableWRRanks3242[[#This Row],[Player]],WR!B:O,8,FALSE)</f>
        <v>99.163863828615732</v>
      </c>
      <c r="AM132" s="100">
        <f>VLOOKUP(TableWRRanks3242[[#This Row],[Player]],WR!B:O,9,FALSE)</f>
        <v>0.60858688992291243</v>
      </c>
      <c r="AN132" s="95">
        <f>VLOOKUP(TableWRRanks3242[[#This Row],[Player]],WR!B:O,13,FALSE)</f>
        <v>18.042811324773403</v>
      </c>
      <c r="AO132" s="140">
        <f>IF(VLOOKUP(TableWRRanks3242[[#This Row],[Player]],'Ranks w Proj'!$AE:$AO,11,FALSE)&lt;0,0,VLOOKUP(TableWRRanks3242[[#This Row],[Player]],'Ranks w Proj'!$AE:$AO,11,FALSE))</f>
        <v>0</v>
      </c>
    </row>
    <row r="133" spans="16:41" x14ac:dyDescent="0.25">
      <c r="P133" s="58">
        <v>132</v>
      </c>
      <c r="Q133" s="58">
        <f>VLOOKUP(TableRBRanks3141[[#This Row],[RK]],Rankings!A:T,8,FALSE)</f>
        <v>0</v>
      </c>
      <c r="R133" s="58" t="str">
        <f>IFERROR(INDEX(TableRBCalcPts[TM],MATCH(TableRBRanks3141[[#This Row],[Player]],TableRBCalcPts[PLAYER],0)),"")</f>
        <v/>
      </c>
      <c r="S133" s="58" t="str">
        <f>IFERROR(INDEX(TableRBCalcPts[BYE],MATCH(TableRBRanks3141[[#This Row],[Player]],TableRBCalcPts[PLAYER],0)),"")</f>
        <v/>
      </c>
      <c r="T133" s="100">
        <f>VLOOKUP(TableRBRanks3141[[#This Row],[Player]],RB!B:O,4,FALSE)</f>
        <v>0</v>
      </c>
      <c r="U133" s="100">
        <f>VLOOKUP(TableRBRanks3141[[#This Row],[Player]],RB!B:O,5,FALSE)</f>
        <v>0</v>
      </c>
      <c r="V133" s="100">
        <f>VLOOKUP(TableRBRanks3141[[#This Row],[Player]],RB!B:O,6,FALSE)</f>
        <v>0</v>
      </c>
      <c r="W133" s="100">
        <f>VLOOKUP(TableRBRanks3141[[#This Row],[Player]],RB!B:O,7,FALSE)</f>
        <v>0</v>
      </c>
      <c r="X133" s="100">
        <f>VLOOKUP(TableRBRanks3141[[#This Row],[Player]],RB!B:O,8,FALSE)</f>
        <v>0</v>
      </c>
      <c r="Y133" s="100">
        <f>VLOOKUP(TableRBRanks3141[[#This Row],[Player]],RB!B:O,9,FALSE)</f>
        <v>0</v>
      </c>
      <c r="Z133" s="100">
        <f>VLOOKUP(TableRBRanks3141[[#This Row],[Player]],RB!B:O,10,FALSE)</f>
        <v>0</v>
      </c>
      <c r="AA133" s="95">
        <f>VLOOKUP(TableRBRanks3141[[#This Row],[Player]],RB!B:O,14,FALSE)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 t="str">
        <f>VLOOKUP(TableWRRanks3242[[#This Row],[RK]],Rankings!A:T,13,FALSE)</f>
        <v>Bryce Lance</v>
      </c>
      <c r="AF133" s="58" t="str">
        <f>IFERROR(INDEX(TableWRCalcPts[TM],MATCH(TableWRRanks3242[[#This Row],[Player]],TableWRCalcPts[PLAYER],0)),"")</f>
        <v>NO</v>
      </c>
      <c r="AG133" s="58">
        <f>IFERROR(INDEX(TableWRCalcPts[BYE],MATCH(TableWRRanks3242[[#This Row],[Player]],TableWRCalcPts[PLAYER],0)),"")</f>
        <v>8</v>
      </c>
      <c r="AH133" s="100">
        <f>VLOOKUP(TableWRRanks3242[[#This Row],[Player]],WR!B:O,4,FALSE)</f>
        <v>0</v>
      </c>
      <c r="AI133" s="100">
        <f>VLOOKUP(TableWRRanks3242[[#This Row],[Player]],WR!B:O,5,FALSE)</f>
        <v>0</v>
      </c>
      <c r="AJ133" s="100">
        <f>VLOOKUP(TableWRRanks3242[[#This Row],[Player]],WR!B:O,6,FALSE)</f>
        <v>16.75677696</v>
      </c>
      <c r="AK133" s="100">
        <f>VLOOKUP(TableWRRanks3242[[#This Row],[Player]],WR!B:O,7,FALSE)</f>
        <v>9.8194712985599999</v>
      </c>
      <c r="AL133" s="100">
        <f>VLOOKUP(TableWRRanks3242[[#This Row],[Player]],WR!B:O,8,FALSE)</f>
        <v>118.11705771894272</v>
      </c>
      <c r="AM133" s="100">
        <f>VLOOKUP(TableWRRanks3242[[#This Row],[Player]],WR!B:O,9,FALSE)</f>
        <v>0.59898774921216003</v>
      </c>
      <c r="AN133" s="95">
        <f>VLOOKUP(TableWRRanks3242[[#This Row],[Player]],WR!B:O,13,FALSE)</f>
        <v>20.315367916447233</v>
      </c>
      <c r="AO133" s="140">
        <f>IF(VLOOKUP(TableWRRanks3242[[#This Row],[Player]],'Ranks w Proj'!$AE:$AO,11,FALSE)&lt;0,0,VLOOKUP(TableWRRanks3242[[#This Row],[Player]],'Ranks w Proj'!$AE:$AO,11,FALSE))</f>
        <v>0</v>
      </c>
    </row>
    <row r="134" spans="16:41" x14ac:dyDescent="0.25">
      <c r="P134" s="58">
        <v>133</v>
      </c>
      <c r="Q134" s="58">
        <f>VLOOKUP(TableRBRanks3141[[#This Row],[RK]],Rankings!A:T,8,FALSE)</f>
        <v>0</v>
      </c>
      <c r="R134" s="58" t="str">
        <f>IFERROR(INDEX(TableRBCalcPts[TM],MATCH(TableRBRanks3141[[#This Row],[Player]],TableRBCalcPts[PLAYER],0)),"")</f>
        <v/>
      </c>
      <c r="S134" s="58" t="str">
        <f>IFERROR(INDEX(TableRBCalcPts[BYE],MATCH(TableRBRanks3141[[#This Row],[Player]],TableRBCalcPts[PLAYER],0)),"")</f>
        <v/>
      </c>
      <c r="T134" s="100">
        <f>VLOOKUP(TableRBRanks3141[[#This Row],[Player]],RB!B:O,4,FALSE)</f>
        <v>0</v>
      </c>
      <c r="U134" s="100">
        <f>VLOOKUP(TableRBRanks3141[[#This Row],[Player]],RB!B:O,5,FALSE)</f>
        <v>0</v>
      </c>
      <c r="V134" s="100">
        <f>VLOOKUP(TableRBRanks3141[[#This Row],[Player]],RB!B:O,6,FALSE)</f>
        <v>0</v>
      </c>
      <c r="W134" s="100">
        <f>VLOOKUP(TableRBRanks3141[[#This Row],[Player]],RB!B:O,7,FALSE)</f>
        <v>0</v>
      </c>
      <c r="X134" s="100">
        <f>VLOOKUP(TableRBRanks3141[[#This Row],[Player]],RB!B:O,8,FALSE)</f>
        <v>0</v>
      </c>
      <c r="Y134" s="100">
        <f>VLOOKUP(TableRBRanks3141[[#This Row],[Player]],RB!B:O,9,FALSE)</f>
        <v>0</v>
      </c>
      <c r="Z134" s="100">
        <f>VLOOKUP(TableRBRanks3141[[#This Row],[Player]],RB!B:O,10,FALSE)</f>
        <v>0</v>
      </c>
      <c r="AA134" s="95">
        <f>VLOOKUP(TableRBRanks3141[[#This Row],[Player]],RB!B:O,14,FALSE)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 t="str">
        <f>VLOOKUP(TableWRRanks3242[[#This Row],[RK]],Rankings!A:T,13,FALSE)</f>
        <v>Xavier Hutchinson</v>
      </c>
      <c r="AF134" s="58" t="str">
        <f>IFERROR(INDEX(TableWRCalcPts[TM],MATCH(TableWRRanks3242[[#This Row],[Player]],TableWRCalcPts[PLAYER],0)),"")</f>
        <v>HOU</v>
      </c>
      <c r="AG134" s="58">
        <f>IFERROR(INDEX(TableWRCalcPts[BYE],MATCH(TableWRRanks3242[[#This Row],[Player]],TableWRCalcPts[PLAYER],0)),"")</f>
        <v>8</v>
      </c>
      <c r="AH134" s="100">
        <f>VLOOKUP(TableWRRanks3242[[#This Row],[Player]],WR!B:O,4,FALSE)</f>
        <v>0</v>
      </c>
      <c r="AI134" s="100">
        <f>VLOOKUP(TableWRRanks3242[[#This Row],[Player]],WR!B:O,5,FALSE)</f>
        <v>0</v>
      </c>
      <c r="AJ134" s="100">
        <f>VLOOKUP(TableWRRanks3242[[#This Row],[Player]],WR!B:O,6,FALSE)</f>
        <v>14.322136500000001</v>
      </c>
      <c r="AK134" s="100">
        <f>VLOOKUP(TableWRRanks3242[[#This Row],[Player]],WR!B:O,7,FALSE)</f>
        <v>9.4812543630000015</v>
      </c>
      <c r="AL134" s="100">
        <f>VLOOKUP(TableWRRanks3242[[#This Row],[Player]],WR!B:O,8,FALSE)</f>
        <v>109.03442517450002</v>
      </c>
      <c r="AM134" s="100">
        <f>VLOOKUP(TableWRRanks3242[[#This Row],[Player]],WR!B:O,9,FALSE)</f>
        <v>0.61628153359500015</v>
      </c>
      <c r="AN134" s="95">
        <f>VLOOKUP(TableWRRanks3242[[#This Row],[Player]],WR!B:O,13,FALSE)</f>
        <v>19.341758900520006</v>
      </c>
      <c r="AO134" s="140">
        <f>IF(VLOOKUP(TableWRRanks3242[[#This Row],[Player]],'Ranks w Proj'!$AE:$AO,11,FALSE)&lt;0,0,VLOOKUP(TableWRRanks3242[[#This Row],[Player]],'Ranks w Proj'!$AE:$AO,11,FALSE))</f>
        <v>0</v>
      </c>
    </row>
    <row r="135" spans="16:41" x14ac:dyDescent="0.25">
      <c r="P135" s="58">
        <v>134</v>
      </c>
      <c r="Q135" s="58">
        <f>VLOOKUP(TableRBRanks3141[[#This Row],[RK]],Rankings!A:T,8,FALSE)</f>
        <v>0</v>
      </c>
      <c r="R135" s="58" t="str">
        <f>IFERROR(INDEX(TableRBCalcPts[TM],MATCH(TableRBRanks3141[[#This Row],[Player]],TableRBCalcPts[PLAYER],0)),"")</f>
        <v/>
      </c>
      <c r="S135" s="58" t="str">
        <f>IFERROR(INDEX(TableRBCalcPts[BYE],MATCH(TableRBRanks3141[[#This Row],[Player]],TableRBCalcPts[PLAYER],0)),"")</f>
        <v/>
      </c>
      <c r="T135" s="100">
        <f>VLOOKUP(TableRBRanks3141[[#This Row],[Player]],RB!B:O,4,FALSE)</f>
        <v>0</v>
      </c>
      <c r="U135" s="100">
        <f>VLOOKUP(TableRBRanks3141[[#This Row],[Player]],RB!B:O,5,FALSE)</f>
        <v>0</v>
      </c>
      <c r="V135" s="100">
        <f>VLOOKUP(TableRBRanks3141[[#This Row],[Player]],RB!B:O,6,FALSE)</f>
        <v>0</v>
      </c>
      <c r="W135" s="100">
        <f>VLOOKUP(TableRBRanks3141[[#This Row],[Player]],RB!B:O,7,FALSE)</f>
        <v>0</v>
      </c>
      <c r="X135" s="100">
        <f>VLOOKUP(TableRBRanks3141[[#This Row],[Player]],RB!B:O,8,FALSE)</f>
        <v>0</v>
      </c>
      <c r="Y135" s="100">
        <f>VLOOKUP(TableRBRanks3141[[#This Row],[Player]],RB!B:O,9,FALSE)</f>
        <v>0</v>
      </c>
      <c r="Z135" s="100">
        <f>VLOOKUP(TableRBRanks3141[[#This Row],[Player]],RB!B:O,10,FALSE)</f>
        <v>0</v>
      </c>
      <c r="AA135" s="95">
        <f>VLOOKUP(TableRBRanks3141[[#This Row],[Player]],RB!B:O,14,FALSE)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 t="str">
        <f>VLOOKUP(TableWRRanks3242[[#This Row],[RK]],Rankings!A:T,13,FALSE)</f>
        <v>Greg Dortch</v>
      </c>
      <c r="AF135" s="58" t="str">
        <f>IFERROR(INDEX(TableWRCalcPts[TM],MATCH(TableWRRanks3242[[#This Row],[Player]],TableWRCalcPts[PLAYER],0)),"")</f>
        <v>DET</v>
      </c>
      <c r="AG135" s="58">
        <f>IFERROR(INDEX(TableWRCalcPts[BYE],MATCH(TableWRRanks3242[[#This Row],[Player]],TableWRCalcPts[PLAYER],0)),"")</f>
        <v>6</v>
      </c>
      <c r="AH135" s="100">
        <f>VLOOKUP(TableWRRanks3242[[#This Row],[Player]],WR!B:O,4,FALSE)</f>
        <v>18.003401359944398</v>
      </c>
      <c r="AI135" s="100">
        <f>VLOOKUP(TableWRRanks3242[[#This Row],[Player]],WR!B:O,5,FALSE)</f>
        <v>0.1096284380895641</v>
      </c>
      <c r="AJ135" s="100">
        <f>VLOOKUP(TableWRRanks3242[[#This Row],[Player]],WR!B:O,6,FALSE)</f>
        <v>15.806145599999997</v>
      </c>
      <c r="AK135" s="100">
        <f>VLOOKUP(TableWRRanks3242[[#This Row],[Player]],WR!B:O,7,FALSE)</f>
        <v>10.827209735999999</v>
      </c>
      <c r="AL135" s="100">
        <f>VLOOKUP(TableWRRanks3242[[#This Row],[Player]],WR!B:O,8,FALSE)</f>
        <v>105.56529492599999</v>
      </c>
      <c r="AM135" s="100">
        <f>VLOOKUP(TableWRRanks3242[[#This Row],[Player]],WR!B:O,9,FALSE)</f>
        <v>0.64963258415999992</v>
      </c>
      <c r="AN135" s="95">
        <f>VLOOKUP(TableWRRanks3242[[#This Row],[Player]],WR!B:O,13,FALSE)</f>
        <v>22.326040630091825</v>
      </c>
      <c r="AO135" s="140">
        <f>IF(VLOOKUP(TableWRRanks3242[[#This Row],[Player]],'Ranks w Proj'!$AE:$AO,11,FALSE)&lt;0,0,VLOOKUP(TableWRRanks3242[[#This Row],[Player]],'Ranks w Proj'!$AE:$AO,11,FALSE))</f>
        <v>0</v>
      </c>
    </row>
    <row r="136" spans="16:41" x14ac:dyDescent="0.25">
      <c r="P136" s="58">
        <v>135</v>
      </c>
      <c r="Q136" s="58">
        <f>VLOOKUP(TableRBRanks3141[[#This Row],[RK]],Rankings!A:T,8,FALSE)</f>
        <v>0</v>
      </c>
      <c r="R136" s="58" t="str">
        <f>IFERROR(INDEX(TableRBCalcPts[TM],MATCH(TableRBRanks3141[[#This Row],[Player]],TableRBCalcPts[PLAYER],0)),"")</f>
        <v/>
      </c>
      <c r="S136" s="58" t="str">
        <f>IFERROR(INDEX(TableRBCalcPts[BYE],MATCH(TableRBRanks3141[[#This Row],[Player]],TableRBCalcPts[PLAYER],0)),"")</f>
        <v/>
      </c>
      <c r="T136" s="100">
        <f>VLOOKUP(TableRBRanks3141[[#This Row],[Player]],RB!B:O,4,FALSE)</f>
        <v>0</v>
      </c>
      <c r="U136" s="100">
        <f>VLOOKUP(TableRBRanks3141[[#This Row],[Player]],RB!B:O,5,FALSE)</f>
        <v>0</v>
      </c>
      <c r="V136" s="100">
        <f>VLOOKUP(TableRBRanks3141[[#This Row],[Player]],RB!B:O,6,FALSE)</f>
        <v>0</v>
      </c>
      <c r="W136" s="100">
        <f>VLOOKUP(TableRBRanks3141[[#This Row],[Player]],RB!B:O,7,FALSE)</f>
        <v>0</v>
      </c>
      <c r="X136" s="100">
        <f>VLOOKUP(TableRBRanks3141[[#This Row],[Player]],RB!B:O,8,FALSE)</f>
        <v>0</v>
      </c>
      <c r="Y136" s="100">
        <f>VLOOKUP(TableRBRanks3141[[#This Row],[Player]],RB!B:O,9,FALSE)</f>
        <v>0</v>
      </c>
      <c r="Z136" s="100">
        <f>VLOOKUP(TableRBRanks3141[[#This Row],[Player]],RB!B:O,10,FALSE)</f>
        <v>0</v>
      </c>
      <c r="AA136" s="95">
        <f>VLOOKUP(TableRBRanks3141[[#This Row],[Player]],RB!B:O,14,FALSE)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 t="str">
        <f>VLOOKUP(TableWRRanks3242[[#This Row],[RK]],Rankings!A:T,13,FALSE)</f>
        <v>Kevin Coleman</v>
      </c>
      <c r="AF136" s="58" t="str">
        <f>IFERROR(INDEX(TableWRCalcPts[TM],MATCH(TableWRRanks3242[[#This Row],[Player]],TableWRCalcPts[PLAYER],0)),"")</f>
        <v>MIA</v>
      </c>
      <c r="AG136" s="58">
        <f>IFERROR(INDEX(TableWRCalcPts[BYE],MATCH(TableWRRanks3242[[#This Row],[Player]],TableWRCalcPts[PLAYER],0)),"")</f>
        <v>6</v>
      </c>
      <c r="AH136" s="100">
        <f>VLOOKUP(TableWRRanks3242[[#This Row],[Player]],WR!B:O,4,FALSE)</f>
        <v>0</v>
      </c>
      <c r="AI136" s="100">
        <f>VLOOKUP(TableWRRanks3242[[#This Row],[Player]],WR!B:O,5,FALSE)</f>
        <v>0</v>
      </c>
      <c r="AJ136" s="100">
        <f>VLOOKUP(TableWRRanks3242[[#This Row],[Player]],WR!B:O,6,FALSE)</f>
        <v>18.220541219999998</v>
      </c>
      <c r="AK136" s="100">
        <f>VLOOKUP(TableWRRanks3242[[#This Row],[Player]],WR!B:O,7,FALSE)</f>
        <v>10.586134448819998</v>
      </c>
      <c r="AL136" s="100">
        <f>VLOOKUP(TableWRRanks3242[[#This Row],[Player]],WR!B:O,8,FALSE)</f>
        <v>127.13947473032817</v>
      </c>
      <c r="AM136" s="100">
        <f>VLOOKUP(TableWRRanks3242[[#This Row],[Player]],WR!B:O,9,FALSE)</f>
        <v>0.52930672244099986</v>
      </c>
      <c r="AN136" s="95">
        <f>VLOOKUP(TableWRRanks3242[[#This Row],[Player]],WR!B:O,13,FALSE)</f>
        <v>21.182855032088817</v>
      </c>
      <c r="AO136" s="140">
        <f>IF(VLOOKUP(TableWRRanks3242[[#This Row],[Player]],'Ranks w Proj'!$AE:$AO,11,FALSE)&lt;0,0,VLOOKUP(TableWRRanks3242[[#This Row],[Player]],'Ranks w Proj'!$AE:$AO,11,FALSE))</f>
        <v>0</v>
      </c>
    </row>
    <row r="137" spans="16:41" x14ac:dyDescent="0.25">
      <c r="P137" s="58">
        <v>136</v>
      </c>
      <c r="Q137" s="58">
        <f>VLOOKUP(TableRBRanks3141[[#This Row],[RK]],Rankings!A:T,8,FALSE)</f>
        <v>0</v>
      </c>
      <c r="R137" s="58" t="str">
        <f>IFERROR(INDEX(TableRBCalcPts[TM],MATCH(TableRBRanks3141[[#This Row],[Player]],TableRBCalcPts[PLAYER],0)),"")</f>
        <v/>
      </c>
      <c r="S137" s="58" t="str">
        <f>IFERROR(INDEX(TableRBCalcPts[BYE],MATCH(TableRBRanks3141[[#This Row],[Player]],TableRBCalcPts[PLAYER],0)),"")</f>
        <v/>
      </c>
      <c r="T137" s="100">
        <f>VLOOKUP(TableRBRanks3141[[#This Row],[Player]],RB!B:O,4,FALSE)</f>
        <v>0</v>
      </c>
      <c r="U137" s="100">
        <f>VLOOKUP(TableRBRanks3141[[#This Row],[Player]],RB!B:O,5,FALSE)</f>
        <v>0</v>
      </c>
      <c r="V137" s="100">
        <f>VLOOKUP(TableRBRanks3141[[#This Row],[Player]],RB!B:O,6,FALSE)</f>
        <v>0</v>
      </c>
      <c r="W137" s="100">
        <f>VLOOKUP(TableRBRanks3141[[#This Row],[Player]],RB!B:O,7,FALSE)</f>
        <v>0</v>
      </c>
      <c r="X137" s="100">
        <f>VLOOKUP(TableRBRanks3141[[#This Row],[Player]],RB!B:O,8,FALSE)</f>
        <v>0</v>
      </c>
      <c r="Y137" s="100">
        <f>VLOOKUP(TableRBRanks3141[[#This Row],[Player]],RB!B:O,9,FALSE)</f>
        <v>0</v>
      </c>
      <c r="Z137" s="100">
        <f>VLOOKUP(TableRBRanks3141[[#This Row],[Player]],RB!B:O,10,FALSE)</f>
        <v>0</v>
      </c>
      <c r="AA137" s="95">
        <f>VLOOKUP(TableRBRanks3141[[#This Row],[Player]],RB!B:O,14,FALSE)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VLOOKUP(TableWRRanks3242[[#This Row],[RK]],Rankings!A:T,13,FALSE)</f>
        <v>0</v>
      </c>
      <c r="AF137" s="58" t="str">
        <f>IFERROR(INDEX(TableWRCalcPts[TM],MATCH(TableWRRanks3242[[#This Row],[Player]],TableWRCalcPts[PLAYER],0)),"")</f>
        <v/>
      </c>
      <c r="AG137" s="58" t="str">
        <f>IFERROR(INDEX(TableWRCalcPts[BYE],MATCH(TableWRRanks3242[[#This Row],[Player]],TableWRCalcPts[PLAYER],0)),"")</f>
        <v/>
      </c>
      <c r="AH137" s="100">
        <f>VLOOKUP(TableWRRanks3242[[#This Row],[Player]],WR!B:O,4,FALSE)</f>
        <v>0</v>
      </c>
      <c r="AI137" s="100">
        <f>VLOOKUP(TableWRRanks3242[[#This Row],[Player]],WR!B:O,5,FALSE)</f>
        <v>0</v>
      </c>
      <c r="AJ137" s="100">
        <f>VLOOKUP(TableWRRanks3242[[#This Row],[Player]],WR!B:O,6,FALSE)</f>
        <v>0</v>
      </c>
      <c r="AK137" s="100">
        <f>VLOOKUP(TableWRRanks3242[[#This Row],[Player]],WR!B:O,7,FALSE)</f>
        <v>0</v>
      </c>
      <c r="AL137" s="100">
        <f>VLOOKUP(TableWRRanks3242[[#This Row],[Player]],WR!B:O,8,FALSE)</f>
        <v>0</v>
      </c>
      <c r="AM137" s="100">
        <f>VLOOKUP(TableWRRanks3242[[#This Row],[Player]],WR!B:O,9,FALSE)</f>
        <v>0</v>
      </c>
      <c r="AN137" s="95">
        <f>VLOOKUP(TableWRRanks3242[[#This Row],[Player]],WR!B:O,13,FALSE)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VLOOKUP(TableRBRanks3141[[#This Row],[RK]],Rankings!A:T,8,FALSE)</f>
        <v>0</v>
      </c>
      <c r="R138" s="58" t="str">
        <f>IFERROR(INDEX(TableRBCalcPts[TM],MATCH(TableRBRanks3141[[#This Row],[Player]],TableRBCalcPts[PLAYER],0)),"")</f>
        <v/>
      </c>
      <c r="S138" s="58" t="str">
        <f>IFERROR(INDEX(TableRBCalcPts[BYE],MATCH(TableRBRanks3141[[#This Row],[Player]],TableRBCalcPts[PLAYER],0)),"")</f>
        <v/>
      </c>
      <c r="T138" s="100">
        <f>VLOOKUP(TableRBRanks3141[[#This Row],[Player]],RB!B:O,4,FALSE)</f>
        <v>0</v>
      </c>
      <c r="U138" s="100">
        <f>VLOOKUP(TableRBRanks3141[[#This Row],[Player]],RB!B:O,5,FALSE)</f>
        <v>0</v>
      </c>
      <c r="V138" s="100">
        <f>VLOOKUP(TableRBRanks3141[[#This Row],[Player]],RB!B:O,6,FALSE)</f>
        <v>0</v>
      </c>
      <c r="W138" s="100">
        <f>VLOOKUP(TableRBRanks3141[[#This Row],[Player]],RB!B:O,7,FALSE)</f>
        <v>0</v>
      </c>
      <c r="X138" s="100">
        <f>VLOOKUP(TableRBRanks3141[[#This Row],[Player]],RB!B:O,8,FALSE)</f>
        <v>0</v>
      </c>
      <c r="Y138" s="100">
        <f>VLOOKUP(TableRBRanks3141[[#This Row],[Player]],RB!B:O,9,FALSE)</f>
        <v>0</v>
      </c>
      <c r="Z138" s="100">
        <f>VLOOKUP(TableRBRanks3141[[#This Row],[Player]],RB!B:O,10,FALSE)</f>
        <v>0</v>
      </c>
      <c r="AA138" s="95">
        <f>VLOOKUP(TableRBRanks3141[[#This Row],[Player]],RB!B:O,14,FALSE)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VLOOKUP(TableWRRanks3242[[#This Row],[RK]],Rankings!A:T,13,FALSE)</f>
        <v>0</v>
      </c>
      <c r="AF138" s="58" t="str">
        <f>IFERROR(INDEX(TableWRCalcPts[TM],MATCH(TableWRRanks3242[[#This Row],[Player]],TableWRCalcPts[PLAYER],0)),"")</f>
        <v/>
      </c>
      <c r="AG138" s="58" t="str">
        <f>IFERROR(INDEX(TableWRCalcPts[BYE],MATCH(TableWRRanks3242[[#This Row],[Player]],TableWRCalcPts[PLAYER],0)),"")</f>
        <v/>
      </c>
      <c r="AH138" s="100">
        <f>VLOOKUP(TableWRRanks3242[[#This Row],[Player]],WR!B:O,4,FALSE)</f>
        <v>0</v>
      </c>
      <c r="AI138" s="100">
        <f>VLOOKUP(TableWRRanks3242[[#This Row],[Player]],WR!B:O,5,FALSE)</f>
        <v>0</v>
      </c>
      <c r="AJ138" s="100">
        <f>VLOOKUP(TableWRRanks3242[[#This Row],[Player]],WR!B:O,6,FALSE)</f>
        <v>0</v>
      </c>
      <c r="AK138" s="100">
        <f>VLOOKUP(TableWRRanks3242[[#This Row],[Player]],WR!B:O,7,FALSE)</f>
        <v>0</v>
      </c>
      <c r="AL138" s="100">
        <f>VLOOKUP(TableWRRanks3242[[#This Row],[Player]],WR!B:O,8,FALSE)</f>
        <v>0</v>
      </c>
      <c r="AM138" s="100">
        <f>VLOOKUP(TableWRRanks3242[[#This Row],[Player]],WR!B:O,9,FALSE)</f>
        <v>0</v>
      </c>
      <c r="AN138" s="95">
        <f>VLOOKUP(TableWRRanks3242[[#This Row],[Player]],WR!B:O,13,FALSE)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VLOOKUP(TableRBRanks3141[[#This Row],[RK]],Rankings!A:T,8,FALSE)</f>
        <v>0</v>
      </c>
      <c r="R139" s="58" t="str">
        <f>IFERROR(INDEX(TableRBCalcPts[TM],MATCH(TableRBRanks3141[[#This Row],[Player]],TableRBCalcPts[PLAYER],0)),"")</f>
        <v/>
      </c>
      <c r="S139" s="58" t="str">
        <f>IFERROR(INDEX(TableRBCalcPts[BYE],MATCH(TableRBRanks3141[[#This Row],[Player]],TableRBCalcPts[PLAYER],0)),"")</f>
        <v/>
      </c>
      <c r="T139" s="100">
        <f>VLOOKUP(TableRBRanks3141[[#This Row],[Player]],RB!B:O,4,FALSE)</f>
        <v>0</v>
      </c>
      <c r="U139" s="100">
        <f>VLOOKUP(TableRBRanks3141[[#This Row],[Player]],RB!B:O,5,FALSE)</f>
        <v>0</v>
      </c>
      <c r="V139" s="100">
        <f>VLOOKUP(TableRBRanks3141[[#This Row],[Player]],RB!B:O,6,FALSE)</f>
        <v>0</v>
      </c>
      <c r="W139" s="100">
        <f>VLOOKUP(TableRBRanks3141[[#This Row],[Player]],RB!B:O,7,FALSE)</f>
        <v>0</v>
      </c>
      <c r="X139" s="100">
        <f>VLOOKUP(TableRBRanks3141[[#This Row],[Player]],RB!B:O,8,FALSE)</f>
        <v>0</v>
      </c>
      <c r="Y139" s="100">
        <f>VLOOKUP(TableRBRanks3141[[#This Row],[Player]],RB!B:O,9,FALSE)</f>
        <v>0</v>
      </c>
      <c r="Z139" s="100">
        <f>VLOOKUP(TableRBRanks3141[[#This Row],[Player]],RB!B:O,10,FALSE)</f>
        <v>0</v>
      </c>
      <c r="AA139" s="95">
        <f>VLOOKUP(TableRBRanks3141[[#This Row],[Player]],RB!B:O,14,FALSE)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VLOOKUP(TableWRRanks3242[[#This Row],[RK]],Rankings!A:T,13,FALSE)</f>
        <v>0</v>
      </c>
      <c r="AF139" s="58" t="str">
        <f>IFERROR(INDEX(TableWRCalcPts[TM],MATCH(TableWRRanks3242[[#This Row],[Player]],TableWRCalcPts[PLAYER],0)),"")</f>
        <v/>
      </c>
      <c r="AG139" s="58" t="str">
        <f>IFERROR(INDEX(TableWRCalcPts[BYE],MATCH(TableWRRanks3242[[#This Row],[Player]],TableWRCalcPts[PLAYER],0)),"")</f>
        <v/>
      </c>
      <c r="AH139" s="100">
        <f>VLOOKUP(TableWRRanks3242[[#This Row],[Player]],WR!B:O,4,FALSE)</f>
        <v>0</v>
      </c>
      <c r="AI139" s="100">
        <f>VLOOKUP(TableWRRanks3242[[#This Row],[Player]],WR!B:O,5,FALSE)</f>
        <v>0</v>
      </c>
      <c r="AJ139" s="100">
        <f>VLOOKUP(TableWRRanks3242[[#This Row],[Player]],WR!B:O,6,FALSE)</f>
        <v>0</v>
      </c>
      <c r="AK139" s="100">
        <f>VLOOKUP(TableWRRanks3242[[#This Row],[Player]],WR!B:O,7,FALSE)</f>
        <v>0</v>
      </c>
      <c r="AL139" s="100">
        <f>VLOOKUP(TableWRRanks3242[[#This Row],[Player]],WR!B:O,8,FALSE)</f>
        <v>0</v>
      </c>
      <c r="AM139" s="100">
        <f>VLOOKUP(TableWRRanks3242[[#This Row],[Player]],WR!B:O,9,FALSE)</f>
        <v>0</v>
      </c>
      <c r="AN139" s="95">
        <f>VLOOKUP(TableWRRanks3242[[#This Row],[Player]],WR!B:O,13,FALSE)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VLOOKUP(TableRBRanks3141[[#This Row],[RK]],Rankings!A:T,8,FALSE)</f>
        <v>0</v>
      </c>
      <c r="R140" s="58" t="str">
        <f>IFERROR(INDEX(TableRBCalcPts[TM],MATCH(TableRBRanks3141[[#This Row],[Player]],TableRBCalcPts[PLAYER],0)),"")</f>
        <v/>
      </c>
      <c r="S140" s="58" t="str">
        <f>IFERROR(INDEX(TableRBCalcPts[BYE],MATCH(TableRBRanks3141[[#This Row],[Player]],TableRBCalcPts[PLAYER],0)),"")</f>
        <v/>
      </c>
      <c r="T140" s="100">
        <f>VLOOKUP(TableRBRanks3141[[#This Row],[Player]],RB!B:O,4,FALSE)</f>
        <v>0</v>
      </c>
      <c r="U140" s="100">
        <f>VLOOKUP(TableRBRanks3141[[#This Row],[Player]],RB!B:O,5,FALSE)</f>
        <v>0</v>
      </c>
      <c r="V140" s="100">
        <f>VLOOKUP(TableRBRanks3141[[#This Row],[Player]],RB!B:O,6,FALSE)</f>
        <v>0</v>
      </c>
      <c r="W140" s="100">
        <f>VLOOKUP(TableRBRanks3141[[#This Row],[Player]],RB!B:O,7,FALSE)</f>
        <v>0</v>
      </c>
      <c r="X140" s="100">
        <f>VLOOKUP(TableRBRanks3141[[#This Row],[Player]],RB!B:O,8,FALSE)</f>
        <v>0</v>
      </c>
      <c r="Y140" s="100">
        <f>VLOOKUP(TableRBRanks3141[[#This Row],[Player]],RB!B:O,9,FALSE)</f>
        <v>0</v>
      </c>
      <c r="Z140" s="100">
        <f>VLOOKUP(TableRBRanks3141[[#This Row],[Player]],RB!B:O,10,FALSE)</f>
        <v>0</v>
      </c>
      <c r="AA140" s="95">
        <f>VLOOKUP(TableRBRanks3141[[#This Row],[Player]],RB!B:O,14,FALSE)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VLOOKUP(TableWRRanks3242[[#This Row],[RK]],Rankings!A:T,13,FALSE)</f>
        <v>0</v>
      </c>
      <c r="AF140" s="58" t="str">
        <f>IFERROR(INDEX(TableWRCalcPts[TM],MATCH(TableWRRanks3242[[#This Row],[Player]],TableWRCalcPts[PLAYER],0)),"")</f>
        <v/>
      </c>
      <c r="AG140" s="58" t="str">
        <f>IFERROR(INDEX(TableWRCalcPts[BYE],MATCH(TableWRRanks3242[[#This Row],[Player]],TableWRCalcPts[PLAYER],0)),"")</f>
        <v/>
      </c>
      <c r="AH140" s="100">
        <f>VLOOKUP(TableWRRanks3242[[#This Row],[Player]],WR!B:O,4,FALSE)</f>
        <v>0</v>
      </c>
      <c r="AI140" s="100">
        <f>VLOOKUP(TableWRRanks3242[[#This Row],[Player]],WR!B:O,5,FALSE)</f>
        <v>0</v>
      </c>
      <c r="AJ140" s="100">
        <f>VLOOKUP(TableWRRanks3242[[#This Row],[Player]],WR!B:O,6,FALSE)</f>
        <v>0</v>
      </c>
      <c r="AK140" s="100">
        <f>VLOOKUP(TableWRRanks3242[[#This Row],[Player]],WR!B:O,7,FALSE)</f>
        <v>0</v>
      </c>
      <c r="AL140" s="100">
        <f>VLOOKUP(TableWRRanks3242[[#This Row],[Player]],WR!B:O,8,FALSE)</f>
        <v>0</v>
      </c>
      <c r="AM140" s="100">
        <f>VLOOKUP(TableWRRanks3242[[#This Row],[Player]],WR!B:O,9,FALSE)</f>
        <v>0</v>
      </c>
      <c r="AN140" s="95">
        <f>VLOOKUP(TableWRRanks3242[[#This Row],[Player]],WR!B:O,13,FALSE)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VLOOKUP(TableRBRanks3141[[#This Row],[RK]],Rankings!A:T,8,FALSE)</f>
        <v>0</v>
      </c>
      <c r="R141" s="58" t="str">
        <f>IFERROR(INDEX(TableRBCalcPts[TM],MATCH(TableRBRanks3141[[#This Row],[Player]],TableRBCalcPts[PLAYER],0)),"")</f>
        <v/>
      </c>
      <c r="S141" s="58" t="str">
        <f>IFERROR(INDEX(TableRBCalcPts[BYE],MATCH(TableRBRanks3141[[#This Row],[Player]],TableRBCalcPts[PLAYER],0)),"")</f>
        <v/>
      </c>
      <c r="T141" s="100">
        <f>VLOOKUP(TableRBRanks3141[[#This Row],[Player]],RB!B:O,4,FALSE)</f>
        <v>0</v>
      </c>
      <c r="U141" s="100">
        <f>VLOOKUP(TableRBRanks3141[[#This Row],[Player]],RB!B:O,5,FALSE)</f>
        <v>0</v>
      </c>
      <c r="V141" s="100">
        <f>VLOOKUP(TableRBRanks3141[[#This Row],[Player]],RB!B:O,6,FALSE)</f>
        <v>0</v>
      </c>
      <c r="W141" s="100">
        <f>VLOOKUP(TableRBRanks3141[[#This Row],[Player]],RB!B:O,7,FALSE)</f>
        <v>0</v>
      </c>
      <c r="X141" s="100">
        <f>VLOOKUP(TableRBRanks3141[[#This Row],[Player]],RB!B:O,8,FALSE)</f>
        <v>0</v>
      </c>
      <c r="Y141" s="100">
        <f>VLOOKUP(TableRBRanks3141[[#This Row],[Player]],RB!B:O,9,FALSE)</f>
        <v>0</v>
      </c>
      <c r="Z141" s="100">
        <f>VLOOKUP(TableRBRanks3141[[#This Row],[Player]],RB!B:O,10,FALSE)</f>
        <v>0</v>
      </c>
      <c r="AA141" s="95">
        <f>VLOOKUP(TableRBRanks3141[[#This Row],[Player]],RB!B:O,14,FALSE)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VLOOKUP(TableWRRanks3242[[#This Row],[RK]],Rankings!A:T,13,FALSE)</f>
        <v>0</v>
      </c>
      <c r="AF141" s="58" t="str">
        <f>IFERROR(INDEX(TableWRCalcPts[TM],MATCH(TableWRRanks3242[[#This Row],[Player]],TableWRCalcPts[PLAYER],0)),"")</f>
        <v/>
      </c>
      <c r="AG141" s="58" t="str">
        <f>IFERROR(INDEX(TableWRCalcPts[BYE],MATCH(TableWRRanks3242[[#This Row],[Player]],TableWRCalcPts[PLAYER],0)),"")</f>
        <v/>
      </c>
      <c r="AH141" s="100">
        <f>VLOOKUP(TableWRRanks3242[[#This Row],[Player]],WR!B:O,4,FALSE)</f>
        <v>0</v>
      </c>
      <c r="AI141" s="100">
        <f>VLOOKUP(TableWRRanks3242[[#This Row],[Player]],WR!B:O,5,FALSE)</f>
        <v>0</v>
      </c>
      <c r="AJ141" s="100">
        <f>VLOOKUP(TableWRRanks3242[[#This Row],[Player]],WR!B:O,6,FALSE)</f>
        <v>0</v>
      </c>
      <c r="AK141" s="100">
        <f>VLOOKUP(TableWRRanks3242[[#This Row],[Player]],WR!B:O,7,FALSE)</f>
        <v>0</v>
      </c>
      <c r="AL141" s="100">
        <f>VLOOKUP(TableWRRanks3242[[#This Row],[Player]],WR!B:O,8,FALSE)</f>
        <v>0</v>
      </c>
      <c r="AM141" s="100">
        <f>VLOOKUP(TableWRRanks3242[[#This Row],[Player]],WR!B:O,9,FALSE)</f>
        <v>0</v>
      </c>
      <c r="AN141" s="95">
        <f>VLOOKUP(TableWRRanks3242[[#This Row],[Player]],WR!B:O,13,FALSE)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VLOOKUP(TableRBRanks3141[[#This Row],[RK]],Rankings!A:T,8,FALSE)</f>
        <v>0</v>
      </c>
      <c r="R142" s="58" t="str">
        <f>IFERROR(INDEX(TableRBCalcPts[TM],MATCH(TableRBRanks3141[[#This Row],[Player]],TableRBCalcPts[PLAYER],0)),"")</f>
        <v/>
      </c>
      <c r="S142" s="58" t="str">
        <f>IFERROR(INDEX(TableRBCalcPts[BYE],MATCH(TableRBRanks3141[[#This Row],[Player]],TableRBCalcPts[PLAYER],0)),"")</f>
        <v/>
      </c>
      <c r="T142" s="100">
        <f>VLOOKUP(TableRBRanks3141[[#This Row],[Player]],RB!B:O,4,FALSE)</f>
        <v>0</v>
      </c>
      <c r="U142" s="100">
        <f>VLOOKUP(TableRBRanks3141[[#This Row],[Player]],RB!B:O,5,FALSE)</f>
        <v>0</v>
      </c>
      <c r="V142" s="100">
        <f>VLOOKUP(TableRBRanks3141[[#This Row],[Player]],RB!B:O,6,FALSE)</f>
        <v>0</v>
      </c>
      <c r="W142" s="100">
        <f>VLOOKUP(TableRBRanks3141[[#This Row],[Player]],RB!B:O,7,FALSE)</f>
        <v>0</v>
      </c>
      <c r="X142" s="100">
        <f>VLOOKUP(TableRBRanks3141[[#This Row],[Player]],RB!B:O,8,FALSE)</f>
        <v>0</v>
      </c>
      <c r="Y142" s="100">
        <f>VLOOKUP(TableRBRanks3141[[#This Row],[Player]],RB!B:O,9,FALSE)</f>
        <v>0</v>
      </c>
      <c r="Z142" s="100">
        <f>VLOOKUP(TableRBRanks3141[[#This Row],[Player]],RB!B:O,10,FALSE)</f>
        <v>0</v>
      </c>
      <c r="AA142" s="95">
        <f>VLOOKUP(TableRBRanks3141[[#This Row],[Player]],RB!B:O,14,FALSE)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VLOOKUP(TableWRRanks3242[[#This Row],[RK]],Rankings!A:T,13,FALSE)</f>
        <v>0</v>
      </c>
      <c r="AF142" s="58" t="str">
        <f>IFERROR(INDEX(TableWRCalcPts[TM],MATCH(TableWRRanks3242[[#This Row],[Player]],TableWRCalcPts[PLAYER],0)),"")</f>
        <v/>
      </c>
      <c r="AG142" s="58" t="str">
        <f>IFERROR(INDEX(TableWRCalcPts[BYE],MATCH(TableWRRanks3242[[#This Row],[Player]],TableWRCalcPts[PLAYER],0)),"")</f>
        <v/>
      </c>
      <c r="AH142" s="100">
        <f>VLOOKUP(TableWRRanks3242[[#This Row],[Player]],WR!B:O,4,FALSE)</f>
        <v>0</v>
      </c>
      <c r="AI142" s="100">
        <f>VLOOKUP(TableWRRanks3242[[#This Row],[Player]],WR!B:O,5,FALSE)</f>
        <v>0</v>
      </c>
      <c r="AJ142" s="100">
        <f>VLOOKUP(TableWRRanks3242[[#This Row],[Player]],WR!B:O,6,FALSE)</f>
        <v>0</v>
      </c>
      <c r="AK142" s="100">
        <f>VLOOKUP(TableWRRanks3242[[#This Row],[Player]],WR!B:O,7,FALSE)</f>
        <v>0</v>
      </c>
      <c r="AL142" s="100">
        <f>VLOOKUP(TableWRRanks3242[[#This Row],[Player]],WR!B:O,8,FALSE)</f>
        <v>0</v>
      </c>
      <c r="AM142" s="100">
        <f>VLOOKUP(TableWRRanks3242[[#This Row],[Player]],WR!B:O,9,FALSE)</f>
        <v>0</v>
      </c>
      <c r="AN142" s="95">
        <f>VLOOKUP(TableWRRanks3242[[#This Row],[Player]],WR!B:O,13,FALSE)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VLOOKUP(TableRBRanks3141[[#This Row],[RK]],Rankings!A:T,8,FALSE)</f>
        <v>0</v>
      </c>
      <c r="R143" s="58" t="str">
        <f>IFERROR(INDEX(TableRBCalcPts[TM],MATCH(TableRBRanks3141[[#This Row],[Player]],TableRBCalcPts[PLAYER],0)),"")</f>
        <v/>
      </c>
      <c r="S143" s="58" t="str">
        <f>IFERROR(INDEX(TableRBCalcPts[BYE],MATCH(TableRBRanks3141[[#This Row],[Player]],TableRBCalcPts[PLAYER],0)),"")</f>
        <v/>
      </c>
      <c r="T143" s="100">
        <f>VLOOKUP(TableRBRanks3141[[#This Row],[Player]],RB!B:O,4,FALSE)</f>
        <v>0</v>
      </c>
      <c r="U143" s="100">
        <f>VLOOKUP(TableRBRanks3141[[#This Row],[Player]],RB!B:O,5,FALSE)</f>
        <v>0</v>
      </c>
      <c r="V143" s="100">
        <f>VLOOKUP(TableRBRanks3141[[#This Row],[Player]],RB!B:O,6,FALSE)</f>
        <v>0</v>
      </c>
      <c r="W143" s="100">
        <f>VLOOKUP(TableRBRanks3141[[#This Row],[Player]],RB!B:O,7,FALSE)</f>
        <v>0</v>
      </c>
      <c r="X143" s="100">
        <f>VLOOKUP(TableRBRanks3141[[#This Row],[Player]],RB!B:O,8,FALSE)</f>
        <v>0</v>
      </c>
      <c r="Y143" s="100">
        <f>VLOOKUP(TableRBRanks3141[[#This Row],[Player]],RB!B:O,9,FALSE)</f>
        <v>0</v>
      </c>
      <c r="Z143" s="100">
        <f>VLOOKUP(TableRBRanks3141[[#This Row],[Player]],RB!B:O,10,FALSE)</f>
        <v>0</v>
      </c>
      <c r="AA143" s="95">
        <f>VLOOKUP(TableRBRanks3141[[#This Row],[Player]],RB!B:O,14,FALSE)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VLOOKUP(TableWRRanks3242[[#This Row],[RK]],Rankings!A:T,13,FALSE)</f>
        <v>0</v>
      </c>
      <c r="AF143" s="58" t="str">
        <f>IFERROR(INDEX(TableWRCalcPts[TM],MATCH(TableWRRanks3242[[#This Row],[Player]],TableWRCalcPts[PLAYER],0)),"")</f>
        <v/>
      </c>
      <c r="AG143" s="58" t="str">
        <f>IFERROR(INDEX(TableWRCalcPts[BYE],MATCH(TableWRRanks3242[[#This Row],[Player]],TableWRCalcPts[PLAYER],0)),"")</f>
        <v/>
      </c>
      <c r="AH143" s="100">
        <f>VLOOKUP(TableWRRanks3242[[#This Row],[Player]],WR!B:O,4,FALSE)</f>
        <v>0</v>
      </c>
      <c r="AI143" s="100">
        <f>VLOOKUP(TableWRRanks3242[[#This Row],[Player]],WR!B:O,5,FALSE)</f>
        <v>0</v>
      </c>
      <c r="AJ143" s="100">
        <f>VLOOKUP(TableWRRanks3242[[#This Row],[Player]],WR!B:O,6,FALSE)</f>
        <v>0</v>
      </c>
      <c r="AK143" s="100">
        <f>VLOOKUP(TableWRRanks3242[[#This Row],[Player]],WR!B:O,7,FALSE)</f>
        <v>0</v>
      </c>
      <c r="AL143" s="100">
        <f>VLOOKUP(TableWRRanks3242[[#This Row],[Player]],WR!B:O,8,FALSE)</f>
        <v>0</v>
      </c>
      <c r="AM143" s="100">
        <f>VLOOKUP(TableWRRanks3242[[#This Row],[Player]],WR!B:O,9,FALSE)</f>
        <v>0</v>
      </c>
      <c r="AN143" s="95">
        <f>VLOOKUP(TableWRRanks3242[[#This Row],[Player]],WR!B:O,13,FALSE)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VLOOKUP(TableRBRanks3141[[#This Row],[RK]],Rankings!A:T,8,FALSE)</f>
        <v>0</v>
      </c>
      <c r="R144" s="58" t="str">
        <f>IFERROR(INDEX(TableRBCalcPts[TM],MATCH(TableRBRanks3141[[#This Row],[Player]],TableRBCalcPts[PLAYER],0)),"")</f>
        <v/>
      </c>
      <c r="S144" s="58" t="str">
        <f>IFERROR(INDEX(TableRBCalcPts[BYE],MATCH(TableRBRanks3141[[#This Row],[Player]],TableRBCalcPts[PLAYER],0)),"")</f>
        <v/>
      </c>
      <c r="T144" s="100">
        <f>VLOOKUP(TableRBRanks3141[[#This Row],[Player]],RB!B:O,4,FALSE)</f>
        <v>0</v>
      </c>
      <c r="U144" s="100">
        <f>VLOOKUP(TableRBRanks3141[[#This Row],[Player]],RB!B:O,5,FALSE)</f>
        <v>0</v>
      </c>
      <c r="V144" s="100">
        <f>VLOOKUP(TableRBRanks3141[[#This Row],[Player]],RB!B:O,6,FALSE)</f>
        <v>0</v>
      </c>
      <c r="W144" s="100">
        <f>VLOOKUP(TableRBRanks3141[[#This Row],[Player]],RB!B:O,7,FALSE)</f>
        <v>0</v>
      </c>
      <c r="X144" s="100">
        <f>VLOOKUP(TableRBRanks3141[[#This Row],[Player]],RB!B:O,8,FALSE)</f>
        <v>0</v>
      </c>
      <c r="Y144" s="100">
        <f>VLOOKUP(TableRBRanks3141[[#This Row],[Player]],RB!B:O,9,FALSE)</f>
        <v>0</v>
      </c>
      <c r="Z144" s="100">
        <f>VLOOKUP(TableRBRanks3141[[#This Row],[Player]],RB!B:O,10,FALSE)</f>
        <v>0</v>
      </c>
      <c r="AA144" s="95">
        <f>VLOOKUP(TableRBRanks3141[[#This Row],[Player]],RB!B:O,14,FALSE)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VLOOKUP(TableWRRanks3242[[#This Row],[RK]],Rankings!A:T,13,FALSE)</f>
        <v>0</v>
      </c>
      <c r="AF144" s="58" t="str">
        <f>IFERROR(INDEX(TableWRCalcPts[TM],MATCH(TableWRRanks3242[[#This Row],[Player]],TableWRCalcPts[PLAYER],0)),"")</f>
        <v/>
      </c>
      <c r="AG144" s="58" t="str">
        <f>IFERROR(INDEX(TableWRCalcPts[BYE],MATCH(TableWRRanks3242[[#This Row],[Player]],TableWRCalcPts[PLAYER],0)),"")</f>
        <v/>
      </c>
      <c r="AH144" s="100">
        <f>VLOOKUP(TableWRRanks3242[[#This Row],[Player]],WR!B:O,4,FALSE)</f>
        <v>0</v>
      </c>
      <c r="AI144" s="100">
        <f>VLOOKUP(TableWRRanks3242[[#This Row],[Player]],WR!B:O,5,FALSE)</f>
        <v>0</v>
      </c>
      <c r="AJ144" s="100">
        <f>VLOOKUP(TableWRRanks3242[[#This Row],[Player]],WR!B:O,6,FALSE)</f>
        <v>0</v>
      </c>
      <c r="AK144" s="100">
        <f>VLOOKUP(TableWRRanks3242[[#This Row],[Player]],WR!B:O,7,FALSE)</f>
        <v>0</v>
      </c>
      <c r="AL144" s="100">
        <f>VLOOKUP(TableWRRanks3242[[#This Row],[Player]],WR!B:O,8,FALSE)</f>
        <v>0</v>
      </c>
      <c r="AM144" s="100">
        <f>VLOOKUP(TableWRRanks3242[[#This Row],[Player]],WR!B:O,9,FALSE)</f>
        <v>0</v>
      </c>
      <c r="AN144" s="95">
        <f>VLOOKUP(TableWRRanks3242[[#This Row],[Player]],WR!B:O,13,FALSE)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VLOOKUP(TableRBRanks3141[[#This Row],[RK]],Rankings!A:T,8,FALSE)</f>
        <v>0</v>
      </c>
      <c r="R145" s="58" t="str">
        <f>IFERROR(INDEX(TableRBCalcPts[TM],MATCH(TableRBRanks3141[[#This Row],[Player]],TableRBCalcPts[PLAYER],0)),"")</f>
        <v/>
      </c>
      <c r="S145" s="58" t="str">
        <f>IFERROR(INDEX(TableRBCalcPts[BYE],MATCH(TableRBRanks3141[[#This Row],[Player]],TableRBCalcPts[PLAYER],0)),"")</f>
        <v/>
      </c>
      <c r="T145" s="100">
        <f>VLOOKUP(TableRBRanks3141[[#This Row],[Player]],RB!B:O,4,FALSE)</f>
        <v>0</v>
      </c>
      <c r="U145" s="100">
        <f>VLOOKUP(TableRBRanks3141[[#This Row],[Player]],RB!B:O,5,FALSE)</f>
        <v>0</v>
      </c>
      <c r="V145" s="100">
        <f>VLOOKUP(TableRBRanks3141[[#This Row],[Player]],RB!B:O,6,FALSE)</f>
        <v>0</v>
      </c>
      <c r="W145" s="100">
        <f>VLOOKUP(TableRBRanks3141[[#This Row],[Player]],RB!B:O,7,FALSE)</f>
        <v>0</v>
      </c>
      <c r="X145" s="100">
        <f>VLOOKUP(TableRBRanks3141[[#This Row],[Player]],RB!B:O,8,FALSE)</f>
        <v>0</v>
      </c>
      <c r="Y145" s="100">
        <f>VLOOKUP(TableRBRanks3141[[#This Row],[Player]],RB!B:O,9,FALSE)</f>
        <v>0</v>
      </c>
      <c r="Z145" s="100">
        <f>VLOOKUP(TableRBRanks3141[[#This Row],[Player]],RB!B:O,10,FALSE)</f>
        <v>0</v>
      </c>
      <c r="AA145" s="95">
        <f>VLOOKUP(TableRBRanks3141[[#This Row],[Player]],RB!B:O,14,FALSE)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VLOOKUP(TableWRRanks3242[[#This Row],[RK]],Rankings!A:T,13,FALSE)</f>
        <v>0</v>
      </c>
      <c r="AF145" s="58" t="str">
        <f>IFERROR(INDEX(TableWRCalcPts[TM],MATCH(TableWRRanks3242[[#This Row],[Player]],TableWRCalcPts[PLAYER],0)),"")</f>
        <v/>
      </c>
      <c r="AG145" s="58" t="str">
        <f>IFERROR(INDEX(TableWRCalcPts[BYE],MATCH(TableWRRanks3242[[#This Row],[Player]],TableWRCalcPts[PLAYER],0)),"")</f>
        <v/>
      </c>
      <c r="AH145" s="100">
        <f>VLOOKUP(TableWRRanks3242[[#This Row],[Player]],WR!B:O,4,FALSE)</f>
        <v>0</v>
      </c>
      <c r="AI145" s="100">
        <f>VLOOKUP(TableWRRanks3242[[#This Row],[Player]],WR!B:O,5,FALSE)</f>
        <v>0</v>
      </c>
      <c r="AJ145" s="100">
        <f>VLOOKUP(TableWRRanks3242[[#This Row],[Player]],WR!B:O,6,FALSE)</f>
        <v>0</v>
      </c>
      <c r="AK145" s="100">
        <f>VLOOKUP(TableWRRanks3242[[#This Row],[Player]],WR!B:O,7,FALSE)</f>
        <v>0</v>
      </c>
      <c r="AL145" s="100">
        <f>VLOOKUP(TableWRRanks3242[[#This Row],[Player]],WR!B:O,8,FALSE)</f>
        <v>0</v>
      </c>
      <c r="AM145" s="100">
        <f>VLOOKUP(TableWRRanks3242[[#This Row],[Player]],WR!B:O,9,FALSE)</f>
        <v>0</v>
      </c>
      <c r="AN145" s="95">
        <f>VLOOKUP(TableWRRanks3242[[#This Row],[Player]],WR!B:O,13,FALSE)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VLOOKUP(TableRBRanks3141[[#This Row],[RK]],Rankings!A:T,8,FALSE)</f>
        <v>0</v>
      </c>
      <c r="R146" s="58" t="str">
        <f>IFERROR(INDEX(TableRBCalcPts[TM],MATCH(TableRBRanks3141[[#This Row],[Player]],TableRBCalcPts[PLAYER],0)),"")</f>
        <v/>
      </c>
      <c r="S146" s="58" t="str">
        <f>IFERROR(INDEX(TableRBCalcPts[BYE],MATCH(TableRBRanks3141[[#This Row],[Player]],TableRBCalcPts[PLAYER],0)),"")</f>
        <v/>
      </c>
      <c r="T146" s="100">
        <f>VLOOKUP(TableRBRanks3141[[#This Row],[Player]],RB!B:O,4,FALSE)</f>
        <v>0</v>
      </c>
      <c r="U146" s="100">
        <f>VLOOKUP(TableRBRanks3141[[#This Row],[Player]],RB!B:O,5,FALSE)</f>
        <v>0</v>
      </c>
      <c r="V146" s="100">
        <f>VLOOKUP(TableRBRanks3141[[#This Row],[Player]],RB!B:O,6,FALSE)</f>
        <v>0</v>
      </c>
      <c r="W146" s="100">
        <f>VLOOKUP(TableRBRanks3141[[#This Row],[Player]],RB!B:O,7,FALSE)</f>
        <v>0</v>
      </c>
      <c r="X146" s="100">
        <f>VLOOKUP(TableRBRanks3141[[#This Row],[Player]],RB!B:O,8,FALSE)</f>
        <v>0</v>
      </c>
      <c r="Y146" s="100">
        <f>VLOOKUP(TableRBRanks3141[[#This Row],[Player]],RB!B:O,9,FALSE)</f>
        <v>0</v>
      </c>
      <c r="Z146" s="100">
        <f>VLOOKUP(TableRBRanks3141[[#This Row],[Player]],RB!B:O,10,FALSE)</f>
        <v>0</v>
      </c>
      <c r="AA146" s="95">
        <f>VLOOKUP(TableRBRanks3141[[#This Row],[Player]],RB!B:O,14,FALSE)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VLOOKUP(TableWRRanks3242[[#This Row],[RK]],Rankings!A:T,13,FALSE)</f>
        <v>0</v>
      </c>
      <c r="AF146" s="58" t="str">
        <f>IFERROR(INDEX(TableWRCalcPts[TM],MATCH(TableWRRanks3242[[#This Row],[Player]],TableWRCalcPts[PLAYER],0)),"")</f>
        <v/>
      </c>
      <c r="AG146" s="58" t="str">
        <f>IFERROR(INDEX(TableWRCalcPts[BYE],MATCH(TableWRRanks3242[[#This Row],[Player]],TableWRCalcPts[PLAYER],0)),"")</f>
        <v/>
      </c>
      <c r="AH146" s="100">
        <f>VLOOKUP(TableWRRanks3242[[#This Row],[Player]],WR!B:O,4,FALSE)</f>
        <v>0</v>
      </c>
      <c r="AI146" s="100">
        <f>VLOOKUP(TableWRRanks3242[[#This Row],[Player]],WR!B:O,5,FALSE)</f>
        <v>0</v>
      </c>
      <c r="AJ146" s="100">
        <f>VLOOKUP(TableWRRanks3242[[#This Row],[Player]],WR!B:O,6,FALSE)</f>
        <v>0</v>
      </c>
      <c r="AK146" s="100">
        <f>VLOOKUP(TableWRRanks3242[[#This Row],[Player]],WR!B:O,7,FALSE)</f>
        <v>0</v>
      </c>
      <c r="AL146" s="100">
        <f>VLOOKUP(TableWRRanks3242[[#This Row],[Player]],WR!B:O,8,FALSE)</f>
        <v>0</v>
      </c>
      <c r="AM146" s="100">
        <f>VLOOKUP(TableWRRanks3242[[#This Row],[Player]],WR!B:O,9,FALSE)</f>
        <v>0</v>
      </c>
      <c r="AN146" s="95">
        <f>VLOOKUP(TableWRRanks3242[[#This Row],[Player]],WR!B:O,13,FALSE)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VLOOKUP(TableRBRanks3141[[#This Row],[RK]],Rankings!A:T,8,FALSE)</f>
        <v>0</v>
      </c>
      <c r="R147" s="58" t="str">
        <f>IFERROR(INDEX(TableRBCalcPts[TM],MATCH(TableRBRanks3141[[#This Row],[Player]],TableRBCalcPts[PLAYER],0)),"")</f>
        <v/>
      </c>
      <c r="S147" s="58" t="str">
        <f>IFERROR(INDEX(TableRBCalcPts[BYE],MATCH(TableRBRanks3141[[#This Row],[Player]],TableRBCalcPts[PLAYER],0)),"")</f>
        <v/>
      </c>
      <c r="T147" s="100">
        <f>VLOOKUP(TableRBRanks3141[[#This Row],[Player]],RB!B:O,4,FALSE)</f>
        <v>0</v>
      </c>
      <c r="U147" s="100">
        <f>VLOOKUP(TableRBRanks3141[[#This Row],[Player]],RB!B:O,5,FALSE)</f>
        <v>0</v>
      </c>
      <c r="V147" s="100">
        <f>VLOOKUP(TableRBRanks3141[[#This Row],[Player]],RB!B:O,6,FALSE)</f>
        <v>0</v>
      </c>
      <c r="W147" s="100">
        <f>VLOOKUP(TableRBRanks3141[[#This Row],[Player]],RB!B:O,7,FALSE)</f>
        <v>0</v>
      </c>
      <c r="X147" s="100">
        <f>VLOOKUP(TableRBRanks3141[[#This Row],[Player]],RB!B:O,8,FALSE)</f>
        <v>0</v>
      </c>
      <c r="Y147" s="100">
        <f>VLOOKUP(TableRBRanks3141[[#This Row],[Player]],RB!B:O,9,FALSE)</f>
        <v>0</v>
      </c>
      <c r="Z147" s="100">
        <f>VLOOKUP(TableRBRanks3141[[#This Row],[Player]],RB!B:O,10,FALSE)</f>
        <v>0</v>
      </c>
      <c r="AA147" s="95">
        <f>VLOOKUP(TableRBRanks3141[[#This Row],[Player]],RB!B:O,14,FALSE)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VLOOKUP(TableWRRanks3242[[#This Row],[RK]],Rankings!A:T,13,FALSE)</f>
        <v>0</v>
      </c>
      <c r="AF147" s="58" t="str">
        <f>IFERROR(INDEX(TableWRCalcPts[TM],MATCH(TableWRRanks3242[[#This Row],[Player]],TableWRCalcPts[PLAYER],0)),"")</f>
        <v/>
      </c>
      <c r="AG147" s="58" t="str">
        <f>IFERROR(INDEX(TableWRCalcPts[BYE],MATCH(TableWRRanks3242[[#This Row],[Player]],TableWRCalcPts[PLAYER],0)),"")</f>
        <v/>
      </c>
      <c r="AH147" s="100">
        <f>VLOOKUP(TableWRRanks3242[[#This Row],[Player]],WR!B:O,4,FALSE)</f>
        <v>0</v>
      </c>
      <c r="AI147" s="100">
        <f>VLOOKUP(TableWRRanks3242[[#This Row],[Player]],WR!B:O,5,FALSE)</f>
        <v>0</v>
      </c>
      <c r="AJ147" s="100">
        <f>VLOOKUP(TableWRRanks3242[[#This Row],[Player]],WR!B:O,6,FALSE)</f>
        <v>0</v>
      </c>
      <c r="AK147" s="100">
        <f>VLOOKUP(TableWRRanks3242[[#This Row],[Player]],WR!B:O,7,FALSE)</f>
        <v>0</v>
      </c>
      <c r="AL147" s="100">
        <f>VLOOKUP(TableWRRanks3242[[#This Row],[Player]],WR!B:O,8,FALSE)</f>
        <v>0</v>
      </c>
      <c r="AM147" s="100">
        <f>VLOOKUP(TableWRRanks3242[[#This Row],[Player]],WR!B:O,9,FALSE)</f>
        <v>0</v>
      </c>
      <c r="AN147" s="95">
        <f>VLOOKUP(TableWRRanks3242[[#This Row],[Player]],WR!B:O,13,FALSE)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VLOOKUP(TableRBRanks3141[[#This Row],[RK]],Rankings!A:T,8,FALSE)</f>
        <v>0</v>
      </c>
      <c r="R148" s="58" t="str">
        <f>IFERROR(INDEX(TableRBCalcPts[TM],MATCH(TableRBRanks3141[[#This Row],[Player]],TableRBCalcPts[PLAYER],0)),"")</f>
        <v/>
      </c>
      <c r="S148" s="58" t="str">
        <f>IFERROR(INDEX(TableRBCalcPts[BYE],MATCH(TableRBRanks3141[[#This Row],[Player]],TableRBCalcPts[PLAYER],0)),"")</f>
        <v/>
      </c>
      <c r="T148" s="100">
        <f>VLOOKUP(TableRBRanks3141[[#This Row],[Player]],RB!B:O,4,FALSE)</f>
        <v>0</v>
      </c>
      <c r="U148" s="100">
        <f>VLOOKUP(TableRBRanks3141[[#This Row],[Player]],RB!B:O,5,FALSE)</f>
        <v>0</v>
      </c>
      <c r="V148" s="100">
        <f>VLOOKUP(TableRBRanks3141[[#This Row],[Player]],RB!B:O,6,FALSE)</f>
        <v>0</v>
      </c>
      <c r="W148" s="100">
        <f>VLOOKUP(TableRBRanks3141[[#This Row],[Player]],RB!B:O,7,FALSE)</f>
        <v>0</v>
      </c>
      <c r="X148" s="100">
        <f>VLOOKUP(TableRBRanks3141[[#This Row],[Player]],RB!B:O,8,FALSE)</f>
        <v>0</v>
      </c>
      <c r="Y148" s="100">
        <f>VLOOKUP(TableRBRanks3141[[#This Row],[Player]],RB!B:O,9,FALSE)</f>
        <v>0</v>
      </c>
      <c r="Z148" s="100">
        <f>VLOOKUP(TableRBRanks3141[[#This Row],[Player]],RB!B:O,10,FALSE)</f>
        <v>0</v>
      </c>
      <c r="AA148" s="95">
        <f>VLOOKUP(TableRBRanks3141[[#This Row],[Player]],RB!B:O,14,FALSE)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VLOOKUP(TableWRRanks3242[[#This Row],[RK]],Rankings!A:T,13,FALSE)</f>
        <v>0</v>
      </c>
      <c r="AF148" s="58" t="str">
        <f>IFERROR(INDEX(TableWRCalcPts[TM],MATCH(TableWRRanks3242[[#This Row],[Player]],TableWRCalcPts[PLAYER],0)),"")</f>
        <v/>
      </c>
      <c r="AG148" s="58" t="str">
        <f>IFERROR(INDEX(TableWRCalcPts[BYE],MATCH(TableWRRanks3242[[#This Row],[Player]],TableWRCalcPts[PLAYER],0)),"")</f>
        <v/>
      </c>
      <c r="AH148" s="100">
        <f>VLOOKUP(TableWRRanks3242[[#This Row],[Player]],WR!B:O,4,FALSE)</f>
        <v>0</v>
      </c>
      <c r="AI148" s="100">
        <f>VLOOKUP(TableWRRanks3242[[#This Row],[Player]],WR!B:O,5,FALSE)</f>
        <v>0</v>
      </c>
      <c r="AJ148" s="100">
        <f>VLOOKUP(TableWRRanks3242[[#This Row],[Player]],WR!B:O,6,FALSE)</f>
        <v>0</v>
      </c>
      <c r="AK148" s="100">
        <f>VLOOKUP(TableWRRanks3242[[#This Row],[Player]],WR!B:O,7,FALSE)</f>
        <v>0</v>
      </c>
      <c r="AL148" s="100">
        <f>VLOOKUP(TableWRRanks3242[[#This Row],[Player]],WR!B:O,8,FALSE)</f>
        <v>0</v>
      </c>
      <c r="AM148" s="100">
        <f>VLOOKUP(TableWRRanks3242[[#This Row],[Player]],WR!B:O,9,FALSE)</f>
        <v>0</v>
      </c>
      <c r="AN148" s="95">
        <f>VLOOKUP(TableWRRanks3242[[#This Row],[Player]],WR!B:O,13,FALSE)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VLOOKUP(TableRBRanks3141[[#This Row],[RK]],Rankings!A:T,8,FALSE)</f>
        <v>0</v>
      </c>
      <c r="R149" s="58" t="str">
        <f>IFERROR(INDEX(TableRBCalcPts[TM],MATCH(TableRBRanks3141[[#This Row],[Player]],TableRBCalcPts[PLAYER],0)),"")</f>
        <v/>
      </c>
      <c r="S149" s="58" t="str">
        <f>IFERROR(INDEX(TableRBCalcPts[BYE],MATCH(TableRBRanks3141[[#This Row],[Player]],TableRBCalcPts[PLAYER],0)),"")</f>
        <v/>
      </c>
      <c r="T149" s="100">
        <f>VLOOKUP(TableRBRanks3141[[#This Row],[Player]],RB!B:O,4,FALSE)</f>
        <v>0</v>
      </c>
      <c r="U149" s="100">
        <f>VLOOKUP(TableRBRanks3141[[#This Row],[Player]],RB!B:O,5,FALSE)</f>
        <v>0</v>
      </c>
      <c r="V149" s="100">
        <f>VLOOKUP(TableRBRanks3141[[#This Row],[Player]],RB!B:O,6,FALSE)</f>
        <v>0</v>
      </c>
      <c r="W149" s="100">
        <f>VLOOKUP(TableRBRanks3141[[#This Row],[Player]],RB!B:O,7,FALSE)</f>
        <v>0</v>
      </c>
      <c r="X149" s="100">
        <f>VLOOKUP(TableRBRanks3141[[#This Row],[Player]],RB!B:O,8,FALSE)</f>
        <v>0</v>
      </c>
      <c r="Y149" s="100">
        <f>VLOOKUP(TableRBRanks3141[[#This Row],[Player]],RB!B:O,9,FALSE)</f>
        <v>0</v>
      </c>
      <c r="Z149" s="100">
        <f>VLOOKUP(TableRBRanks3141[[#This Row],[Player]],RB!B:O,10,FALSE)</f>
        <v>0</v>
      </c>
      <c r="AA149" s="95">
        <f>VLOOKUP(TableRBRanks3141[[#This Row],[Player]],RB!B:O,14,FALSE)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VLOOKUP(TableWRRanks3242[[#This Row],[RK]],Rankings!A:T,13,FALSE)</f>
        <v>0</v>
      </c>
      <c r="AF149" s="58" t="str">
        <f>IFERROR(INDEX(TableWRCalcPts[TM],MATCH(TableWRRanks3242[[#This Row],[Player]],TableWRCalcPts[PLAYER],0)),"")</f>
        <v/>
      </c>
      <c r="AG149" s="58" t="str">
        <f>IFERROR(INDEX(TableWRCalcPts[BYE],MATCH(TableWRRanks3242[[#This Row],[Player]],TableWRCalcPts[PLAYER],0)),"")</f>
        <v/>
      </c>
      <c r="AH149" s="100">
        <f>VLOOKUP(TableWRRanks3242[[#This Row],[Player]],WR!B:O,4,FALSE)</f>
        <v>0</v>
      </c>
      <c r="AI149" s="100">
        <f>VLOOKUP(TableWRRanks3242[[#This Row],[Player]],WR!B:O,5,FALSE)</f>
        <v>0</v>
      </c>
      <c r="AJ149" s="100">
        <f>VLOOKUP(TableWRRanks3242[[#This Row],[Player]],WR!B:O,6,FALSE)</f>
        <v>0</v>
      </c>
      <c r="AK149" s="100">
        <f>VLOOKUP(TableWRRanks3242[[#This Row],[Player]],WR!B:O,7,FALSE)</f>
        <v>0</v>
      </c>
      <c r="AL149" s="100">
        <f>VLOOKUP(TableWRRanks3242[[#This Row],[Player]],WR!B:O,8,FALSE)</f>
        <v>0</v>
      </c>
      <c r="AM149" s="100">
        <f>VLOOKUP(TableWRRanks3242[[#This Row],[Player]],WR!B:O,9,FALSE)</f>
        <v>0</v>
      </c>
      <c r="AN149" s="95">
        <f>VLOOKUP(TableWRRanks3242[[#This Row],[Player]],WR!B:O,13,FALSE)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VLOOKUP(TableRBRanks3141[[#This Row],[RK]],Rankings!A:T,8,FALSE)</f>
        <v>0</v>
      </c>
      <c r="R150" s="58" t="str">
        <f>IFERROR(INDEX(TableRBCalcPts[TM],MATCH(TableRBRanks3141[[#This Row],[Player]],TableRBCalcPts[PLAYER],0)),"")</f>
        <v/>
      </c>
      <c r="S150" s="58" t="str">
        <f>IFERROR(INDEX(TableRBCalcPts[BYE],MATCH(TableRBRanks3141[[#This Row],[Player]],TableRBCalcPts[PLAYER],0)),"")</f>
        <v/>
      </c>
      <c r="T150" s="100">
        <f>VLOOKUP(TableRBRanks3141[[#This Row],[Player]],RB!B:O,4,FALSE)</f>
        <v>0</v>
      </c>
      <c r="U150" s="100">
        <f>VLOOKUP(TableRBRanks3141[[#This Row],[Player]],RB!B:O,5,FALSE)</f>
        <v>0</v>
      </c>
      <c r="V150" s="100">
        <f>VLOOKUP(TableRBRanks3141[[#This Row],[Player]],RB!B:O,6,FALSE)</f>
        <v>0</v>
      </c>
      <c r="W150" s="100">
        <f>VLOOKUP(TableRBRanks3141[[#This Row],[Player]],RB!B:O,7,FALSE)</f>
        <v>0</v>
      </c>
      <c r="X150" s="100">
        <f>VLOOKUP(TableRBRanks3141[[#This Row],[Player]],RB!B:O,8,FALSE)</f>
        <v>0</v>
      </c>
      <c r="Y150" s="100">
        <f>VLOOKUP(TableRBRanks3141[[#This Row],[Player]],RB!B:O,9,FALSE)</f>
        <v>0</v>
      </c>
      <c r="Z150" s="100">
        <f>VLOOKUP(TableRBRanks3141[[#This Row],[Player]],RB!B:O,10,FALSE)</f>
        <v>0</v>
      </c>
      <c r="AA150" s="95">
        <f>VLOOKUP(TableRBRanks3141[[#This Row],[Player]],RB!B:O,14,FALSE)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VLOOKUP(TableWRRanks3242[[#This Row],[RK]],Rankings!A:T,13,FALSE)</f>
        <v>0</v>
      </c>
      <c r="AF150" s="58" t="str">
        <f>IFERROR(INDEX(TableWRCalcPts[TM],MATCH(TableWRRanks3242[[#This Row],[Player]],TableWRCalcPts[PLAYER],0)),"")</f>
        <v/>
      </c>
      <c r="AG150" s="58" t="str">
        <f>IFERROR(INDEX(TableWRCalcPts[BYE],MATCH(TableWRRanks3242[[#This Row],[Player]],TableWRCalcPts[PLAYER],0)),"")</f>
        <v/>
      </c>
      <c r="AH150" s="100">
        <f>VLOOKUP(TableWRRanks3242[[#This Row],[Player]],WR!B:O,4,FALSE)</f>
        <v>0</v>
      </c>
      <c r="AI150" s="100">
        <f>VLOOKUP(TableWRRanks3242[[#This Row],[Player]],WR!B:O,5,FALSE)</f>
        <v>0</v>
      </c>
      <c r="AJ150" s="100">
        <f>VLOOKUP(TableWRRanks3242[[#This Row],[Player]],WR!B:O,6,FALSE)</f>
        <v>0</v>
      </c>
      <c r="AK150" s="100">
        <f>VLOOKUP(TableWRRanks3242[[#This Row],[Player]],WR!B:O,7,FALSE)</f>
        <v>0</v>
      </c>
      <c r="AL150" s="100">
        <f>VLOOKUP(TableWRRanks3242[[#This Row],[Player]],WR!B:O,8,FALSE)</f>
        <v>0</v>
      </c>
      <c r="AM150" s="100">
        <f>VLOOKUP(TableWRRanks3242[[#This Row],[Player]],WR!B:O,9,FALSE)</f>
        <v>0</v>
      </c>
      <c r="AN150" s="95">
        <f>VLOOKUP(TableWRRanks3242[[#This Row],[Player]],WR!B:O,13,FALSE)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VLOOKUP(TableRBRanks3141[[#This Row],[RK]],Rankings!A:T,8,FALSE)</f>
        <v>0</v>
      </c>
      <c r="R151" s="58" t="str">
        <f>IFERROR(INDEX(TableRBCalcPts[TM],MATCH(TableRBRanks3141[[#This Row],[Player]],TableRBCalcPts[PLAYER],0)),"")</f>
        <v/>
      </c>
      <c r="S151" s="58" t="str">
        <f>IFERROR(INDEX(TableRBCalcPts[BYE],MATCH(TableRBRanks3141[[#This Row],[Player]],TableRBCalcPts[PLAYER],0)),"")</f>
        <v/>
      </c>
      <c r="T151" s="100">
        <f>VLOOKUP(TableRBRanks3141[[#This Row],[Player]],RB!B:O,4,FALSE)</f>
        <v>0</v>
      </c>
      <c r="U151" s="100">
        <f>VLOOKUP(TableRBRanks3141[[#This Row],[Player]],RB!B:O,5,FALSE)</f>
        <v>0</v>
      </c>
      <c r="V151" s="100">
        <f>VLOOKUP(TableRBRanks3141[[#This Row],[Player]],RB!B:O,6,FALSE)</f>
        <v>0</v>
      </c>
      <c r="W151" s="100">
        <f>VLOOKUP(TableRBRanks3141[[#This Row],[Player]],RB!B:O,7,FALSE)</f>
        <v>0</v>
      </c>
      <c r="X151" s="100">
        <f>VLOOKUP(TableRBRanks3141[[#This Row],[Player]],RB!B:O,8,FALSE)</f>
        <v>0</v>
      </c>
      <c r="Y151" s="100">
        <f>VLOOKUP(TableRBRanks3141[[#This Row],[Player]],RB!B:O,9,FALSE)</f>
        <v>0</v>
      </c>
      <c r="Z151" s="100">
        <f>VLOOKUP(TableRBRanks3141[[#This Row],[Player]],RB!B:O,10,FALSE)</f>
        <v>0</v>
      </c>
      <c r="AA151" s="95">
        <f>VLOOKUP(TableRBRanks3141[[#This Row],[Player]],RB!B:O,14,FALSE)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VLOOKUP(TableWRRanks3242[[#This Row],[RK]],Rankings!A:T,13,FALSE)</f>
        <v>0</v>
      </c>
      <c r="AF151" s="58" t="str">
        <f>IFERROR(INDEX(TableWRCalcPts[TM],MATCH(TableWRRanks3242[[#This Row],[Player]],TableWRCalcPts[PLAYER],0)),"")</f>
        <v/>
      </c>
      <c r="AG151" s="58" t="str">
        <f>IFERROR(INDEX(TableWRCalcPts[BYE],MATCH(TableWRRanks3242[[#This Row],[Player]],TableWRCalcPts[PLAYER],0)),"")</f>
        <v/>
      </c>
      <c r="AH151" s="100">
        <f>VLOOKUP(TableWRRanks3242[[#This Row],[Player]],WR!B:O,4,FALSE)</f>
        <v>0</v>
      </c>
      <c r="AI151" s="100">
        <f>VLOOKUP(TableWRRanks3242[[#This Row],[Player]],WR!B:O,5,FALSE)</f>
        <v>0</v>
      </c>
      <c r="AJ151" s="100">
        <f>VLOOKUP(TableWRRanks3242[[#This Row],[Player]],WR!B:O,6,FALSE)</f>
        <v>0</v>
      </c>
      <c r="AK151" s="100">
        <f>VLOOKUP(TableWRRanks3242[[#This Row],[Player]],WR!B:O,7,FALSE)</f>
        <v>0</v>
      </c>
      <c r="AL151" s="100">
        <f>VLOOKUP(TableWRRanks3242[[#This Row],[Player]],WR!B:O,8,FALSE)</f>
        <v>0</v>
      </c>
      <c r="AM151" s="100">
        <f>VLOOKUP(TableWRRanks3242[[#This Row],[Player]],WR!B:O,9,FALSE)</f>
        <v>0</v>
      </c>
      <c r="AN151" s="95">
        <f>VLOOKUP(TableWRRanks3242[[#This Row],[Player]],WR!B:O,13,FALSE)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VLOOKUP(TableRBRanks3141[[#This Row],[RK]],Rankings!A:T,8,FALSE)</f>
        <v>0</v>
      </c>
      <c r="R152" s="58" t="str">
        <f>IFERROR(INDEX(TableRBCalcPts[TM],MATCH(TableRBRanks3141[[#This Row],[Player]],TableRBCalcPts[PLAYER],0)),"")</f>
        <v/>
      </c>
      <c r="S152" s="58" t="str">
        <f>IFERROR(INDEX(TableRBCalcPts[BYE],MATCH(TableRBRanks3141[[#This Row],[Player]],TableRBCalcPts[PLAYER],0)),"")</f>
        <v/>
      </c>
      <c r="T152" s="100">
        <f>VLOOKUP(TableRBRanks3141[[#This Row],[Player]],RB!B:O,4,FALSE)</f>
        <v>0</v>
      </c>
      <c r="U152" s="100">
        <f>VLOOKUP(TableRBRanks3141[[#This Row],[Player]],RB!B:O,5,FALSE)</f>
        <v>0</v>
      </c>
      <c r="V152" s="100">
        <f>VLOOKUP(TableRBRanks3141[[#This Row],[Player]],RB!B:O,6,FALSE)</f>
        <v>0</v>
      </c>
      <c r="W152" s="100">
        <f>VLOOKUP(TableRBRanks3141[[#This Row],[Player]],RB!B:O,7,FALSE)</f>
        <v>0</v>
      </c>
      <c r="X152" s="100">
        <f>VLOOKUP(TableRBRanks3141[[#This Row],[Player]],RB!B:O,8,FALSE)</f>
        <v>0</v>
      </c>
      <c r="Y152" s="100">
        <f>VLOOKUP(TableRBRanks3141[[#This Row],[Player]],RB!B:O,9,FALSE)</f>
        <v>0</v>
      </c>
      <c r="Z152" s="100">
        <f>VLOOKUP(TableRBRanks3141[[#This Row],[Player]],RB!B:O,10,FALSE)</f>
        <v>0</v>
      </c>
      <c r="AA152" s="95">
        <f>VLOOKUP(TableRBRanks3141[[#This Row],[Player]],RB!B:O,14,FALSE)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VLOOKUP(TableWRRanks3242[[#This Row],[RK]],Rankings!A:T,13,FALSE)</f>
        <v>0</v>
      </c>
      <c r="AF152" s="58" t="str">
        <f>IFERROR(INDEX(TableWRCalcPts[TM],MATCH(TableWRRanks3242[[#This Row],[Player]],TableWRCalcPts[PLAYER],0)),"")</f>
        <v/>
      </c>
      <c r="AG152" s="58" t="str">
        <f>IFERROR(INDEX(TableWRCalcPts[BYE],MATCH(TableWRRanks3242[[#This Row],[Player]],TableWRCalcPts[PLAYER],0)),"")</f>
        <v/>
      </c>
      <c r="AH152" s="100">
        <f>VLOOKUP(TableWRRanks3242[[#This Row],[Player]],WR!B:O,4,FALSE)</f>
        <v>0</v>
      </c>
      <c r="AI152" s="100">
        <f>VLOOKUP(TableWRRanks3242[[#This Row],[Player]],WR!B:O,5,FALSE)</f>
        <v>0</v>
      </c>
      <c r="AJ152" s="100">
        <f>VLOOKUP(TableWRRanks3242[[#This Row],[Player]],WR!B:O,6,FALSE)</f>
        <v>0</v>
      </c>
      <c r="AK152" s="100">
        <f>VLOOKUP(TableWRRanks3242[[#This Row],[Player]],WR!B:O,7,FALSE)</f>
        <v>0</v>
      </c>
      <c r="AL152" s="100">
        <f>VLOOKUP(TableWRRanks3242[[#This Row],[Player]],WR!B:O,8,FALSE)</f>
        <v>0</v>
      </c>
      <c r="AM152" s="100">
        <f>VLOOKUP(TableWRRanks3242[[#This Row],[Player]],WR!B:O,9,FALSE)</f>
        <v>0</v>
      </c>
      <c r="AN152" s="95">
        <f>VLOOKUP(TableWRRanks3242[[#This Row],[Player]],WR!B:O,13,FALSE)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VLOOKUP(TableRBRanks3141[[#This Row],[RK]],Rankings!A:T,8,FALSE)</f>
        <v>0</v>
      </c>
      <c r="R153" s="58" t="str">
        <f>IFERROR(INDEX(TableRBCalcPts[TM],MATCH(TableRBRanks3141[[#This Row],[Player]],TableRBCalcPts[PLAYER],0)),"")</f>
        <v/>
      </c>
      <c r="S153" s="58" t="str">
        <f>IFERROR(INDEX(TableRBCalcPts[BYE],MATCH(TableRBRanks3141[[#This Row],[Player]],TableRBCalcPts[PLAYER],0)),"")</f>
        <v/>
      </c>
      <c r="T153" s="100">
        <f>VLOOKUP(TableRBRanks3141[[#This Row],[Player]],RB!B:O,4,FALSE)</f>
        <v>0</v>
      </c>
      <c r="U153" s="100">
        <f>VLOOKUP(TableRBRanks3141[[#This Row],[Player]],RB!B:O,5,FALSE)</f>
        <v>0</v>
      </c>
      <c r="V153" s="100">
        <f>VLOOKUP(TableRBRanks3141[[#This Row],[Player]],RB!B:O,6,FALSE)</f>
        <v>0</v>
      </c>
      <c r="W153" s="100">
        <f>VLOOKUP(TableRBRanks3141[[#This Row],[Player]],RB!B:O,7,FALSE)</f>
        <v>0</v>
      </c>
      <c r="X153" s="100">
        <f>VLOOKUP(TableRBRanks3141[[#This Row],[Player]],RB!B:O,8,FALSE)</f>
        <v>0</v>
      </c>
      <c r="Y153" s="100">
        <f>VLOOKUP(TableRBRanks3141[[#This Row],[Player]],RB!B:O,9,FALSE)</f>
        <v>0</v>
      </c>
      <c r="Z153" s="100">
        <f>VLOOKUP(TableRBRanks3141[[#This Row],[Player]],RB!B:O,10,FALSE)</f>
        <v>0</v>
      </c>
      <c r="AA153" s="95">
        <f>VLOOKUP(TableRBRanks3141[[#This Row],[Player]],RB!B:O,14,FALSE)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VLOOKUP(TableWRRanks3242[[#This Row],[RK]],Rankings!A:T,13,FALSE)</f>
        <v>0</v>
      </c>
      <c r="AF153" s="58" t="str">
        <f>IFERROR(INDEX(TableWRCalcPts[TM],MATCH(TableWRRanks3242[[#This Row],[Player]],TableWRCalcPts[PLAYER],0)),"")</f>
        <v/>
      </c>
      <c r="AG153" s="58" t="str">
        <f>IFERROR(INDEX(TableWRCalcPts[BYE],MATCH(TableWRRanks3242[[#This Row],[Player]],TableWRCalcPts[PLAYER],0)),"")</f>
        <v/>
      </c>
      <c r="AH153" s="100">
        <f>VLOOKUP(TableWRRanks3242[[#This Row],[Player]],WR!B:O,4,FALSE)</f>
        <v>0</v>
      </c>
      <c r="AI153" s="100">
        <f>VLOOKUP(TableWRRanks3242[[#This Row],[Player]],WR!B:O,5,FALSE)</f>
        <v>0</v>
      </c>
      <c r="AJ153" s="100">
        <f>VLOOKUP(TableWRRanks3242[[#This Row],[Player]],WR!B:O,6,FALSE)</f>
        <v>0</v>
      </c>
      <c r="AK153" s="100">
        <f>VLOOKUP(TableWRRanks3242[[#This Row],[Player]],WR!B:O,7,FALSE)</f>
        <v>0</v>
      </c>
      <c r="AL153" s="100">
        <f>VLOOKUP(TableWRRanks3242[[#This Row],[Player]],WR!B:O,8,FALSE)</f>
        <v>0</v>
      </c>
      <c r="AM153" s="100">
        <f>VLOOKUP(TableWRRanks3242[[#This Row],[Player]],WR!B:O,9,FALSE)</f>
        <v>0</v>
      </c>
      <c r="AN153" s="95">
        <f>VLOOKUP(TableWRRanks3242[[#This Row],[Player]],WR!B:O,13,FALSE)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VLOOKUP(TableRBRanks3141[[#This Row],[RK]],Rankings!A:T,8,FALSE)</f>
        <v>0</v>
      </c>
      <c r="R154" s="58" t="str">
        <f>IFERROR(INDEX(TableRBCalcPts[TM],MATCH(TableRBRanks3141[[#This Row],[Player]],TableRBCalcPts[PLAYER],0)),"")</f>
        <v/>
      </c>
      <c r="S154" s="58" t="str">
        <f>IFERROR(INDEX(TableRBCalcPts[BYE],MATCH(TableRBRanks3141[[#This Row],[Player]],TableRBCalcPts[PLAYER],0)),"")</f>
        <v/>
      </c>
      <c r="T154" s="100">
        <f>VLOOKUP(TableRBRanks3141[[#This Row],[Player]],RB!B:O,4,FALSE)</f>
        <v>0</v>
      </c>
      <c r="U154" s="100">
        <f>VLOOKUP(TableRBRanks3141[[#This Row],[Player]],RB!B:O,5,FALSE)</f>
        <v>0</v>
      </c>
      <c r="V154" s="100">
        <f>VLOOKUP(TableRBRanks3141[[#This Row],[Player]],RB!B:O,6,FALSE)</f>
        <v>0</v>
      </c>
      <c r="W154" s="100">
        <f>VLOOKUP(TableRBRanks3141[[#This Row],[Player]],RB!B:O,7,FALSE)</f>
        <v>0</v>
      </c>
      <c r="X154" s="100">
        <f>VLOOKUP(TableRBRanks3141[[#This Row],[Player]],RB!B:O,8,FALSE)</f>
        <v>0</v>
      </c>
      <c r="Y154" s="100">
        <f>VLOOKUP(TableRBRanks3141[[#This Row],[Player]],RB!B:O,9,FALSE)</f>
        <v>0</v>
      </c>
      <c r="Z154" s="100">
        <f>VLOOKUP(TableRBRanks3141[[#This Row],[Player]],RB!B:O,10,FALSE)</f>
        <v>0</v>
      </c>
      <c r="AA154" s="95">
        <f>VLOOKUP(TableRBRanks3141[[#This Row],[Player]],RB!B:O,14,FALSE)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VLOOKUP(TableWRRanks3242[[#This Row],[RK]],Rankings!A:T,13,FALSE)</f>
        <v>0</v>
      </c>
      <c r="AF154" s="58" t="str">
        <f>IFERROR(INDEX(TableWRCalcPts[TM],MATCH(TableWRRanks3242[[#This Row],[Player]],TableWRCalcPts[PLAYER],0)),"")</f>
        <v/>
      </c>
      <c r="AG154" s="58" t="str">
        <f>IFERROR(INDEX(TableWRCalcPts[BYE],MATCH(TableWRRanks3242[[#This Row],[Player]],TableWRCalcPts[PLAYER],0)),"")</f>
        <v/>
      </c>
      <c r="AH154" s="100">
        <f>VLOOKUP(TableWRRanks3242[[#This Row],[Player]],WR!B:O,4,FALSE)</f>
        <v>0</v>
      </c>
      <c r="AI154" s="100">
        <f>VLOOKUP(TableWRRanks3242[[#This Row],[Player]],WR!B:O,5,FALSE)</f>
        <v>0</v>
      </c>
      <c r="AJ154" s="100">
        <f>VLOOKUP(TableWRRanks3242[[#This Row],[Player]],WR!B:O,6,FALSE)</f>
        <v>0</v>
      </c>
      <c r="AK154" s="100">
        <f>VLOOKUP(TableWRRanks3242[[#This Row],[Player]],WR!B:O,7,FALSE)</f>
        <v>0</v>
      </c>
      <c r="AL154" s="100">
        <f>VLOOKUP(TableWRRanks3242[[#This Row],[Player]],WR!B:O,8,FALSE)</f>
        <v>0</v>
      </c>
      <c r="AM154" s="100">
        <f>VLOOKUP(TableWRRanks3242[[#This Row],[Player]],WR!B:O,9,FALSE)</f>
        <v>0</v>
      </c>
      <c r="AN154" s="95">
        <f>VLOOKUP(TableWRRanks3242[[#This Row],[Player]],WR!B:O,13,FALSE)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VLOOKUP(TableRBRanks3141[[#This Row],[RK]],Rankings!A:T,8,FALSE)</f>
        <v>0</v>
      </c>
      <c r="R155" s="58" t="str">
        <f>IFERROR(INDEX(TableRBCalcPts[TM],MATCH(TableRBRanks3141[[#This Row],[Player]],TableRBCalcPts[PLAYER],0)),"")</f>
        <v/>
      </c>
      <c r="S155" s="58" t="str">
        <f>IFERROR(INDEX(TableRBCalcPts[BYE],MATCH(TableRBRanks3141[[#This Row],[Player]],TableRBCalcPts[PLAYER],0)),"")</f>
        <v/>
      </c>
      <c r="T155" s="100">
        <f>VLOOKUP(TableRBRanks3141[[#This Row],[Player]],RB!B:O,4,FALSE)</f>
        <v>0</v>
      </c>
      <c r="U155" s="100">
        <f>VLOOKUP(TableRBRanks3141[[#This Row],[Player]],RB!B:O,5,FALSE)</f>
        <v>0</v>
      </c>
      <c r="V155" s="100">
        <f>VLOOKUP(TableRBRanks3141[[#This Row],[Player]],RB!B:O,6,FALSE)</f>
        <v>0</v>
      </c>
      <c r="W155" s="100">
        <f>VLOOKUP(TableRBRanks3141[[#This Row],[Player]],RB!B:O,7,FALSE)</f>
        <v>0</v>
      </c>
      <c r="X155" s="100">
        <f>VLOOKUP(TableRBRanks3141[[#This Row],[Player]],RB!B:O,8,FALSE)</f>
        <v>0</v>
      </c>
      <c r="Y155" s="100">
        <f>VLOOKUP(TableRBRanks3141[[#This Row],[Player]],RB!B:O,9,FALSE)</f>
        <v>0</v>
      </c>
      <c r="Z155" s="100">
        <f>VLOOKUP(TableRBRanks3141[[#This Row],[Player]],RB!B:O,10,FALSE)</f>
        <v>0</v>
      </c>
      <c r="AA155" s="95">
        <f>VLOOKUP(TableRBRanks3141[[#This Row],[Player]],RB!B:O,14,FALSE)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VLOOKUP(TableWRRanks3242[[#This Row],[RK]],Rankings!A:T,13,FALSE)</f>
        <v>0</v>
      </c>
      <c r="AF155" s="58" t="str">
        <f>IFERROR(INDEX(TableWRCalcPts[TM],MATCH(TableWRRanks3242[[#This Row],[Player]],TableWRCalcPts[PLAYER],0)),"")</f>
        <v/>
      </c>
      <c r="AG155" s="58" t="str">
        <f>IFERROR(INDEX(TableWRCalcPts[BYE],MATCH(TableWRRanks3242[[#This Row],[Player]],TableWRCalcPts[PLAYER],0)),"")</f>
        <v/>
      </c>
      <c r="AH155" s="100">
        <f>VLOOKUP(TableWRRanks3242[[#This Row],[Player]],WR!B:O,4,FALSE)</f>
        <v>0</v>
      </c>
      <c r="AI155" s="100">
        <f>VLOOKUP(TableWRRanks3242[[#This Row],[Player]],WR!B:O,5,FALSE)</f>
        <v>0</v>
      </c>
      <c r="AJ155" s="100">
        <f>VLOOKUP(TableWRRanks3242[[#This Row],[Player]],WR!B:O,6,FALSE)</f>
        <v>0</v>
      </c>
      <c r="AK155" s="100">
        <f>VLOOKUP(TableWRRanks3242[[#This Row],[Player]],WR!B:O,7,FALSE)</f>
        <v>0</v>
      </c>
      <c r="AL155" s="100">
        <f>VLOOKUP(TableWRRanks3242[[#This Row],[Player]],WR!B:O,8,FALSE)</f>
        <v>0</v>
      </c>
      <c r="AM155" s="100">
        <f>VLOOKUP(TableWRRanks3242[[#This Row],[Player]],WR!B:O,9,FALSE)</f>
        <v>0</v>
      </c>
      <c r="AN155" s="95">
        <f>VLOOKUP(TableWRRanks3242[[#This Row],[Player]],WR!B:O,13,FALSE)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VLOOKUP(TableRBRanks3141[[#This Row],[RK]],Rankings!A:T,8,FALSE)</f>
        <v>0</v>
      </c>
      <c r="R156" s="58" t="str">
        <f>IFERROR(INDEX(TableRBCalcPts[TM],MATCH(TableRBRanks3141[[#This Row],[Player]],TableRBCalcPts[PLAYER],0)),"")</f>
        <v/>
      </c>
      <c r="S156" s="58" t="str">
        <f>IFERROR(INDEX(TableRBCalcPts[BYE],MATCH(TableRBRanks3141[[#This Row],[Player]],TableRBCalcPts[PLAYER],0)),"")</f>
        <v/>
      </c>
      <c r="T156" s="100">
        <f>VLOOKUP(TableRBRanks3141[[#This Row],[Player]],RB!B:O,4,FALSE)</f>
        <v>0</v>
      </c>
      <c r="U156" s="100">
        <f>VLOOKUP(TableRBRanks3141[[#This Row],[Player]],RB!B:O,5,FALSE)</f>
        <v>0</v>
      </c>
      <c r="V156" s="100">
        <f>VLOOKUP(TableRBRanks3141[[#This Row],[Player]],RB!B:O,6,FALSE)</f>
        <v>0</v>
      </c>
      <c r="W156" s="100">
        <f>VLOOKUP(TableRBRanks3141[[#This Row],[Player]],RB!B:O,7,FALSE)</f>
        <v>0</v>
      </c>
      <c r="X156" s="100">
        <f>VLOOKUP(TableRBRanks3141[[#This Row],[Player]],RB!B:O,8,FALSE)</f>
        <v>0</v>
      </c>
      <c r="Y156" s="100">
        <f>VLOOKUP(TableRBRanks3141[[#This Row],[Player]],RB!B:O,9,FALSE)</f>
        <v>0</v>
      </c>
      <c r="Z156" s="100">
        <f>VLOOKUP(TableRBRanks3141[[#This Row],[Player]],RB!B:O,10,FALSE)</f>
        <v>0</v>
      </c>
      <c r="AA156" s="95">
        <f>VLOOKUP(TableRBRanks3141[[#This Row],[Player]],RB!B:O,14,FALSE)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VLOOKUP(TableWRRanks3242[[#This Row],[RK]],Rankings!A:T,13,FALSE)</f>
        <v>0</v>
      </c>
      <c r="AF156" s="58" t="str">
        <f>IFERROR(INDEX(TableWRCalcPts[TM],MATCH(TableWRRanks3242[[#This Row],[Player]],TableWRCalcPts[PLAYER],0)),"")</f>
        <v/>
      </c>
      <c r="AG156" s="58" t="str">
        <f>IFERROR(INDEX(TableWRCalcPts[BYE],MATCH(TableWRRanks3242[[#This Row],[Player]],TableWRCalcPts[PLAYER],0)),"")</f>
        <v/>
      </c>
      <c r="AH156" s="100">
        <f>VLOOKUP(TableWRRanks3242[[#This Row],[Player]],WR!B:O,4,FALSE)</f>
        <v>0</v>
      </c>
      <c r="AI156" s="100">
        <f>VLOOKUP(TableWRRanks3242[[#This Row],[Player]],WR!B:O,5,FALSE)</f>
        <v>0</v>
      </c>
      <c r="AJ156" s="100">
        <f>VLOOKUP(TableWRRanks3242[[#This Row],[Player]],WR!B:O,6,FALSE)</f>
        <v>0</v>
      </c>
      <c r="AK156" s="100">
        <f>VLOOKUP(TableWRRanks3242[[#This Row],[Player]],WR!B:O,7,FALSE)</f>
        <v>0</v>
      </c>
      <c r="AL156" s="100">
        <f>VLOOKUP(TableWRRanks3242[[#This Row],[Player]],WR!B:O,8,FALSE)</f>
        <v>0</v>
      </c>
      <c r="AM156" s="100">
        <f>VLOOKUP(TableWRRanks3242[[#This Row],[Player]],WR!B:O,9,FALSE)</f>
        <v>0</v>
      </c>
      <c r="AN156" s="95">
        <f>VLOOKUP(TableWRRanks3242[[#This Row],[Player]],WR!B:O,13,FALSE)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VLOOKUP(TableRBRanks3141[[#This Row],[RK]],Rankings!A:T,8,FALSE)</f>
        <v>0</v>
      </c>
      <c r="R157" s="58" t="str">
        <f>IFERROR(INDEX(TableRBCalcPts[TM],MATCH(TableRBRanks3141[[#This Row],[Player]],TableRBCalcPts[PLAYER],0)),"")</f>
        <v/>
      </c>
      <c r="S157" s="58" t="str">
        <f>IFERROR(INDEX(TableRBCalcPts[BYE],MATCH(TableRBRanks3141[[#This Row],[Player]],TableRBCalcPts[PLAYER],0)),"")</f>
        <v/>
      </c>
      <c r="T157" s="100">
        <f>VLOOKUP(TableRBRanks3141[[#This Row],[Player]],RB!B:O,4,FALSE)</f>
        <v>0</v>
      </c>
      <c r="U157" s="100">
        <f>VLOOKUP(TableRBRanks3141[[#This Row],[Player]],RB!B:O,5,FALSE)</f>
        <v>0</v>
      </c>
      <c r="V157" s="100">
        <f>VLOOKUP(TableRBRanks3141[[#This Row],[Player]],RB!B:O,6,FALSE)</f>
        <v>0</v>
      </c>
      <c r="W157" s="100">
        <f>VLOOKUP(TableRBRanks3141[[#This Row],[Player]],RB!B:O,7,FALSE)</f>
        <v>0</v>
      </c>
      <c r="X157" s="100">
        <f>VLOOKUP(TableRBRanks3141[[#This Row],[Player]],RB!B:O,8,FALSE)</f>
        <v>0</v>
      </c>
      <c r="Y157" s="100">
        <f>VLOOKUP(TableRBRanks3141[[#This Row],[Player]],RB!B:O,9,FALSE)</f>
        <v>0</v>
      </c>
      <c r="Z157" s="100">
        <f>VLOOKUP(TableRBRanks3141[[#This Row],[Player]],RB!B:O,10,FALSE)</f>
        <v>0</v>
      </c>
      <c r="AA157" s="95">
        <f>VLOOKUP(TableRBRanks3141[[#This Row],[Player]],RB!B:O,14,FALSE)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VLOOKUP(TableWRRanks3242[[#This Row],[RK]],Rankings!A:T,13,FALSE)</f>
        <v>0</v>
      </c>
      <c r="AF157" s="58" t="str">
        <f>IFERROR(INDEX(TableWRCalcPts[TM],MATCH(TableWRRanks3242[[#This Row],[Player]],TableWRCalcPts[PLAYER],0)),"")</f>
        <v/>
      </c>
      <c r="AG157" s="58" t="str">
        <f>IFERROR(INDEX(TableWRCalcPts[BYE],MATCH(TableWRRanks3242[[#This Row],[Player]],TableWRCalcPts[PLAYER],0)),"")</f>
        <v/>
      </c>
      <c r="AH157" s="100">
        <f>VLOOKUP(TableWRRanks3242[[#This Row],[Player]],WR!B:O,4,FALSE)</f>
        <v>0</v>
      </c>
      <c r="AI157" s="100">
        <f>VLOOKUP(TableWRRanks3242[[#This Row],[Player]],WR!B:O,5,FALSE)</f>
        <v>0</v>
      </c>
      <c r="AJ157" s="100">
        <f>VLOOKUP(TableWRRanks3242[[#This Row],[Player]],WR!B:O,6,FALSE)</f>
        <v>0</v>
      </c>
      <c r="AK157" s="100">
        <f>VLOOKUP(TableWRRanks3242[[#This Row],[Player]],WR!B:O,7,FALSE)</f>
        <v>0</v>
      </c>
      <c r="AL157" s="100">
        <f>VLOOKUP(TableWRRanks3242[[#This Row],[Player]],WR!B:O,8,FALSE)</f>
        <v>0</v>
      </c>
      <c r="AM157" s="100">
        <f>VLOOKUP(TableWRRanks3242[[#This Row],[Player]],WR!B:O,9,FALSE)</f>
        <v>0</v>
      </c>
      <c r="AN157" s="95">
        <f>VLOOKUP(TableWRRanks3242[[#This Row],[Player]],WR!B:O,13,FALSE)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VLOOKUP(TableRBRanks3141[[#This Row],[RK]],Rankings!A:T,8,FALSE)</f>
        <v>0</v>
      </c>
      <c r="R158" s="58" t="str">
        <f>IFERROR(INDEX(TableRBCalcPts[TM],MATCH(TableRBRanks3141[[#This Row],[Player]],TableRBCalcPts[PLAYER],0)),"")</f>
        <v/>
      </c>
      <c r="S158" s="58" t="str">
        <f>IFERROR(INDEX(TableRBCalcPts[BYE],MATCH(TableRBRanks3141[[#This Row],[Player]],TableRBCalcPts[PLAYER],0)),"")</f>
        <v/>
      </c>
      <c r="T158" s="100">
        <f>VLOOKUP(TableRBRanks3141[[#This Row],[Player]],RB!B:O,4,FALSE)</f>
        <v>0</v>
      </c>
      <c r="U158" s="100">
        <f>VLOOKUP(TableRBRanks3141[[#This Row],[Player]],RB!B:O,5,FALSE)</f>
        <v>0</v>
      </c>
      <c r="V158" s="100">
        <f>VLOOKUP(TableRBRanks3141[[#This Row],[Player]],RB!B:O,6,FALSE)</f>
        <v>0</v>
      </c>
      <c r="W158" s="100">
        <f>VLOOKUP(TableRBRanks3141[[#This Row],[Player]],RB!B:O,7,FALSE)</f>
        <v>0</v>
      </c>
      <c r="X158" s="100">
        <f>VLOOKUP(TableRBRanks3141[[#This Row],[Player]],RB!B:O,8,FALSE)</f>
        <v>0</v>
      </c>
      <c r="Y158" s="100">
        <f>VLOOKUP(TableRBRanks3141[[#This Row],[Player]],RB!B:O,9,FALSE)</f>
        <v>0</v>
      </c>
      <c r="Z158" s="100">
        <f>VLOOKUP(TableRBRanks3141[[#This Row],[Player]],RB!B:O,10,FALSE)</f>
        <v>0</v>
      </c>
      <c r="AA158" s="95">
        <f>VLOOKUP(TableRBRanks3141[[#This Row],[Player]],RB!B:O,14,FALSE)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VLOOKUP(TableWRRanks3242[[#This Row],[RK]],Rankings!A:T,13,FALSE)</f>
        <v>0</v>
      </c>
      <c r="AF158" s="58" t="str">
        <f>IFERROR(INDEX(TableWRCalcPts[TM],MATCH(TableWRRanks3242[[#This Row],[Player]],TableWRCalcPts[PLAYER],0)),"")</f>
        <v/>
      </c>
      <c r="AG158" s="58" t="str">
        <f>IFERROR(INDEX(TableWRCalcPts[BYE],MATCH(TableWRRanks3242[[#This Row],[Player]],TableWRCalcPts[PLAYER],0)),"")</f>
        <v/>
      </c>
      <c r="AH158" s="100">
        <f>VLOOKUP(TableWRRanks3242[[#This Row],[Player]],WR!B:O,4,FALSE)</f>
        <v>0</v>
      </c>
      <c r="AI158" s="100">
        <f>VLOOKUP(TableWRRanks3242[[#This Row],[Player]],WR!B:O,5,FALSE)</f>
        <v>0</v>
      </c>
      <c r="AJ158" s="100">
        <f>VLOOKUP(TableWRRanks3242[[#This Row],[Player]],WR!B:O,6,FALSE)</f>
        <v>0</v>
      </c>
      <c r="AK158" s="100">
        <f>VLOOKUP(TableWRRanks3242[[#This Row],[Player]],WR!B:O,7,FALSE)</f>
        <v>0</v>
      </c>
      <c r="AL158" s="100">
        <f>VLOOKUP(TableWRRanks3242[[#This Row],[Player]],WR!B:O,8,FALSE)</f>
        <v>0</v>
      </c>
      <c r="AM158" s="100">
        <f>VLOOKUP(TableWRRanks3242[[#This Row],[Player]],WR!B:O,9,FALSE)</f>
        <v>0</v>
      </c>
      <c r="AN158" s="95">
        <f>VLOOKUP(TableWRRanks3242[[#This Row],[Player]],WR!B:O,13,FALSE)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VLOOKUP(TableRBRanks3141[[#This Row],[RK]],Rankings!A:T,8,FALSE)</f>
        <v>0</v>
      </c>
      <c r="R159" s="58" t="str">
        <f>IFERROR(INDEX(TableRBCalcPts[TM],MATCH(TableRBRanks3141[[#This Row],[Player]],TableRBCalcPts[PLAYER],0)),"")</f>
        <v/>
      </c>
      <c r="S159" s="58" t="str">
        <f>IFERROR(INDEX(TableRBCalcPts[BYE],MATCH(TableRBRanks3141[[#This Row],[Player]],TableRBCalcPts[PLAYER],0)),"")</f>
        <v/>
      </c>
      <c r="T159" s="100">
        <f>VLOOKUP(TableRBRanks3141[[#This Row],[Player]],RB!B:O,4,FALSE)</f>
        <v>0</v>
      </c>
      <c r="U159" s="100">
        <f>VLOOKUP(TableRBRanks3141[[#This Row],[Player]],RB!B:O,5,FALSE)</f>
        <v>0</v>
      </c>
      <c r="V159" s="100">
        <f>VLOOKUP(TableRBRanks3141[[#This Row],[Player]],RB!B:O,6,FALSE)</f>
        <v>0</v>
      </c>
      <c r="W159" s="100">
        <f>VLOOKUP(TableRBRanks3141[[#This Row],[Player]],RB!B:O,7,FALSE)</f>
        <v>0</v>
      </c>
      <c r="X159" s="100">
        <f>VLOOKUP(TableRBRanks3141[[#This Row],[Player]],RB!B:O,8,FALSE)</f>
        <v>0</v>
      </c>
      <c r="Y159" s="100">
        <f>VLOOKUP(TableRBRanks3141[[#This Row],[Player]],RB!B:O,9,FALSE)</f>
        <v>0</v>
      </c>
      <c r="Z159" s="100">
        <f>VLOOKUP(TableRBRanks3141[[#This Row],[Player]],RB!B:O,10,FALSE)</f>
        <v>0</v>
      </c>
      <c r="AA159" s="95">
        <f>VLOOKUP(TableRBRanks3141[[#This Row],[Player]],RB!B:O,14,FALSE)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VLOOKUP(TableWRRanks3242[[#This Row],[RK]],Rankings!A:T,13,FALSE)</f>
        <v>0</v>
      </c>
      <c r="AF159" s="58" t="str">
        <f>IFERROR(INDEX(TableWRCalcPts[TM],MATCH(TableWRRanks3242[[#This Row],[Player]],TableWRCalcPts[PLAYER],0)),"")</f>
        <v/>
      </c>
      <c r="AG159" s="58" t="str">
        <f>IFERROR(INDEX(TableWRCalcPts[BYE],MATCH(TableWRRanks3242[[#This Row],[Player]],TableWRCalcPts[PLAYER],0)),"")</f>
        <v/>
      </c>
      <c r="AH159" s="100">
        <f>VLOOKUP(TableWRRanks3242[[#This Row],[Player]],WR!B:O,4,FALSE)</f>
        <v>0</v>
      </c>
      <c r="AI159" s="100">
        <f>VLOOKUP(TableWRRanks3242[[#This Row],[Player]],WR!B:O,5,FALSE)</f>
        <v>0</v>
      </c>
      <c r="AJ159" s="100">
        <f>VLOOKUP(TableWRRanks3242[[#This Row],[Player]],WR!B:O,6,FALSE)</f>
        <v>0</v>
      </c>
      <c r="AK159" s="100">
        <f>VLOOKUP(TableWRRanks3242[[#This Row],[Player]],WR!B:O,7,FALSE)</f>
        <v>0</v>
      </c>
      <c r="AL159" s="100">
        <f>VLOOKUP(TableWRRanks3242[[#This Row],[Player]],WR!B:O,8,FALSE)</f>
        <v>0</v>
      </c>
      <c r="AM159" s="100">
        <f>VLOOKUP(TableWRRanks3242[[#This Row],[Player]],WR!B:O,9,FALSE)</f>
        <v>0</v>
      </c>
      <c r="AN159" s="95">
        <f>VLOOKUP(TableWRRanks3242[[#This Row],[Player]],WR!B:O,13,FALSE)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VLOOKUP(TableRBRanks3141[[#This Row],[RK]],Rankings!A:T,8,FALSE)</f>
        <v>0</v>
      </c>
      <c r="R160" s="58" t="str">
        <f>IFERROR(INDEX(TableRBCalcPts[TM],MATCH(TableRBRanks3141[[#This Row],[Player]],TableRBCalcPts[PLAYER],0)),"")</f>
        <v/>
      </c>
      <c r="S160" s="58" t="str">
        <f>IFERROR(INDEX(TableRBCalcPts[BYE],MATCH(TableRBRanks3141[[#This Row],[Player]],TableRBCalcPts[PLAYER],0)),"")</f>
        <v/>
      </c>
      <c r="T160" s="100">
        <f>VLOOKUP(TableRBRanks3141[[#This Row],[Player]],RB!B:O,4,FALSE)</f>
        <v>0</v>
      </c>
      <c r="U160" s="100">
        <f>VLOOKUP(TableRBRanks3141[[#This Row],[Player]],RB!B:O,5,FALSE)</f>
        <v>0</v>
      </c>
      <c r="V160" s="100">
        <f>VLOOKUP(TableRBRanks3141[[#This Row],[Player]],RB!B:O,6,FALSE)</f>
        <v>0</v>
      </c>
      <c r="W160" s="100">
        <f>VLOOKUP(TableRBRanks3141[[#This Row],[Player]],RB!B:O,7,FALSE)</f>
        <v>0</v>
      </c>
      <c r="X160" s="100">
        <f>VLOOKUP(TableRBRanks3141[[#This Row],[Player]],RB!B:O,8,FALSE)</f>
        <v>0</v>
      </c>
      <c r="Y160" s="100">
        <f>VLOOKUP(TableRBRanks3141[[#This Row],[Player]],RB!B:O,9,FALSE)</f>
        <v>0</v>
      </c>
      <c r="Z160" s="100">
        <f>VLOOKUP(TableRBRanks3141[[#This Row],[Player]],RB!B:O,10,FALSE)</f>
        <v>0</v>
      </c>
      <c r="AA160" s="95">
        <f>VLOOKUP(TableRBRanks3141[[#This Row],[Player]],RB!B:O,14,FALSE)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VLOOKUP(TableWRRanks3242[[#This Row],[RK]],Rankings!A:T,13,FALSE)</f>
        <v>0</v>
      </c>
      <c r="AF160" s="58" t="str">
        <f>IFERROR(INDEX(TableWRCalcPts[TM],MATCH(TableWRRanks3242[[#This Row],[Player]],TableWRCalcPts[PLAYER],0)),"")</f>
        <v/>
      </c>
      <c r="AG160" s="58" t="str">
        <f>IFERROR(INDEX(TableWRCalcPts[BYE],MATCH(TableWRRanks3242[[#This Row],[Player]],TableWRCalcPts[PLAYER],0)),"")</f>
        <v/>
      </c>
      <c r="AH160" s="100">
        <f>VLOOKUP(TableWRRanks3242[[#This Row],[Player]],WR!B:O,4,FALSE)</f>
        <v>0</v>
      </c>
      <c r="AI160" s="100">
        <f>VLOOKUP(TableWRRanks3242[[#This Row],[Player]],WR!B:O,5,FALSE)</f>
        <v>0</v>
      </c>
      <c r="AJ160" s="100">
        <f>VLOOKUP(TableWRRanks3242[[#This Row],[Player]],WR!B:O,6,FALSE)</f>
        <v>0</v>
      </c>
      <c r="AK160" s="100">
        <f>VLOOKUP(TableWRRanks3242[[#This Row],[Player]],WR!B:O,7,FALSE)</f>
        <v>0</v>
      </c>
      <c r="AL160" s="100">
        <f>VLOOKUP(TableWRRanks3242[[#This Row],[Player]],WR!B:O,8,FALSE)</f>
        <v>0</v>
      </c>
      <c r="AM160" s="100">
        <f>VLOOKUP(TableWRRanks3242[[#This Row],[Player]],WR!B:O,9,FALSE)</f>
        <v>0</v>
      </c>
      <c r="AN160" s="95">
        <f>VLOOKUP(TableWRRanks3242[[#This Row],[Player]],WR!B:O,13,FALSE)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VLOOKUP(TableRBRanks3141[[#This Row],[RK]],Rankings!A:T,8,FALSE)</f>
        <v>0</v>
      </c>
      <c r="R161" s="58" t="str">
        <f>IFERROR(INDEX(TableRBCalcPts[TM],MATCH(TableRBRanks3141[[#This Row],[Player]],TableRBCalcPts[PLAYER],0)),"")</f>
        <v/>
      </c>
      <c r="S161" s="58" t="str">
        <f>IFERROR(INDEX(TableRBCalcPts[BYE],MATCH(TableRBRanks3141[[#This Row],[Player]],TableRBCalcPts[PLAYER],0)),"")</f>
        <v/>
      </c>
      <c r="T161" s="100">
        <f>VLOOKUP(TableRBRanks3141[[#This Row],[Player]],RB!B:O,4,FALSE)</f>
        <v>0</v>
      </c>
      <c r="U161" s="100">
        <f>VLOOKUP(TableRBRanks3141[[#This Row],[Player]],RB!B:O,5,FALSE)</f>
        <v>0</v>
      </c>
      <c r="V161" s="100">
        <f>VLOOKUP(TableRBRanks3141[[#This Row],[Player]],RB!B:O,6,FALSE)</f>
        <v>0</v>
      </c>
      <c r="W161" s="100">
        <f>VLOOKUP(TableRBRanks3141[[#This Row],[Player]],RB!B:O,7,FALSE)</f>
        <v>0</v>
      </c>
      <c r="X161" s="100">
        <f>VLOOKUP(TableRBRanks3141[[#This Row],[Player]],RB!B:O,8,FALSE)</f>
        <v>0</v>
      </c>
      <c r="Y161" s="100">
        <f>VLOOKUP(TableRBRanks3141[[#This Row],[Player]],RB!B:O,9,FALSE)</f>
        <v>0</v>
      </c>
      <c r="Z161" s="100">
        <f>VLOOKUP(TableRBRanks3141[[#This Row],[Player]],RB!B:O,10,FALSE)</f>
        <v>0</v>
      </c>
      <c r="AA161" s="95">
        <f>VLOOKUP(TableRBRanks3141[[#This Row],[Player]],RB!B:O,14,FALSE)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VLOOKUP(TableWRRanks3242[[#This Row],[RK]],Rankings!A:T,13,FALSE)</f>
        <v>0</v>
      </c>
      <c r="AF161" s="58" t="str">
        <f>IFERROR(INDEX(TableWRCalcPts[TM],MATCH(TableWRRanks3242[[#This Row],[Player]],TableWRCalcPts[PLAYER],0)),"")</f>
        <v/>
      </c>
      <c r="AG161" s="58" t="str">
        <f>IFERROR(INDEX(TableWRCalcPts[BYE],MATCH(TableWRRanks3242[[#This Row],[Player]],TableWRCalcPts[PLAYER],0)),"")</f>
        <v/>
      </c>
      <c r="AH161" s="100">
        <f>VLOOKUP(TableWRRanks3242[[#This Row],[Player]],WR!B:O,4,FALSE)</f>
        <v>0</v>
      </c>
      <c r="AI161" s="100">
        <f>VLOOKUP(TableWRRanks3242[[#This Row],[Player]],WR!B:O,5,FALSE)</f>
        <v>0</v>
      </c>
      <c r="AJ161" s="100">
        <f>VLOOKUP(TableWRRanks3242[[#This Row],[Player]],WR!B:O,6,FALSE)</f>
        <v>0</v>
      </c>
      <c r="AK161" s="100">
        <f>VLOOKUP(TableWRRanks3242[[#This Row],[Player]],WR!B:O,7,FALSE)</f>
        <v>0</v>
      </c>
      <c r="AL161" s="100">
        <f>VLOOKUP(TableWRRanks3242[[#This Row],[Player]],WR!B:O,8,FALSE)</f>
        <v>0</v>
      </c>
      <c r="AM161" s="100">
        <f>VLOOKUP(TableWRRanks3242[[#This Row],[Player]],WR!B:O,9,FALSE)</f>
        <v>0</v>
      </c>
      <c r="AN161" s="95">
        <f>VLOOKUP(TableWRRanks3242[[#This Row],[Player]],WR!B:O,13,FALSE)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VLOOKUP(TableRBRanks3141[[#This Row],[RK]],Rankings!A:T,8,FALSE)</f>
        <v>0</v>
      </c>
      <c r="R162" s="58" t="str">
        <f>IFERROR(INDEX(TableRBCalcPts[TM],MATCH(TableRBRanks3141[[#This Row],[Player]],TableRBCalcPts[PLAYER],0)),"")</f>
        <v/>
      </c>
      <c r="S162" s="58" t="str">
        <f>IFERROR(INDEX(TableRBCalcPts[BYE],MATCH(TableRBRanks3141[[#This Row],[Player]],TableRBCalcPts[PLAYER],0)),"")</f>
        <v/>
      </c>
      <c r="T162" s="100">
        <f>VLOOKUP(TableRBRanks3141[[#This Row],[Player]],RB!B:O,4,FALSE)</f>
        <v>0</v>
      </c>
      <c r="U162" s="100">
        <f>VLOOKUP(TableRBRanks3141[[#This Row],[Player]],RB!B:O,5,FALSE)</f>
        <v>0</v>
      </c>
      <c r="V162" s="100">
        <f>VLOOKUP(TableRBRanks3141[[#This Row],[Player]],RB!B:O,6,FALSE)</f>
        <v>0</v>
      </c>
      <c r="W162" s="100">
        <f>VLOOKUP(TableRBRanks3141[[#This Row],[Player]],RB!B:O,7,FALSE)</f>
        <v>0</v>
      </c>
      <c r="X162" s="100">
        <f>VLOOKUP(TableRBRanks3141[[#This Row],[Player]],RB!B:O,8,FALSE)</f>
        <v>0</v>
      </c>
      <c r="Y162" s="100">
        <f>VLOOKUP(TableRBRanks3141[[#This Row],[Player]],RB!B:O,9,FALSE)</f>
        <v>0</v>
      </c>
      <c r="Z162" s="100">
        <f>VLOOKUP(TableRBRanks3141[[#This Row],[Player]],RB!B:O,10,FALSE)</f>
        <v>0</v>
      </c>
      <c r="AA162" s="95">
        <f>VLOOKUP(TableRBRanks3141[[#This Row],[Player]],RB!B:O,14,FALSE)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VLOOKUP(TableWRRanks3242[[#This Row],[RK]],Rankings!A:T,13,FALSE)</f>
        <v>0</v>
      </c>
      <c r="AF162" s="58" t="str">
        <f>IFERROR(INDEX(TableWRCalcPts[TM],MATCH(TableWRRanks3242[[#This Row],[Player]],TableWRCalcPts[PLAYER],0)),"")</f>
        <v/>
      </c>
      <c r="AG162" s="58" t="str">
        <f>IFERROR(INDEX(TableWRCalcPts[BYE],MATCH(TableWRRanks3242[[#This Row],[Player]],TableWRCalcPts[PLAYER],0)),"")</f>
        <v/>
      </c>
      <c r="AH162" s="100">
        <f>VLOOKUP(TableWRRanks3242[[#This Row],[Player]],WR!B:O,4,FALSE)</f>
        <v>0</v>
      </c>
      <c r="AI162" s="100">
        <f>VLOOKUP(TableWRRanks3242[[#This Row],[Player]],WR!B:O,5,FALSE)</f>
        <v>0</v>
      </c>
      <c r="AJ162" s="100">
        <f>VLOOKUP(TableWRRanks3242[[#This Row],[Player]],WR!B:O,6,FALSE)</f>
        <v>0</v>
      </c>
      <c r="AK162" s="100">
        <f>VLOOKUP(TableWRRanks3242[[#This Row],[Player]],WR!B:O,7,FALSE)</f>
        <v>0</v>
      </c>
      <c r="AL162" s="100">
        <f>VLOOKUP(TableWRRanks3242[[#This Row],[Player]],WR!B:O,8,FALSE)</f>
        <v>0</v>
      </c>
      <c r="AM162" s="100">
        <f>VLOOKUP(TableWRRanks3242[[#This Row],[Player]],WR!B:O,9,FALSE)</f>
        <v>0</v>
      </c>
      <c r="AN162" s="95">
        <f>VLOOKUP(TableWRRanks3242[[#This Row],[Player]],WR!B:O,13,FALSE)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VLOOKUP(TableRBRanks3141[[#This Row],[RK]],Rankings!A:T,8,FALSE)</f>
        <v>0</v>
      </c>
      <c r="R163" s="58" t="str">
        <f>IFERROR(INDEX(TableRBCalcPts[TM],MATCH(TableRBRanks3141[[#This Row],[Player]],TableRBCalcPts[PLAYER],0)),"")</f>
        <v/>
      </c>
      <c r="S163" s="58" t="str">
        <f>IFERROR(INDEX(TableRBCalcPts[BYE],MATCH(TableRBRanks3141[[#This Row],[Player]],TableRBCalcPts[PLAYER],0)),"")</f>
        <v/>
      </c>
      <c r="T163" s="100">
        <f>VLOOKUP(TableRBRanks3141[[#This Row],[Player]],RB!B:O,4,FALSE)</f>
        <v>0</v>
      </c>
      <c r="U163" s="100">
        <f>VLOOKUP(TableRBRanks3141[[#This Row],[Player]],RB!B:O,5,FALSE)</f>
        <v>0</v>
      </c>
      <c r="V163" s="100">
        <f>VLOOKUP(TableRBRanks3141[[#This Row],[Player]],RB!B:O,6,FALSE)</f>
        <v>0</v>
      </c>
      <c r="W163" s="100">
        <f>VLOOKUP(TableRBRanks3141[[#This Row],[Player]],RB!B:O,7,FALSE)</f>
        <v>0</v>
      </c>
      <c r="X163" s="100">
        <f>VLOOKUP(TableRBRanks3141[[#This Row],[Player]],RB!B:O,8,FALSE)</f>
        <v>0</v>
      </c>
      <c r="Y163" s="100">
        <f>VLOOKUP(TableRBRanks3141[[#This Row],[Player]],RB!B:O,9,FALSE)</f>
        <v>0</v>
      </c>
      <c r="Z163" s="100">
        <f>VLOOKUP(TableRBRanks3141[[#This Row],[Player]],RB!B:O,10,FALSE)</f>
        <v>0</v>
      </c>
      <c r="AA163" s="95">
        <f>VLOOKUP(TableRBRanks3141[[#This Row],[Player]],RB!B:O,14,FALSE)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VLOOKUP(TableWRRanks3242[[#This Row],[RK]],Rankings!A:T,13,FALSE)</f>
        <v>0</v>
      </c>
      <c r="AF163" s="58" t="str">
        <f>IFERROR(INDEX(TableWRCalcPts[TM],MATCH(TableWRRanks3242[[#This Row],[Player]],TableWRCalcPts[PLAYER],0)),"")</f>
        <v/>
      </c>
      <c r="AG163" s="58" t="str">
        <f>IFERROR(INDEX(TableWRCalcPts[BYE],MATCH(TableWRRanks3242[[#This Row],[Player]],TableWRCalcPts[PLAYER],0)),"")</f>
        <v/>
      </c>
      <c r="AH163" s="100">
        <f>VLOOKUP(TableWRRanks3242[[#This Row],[Player]],WR!B:O,4,FALSE)</f>
        <v>0</v>
      </c>
      <c r="AI163" s="100">
        <f>VLOOKUP(TableWRRanks3242[[#This Row],[Player]],WR!B:O,5,FALSE)</f>
        <v>0</v>
      </c>
      <c r="AJ163" s="100">
        <f>VLOOKUP(TableWRRanks3242[[#This Row],[Player]],WR!B:O,6,FALSE)</f>
        <v>0</v>
      </c>
      <c r="AK163" s="100">
        <f>VLOOKUP(TableWRRanks3242[[#This Row],[Player]],WR!B:O,7,FALSE)</f>
        <v>0</v>
      </c>
      <c r="AL163" s="100">
        <f>VLOOKUP(TableWRRanks3242[[#This Row],[Player]],WR!B:O,8,FALSE)</f>
        <v>0</v>
      </c>
      <c r="AM163" s="100">
        <f>VLOOKUP(TableWRRanks3242[[#This Row],[Player]],WR!B:O,9,FALSE)</f>
        <v>0</v>
      </c>
      <c r="AN163" s="95">
        <f>VLOOKUP(TableWRRanks3242[[#This Row],[Player]],WR!B:O,13,FALSE)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VLOOKUP(TableRBRanks3141[[#This Row],[RK]],Rankings!A:T,8,FALSE)</f>
        <v>0</v>
      </c>
      <c r="R164" s="58" t="str">
        <f>IFERROR(INDEX(TableRBCalcPts[TM],MATCH(TableRBRanks3141[[#This Row],[Player]],TableRBCalcPts[PLAYER],0)),"")</f>
        <v/>
      </c>
      <c r="S164" s="58" t="str">
        <f>IFERROR(INDEX(TableRBCalcPts[BYE],MATCH(TableRBRanks3141[[#This Row],[Player]],TableRBCalcPts[PLAYER],0)),"")</f>
        <v/>
      </c>
      <c r="T164" s="100">
        <f>VLOOKUP(TableRBRanks3141[[#This Row],[Player]],RB!B:O,4,FALSE)</f>
        <v>0</v>
      </c>
      <c r="U164" s="100">
        <f>VLOOKUP(TableRBRanks3141[[#This Row],[Player]],RB!B:O,5,FALSE)</f>
        <v>0</v>
      </c>
      <c r="V164" s="100">
        <f>VLOOKUP(TableRBRanks3141[[#This Row],[Player]],RB!B:O,6,FALSE)</f>
        <v>0</v>
      </c>
      <c r="W164" s="100">
        <f>VLOOKUP(TableRBRanks3141[[#This Row],[Player]],RB!B:O,7,FALSE)</f>
        <v>0</v>
      </c>
      <c r="X164" s="100">
        <f>VLOOKUP(TableRBRanks3141[[#This Row],[Player]],RB!B:O,8,FALSE)</f>
        <v>0</v>
      </c>
      <c r="Y164" s="100">
        <f>VLOOKUP(TableRBRanks3141[[#This Row],[Player]],RB!B:O,9,FALSE)</f>
        <v>0</v>
      </c>
      <c r="Z164" s="100">
        <f>VLOOKUP(TableRBRanks3141[[#This Row],[Player]],RB!B:O,10,FALSE)</f>
        <v>0</v>
      </c>
      <c r="AA164" s="95">
        <f>VLOOKUP(TableRBRanks3141[[#This Row],[Player]],RB!B:O,14,FALSE)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VLOOKUP(TableWRRanks3242[[#This Row],[RK]],Rankings!A:T,13,FALSE)</f>
        <v>0</v>
      </c>
      <c r="AF164" s="58" t="str">
        <f>IFERROR(INDEX(TableWRCalcPts[TM],MATCH(TableWRRanks3242[[#This Row],[Player]],TableWRCalcPts[PLAYER],0)),"")</f>
        <v/>
      </c>
      <c r="AG164" s="58" t="str">
        <f>IFERROR(INDEX(TableWRCalcPts[BYE],MATCH(TableWRRanks3242[[#This Row],[Player]],TableWRCalcPts[PLAYER],0)),"")</f>
        <v/>
      </c>
      <c r="AH164" s="100">
        <f>VLOOKUP(TableWRRanks3242[[#This Row],[Player]],WR!B:O,4,FALSE)</f>
        <v>0</v>
      </c>
      <c r="AI164" s="100">
        <f>VLOOKUP(TableWRRanks3242[[#This Row],[Player]],WR!B:O,5,FALSE)</f>
        <v>0</v>
      </c>
      <c r="AJ164" s="100">
        <f>VLOOKUP(TableWRRanks3242[[#This Row],[Player]],WR!B:O,6,FALSE)</f>
        <v>0</v>
      </c>
      <c r="AK164" s="100">
        <f>VLOOKUP(TableWRRanks3242[[#This Row],[Player]],WR!B:O,7,FALSE)</f>
        <v>0</v>
      </c>
      <c r="AL164" s="100">
        <f>VLOOKUP(TableWRRanks3242[[#This Row],[Player]],WR!B:O,8,FALSE)</f>
        <v>0</v>
      </c>
      <c r="AM164" s="100">
        <f>VLOOKUP(TableWRRanks3242[[#This Row],[Player]],WR!B:O,9,FALSE)</f>
        <v>0</v>
      </c>
      <c r="AN164" s="95">
        <f>VLOOKUP(TableWRRanks3242[[#This Row],[Player]],WR!B:O,13,FALSE)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VLOOKUP(TableRBRanks3141[[#This Row],[RK]],Rankings!A:T,8,FALSE)</f>
        <v>0</v>
      </c>
      <c r="R165" s="58" t="str">
        <f>IFERROR(INDEX(TableRBCalcPts[TM],MATCH(TableRBRanks3141[[#This Row],[Player]],TableRBCalcPts[PLAYER],0)),"")</f>
        <v/>
      </c>
      <c r="S165" s="58" t="str">
        <f>IFERROR(INDEX(TableRBCalcPts[BYE],MATCH(TableRBRanks3141[[#This Row],[Player]],TableRBCalcPts[PLAYER],0)),"")</f>
        <v/>
      </c>
      <c r="T165" s="100">
        <f>VLOOKUP(TableRBRanks3141[[#This Row],[Player]],RB!B:O,4,FALSE)</f>
        <v>0</v>
      </c>
      <c r="U165" s="100">
        <f>VLOOKUP(TableRBRanks3141[[#This Row],[Player]],RB!B:O,5,FALSE)</f>
        <v>0</v>
      </c>
      <c r="V165" s="100">
        <f>VLOOKUP(TableRBRanks3141[[#This Row],[Player]],RB!B:O,6,FALSE)</f>
        <v>0</v>
      </c>
      <c r="W165" s="100">
        <f>VLOOKUP(TableRBRanks3141[[#This Row],[Player]],RB!B:O,7,FALSE)</f>
        <v>0</v>
      </c>
      <c r="X165" s="100">
        <f>VLOOKUP(TableRBRanks3141[[#This Row],[Player]],RB!B:O,8,FALSE)</f>
        <v>0</v>
      </c>
      <c r="Y165" s="100">
        <f>VLOOKUP(TableRBRanks3141[[#This Row],[Player]],RB!B:O,9,FALSE)</f>
        <v>0</v>
      </c>
      <c r="Z165" s="100">
        <f>VLOOKUP(TableRBRanks3141[[#This Row],[Player]],RB!B:O,10,FALSE)</f>
        <v>0</v>
      </c>
      <c r="AA165" s="95">
        <f>VLOOKUP(TableRBRanks3141[[#This Row],[Player]],RB!B:O,14,FALSE)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VLOOKUP(TableWRRanks3242[[#This Row],[RK]],Rankings!A:T,13,FALSE)</f>
        <v>0</v>
      </c>
      <c r="AF165" s="58" t="str">
        <f>IFERROR(INDEX(TableWRCalcPts[TM],MATCH(TableWRRanks3242[[#This Row],[Player]],TableWRCalcPts[PLAYER],0)),"")</f>
        <v/>
      </c>
      <c r="AG165" s="58" t="str">
        <f>IFERROR(INDEX(TableWRCalcPts[BYE],MATCH(TableWRRanks3242[[#This Row],[Player]],TableWRCalcPts[PLAYER],0)),"")</f>
        <v/>
      </c>
      <c r="AH165" s="100">
        <f>VLOOKUP(TableWRRanks3242[[#This Row],[Player]],WR!B:O,4,FALSE)</f>
        <v>0</v>
      </c>
      <c r="AI165" s="100">
        <f>VLOOKUP(TableWRRanks3242[[#This Row],[Player]],WR!B:O,5,FALSE)</f>
        <v>0</v>
      </c>
      <c r="AJ165" s="100">
        <f>VLOOKUP(TableWRRanks3242[[#This Row],[Player]],WR!B:O,6,FALSE)</f>
        <v>0</v>
      </c>
      <c r="AK165" s="100">
        <f>VLOOKUP(TableWRRanks3242[[#This Row],[Player]],WR!B:O,7,FALSE)</f>
        <v>0</v>
      </c>
      <c r="AL165" s="100">
        <f>VLOOKUP(TableWRRanks3242[[#This Row],[Player]],WR!B:O,8,FALSE)</f>
        <v>0</v>
      </c>
      <c r="AM165" s="100">
        <f>VLOOKUP(TableWRRanks3242[[#This Row],[Player]],WR!B:O,9,FALSE)</f>
        <v>0</v>
      </c>
      <c r="AN165" s="95">
        <f>VLOOKUP(TableWRRanks3242[[#This Row],[Player]],WR!B:O,13,FALSE)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VLOOKUP(TableRBRanks3141[[#This Row],[RK]],Rankings!A:T,8,FALSE)</f>
        <v>0</v>
      </c>
      <c r="R166" s="58" t="str">
        <f>IFERROR(INDEX(TableRBCalcPts[TM],MATCH(TableRBRanks3141[[#This Row],[Player]],TableRBCalcPts[PLAYER],0)),"")</f>
        <v/>
      </c>
      <c r="S166" s="58" t="str">
        <f>IFERROR(INDEX(TableRBCalcPts[BYE],MATCH(TableRBRanks3141[[#This Row],[Player]],TableRBCalcPts[PLAYER],0)),"")</f>
        <v/>
      </c>
      <c r="T166" s="100">
        <f>VLOOKUP(TableRBRanks3141[[#This Row],[Player]],RB!B:O,4,FALSE)</f>
        <v>0</v>
      </c>
      <c r="U166" s="100">
        <f>VLOOKUP(TableRBRanks3141[[#This Row],[Player]],RB!B:O,5,FALSE)</f>
        <v>0</v>
      </c>
      <c r="V166" s="100">
        <f>VLOOKUP(TableRBRanks3141[[#This Row],[Player]],RB!B:O,6,FALSE)</f>
        <v>0</v>
      </c>
      <c r="W166" s="100">
        <f>VLOOKUP(TableRBRanks3141[[#This Row],[Player]],RB!B:O,7,FALSE)</f>
        <v>0</v>
      </c>
      <c r="X166" s="100">
        <f>VLOOKUP(TableRBRanks3141[[#This Row],[Player]],RB!B:O,8,FALSE)</f>
        <v>0</v>
      </c>
      <c r="Y166" s="100">
        <f>VLOOKUP(TableRBRanks3141[[#This Row],[Player]],RB!B:O,9,FALSE)</f>
        <v>0</v>
      </c>
      <c r="Z166" s="100">
        <f>VLOOKUP(TableRBRanks3141[[#This Row],[Player]],RB!B:O,10,FALSE)</f>
        <v>0</v>
      </c>
      <c r="AA166" s="95">
        <f>VLOOKUP(TableRBRanks3141[[#This Row],[Player]],RB!B:O,14,FALSE)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VLOOKUP(TableWRRanks3242[[#This Row],[RK]],Rankings!A:T,13,FALSE)</f>
        <v>0</v>
      </c>
      <c r="AF166" s="58" t="str">
        <f>IFERROR(INDEX(TableWRCalcPts[TM],MATCH(TableWRRanks3242[[#This Row],[Player]],TableWRCalcPts[PLAYER],0)),"")</f>
        <v/>
      </c>
      <c r="AG166" s="58" t="str">
        <f>IFERROR(INDEX(TableWRCalcPts[BYE],MATCH(TableWRRanks3242[[#This Row],[Player]],TableWRCalcPts[PLAYER],0)),"")</f>
        <v/>
      </c>
      <c r="AH166" s="100">
        <f>VLOOKUP(TableWRRanks3242[[#This Row],[Player]],WR!B:O,4,FALSE)</f>
        <v>0</v>
      </c>
      <c r="AI166" s="100">
        <f>VLOOKUP(TableWRRanks3242[[#This Row],[Player]],WR!B:O,5,FALSE)</f>
        <v>0</v>
      </c>
      <c r="AJ166" s="100">
        <f>VLOOKUP(TableWRRanks3242[[#This Row],[Player]],WR!B:O,6,FALSE)</f>
        <v>0</v>
      </c>
      <c r="AK166" s="100">
        <f>VLOOKUP(TableWRRanks3242[[#This Row],[Player]],WR!B:O,7,FALSE)</f>
        <v>0</v>
      </c>
      <c r="AL166" s="100">
        <f>VLOOKUP(TableWRRanks3242[[#This Row],[Player]],WR!B:O,8,FALSE)</f>
        <v>0</v>
      </c>
      <c r="AM166" s="100">
        <f>VLOOKUP(TableWRRanks3242[[#This Row],[Player]],WR!B:O,9,FALSE)</f>
        <v>0</v>
      </c>
      <c r="AN166" s="95">
        <f>VLOOKUP(TableWRRanks3242[[#This Row],[Player]],WR!B:O,13,FALSE)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VLOOKUP(TableRBRanks3141[[#This Row],[RK]],Rankings!A:T,8,FALSE)</f>
        <v>0</v>
      </c>
      <c r="R167" s="58" t="str">
        <f>IFERROR(INDEX(TableRBCalcPts[TM],MATCH(TableRBRanks3141[[#This Row],[Player]],TableRBCalcPts[PLAYER],0)),"")</f>
        <v/>
      </c>
      <c r="S167" s="58" t="str">
        <f>IFERROR(INDEX(TableRBCalcPts[BYE],MATCH(TableRBRanks3141[[#This Row],[Player]],TableRBCalcPts[PLAYER],0)),"")</f>
        <v/>
      </c>
      <c r="T167" s="100">
        <f>VLOOKUP(TableRBRanks3141[[#This Row],[Player]],RB!B:O,4,FALSE)</f>
        <v>0</v>
      </c>
      <c r="U167" s="100">
        <f>VLOOKUP(TableRBRanks3141[[#This Row],[Player]],RB!B:O,5,FALSE)</f>
        <v>0</v>
      </c>
      <c r="V167" s="100">
        <f>VLOOKUP(TableRBRanks3141[[#This Row],[Player]],RB!B:O,6,FALSE)</f>
        <v>0</v>
      </c>
      <c r="W167" s="100">
        <f>VLOOKUP(TableRBRanks3141[[#This Row],[Player]],RB!B:O,7,FALSE)</f>
        <v>0</v>
      </c>
      <c r="X167" s="100">
        <f>VLOOKUP(TableRBRanks3141[[#This Row],[Player]],RB!B:O,8,FALSE)</f>
        <v>0</v>
      </c>
      <c r="Y167" s="100">
        <f>VLOOKUP(TableRBRanks3141[[#This Row],[Player]],RB!B:O,9,FALSE)</f>
        <v>0</v>
      </c>
      <c r="Z167" s="100">
        <f>VLOOKUP(TableRBRanks3141[[#This Row],[Player]],RB!B:O,10,FALSE)</f>
        <v>0</v>
      </c>
      <c r="AA167" s="95">
        <f>VLOOKUP(TableRBRanks3141[[#This Row],[Player]],RB!B:O,14,FALSE)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VLOOKUP(TableWRRanks3242[[#This Row],[RK]],Rankings!A:T,13,FALSE)</f>
        <v>0</v>
      </c>
      <c r="AF167" s="58" t="str">
        <f>IFERROR(INDEX(TableWRCalcPts[TM],MATCH(TableWRRanks3242[[#This Row],[Player]],TableWRCalcPts[PLAYER],0)),"")</f>
        <v/>
      </c>
      <c r="AG167" s="58" t="str">
        <f>IFERROR(INDEX(TableWRCalcPts[BYE],MATCH(TableWRRanks3242[[#This Row],[Player]],TableWRCalcPts[PLAYER],0)),"")</f>
        <v/>
      </c>
      <c r="AH167" s="100">
        <f>VLOOKUP(TableWRRanks3242[[#This Row],[Player]],WR!B:O,4,FALSE)</f>
        <v>0</v>
      </c>
      <c r="AI167" s="100">
        <f>VLOOKUP(TableWRRanks3242[[#This Row],[Player]],WR!B:O,5,FALSE)</f>
        <v>0</v>
      </c>
      <c r="AJ167" s="100">
        <f>VLOOKUP(TableWRRanks3242[[#This Row],[Player]],WR!B:O,6,FALSE)</f>
        <v>0</v>
      </c>
      <c r="AK167" s="100">
        <f>VLOOKUP(TableWRRanks3242[[#This Row],[Player]],WR!B:O,7,FALSE)</f>
        <v>0</v>
      </c>
      <c r="AL167" s="100">
        <f>VLOOKUP(TableWRRanks3242[[#This Row],[Player]],WR!B:O,8,FALSE)</f>
        <v>0</v>
      </c>
      <c r="AM167" s="100">
        <f>VLOOKUP(TableWRRanks3242[[#This Row],[Player]],WR!B:O,9,FALSE)</f>
        <v>0</v>
      </c>
      <c r="AN167" s="95">
        <f>VLOOKUP(TableWRRanks3242[[#This Row],[Player]],WR!B:O,13,FALSE)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VLOOKUP(TableRBRanks3141[[#This Row],[RK]],Rankings!A:T,8,FALSE)</f>
        <v>0</v>
      </c>
      <c r="R168" s="58" t="str">
        <f>IFERROR(INDEX(TableRBCalcPts[TM],MATCH(TableRBRanks3141[[#This Row],[Player]],TableRBCalcPts[PLAYER],0)),"")</f>
        <v/>
      </c>
      <c r="S168" s="58" t="str">
        <f>IFERROR(INDEX(TableRBCalcPts[BYE],MATCH(TableRBRanks3141[[#This Row],[Player]],TableRBCalcPts[PLAYER],0)),"")</f>
        <v/>
      </c>
      <c r="T168" s="100">
        <f>VLOOKUP(TableRBRanks3141[[#This Row],[Player]],RB!B:O,4,FALSE)</f>
        <v>0</v>
      </c>
      <c r="U168" s="100">
        <f>VLOOKUP(TableRBRanks3141[[#This Row],[Player]],RB!B:O,5,FALSE)</f>
        <v>0</v>
      </c>
      <c r="V168" s="100">
        <f>VLOOKUP(TableRBRanks3141[[#This Row],[Player]],RB!B:O,6,FALSE)</f>
        <v>0</v>
      </c>
      <c r="W168" s="100">
        <f>VLOOKUP(TableRBRanks3141[[#This Row],[Player]],RB!B:O,7,FALSE)</f>
        <v>0</v>
      </c>
      <c r="X168" s="100">
        <f>VLOOKUP(TableRBRanks3141[[#This Row],[Player]],RB!B:O,8,FALSE)</f>
        <v>0</v>
      </c>
      <c r="Y168" s="100">
        <f>VLOOKUP(TableRBRanks3141[[#This Row],[Player]],RB!B:O,9,FALSE)</f>
        <v>0</v>
      </c>
      <c r="Z168" s="100">
        <f>VLOOKUP(TableRBRanks3141[[#This Row],[Player]],RB!B:O,10,FALSE)</f>
        <v>0</v>
      </c>
      <c r="AA168" s="95">
        <f>VLOOKUP(TableRBRanks3141[[#This Row],[Player]],RB!B:O,14,FALSE)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VLOOKUP(TableWRRanks3242[[#This Row],[RK]],Rankings!A:T,13,FALSE)</f>
        <v>0</v>
      </c>
      <c r="AF168" s="58" t="str">
        <f>IFERROR(INDEX(TableWRCalcPts[TM],MATCH(TableWRRanks3242[[#This Row],[Player]],TableWRCalcPts[PLAYER],0)),"")</f>
        <v/>
      </c>
      <c r="AG168" s="58" t="str">
        <f>IFERROR(INDEX(TableWRCalcPts[BYE],MATCH(TableWRRanks3242[[#This Row],[Player]],TableWRCalcPts[PLAYER],0)),"")</f>
        <v/>
      </c>
      <c r="AH168" s="100">
        <f>VLOOKUP(TableWRRanks3242[[#This Row],[Player]],WR!B:O,4,FALSE)</f>
        <v>0</v>
      </c>
      <c r="AI168" s="100">
        <f>VLOOKUP(TableWRRanks3242[[#This Row],[Player]],WR!B:O,5,FALSE)</f>
        <v>0</v>
      </c>
      <c r="AJ168" s="100">
        <f>VLOOKUP(TableWRRanks3242[[#This Row],[Player]],WR!B:O,6,FALSE)</f>
        <v>0</v>
      </c>
      <c r="AK168" s="100">
        <f>VLOOKUP(TableWRRanks3242[[#This Row],[Player]],WR!B:O,7,FALSE)</f>
        <v>0</v>
      </c>
      <c r="AL168" s="100">
        <f>VLOOKUP(TableWRRanks3242[[#This Row],[Player]],WR!B:O,8,FALSE)</f>
        <v>0</v>
      </c>
      <c r="AM168" s="100">
        <f>VLOOKUP(TableWRRanks3242[[#This Row],[Player]],WR!B:O,9,FALSE)</f>
        <v>0</v>
      </c>
      <c r="AN168" s="95">
        <f>VLOOKUP(TableWRRanks3242[[#This Row],[Player]],WR!B:O,13,FALSE)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VLOOKUP(TableRBRanks3141[[#This Row],[RK]],Rankings!A:T,8,FALSE)</f>
        <v>0</v>
      </c>
      <c r="R169" s="58" t="str">
        <f>IFERROR(INDEX(TableRBCalcPts[TM],MATCH(TableRBRanks3141[[#This Row],[Player]],TableRBCalcPts[PLAYER],0)),"")</f>
        <v/>
      </c>
      <c r="S169" s="58" t="str">
        <f>IFERROR(INDEX(TableRBCalcPts[BYE],MATCH(TableRBRanks3141[[#This Row],[Player]],TableRBCalcPts[PLAYER],0)),"")</f>
        <v/>
      </c>
      <c r="T169" s="100">
        <f>VLOOKUP(TableRBRanks3141[[#This Row],[Player]],RB!B:O,4,FALSE)</f>
        <v>0</v>
      </c>
      <c r="U169" s="100">
        <f>VLOOKUP(TableRBRanks3141[[#This Row],[Player]],RB!B:O,5,FALSE)</f>
        <v>0</v>
      </c>
      <c r="V169" s="100">
        <f>VLOOKUP(TableRBRanks3141[[#This Row],[Player]],RB!B:O,6,FALSE)</f>
        <v>0</v>
      </c>
      <c r="W169" s="100">
        <f>VLOOKUP(TableRBRanks3141[[#This Row],[Player]],RB!B:O,7,FALSE)</f>
        <v>0</v>
      </c>
      <c r="X169" s="100">
        <f>VLOOKUP(TableRBRanks3141[[#This Row],[Player]],RB!B:O,8,FALSE)</f>
        <v>0</v>
      </c>
      <c r="Y169" s="100">
        <f>VLOOKUP(TableRBRanks3141[[#This Row],[Player]],RB!B:O,9,FALSE)</f>
        <v>0</v>
      </c>
      <c r="Z169" s="100">
        <f>VLOOKUP(TableRBRanks3141[[#This Row],[Player]],RB!B:O,10,FALSE)</f>
        <v>0</v>
      </c>
      <c r="AA169" s="95">
        <f>VLOOKUP(TableRBRanks3141[[#This Row],[Player]],RB!B:O,14,FALSE)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VLOOKUP(TableWRRanks3242[[#This Row],[RK]],Rankings!A:T,13,FALSE)</f>
        <v>0</v>
      </c>
      <c r="AF169" s="58" t="str">
        <f>IFERROR(INDEX(TableWRCalcPts[TM],MATCH(TableWRRanks3242[[#This Row],[Player]],TableWRCalcPts[PLAYER],0)),"")</f>
        <v/>
      </c>
      <c r="AG169" s="58" t="str">
        <f>IFERROR(INDEX(TableWRCalcPts[BYE],MATCH(TableWRRanks3242[[#This Row],[Player]],TableWRCalcPts[PLAYER],0)),"")</f>
        <v/>
      </c>
      <c r="AH169" s="100">
        <f>VLOOKUP(TableWRRanks3242[[#This Row],[Player]],WR!B:O,4,FALSE)</f>
        <v>0</v>
      </c>
      <c r="AI169" s="100">
        <f>VLOOKUP(TableWRRanks3242[[#This Row],[Player]],WR!B:O,5,FALSE)</f>
        <v>0</v>
      </c>
      <c r="AJ169" s="100">
        <f>VLOOKUP(TableWRRanks3242[[#This Row],[Player]],WR!B:O,6,FALSE)</f>
        <v>0</v>
      </c>
      <c r="AK169" s="100">
        <f>VLOOKUP(TableWRRanks3242[[#This Row],[Player]],WR!B:O,7,FALSE)</f>
        <v>0</v>
      </c>
      <c r="AL169" s="100">
        <f>VLOOKUP(TableWRRanks3242[[#This Row],[Player]],WR!B:O,8,FALSE)</f>
        <v>0</v>
      </c>
      <c r="AM169" s="100">
        <f>VLOOKUP(TableWRRanks3242[[#This Row],[Player]],WR!B:O,9,FALSE)</f>
        <v>0</v>
      </c>
      <c r="AN169" s="95">
        <f>VLOOKUP(TableWRRanks3242[[#This Row],[Player]],WR!B:O,13,FALSE)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VLOOKUP(TableRBRanks3141[[#This Row],[RK]],Rankings!A:T,8,FALSE)</f>
        <v>0</v>
      </c>
      <c r="R170" s="58" t="str">
        <f>IFERROR(INDEX(TableRBCalcPts[TM],MATCH(TableRBRanks3141[[#This Row],[Player]],TableRBCalcPts[PLAYER],0)),"")</f>
        <v/>
      </c>
      <c r="S170" s="58" t="str">
        <f>IFERROR(INDEX(TableRBCalcPts[BYE],MATCH(TableRBRanks3141[[#This Row],[Player]],TableRBCalcPts[PLAYER],0)),"")</f>
        <v/>
      </c>
      <c r="T170" s="100">
        <f>VLOOKUP(TableRBRanks3141[[#This Row],[Player]],RB!B:O,4,FALSE)</f>
        <v>0</v>
      </c>
      <c r="U170" s="100">
        <f>VLOOKUP(TableRBRanks3141[[#This Row],[Player]],RB!B:O,5,FALSE)</f>
        <v>0</v>
      </c>
      <c r="V170" s="100">
        <f>VLOOKUP(TableRBRanks3141[[#This Row],[Player]],RB!B:O,6,FALSE)</f>
        <v>0</v>
      </c>
      <c r="W170" s="100">
        <f>VLOOKUP(TableRBRanks3141[[#This Row],[Player]],RB!B:O,7,FALSE)</f>
        <v>0</v>
      </c>
      <c r="X170" s="100">
        <f>VLOOKUP(TableRBRanks3141[[#This Row],[Player]],RB!B:O,8,FALSE)</f>
        <v>0</v>
      </c>
      <c r="Y170" s="100">
        <f>VLOOKUP(TableRBRanks3141[[#This Row],[Player]],RB!B:O,9,FALSE)</f>
        <v>0</v>
      </c>
      <c r="Z170" s="100">
        <f>VLOOKUP(TableRBRanks3141[[#This Row],[Player]],RB!B:O,10,FALSE)</f>
        <v>0</v>
      </c>
      <c r="AA170" s="95">
        <f>VLOOKUP(TableRBRanks3141[[#This Row],[Player]],RB!B:O,14,FALSE)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VLOOKUP(TableWRRanks3242[[#This Row],[RK]],Rankings!A:T,13,FALSE)</f>
        <v>0</v>
      </c>
      <c r="AF170" s="58" t="str">
        <f>IFERROR(INDEX(TableWRCalcPts[TM],MATCH(TableWRRanks3242[[#This Row],[Player]],TableWRCalcPts[PLAYER],0)),"")</f>
        <v/>
      </c>
      <c r="AG170" s="58" t="str">
        <f>IFERROR(INDEX(TableWRCalcPts[BYE],MATCH(TableWRRanks3242[[#This Row],[Player]],TableWRCalcPts[PLAYER],0)),"")</f>
        <v/>
      </c>
      <c r="AH170" s="100">
        <f>VLOOKUP(TableWRRanks3242[[#This Row],[Player]],WR!B:O,4,FALSE)</f>
        <v>0</v>
      </c>
      <c r="AI170" s="100">
        <f>VLOOKUP(TableWRRanks3242[[#This Row],[Player]],WR!B:O,5,FALSE)</f>
        <v>0</v>
      </c>
      <c r="AJ170" s="100">
        <f>VLOOKUP(TableWRRanks3242[[#This Row],[Player]],WR!B:O,6,FALSE)</f>
        <v>0</v>
      </c>
      <c r="AK170" s="100">
        <f>VLOOKUP(TableWRRanks3242[[#This Row],[Player]],WR!B:O,7,FALSE)</f>
        <v>0</v>
      </c>
      <c r="AL170" s="100">
        <f>VLOOKUP(TableWRRanks3242[[#This Row],[Player]],WR!B:O,8,FALSE)</f>
        <v>0</v>
      </c>
      <c r="AM170" s="100">
        <f>VLOOKUP(TableWRRanks3242[[#This Row],[Player]],WR!B:O,9,FALSE)</f>
        <v>0</v>
      </c>
      <c r="AN170" s="95">
        <f>VLOOKUP(TableWRRanks3242[[#This Row],[Player]],WR!B:O,13,FALSE)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VLOOKUP(TableRBRanks3141[[#This Row],[RK]],Rankings!A:T,8,FALSE)</f>
        <v>0</v>
      </c>
      <c r="R171" s="58" t="str">
        <f>IFERROR(INDEX(TableRBCalcPts[TM],MATCH(TableRBRanks3141[[#This Row],[Player]],TableRBCalcPts[PLAYER],0)),"")</f>
        <v/>
      </c>
      <c r="S171" s="58" t="str">
        <f>IFERROR(INDEX(TableRBCalcPts[BYE],MATCH(TableRBRanks3141[[#This Row],[Player]],TableRBCalcPts[PLAYER],0)),"")</f>
        <v/>
      </c>
      <c r="T171" s="100">
        <f>VLOOKUP(TableRBRanks3141[[#This Row],[Player]],RB!B:O,4,FALSE)</f>
        <v>0</v>
      </c>
      <c r="U171" s="100">
        <f>VLOOKUP(TableRBRanks3141[[#This Row],[Player]],RB!B:O,5,FALSE)</f>
        <v>0</v>
      </c>
      <c r="V171" s="100">
        <f>VLOOKUP(TableRBRanks3141[[#This Row],[Player]],RB!B:O,6,FALSE)</f>
        <v>0</v>
      </c>
      <c r="W171" s="100">
        <f>VLOOKUP(TableRBRanks3141[[#This Row],[Player]],RB!B:O,7,FALSE)</f>
        <v>0</v>
      </c>
      <c r="X171" s="100">
        <f>VLOOKUP(TableRBRanks3141[[#This Row],[Player]],RB!B:O,8,FALSE)</f>
        <v>0</v>
      </c>
      <c r="Y171" s="100">
        <f>VLOOKUP(TableRBRanks3141[[#This Row],[Player]],RB!B:O,9,FALSE)</f>
        <v>0</v>
      </c>
      <c r="Z171" s="100">
        <f>VLOOKUP(TableRBRanks3141[[#This Row],[Player]],RB!B:O,10,FALSE)</f>
        <v>0</v>
      </c>
      <c r="AA171" s="95">
        <f>VLOOKUP(TableRBRanks3141[[#This Row],[Player]],RB!B:O,14,FALSE)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VLOOKUP(TableWRRanks3242[[#This Row],[RK]],Rankings!A:T,13,FALSE)</f>
        <v>0</v>
      </c>
      <c r="AF171" s="58" t="str">
        <f>IFERROR(INDEX(TableWRCalcPts[TM],MATCH(TableWRRanks3242[[#This Row],[Player]],TableWRCalcPts[PLAYER],0)),"")</f>
        <v/>
      </c>
      <c r="AG171" s="58" t="str">
        <f>IFERROR(INDEX(TableWRCalcPts[BYE],MATCH(TableWRRanks3242[[#This Row],[Player]],TableWRCalcPts[PLAYER],0)),"")</f>
        <v/>
      </c>
      <c r="AH171" s="100">
        <f>VLOOKUP(TableWRRanks3242[[#This Row],[Player]],WR!B:O,4,FALSE)</f>
        <v>0</v>
      </c>
      <c r="AI171" s="100">
        <f>VLOOKUP(TableWRRanks3242[[#This Row],[Player]],WR!B:O,5,FALSE)</f>
        <v>0</v>
      </c>
      <c r="AJ171" s="100">
        <f>VLOOKUP(TableWRRanks3242[[#This Row],[Player]],WR!B:O,6,FALSE)</f>
        <v>0</v>
      </c>
      <c r="AK171" s="100">
        <f>VLOOKUP(TableWRRanks3242[[#This Row],[Player]],WR!B:O,7,FALSE)</f>
        <v>0</v>
      </c>
      <c r="AL171" s="100">
        <f>VLOOKUP(TableWRRanks3242[[#This Row],[Player]],WR!B:O,8,FALSE)</f>
        <v>0</v>
      </c>
      <c r="AM171" s="100">
        <f>VLOOKUP(TableWRRanks3242[[#This Row],[Player]],WR!B:O,9,FALSE)</f>
        <v>0</v>
      </c>
      <c r="AN171" s="95">
        <f>VLOOKUP(TableWRRanks3242[[#This Row],[Player]],WR!B:O,13,FALSE)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VLOOKUP(TableWRRanks3242[[#This Row],[RK]],Rankings!A:T,13,FALSE)</f>
        <v>0</v>
      </c>
      <c r="AF172" s="58" t="str">
        <f>IFERROR(INDEX(TableWRCalcPts[TM],MATCH(TableWRRanks3242[[#This Row],[Player]],TableWRCalcPts[PLAYER],0)),"")</f>
        <v/>
      </c>
      <c r="AG172" s="58" t="str">
        <f>IFERROR(INDEX(TableWRCalcPts[BYE],MATCH(TableWRRanks3242[[#This Row],[Player]],TableWRCalcPts[PLAYER],0)),"")</f>
        <v/>
      </c>
      <c r="AH172" s="100">
        <f>VLOOKUP(TableWRRanks3242[[#This Row],[Player]],WR!B:O,4,FALSE)</f>
        <v>0</v>
      </c>
      <c r="AI172" s="100">
        <f>VLOOKUP(TableWRRanks3242[[#This Row],[Player]],WR!B:O,5,FALSE)</f>
        <v>0</v>
      </c>
      <c r="AJ172" s="100">
        <f>VLOOKUP(TableWRRanks3242[[#This Row],[Player]],WR!B:O,6,FALSE)</f>
        <v>0</v>
      </c>
      <c r="AK172" s="100">
        <f>VLOOKUP(TableWRRanks3242[[#This Row],[Player]],WR!B:O,7,FALSE)</f>
        <v>0</v>
      </c>
      <c r="AL172" s="100">
        <f>VLOOKUP(TableWRRanks3242[[#This Row],[Player]],WR!B:O,8,FALSE)</f>
        <v>0</v>
      </c>
      <c r="AM172" s="100">
        <f>VLOOKUP(TableWRRanks3242[[#This Row],[Player]],WR!B:O,9,FALSE)</f>
        <v>0</v>
      </c>
      <c r="AN172" s="95">
        <f>VLOOKUP(TableWRRanks3242[[#This Row],[Player]],WR!B:O,13,FALSE)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VLOOKUP(TableWRRanks3242[[#This Row],[RK]],Rankings!A:T,13,FALSE)</f>
        <v>0</v>
      </c>
      <c r="AF173" s="58" t="str">
        <f>IFERROR(INDEX(TableWRCalcPts[TM],MATCH(TableWRRanks3242[[#This Row],[Player]],TableWRCalcPts[PLAYER],0)),"")</f>
        <v/>
      </c>
      <c r="AG173" s="58" t="str">
        <f>IFERROR(INDEX(TableWRCalcPts[BYE],MATCH(TableWRRanks3242[[#This Row],[Player]],TableWRCalcPts[PLAYER],0)),"")</f>
        <v/>
      </c>
      <c r="AH173" s="100">
        <f>VLOOKUP(TableWRRanks3242[[#This Row],[Player]],WR!B:O,4,FALSE)</f>
        <v>0</v>
      </c>
      <c r="AI173" s="100">
        <f>VLOOKUP(TableWRRanks3242[[#This Row],[Player]],WR!B:O,5,FALSE)</f>
        <v>0</v>
      </c>
      <c r="AJ173" s="100">
        <f>VLOOKUP(TableWRRanks3242[[#This Row],[Player]],WR!B:O,6,FALSE)</f>
        <v>0</v>
      </c>
      <c r="AK173" s="100">
        <f>VLOOKUP(TableWRRanks3242[[#This Row],[Player]],WR!B:O,7,FALSE)</f>
        <v>0</v>
      </c>
      <c r="AL173" s="100">
        <f>VLOOKUP(TableWRRanks3242[[#This Row],[Player]],WR!B:O,8,FALSE)</f>
        <v>0</v>
      </c>
      <c r="AM173" s="100">
        <f>VLOOKUP(TableWRRanks3242[[#This Row],[Player]],WR!B:O,9,FALSE)</f>
        <v>0</v>
      </c>
      <c r="AN173" s="95">
        <f>VLOOKUP(TableWRRanks3242[[#This Row],[Player]],WR!B:O,13,FALSE)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VLOOKUP(TableWRRanks3242[[#This Row],[RK]],Rankings!A:T,13,FALSE)</f>
        <v>0</v>
      </c>
      <c r="AF174" s="58" t="str">
        <f>IFERROR(INDEX(TableWRCalcPts[TM],MATCH(TableWRRanks3242[[#This Row],[Player]],TableWRCalcPts[PLAYER],0)),"")</f>
        <v/>
      </c>
      <c r="AG174" s="58" t="str">
        <f>IFERROR(INDEX(TableWRCalcPts[BYE],MATCH(TableWRRanks3242[[#This Row],[Player]],TableWRCalcPts[PLAYER],0)),"")</f>
        <v/>
      </c>
      <c r="AH174" s="100">
        <f>VLOOKUP(TableWRRanks3242[[#This Row],[Player]],WR!B:O,4,FALSE)</f>
        <v>0</v>
      </c>
      <c r="AI174" s="100">
        <f>VLOOKUP(TableWRRanks3242[[#This Row],[Player]],WR!B:O,5,FALSE)</f>
        <v>0</v>
      </c>
      <c r="AJ174" s="100">
        <f>VLOOKUP(TableWRRanks3242[[#This Row],[Player]],WR!B:O,6,FALSE)</f>
        <v>0</v>
      </c>
      <c r="AK174" s="100">
        <f>VLOOKUP(TableWRRanks3242[[#This Row],[Player]],WR!B:O,7,FALSE)</f>
        <v>0</v>
      </c>
      <c r="AL174" s="100">
        <f>VLOOKUP(TableWRRanks3242[[#This Row],[Player]],WR!B:O,8,FALSE)</f>
        <v>0</v>
      </c>
      <c r="AM174" s="100">
        <f>VLOOKUP(TableWRRanks3242[[#This Row],[Player]],WR!B:O,9,FALSE)</f>
        <v>0</v>
      </c>
      <c r="AN174" s="95">
        <f>VLOOKUP(TableWRRanks3242[[#This Row],[Player]],WR!B:O,13,FALSE)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VLOOKUP(TableWRRanks3242[[#This Row],[RK]],Rankings!A:T,13,FALSE)</f>
        <v>0</v>
      </c>
      <c r="AF175" s="58" t="str">
        <f>IFERROR(INDEX(TableWRCalcPts[TM],MATCH(TableWRRanks3242[[#This Row],[Player]],TableWRCalcPts[PLAYER],0)),"")</f>
        <v/>
      </c>
      <c r="AG175" s="58" t="str">
        <f>IFERROR(INDEX(TableWRCalcPts[BYE],MATCH(TableWRRanks3242[[#This Row],[Player]],TableWRCalcPts[PLAYER],0)),"")</f>
        <v/>
      </c>
      <c r="AH175" s="100">
        <f>VLOOKUP(TableWRRanks3242[[#This Row],[Player]],WR!B:O,4,FALSE)</f>
        <v>0</v>
      </c>
      <c r="AI175" s="100">
        <f>VLOOKUP(TableWRRanks3242[[#This Row],[Player]],WR!B:O,5,FALSE)</f>
        <v>0</v>
      </c>
      <c r="AJ175" s="100">
        <f>VLOOKUP(TableWRRanks3242[[#This Row],[Player]],WR!B:O,6,FALSE)</f>
        <v>0</v>
      </c>
      <c r="AK175" s="100">
        <f>VLOOKUP(TableWRRanks3242[[#This Row],[Player]],WR!B:O,7,FALSE)</f>
        <v>0</v>
      </c>
      <c r="AL175" s="100">
        <f>VLOOKUP(TableWRRanks3242[[#This Row],[Player]],WR!B:O,8,FALSE)</f>
        <v>0</v>
      </c>
      <c r="AM175" s="100">
        <f>VLOOKUP(TableWRRanks3242[[#This Row],[Player]],WR!B:O,9,FALSE)</f>
        <v>0</v>
      </c>
      <c r="AN175" s="95">
        <f>VLOOKUP(TableWRRanks3242[[#This Row],[Player]],WR!B:O,13,FALSE)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VLOOKUP(TableWRRanks3242[[#This Row],[RK]],Rankings!A:T,13,FALSE)</f>
        <v>0</v>
      </c>
      <c r="AF176" s="58" t="str">
        <f>IFERROR(INDEX(TableWRCalcPts[TM],MATCH(TableWRRanks3242[[#This Row],[Player]],TableWRCalcPts[PLAYER],0)),"")</f>
        <v/>
      </c>
      <c r="AG176" s="58" t="str">
        <f>IFERROR(INDEX(TableWRCalcPts[BYE],MATCH(TableWRRanks3242[[#This Row],[Player]],TableWRCalcPts[PLAYER],0)),"")</f>
        <v/>
      </c>
      <c r="AH176" s="100">
        <f>VLOOKUP(TableWRRanks3242[[#This Row],[Player]],WR!B:O,4,FALSE)</f>
        <v>0</v>
      </c>
      <c r="AI176" s="100">
        <f>VLOOKUP(TableWRRanks3242[[#This Row],[Player]],WR!B:O,5,FALSE)</f>
        <v>0</v>
      </c>
      <c r="AJ176" s="100">
        <f>VLOOKUP(TableWRRanks3242[[#This Row],[Player]],WR!B:O,6,FALSE)</f>
        <v>0</v>
      </c>
      <c r="AK176" s="100">
        <f>VLOOKUP(TableWRRanks3242[[#This Row],[Player]],WR!B:O,7,FALSE)</f>
        <v>0</v>
      </c>
      <c r="AL176" s="100">
        <f>VLOOKUP(TableWRRanks3242[[#This Row],[Player]],WR!B:O,8,FALSE)</f>
        <v>0</v>
      </c>
      <c r="AM176" s="100">
        <f>VLOOKUP(TableWRRanks3242[[#This Row],[Player]],WR!B:O,9,FALSE)</f>
        <v>0</v>
      </c>
      <c r="AN176" s="95">
        <f>VLOOKUP(TableWRRanks3242[[#This Row],[Player]],WR!B:O,13,FALSE)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VLOOKUP(TableWRRanks3242[[#This Row],[RK]],Rankings!A:T,13,FALSE)</f>
        <v>0</v>
      </c>
      <c r="AF177" s="58" t="str">
        <f>IFERROR(INDEX(TableWRCalcPts[TM],MATCH(TableWRRanks3242[[#This Row],[Player]],TableWRCalcPts[PLAYER],0)),"")</f>
        <v/>
      </c>
      <c r="AG177" s="58" t="str">
        <f>IFERROR(INDEX(TableWRCalcPts[BYE],MATCH(TableWRRanks3242[[#This Row],[Player]],TableWRCalcPts[PLAYER],0)),"")</f>
        <v/>
      </c>
      <c r="AH177" s="100">
        <f>VLOOKUP(TableWRRanks3242[[#This Row],[Player]],WR!B:O,4,FALSE)</f>
        <v>0</v>
      </c>
      <c r="AI177" s="100">
        <f>VLOOKUP(TableWRRanks3242[[#This Row],[Player]],WR!B:O,5,FALSE)</f>
        <v>0</v>
      </c>
      <c r="AJ177" s="100">
        <f>VLOOKUP(TableWRRanks3242[[#This Row],[Player]],WR!B:O,6,FALSE)</f>
        <v>0</v>
      </c>
      <c r="AK177" s="100">
        <f>VLOOKUP(TableWRRanks3242[[#This Row],[Player]],WR!B:O,7,FALSE)</f>
        <v>0</v>
      </c>
      <c r="AL177" s="100">
        <f>VLOOKUP(TableWRRanks3242[[#This Row],[Player]],WR!B:O,8,FALSE)</f>
        <v>0</v>
      </c>
      <c r="AM177" s="100">
        <f>VLOOKUP(TableWRRanks3242[[#This Row],[Player]],WR!B:O,9,FALSE)</f>
        <v>0</v>
      </c>
      <c r="AN177" s="95">
        <f>VLOOKUP(TableWRRanks3242[[#This Row],[Player]],WR!B:O,13,FALSE)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VLOOKUP(TableWRRanks3242[[#This Row],[RK]],Rankings!A:T,13,FALSE)</f>
        <v>0</v>
      </c>
      <c r="AF178" s="58" t="str">
        <f>IFERROR(INDEX(TableWRCalcPts[TM],MATCH(TableWRRanks3242[[#This Row],[Player]],TableWRCalcPts[PLAYER],0)),"")</f>
        <v/>
      </c>
      <c r="AG178" s="58" t="str">
        <f>IFERROR(INDEX(TableWRCalcPts[BYE],MATCH(TableWRRanks3242[[#This Row],[Player]],TableWRCalcPts[PLAYER],0)),"")</f>
        <v/>
      </c>
      <c r="AH178" s="100">
        <f>VLOOKUP(TableWRRanks3242[[#This Row],[Player]],WR!B:O,4,FALSE)</f>
        <v>0</v>
      </c>
      <c r="AI178" s="100">
        <f>VLOOKUP(TableWRRanks3242[[#This Row],[Player]],WR!B:O,5,FALSE)</f>
        <v>0</v>
      </c>
      <c r="AJ178" s="100">
        <f>VLOOKUP(TableWRRanks3242[[#This Row],[Player]],WR!B:O,6,FALSE)</f>
        <v>0</v>
      </c>
      <c r="AK178" s="100">
        <f>VLOOKUP(TableWRRanks3242[[#This Row],[Player]],WR!B:O,7,FALSE)</f>
        <v>0</v>
      </c>
      <c r="AL178" s="100">
        <f>VLOOKUP(TableWRRanks3242[[#This Row],[Player]],WR!B:O,8,FALSE)</f>
        <v>0</v>
      </c>
      <c r="AM178" s="100">
        <f>VLOOKUP(TableWRRanks3242[[#This Row],[Player]],WR!B:O,9,FALSE)</f>
        <v>0</v>
      </c>
      <c r="AN178" s="95">
        <f>VLOOKUP(TableWRRanks3242[[#This Row],[Player]],WR!B:O,13,FALSE)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VLOOKUP(TableWRRanks3242[[#This Row],[RK]],Rankings!A:T,13,FALSE)</f>
        <v>0</v>
      </c>
      <c r="AF179" s="58" t="str">
        <f>IFERROR(INDEX(TableWRCalcPts[TM],MATCH(TableWRRanks3242[[#This Row],[Player]],TableWRCalcPts[PLAYER],0)),"")</f>
        <v/>
      </c>
      <c r="AG179" s="58" t="str">
        <f>IFERROR(INDEX(TableWRCalcPts[BYE],MATCH(TableWRRanks3242[[#This Row],[Player]],TableWRCalcPts[PLAYER],0)),"")</f>
        <v/>
      </c>
      <c r="AH179" s="100">
        <f>VLOOKUP(TableWRRanks3242[[#This Row],[Player]],WR!B:O,4,FALSE)</f>
        <v>0</v>
      </c>
      <c r="AI179" s="100">
        <f>VLOOKUP(TableWRRanks3242[[#This Row],[Player]],WR!B:O,5,FALSE)</f>
        <v>0</v>
      </c>
      <c r="AJ179" s="100">
        <f>VLOOKUP(TableWRRanks3242[[#This Row],[Player]],WR!B:O,6,FALSE)</f>
        <v>0</v>
      </c>
      <c r="AK179" s="100">
        <f>VLOOKUP(TableWRRanks3242[[#This Row],[Player]],WR!B:O,7,FALSE)</f>
        <v>0</v>
      </c>
      <c r="AL179" s="100">
        <f>VLOOKUP(TableWRRanks3242[[#This Row],[Player]],WR!B:O,8,FALSE)</f>
        <v>0</v>
      </c>
      <c r="AM179" s="100">
        <f>VLOOKUP(TableWRRanks3242[[#This Row],[Player]],WR!B:O,9,FALSE)</f>
        <v>0</v>
      </c>
      <c r="AN179" s="95">
        <f>VLOOKUP(TableWRRanks3242[[#This Row],[Player]],WR!B:O,13,FALSE)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VLOOKUP(TableWRRanks3242[[#This Row],[RK]],Rankings!A:T,13,FALSE)</f>
        <v>0</v>
      </c>
      <c r="AF180" s="58" t="str">
        <f>IFERROR(INDEX(TableWRCalcPts[TM],MATCH(TableWRRanks3242[[#This Row],[Player]],TableWRCalcPts[PLAYER],0)),"")</f>
        <v/>
      </c>
      <c r="AG180" s="58" t="str">
        <f>IFERROR(INDEX(TableWRCalcPts[BYE],MATCH(TableWRRanks3242[[#This Row],[Player]],TableWRCalcPts[PLAYER],0)),"")</f>
        <v/>
      </c>
      <c r="AH180" s="100">
        <f>VLOOKUP(TableWRRanks3242[[#This Row],[Player]],WR!B:O,4,FALSE)</f>
        <v>0</v>
      </c>
      <c r="AI180" s="100">
        <f>VLOOKUP(TableWRRanks3242[[#This Row],[Player]],WR!B:O,5,FALSE)</f>
        <v>0</v>
      </c>
      <c r="AJ180" s="100">
        <f>VLOOKUP(TableWRRanks3242[[#This Row],[Player]],WR!B:O,6,FALSE)</f>
        <v>0</v>
      </c>
      <c r="AK180" s="100">
        <f>VLOOKUP(TableWRRanks3242[[#This Row],[Player]],WR!B:O,7,FALSE)</f>
        <v>0</v>
      </c>
      <c r="AL180" s="100">
        <f>VLOOKUP(TableWRRanks3242[[#This Row],[Player]],WR!B:O,8,FALSE)</f>
        <v>0</v>
      </c>
      <c r="AM180" s="100">
        <f>VLOOKUP(TableWRRanks3242[[#This Row],[Player]],WR!B:O,9,FALSE)</f>
        <v>0</v>
      </c>
      <c r="AN180" s="95">
        <f>VLOOKUP(TableWRRanks3242[[#This Row],[Player]],WR!B:O,13,FALSE)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VLOOKUP(TableWRRanks3242[[#This Row],[RK]],Rankings!A:T,13,FALSE)</f>
        <v>0</v>
      </c>
      <c r="AF181" s="58" t="str">
        <f>IFERROR(INDEX(TableWRCalcPts[TM],MATCH(TableWRRanks3242[[#This Row],[Player]],TableWRCalcPts[PLAYER],0)),"")</f>
        <v/>
      </c>
      <c r="AG181" s="58" t="str">
        <f>IFERROR(INDEX(TableWRCalcPts[BYE],MATCH(TableWRRanks3242[[#This Row],[Player]],TableWRCalcPts[PLAYER],0)),"")</f>
        <v/>
      </c>
      <c r="AH181" s="100">
        <f>VLOOKUP(TableWRRanks3242[[#This Row],[Player]],WR!B:O,4,FALSE)</f>
        <v>0</v>
      </c>
      <c r="AI181" s="100">
        <f>VLOOKUP(TableWRRanks3242[[#This Row],[Player]],WR!B:O,5,FALSE)</f>
        <v>0</v>
      </c>
      <c r="AJ181" s="100">
        <f>VLOOKUP(TableWRRanks3242[[#This Row],[Player]],WR!B:O,6,FALSE)</f>
        <v>0</v>
      </c>
      <c r="AK181" s="100">
        <f>VLOOKUP(TableWRRanks3242[[#This Row],[Player]],WR!B:O,7,FALSE)</f>
        <v>0</v>
      </c>
      <c r="AL181" s="100">
        <f>VLOOKUP(TableWRRanks3242[[#This Row],[Player]],WR!B:O,8,FALSE)</f>
        <v>0</v>
      </c>
      <c r="AM181" s="100">
        <f>VLOOKUP(TableWRRanks3242[[#This Row],[Player]],WR!B:O,9,FALSE)</f>
        <v>0</v>
      </c>
      <c r="AN181" s="95">
        <f>VLOOKUP(TableWRRanks3242[[#This Row],[Player]],WR!B:O,13,FALSE)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VLOOKUP(TableWRRanks3242[[#This Row],[RK]],Rankings!A:T,13,FALSE)</f>
        <v>0</v>
      </c>
      <c r="AF182" s="58" t="str">
        <f>IFERROR(INDEX(TableWRCalcPts[TM],MATCH(TableWRRanks3242[[#This Row],[Player]],TableWRCalcPts[PLAYER],0)),"")</f>
        <v/>
      </c>
      <c r="AG182" s="58" t="str">
        <f>IFERROR(INDEX(TableWRCalcPts[BYE],MATCH(TableWRRanks3242[[#This Row],[Player]],TableWRCalcPts[PLAYER],0)),"")</f>
        <v/>
      </c>
      <c r="AH182" s="100">
        <f>VLOOKUP(TableWRRanks3242[[#This Row],[Player]],WR!B:O,4,FALSE)</f>
        <v>0</v>
      </c>
      <c r="AI182" s="100">
        <f>VLOOKUP(TableWRRanks3242[[#This Row],[Player]],WR!B:O,5,FALSE)</f>
        <v>0</v>
      </c>
      <c r="AJ182" s="100">
        <f>VLOOKUP(TableWRRanks3242[[#This Row],[Player]],WR!B:O,6,FALSE)</f>
        <v>0</v>
      </c>
      <c r="AK182" s="100">
        <f>VLOOKUP(TableWRRanks3242[[#This Row],[Player]],WR!B:O,7,FALSE)</f>
        <v>0</v>
      </c>
      <c r="AL182" s="100">
        <f>VLOOKUP(TableWRRanks3242[[#This Row],[Player]],WR!B:O,8,FALSE)</f>
        <v>0</v>
      </c>
      <c r="AM182" s="100">
        <f>VLOOKUP(TableWRRanks3242[[#This Row],[Player]],WR!B:O,9,FALSE)</f>
        <v>0</v>
      </c>
      <c r="AN182" s="95">
        <f>VLOOKUP(TableWRRanks3242[[#This Row],[Player]],WR!B:O,13,FALSE)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VLOOKUP(TableWRRanks3242[[#This Row],[RK]],Rankings!A:T,13,FALSE)</f>
        <v>0</v>
      </c>
      <c r="AF183" s="58" t="str">
        <f>IFERROR(INDEX(TableWRCalcPts[TM],MATCH(TableWRRanks3242[[#This Row],[Player]],TableWRCalcPts[PLAYER],0)),"")</f>
        <v/>
      </c>
      <c r="AG183" s="58" t="str">
        <f>IFERROR(INDEX(TableWRCalcPts[BYE],MATCH(TableWRRanks3242[[#This Row],[Player]],TableWRCalcPts[PLAYER],0)),"")</f>
        <v/>
      </c>
      <c r="AH183" s="100">
        <f>VLOOKUP(TableWRRanks3242[[#This Row],[Player]],WR!B:O,4,FALSE)</f>
        <v>0</v>
      </c>
      <c r="AI183" s="100">
        <f>VLOOKUP(TableWRRanks3242[[#This Row],[Player]],WR!B:O,5,FALSE)</f>
        <v>0</v>
      </c>
      <c r="AJ183" s="100">
        <f>VLOOKUP(TableWRRanks3242[[#This Row],[Player]],WR!B:O,6,FALSE)</f>
        <v>0</v>
      </c>
      <c r="AK183" s="100">
        <f>VLOOKUP(TableWRRanks3242[[#This Row],[Player]],WR!B:O,7,FALSE)</f>
        <v>0</v>
      </c>
      <c r="AL183" s="100">
        <f>VLOOKUP(TableWRRanks3242[[#This Row],[Player]],WR!B:O,8,FALSE)</f>
        <v>0</v>
      </c>
      <c r="AM183" s="100">
        <f>VLOOKUP(TableWRRanks3242[[#This Row],[Player]],WR!B:O,9,FALSE)</f>
        <v>0</v>
      </c>
      <c r="AN183" s="95">
        <f>VLOOKUP(TableWRRanks3242[[#This Row],[Player]],WR!B:O,13,FALSE)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VLOOKUP(TableWRRanks3242[[#This Row],[RK]],Rankings!A:T,13,FALSE)</f>
        <v>0</v>
      </c>
      <c r="AF184" s="58" t="str">
        <f>IFERROR(INDEX(TableWRCalcPts[TM],MATCH(TableWRRanks3242[[#This Row],[Player]],TableWRCalcPts[PLAYER],0)),"")</f>
        <v/>
      </c>
      <c r="AG184" s="58" t="str">
        <f>IFERROR(INDEX(TableWRCalcPts[BYE],MATCH(TableWRRanks3242[[#This Row],[Player]],TableWRCalcPts[PLAYER],0)),"")</f>
        <v/>
      </c>
      <c r="AH184" s="100">
        <f>VLOOKUP(TableWRRanks3242[[#This Row],[Player]],WR!B:O,4,FALSE)</f>
        <v>0</v>
      </c>
      <c r="AI184" s="100">
        <f>VLOOKUP(TableWRRanks3242[[#This Row],[Player]],WR!B:O,5,FALSE)</f>
        <v>0</v>
      </c>
      <c r="AJ184" s="100">
        <f>VLOOKUP(TableWRRanks3242[[#This Row],[Player]],WR!B:O,6,FALSE)</f>
        <v>0</v>
      </c>
      <c r="AK184" s="100">
        <f>VLOOKUP(TableWRRanks3242[[#This Row],[Player]],WR!B:O,7,FALSE)</f>
        <v>0</v>
      </c>
      <c r="AL184" s="100">
        <f>VLOOKUP(TableWRRanks3242[[#This Row],[Player]],WR!B:O,8,FALSE)</f>
        <v>0</v>
      </c>
      <c r="AM184" s="100">
        <f>VLOOKUP(TableWRRanks3242[[#This Row],[Player]],WR!B:O,9,FALSE)</f>
        <v>0</v>
      </c>
      <c r="AN184" s="95">
        <f>VLOOKUP(TableWRRanks3242[[#This Row],[Player]],WR!B:O,13,FALSE)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VLOOKUP(TableWRRanks3242[[#This Row],[RK]],Rankings!A:T,13,FALSE)</f>
        <v>0</v>
      </c>
      <c r="AF185" s="58" t="str">
        <f>IFERROR(INDEX(TableWRCalcPts[TM],MATCH(TableWRRanks3242[[#This Row],[Player]],TableWRCalcPts[PLAYER],0)),"")</f>
        <v/>
      </c>
      <c r="AG185" s="58" t="str">
        <f>IFERROR(INDEX(TableWRCalcPts[BYE],MATCH(TableWRRanks3242[[#This Row],[Player]],TableWRCalcPts[PLAYER],0)),"")</f>
        <v/>
      </c>
      <c r="AH185" s="100">
        <f>VLOOKUP(TableWRRanks3242[[#This Row],[Player]],WR!B:O,4,FALSE)</f>
        <v>0</v>
      </c>
      <c r="AI185" s="100">
        <f>VLOOKUP(TableWRRanks3242[[#This Row],[Player]],WR!B:O,5,FALSE)</f>
        <v>0</v>
      </c>
      <c r="AJ185" s="100">
        <f>VLOOKUP(TableWRRanks3242[[#This Row],[Player]],WR!B:O,6,FALSE)</f>
        <v>0</v>
      </c>
      <c r="AK185" s="100">
        <f>VLOOKUP(TableWRRanks3242[[#This Row],[Player]],WR!B:O,7,FALSE)</f>
        <v>0</v>
      </c>
      <c r="AL185" s="100">
        <f>VLOOKUP(TableWRRanks3242[[#This Row],[Player]],WR!B:O,8,FALSE)</f>
        <v>0</v>
      </c>
      <c r="AM185" s="100">
        <f>VLOOKUP(TableWRRanks3242[[#This Row],[Player]],WR!B:O,9,FALSE)</f>
        <v>0</v>
      </c>
      <c r="AN185" s="95">
        <f>VLOOKUP(TableWRRanks3242[[#This Row],[Player]],WR!B:O,13,FALSE)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VLOOKUP(TableWRRanks3242[[#This Row],[RK]],Rankings!A:T,13,FALSE)</f>
        <v>0</v>
      </c>
      <c r="AF186" s="58" t="str">
        <f>IFERROR(INDEX(TableWRCalcPts[TM],MATCH(TableWRRanks3242[[#This Row],[Player]],TableWRCalcPts[PLAYER],0)),"")</f>
        <v/>
      </c>
      <c r="AG186" s="58" t="str">
        <f>IFERROR(INDEX(TableWRCalcPts[BYE],MATCH(TableWRRanks3242[[#This Row],[Player]],TableWRCalcPts[PLAYER],0)),"")</f>
        <v/>
      </c>
      <c r="AH186" s="100">
        <f>VLOOKUP(TableWRRanks3242[[#This Row],[Player]],WR!B:O,4,FALSE)</f>
        <v>0</v>
      </c>
      <c r="AI186" s="100">
        <f>VLOOKUP(TableWRRanks3242[[#This Row],[Player]],WR!B:O,5,FALSE)</f>
        <v>0</v>
      </c>
      <c r="AJ186" s="100">
        <f>VLOOKUP(TableWRRanks3242[[#This Row],[Player]],WR!B:O,6,FALSE)</f>
        <v>0</v>
      </c>
      <c r="AK186" s="100">
        <f>VLOOKUP(TableWRRanks3242[[#This Row],[Player]],WR!B:O,7,FALSE)</f>
        <v>0</v>
      </c>
      <c r="AL186" s="100">
        <f>VLOOKUP(TableWRRanks3242[[#This Row],[Player]],WR!B:O,8,FALSE)</f>
        <v>0</v>
      </c>
      <c r="AM186" s="100">
        <f>VLOOKUP(TableWRRanks3242[[#This Row],[Player]],WR!B:O,9,FALSE)</f>
        <v>0</v>
      </c>
      <c r="AN186" s="95">
        <f>VLOOKUP(TableWRRanks3242[[#This Row],[Player]],WR!B:O,13,FALSE)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VLOOKUP(TableWRRanks3242[[#This Row],[RK]],Rankings!A:T,13,FALSE)</f>
        <v>#N/A</v>
      </c>
      <c r="AF187" s="58" t="str">
        <f>IFERROR(INDEX(TableWRCalcPts[TM],MATCH(TableWRRanks3242[[#This Row],[Player]],TableWRCalcPts[PLAYER],0)),"")</f>
        <v/>
      </c>
      <c r="AG187" s="58" t="str">
        <f>IFERROR(INDEX(TableWRCalcPts[BYE],MATCH(TableWRRanks3242[[#This Row],[Player]],TableWRCalcPts[PLAYER],0)),"")</f>
        <v/>
      </c>
      <c r="AH187" s="100" t="e">
        <f>VLOOKUP(TableWRRanks3242[[#This Row],[Player]],WR!B:O,4,FALSE)</f>
        <v>#N/A</v>
      </c>
      <c r="AI187" s="100" t="e">
        <f>VLOOKUP(TableWRRanks3242[[#This Row],[Player]],WR!B:O,5,FALSE)</f>
        <v>#N/A</v>
      </c>
      <c r="AJ187" s="100" t="e">
        <f>VLOOKUP(TableWRRanks3242[[#This Row],[Player]],WR!B:O,6,FALSE)</f>
        <v>#N/A</v>
      </c>
      <c r="AK187" s="100" t="e">
        <f>VLOOKUP(TableWRRanks3242[[#This Row],[Player]],WR!B:O,7,FALSE)</f>
        <v>#N/A</v>
      </c>
      <c r="AL187" s="100" t="e">
        <f>VLOOKUP(TableWRRanks3242[[#This Row],[Player]],WR!B:O,8,FALSE)</f>
        <v>#N/A</v>
      </c>
      <c r="AM187" s="100" t="e">
        <f>VLOOKUP(TableWRRanks3242[[#This Row],[Player]],WR!B:O,9,FALSE)</f>
        <v>#N/A</v>
      </c>
      <c r="AN187" s="95" t="e">
        <f>VLOOKUP(TableWRRanks3242[[#This Row],[Player]],WR!B:O,13,FALSE)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VLOOKUP(TableWRRanks3242[[#This Row],[RK]],Rankings!A:T,13,FALSE)</f>
        <v>#N/A</v>
      </c>
      <c r="AF188" s="58" t="str">
        <f>IFERROR(INDEX(TableWRCalcPts[TM],MATCH(TableWRRanks3242[[#This Row],[Player]],TableWRCalcPts[PLAYER],0)),"")</f>
        <v/>
      </c>
      <c r="AG188" s="58" t="str">
        <f>IFERROR(INDEX(TableWRCalcPts[BYE],MATCH(TableWRRanks3242[[#This Row],[Player]],TableWRCalcPts[PLAYER],0)),"")</f>
        <v/>
      </c>
      <c r="AH188" s="100" t="e">
        <f>VLOOKUP(TableWRRanks3242[[#This Row],[Player]],WR!B:O,4,FALSE)</f>
        <v>#N/A</v>
      </c>
      <c r="AI188" s="100" t="e">
        <f>VLOOKUP(TableWRRanks3242[[#This Row],[Player]],WR!B:O,5,FALSE)</f>
        <v>#N/A</v>
      </c>
      <c r="AJ188" s="100" t="e">
        <f>VLOOKUP(TableWRRanks3242[[#This Row],[Player]],WR!B:O,6,FALSE)</f>
        <v>#N/A</v>
      </c>
      <c r="AK188" s="100" t="e">
        <f>VLOOKUP(TableWRRanks3242[[#This Row],[Player]],WR!B:O,7,FALSE)</f>
        <v>#N/A</v>
      </c>
      <c r="AL188" s="100" t="e">
        <f>VLOOKUP(TableWRRanks3242[[#This Row],[Player]],WR!B:O,8,FALSE)</f>
        <v>#N/A</v>
      </c>
      <c r="AM188" s="100" t="e">
        <f>VLOOKUP(TableWRRanks3242[[#This Row],[Player]],WR!B:O,9,FALSE)</f>
        <v>#N/A</v>
      </c>
      <c r="AN188" s="95" t="e">
        <f>VLOOKUP(TableWRRanks3242[[#This Row],[Player]],WR!B:O,13,FALSE)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VLOOKUP(TableWRRanks3242[[#This Row],[RK]],Rankings!A:T,13,FALSE)</f>
        <v>#N/A</v>
      </c>
      <c r="AF189" s="58" t="str">
        <f>IFERROR(INDEX(TableWRCalcPts[TM],MATCH(TableWRRanks3242[[#This Row],[Player]],TableWRCalcPts[PLAYER],0)),"")</f>
        <v/>
      </c>
      <c r="AG189" s="58" t="str">
        <f>IFERROR(INDEX(TableWRCalcPts[BYE],MATCH(TableWRRanks3242[[#This Row],[Player]],TableWRCalcPts[PLAYER],0)),"")</f>
        <v/>
      </c>
      <c r="AH189" s="100" t="e">
        <f>VLOOKUP(TableWRRanks3242[[#This Row],[Player]],WR!B:O,4,FALSE)</f>
        <v>#N/A</v>
      </c>
      <c r="AI189" s="100" t="e">
        <f>VLOOKUP(TableWRRanks3242[[#This Row],[Player]],WR!B:O,5,FALSE)</f>
        <v>#N/A</v>
      </c>
      <c r="AJ189" s="100" t="e">
        <f>VLOOKUP(TableWRRanks3242[[#This Row],[Player]],WR!B:O,6,FALSE)</f>
        <v>#N/A</v>
      </c>
      <c r="AK189" s="100" t="e">
        <f>VLOOKUP(TableWRRanks3242[[#This Row],[Player]],WR!B:O,7,FALSE)</f>
        <v>#N/A</v>
      </c>
      <c r="AL189" s="100" t="e">
        <f>VLOOKUP(TableWRRanks3242[[#This Row],[Player]],WR!B:O,8,FALSE)</f>
        <v>#N/A</v>
      </c>
      <c r="AM189" s="100" t="e">
        <f>VLOOKUP(TableWRRanks3242[[#This Row],[Player]],WR!B:O,9,FALSE)</f>
        <v>#N/A</v>
      </c>
      <c r="AN189" s="95" t="e">
        <f>VLOOKUP(TableWRRanks3242[[#This Row],[Player]],WR!B:O,13,FALSE)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VLOOKUP(TableWRRanks3242[[#This Row],[RK]],Rankings!A:T,13,FALSE)</f>
        <v>#N/A</v>
      </c>
      <c r="AF190" s="58" t="str">
        <f>IFERROR(INDEX(TableWRCalcPts[TM],MATCH(TableWRRanks3242[[#This Row],[Player]],TableWRCalcPts[PLAYER],0)),"")</f>
        <v/>
      </c>
      <c r="AG190" s="58" t="str">
        <f>IFERROR(INDEX(TableWRCalcPts[BYE],MATCH(TableWRRanks3242[[#This Row],[Player]],TableWRCalcPts[PLAYER],0)),"")</f>
        <v/>
      </c>
      <c r="AH190" s="100" t="e">
        <f>VLOOKUP(TableWRRanks3242[[#This Row],[Player]],WR!B:O,4,FALSE)</f>
        <v>#N/A</v>
      </c>
      <c r="AI190" s="100" t="e">
        <f>VLOOKUP(TableWRRanks3242[[#This Row],[Player]],WR!B:O,5,FALSE)</f>
        <v>#N/A</v>
      </c>
      <c r="AJ190" s="100" t="e">
        <f>VLOOKUP(TableWRRanks3242[[#This Row],[Player]],WR!B:O,6,FALSE)</f>
        <v>#N/A</v>
      </c>
      <c r="AK190" s="100" t="e">
        <f>VLOOKUP(TableWRRanks3242[[#This Row],[Player]],WR!B:O,7,FALSE)</f>
        <v>#N/A</v>
      </c>
      <c r="AL190" s="100" t="e">
        <f>VLOOKUP(TableWRRanks3242[[#This Row],[Player]],WR!B:O,8,FALSE)</f>
        <v>#N/A</v>
      </c>
      <c r="AM190" s="100" t="e">
        <f>VLOOKUP(TableWRRanks3242[[#This Row],[Player]],WR!B:O,9,FALSE)</f>
        <v>#N/A</v>
      </c>
      <c r="AN190" s="95" t="e">
        <f>VLOOKUP(TableWRRanks3242[[#This Row],[Player]],WR!B:O,13,FALSE)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VLOOKUP(TableWRRanks3242[[#This Row],[RK]],Rankings!A:T,13,FALSE)</f>
        <v>#N/A</v>
      </c>
      <c r="AF191" s="58" t="str">
        <f>IFERROR(INDEX(TableWRCalcPts[TM],MATCH(TableWRRanks3242[[#This Row],[Player]],TableWRCalcPts[PLAYER],0)),"")</f>
        <v/>
      </c>
      <c r="AG191" s="58" t="str">
        <f>IFERROR(INDEX(TableWRCalcPts[BYE],MATCH(TableWRRanks3242[[#This Row],[Player]],TableWRCalcPts[PLAYER],0)),"")</f>
        <v/>
      </c>
      <c r="AH191" s="100" t="e">
        <f>VLOOKUP(TableWRRanks3242[[#This Row],[Player]],WR!B:O,4,FALSE)</f>
        <v>#N/A</v>
      </c>
      <c r="AI191" s="100" t="e">
        <f>VLOOKUP(TableWRRanks3242[[#This Row],[Player]],WR!B:O,5,FALSE)</f>
        <v>#N/A</v>
      </c>
      <c r="AJ191" s="100" t="e">
        <f>VLOOKUP(TableWRRanks3242[[#This Row],[Player]],WR!B:O,6,FALSE)</f>
        <v>#N/A</v>
      </c>
      <c r="AK191" s="100" t="e">
        <f>VLOOKUP(TableWRRanks3242[[#This Row],[Player]],WR!B:O,7,FALSE)</f>
        <v>#N/A</v>
      </c>
      <c r="AL191" s="100" t="e">
        <f>VLOOKUP(TableWRRanks3242[[#This Row],[Player]],WR!B:O,8,FALSE)</f>
        <v>#N/A</v>
      </c>
      <c r="AM191" s="100" t="e">
        <f>VLOOKUP(TableWRRanks3242[[#This Row],[Player]],WR!B:O,9,FALSE)</f>
        <v>#N/A</v>
      </c>
      <c r="AN191" s="95" t="e">
        <f>VLOOKUP(TableWRRanks3242[[#This Row],[Player]],WR!B:O,13,FALSE)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VLOOKUP(TableWRRanks3242[[#This Row],[RK]],Rankings!A:T,13,FALSE)</f>
        <v>#N/A</v>
      </c>
      <c r="AF192" s="58" t="str">
        <f>IFERROR(INDEX(TableWRCalcPts[TM],MATCH(TableWRRanks3242[[#This Row],[Player]],TableWRCalcPts[PLAYER],0)),"")</f>
        <v/>
      </c>
      <c r="AG192" s="58" t="str">
        <f>IFERROR(INDEX(TableWRCalcPts[BYE],MATCH(TableWRRanks3242[[#This Row],[Player]],TableWRCalcPts[PLAYER],0)),"")</f>
        <v/>
      </c>
      <c r="AH192" s="100" t="e">
        <f>VLOOKUP(TableWRRanks3242[[#This Row],[Player]],WR!B:O,4,FALSE)</f>
        <v>#N/A</v>
      </c>
      <c r="AI192" s="100" t="e">
        <f>VLOOKUP(TableWRRanks3242[[#This Row],[Player]],WR!B:O,5,FALSE)</f>
        <v>#N/A</v>
      </c>
      <c r="AJ192" s="100" t="e">
        <f>VLOOKUP(TableWRRanks3242[[#This Row],[Player]],WR!B:O,6,FALSE)</f>
        <v>#N/A</v>
      </c>
      <c r="AK192" s="100" t="e">
        <f>VLOOKUP(TableWRRanks3242[[#This Row],[Player]],WR!B:O,7,FALSE)</f>
        <v>#N/A</v>
      </c>
      <c r="AL192" s="100" t="e">
        <f>VLOOKUP(TableWRRanks3242[[#This Row],[Player]],WR!B:O,8,FALSE)</f>
        <v>#N/A</v>
      </c>
      <c r="AM192" s="100" t="e">
        <f>VLOOKUP(TableWRRanks3242[[#This Row],[Player]],WR!B:O,9,FALSE)</f>
        <v>#N/A</v>
      </c>
      <c r="AN192" s="95" t="e">
        <f>VLOOKUP(TableWRRanks3242[[#This Row],[Player]],WR!B:O,13,FALSE)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VLOOKUP(TableWRRanks3242[[#This Row],[RK]],Rankings!A:T,13,FALSE)</f>
        <v>#N/A</v>
      </c>
      <c r="AF193" s="58" t="str">
        <f>IFERROR(INDEX(TableWRCalcPts[TM],MATCH(TableWRRanks3242[[#This Row],[Player]],TableWRCalcPts[PLAYER],0)),"")</f>
        <v/>
      </c>
      <c r="AG193" s="58" t="str">
        <f>IFERROR(INDEX(TableWRCalcPts[BYE],MATCH(TableWRRanks3242[[#This Row],[Player]],TableWRCalcPts[PLAYER],0)),"")</f>
        <v/>
      </c>
      <c r="AH193" s="100" t="e">
        <f>VLOOKUP(TableWRRanks3242[[#This Row],[Player]],WR!B:O,4,FALSE)</f>
        <v>#N/A</v>
      </c>
      <c r="AI193" s="100" t="e">
        <f>VLOOKUP(TableWRRanks3242[[#This Row],[Player]],WR!B:O,5,FALSE)</f>
        <v>#N/A</v>
      </c>
      <c r="AJ193" s="100" t="e">
        <f>VLOOKUP(TableWRRanks3242[[#This Row],[Player]],WR!B:O,6,FALSE)</f>
        <v>#N/A</v>
      </c>
      <c r="AK193" s="100" t="e">
        <f>VLOOKUP(TableWRRanks3242[[#This Row],[Player]],WR!B:O,7,FALSE)</f>
        <v>#N/A</v>
      </c>
      <c r="AL193" s="100" t="e">
        <f>VLOOKUP(TableWRRanks3242[[#This Row],[Player]],WR!B:O,8,FALSE)</f>
        <v>#N/A</v>
      </c>
      <c r="AM193" s="100" t="e">
        <f>VLOOKUP(TableWRRanks3242[[#This Row],[Player]],WR!B:O,9,FALSE)</f>
        <v>#N/A</v>
      </c>
      <c r="AN193" s="95" t="e">
        <f>VLOOKUP(TableWRRanks3242[[#This Row],[Player]],WR!B:O,13,FALSE)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VLOOKUP(TableWRRanks3242[[#This Row],[RK]],Rankings!A:T,13,FALSE)</f>
        <v>#N/A</v>
      </c>
      <c r="AF194" s="58" t="str">
        <f>IFERROR(INDEX(TableWRCalcPts[TM],MATCH(TableWRRanks3242[[#This Row],[Player]],TableWRCalcPts[PLAYER],0)),"")</f>
        <v/>
      </c>
      <c r="AG194" s="58" t="str">
        <f>IFERROR(INDEX(TableWRCalcPts[BYE],MATCH(TableWRRanks3242[[#This Row],[Player]],TableWRCalcPts[PLAYER],0)),"")</f>
        <v/>
      </c>
      <c r="AH194" s="100" t="e">
        <f>VLOOKUP(TableWRRanks3242[[#This Row],[Player]],WR!B:O,4,FALSE)</f>
        <v>#N/A</v>
      </c>
      <c r="AI194" s="100" t="e">
        <f>VLOOKUP(TableWRRanks3242[[#This Row],[Player]],WR!B:O,5,FALSE)</f>
        <v>#N/A</v>
      </c>
      <c r="AJ194" s="100" t="e">
        <f>VLOOKUP(TableWRRanks3242[[#This Row],[Player]],WR!B:O,6,FALSE)</f>
        <v>#N/A</v>
      </c>
      <c r="AK194" s="100" t="e">
        <f>VLOOKUP(TableWRRanks3242[[#This Row],[Player]],WR!B:O,7,FALSE)</f>
        <v>#N/A</v>
      </c>
      <c r="AL194" s="100" t="e">
        <f>VLOOKUP(TableWRRanks3242[[#This Row],[Player]],WR!B:O,8,FALSE)</f>
        <v>#N/A</v>
      </c>
      <c r="AM194" s="100" t="e">
        <f>VLOOKUP(TableWRRanks3242[[#This Row],[Player]],WR!B:O,9,FALSE)</f>
        <v>#N/A</v>
      </c>
      <c r="AN194" s="95" t="e">
        <f>VLOOKUP(TableWRRanks3242[[#This Row],[Player]],WR!B:O,13,FALSE)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VLOOKUP(TableWRRanks3242[[#This Row],[RK]],Rankings!A:T,13,FALSE)</f>
        <v>#N/A</v>
      </c>
      <c r="AF195" s="58" t="str">
        <f>IFERROR(INDEX(TableWRCalcPts[TM],MATCH(TableWRRanks3242[[#This Row],[Player]],TableWRCalcPts[PLAYER],0)),"")</f>
        <v/>
      </c>
      <c r="AG195" s="58" t="str">
        <f>IFERROR(INDEX(TableWRCalcPts[BYE],MATCH(TableWRRanks3242[[#This Row],[Player]],TableWRCalcPts[PLAYER],0)),"")</f>
        <v/>
      </c>
      <c r="AH195" s="100" t="e">
        <f>VLOOKUP(TableWRRanks3242[[#This Row],[Player]],WR!B:O,4,FALSE)</f>
        <v>#N/A</v>
      </c>
      <c r="AI195" s="100" t="e">
        <f>VLOOKUP(TableWRRanks3242[[#This Row],[Player]],WR!B:O,5,FALSE)</f>
        <v>#N/A</v>
      </c>
      <c r="AJ195" s="100" t="e">
        <f>VLOOKUP(TableWRRanks3242[[#This Row],[Player]],WR!B:O,6,FALSE)</f>
        <v>#N/A</v>
      </c>
      <c r="AK195" s="100" t="e">
        <f>VLOOKUP(TableWRRanks3242[[#This Row],[Player]],WR!B:O,7,FALSE)</f>
        <v>#N/A</v>
      </c>
      <c r="AL195" s="100" t="e">
        <f>VLOOKUP(TableWRRanks3242[[#This Row],[Player]],WR!B:O,8,FALSE)</f>
        <v>#N/A</v>
      </c>
      <c r="AM195" s="100" t="e">
        <f>VLOOKUP(TableWRRanks3242[[#This Row],[Player]],WR!B:O,9,FALSE)</f>
        <v>#N/A</v>
      </c>
      <c r="AN195" s="95" t="e">
        <f>VLOOKUP(TableWRRanks3242[[#This Row],[Player]],WR!B:O,13,FALSE)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VLOOKUP(TableWRRanks3242[[#This Row],[RK]],Rankings!A:T,13,FALSE)</f>
        <v>#N/A</v>
      </c>
      <c r="AF196" s="58" t="str">
        <f>IFERROR(INDEX(TableWRCalcPts[TM],MATCH(TableWRRanks3242[[#This Row],[Player]],TableWRCalcPts[PLAYER],0)),"")</f>
        <v/>
      </c>
      <c r="AG196" s="58" t="str">
        <f>IFERROR(INDEX(TableWRCalcPts[BYE],MATCH(TableWRRanks3242[[#This Row],[Player]],TableWRCalcPts[PLAYER],0)),"")</f>
        <v/>
      </c>
      <c r="AH196" s="100" t="e">
        <f>VLOOKUP(TableWRRanks3242[[#This Row],[Player]],WR!B:O,4,FALSE)</f>
        <v>#N/A</v>
      </c>
      <c r="AI196" s="100" t="e">
        <f>VLOOKUP(TableWRRanks3242[[#This Row],[Player]],WR!B:O,5,FALSE)</f>
        <v>#N/A</v>
      </c>
      <c r="AJ196" s="100" t="e">
        <f>VLOOKUP(TableWRRanks3242[[#This Row],[Player]],WR!B:O,6,FALSE)</f>
        <v>#N/A</v>
      </c>
      <c r="AK196" s="100" t="e">
        <f>VLOOKUP(TableWRRanks3242[[#This Row],[Player]],WR!B:O,7,FALSE)</f>
        <v>#N/A</v>
      </c>
      <c r="AL196" s="100" t="e">
        <f>VLOOKUP(TableWRRanks3242[[#This Row],[Player]],WR!B:O,8,FALSE)</f>
        <v>#N/A</v>
      </c>
      <c r="AM196" s="100" t="e">
        <f>VLOOKUP(TableWRRanks3242[[#This Row],[Player]],WR!B:O,9,FALSE)</f>
        <v>#N/A</v>
      </c>
      <c r="AN196" s="95" t="e">
        <f>VLOOKUP(TableWRRanks3242[[#This Row],[Player]],WR!B:O,13,FALSE)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VLOOKUP(TableWRRanks3242[[#This Row],[RK]],Rankings!A:T,13,FALSE)</f>
        <v>#N/A</v>
      </c>
      <c r="AF197" s="58" t="str">
        <f>IFERROR(INDEX(TableWRCalcPts[TM],MATCH(TableWRRanks3242[[#This Row],[Player]],TableWRCalcPts[PLAYER],0)),"")</f>
        <v/>
      </c>
      <c r="AG197" s="58" t="str">
        <f>IFERROR(INDEX(TableWRCalcPts[BYE],MATCH(TableWRRanks3242[[#This Row],[Player]],TableWRCalcPts[PLAYER],0)),"")</f>
        <v/>
      </c>
      <c r="AH197" s="100" t="e">
        <f>VLOOKUP(TableWRRanks3242[[#This Row],[Player]],WR!B:O,4,FALSE)</f>
        <v>#N/A</v>
      </c>
      <c r="AI197" s="100" t="e">
        <f>VLOOKUP(TableWRRanks3242[[#This Row],[Player]],WR!B:O,5,FALSE)</f>
        <v>#N/A</v>
      </c>
      <c r="AJ197" s="100" t="e">
        <f>VLOOKUP(TableWRRanks3242[[#This Row],[Player]],WR!B:O,6,FALSE)</f>
        <v>#N/A</v>
      </c>
      <c r="AK197" s="100" t="e">
        <f>VLOOKUP(TableWRRanks3242[[#This Row],[Player]],WR!B:O,7,FALSE)</f>
        <v>#N/A</v>
      </c>
      <c r="AL197" s="100" t="e">
        <f>VLOOKUP(TableWRRanks3242[[#This Row],[Player]],WR!B:O,8,FALSE)</f>
        <v>#N/A</v>
      </c>
      <c r="AM197" s="100" t="e">
        <f>VLOOKUP(TableWRRanks3242[[#This Row],[Player]],WR!B:O,9,FALSE)</f>
        <v>#N/A</v>
      </c>
      <c r="AN197" s="95" t="e">
        <f>VLOOKUP(TableWRRanks3242[[#This Row],[Player]],WR!B:O,13,FALSE)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VLOOKUP(TableWRRanks3242[[#This Row],[RK]],Rankings!A:T,13,FALSE)</f>
        <v>#N/A</v>
      </c>
      <c r="AF198" s="58" t="str">
        <f>IFERROR(INDEX(TableWRCalcPts[TM],MATCH(TableWRRanks3242[[#This Row],[Player]],TableWRCalcPts[PLAYER],0)),"")</f>
        <v/>
      </c>
      <c r="AG198" s="58" t="str">
        <f>IFERROR(INDEX(TableWRCalcPts[BYE],MATCH(TableWRRanks3242[[#This Row],[Player]],TableWRCalcPts[PLAYER],0)),"")</f>
        <v/>
      </c>
      <c r="AH198" s="100" t="e">
        <f>VLOOKUP(TableWRRanks3242[[#This Row],[Player]],WR!B:O,4,FALSE)</f>
        <v>#N/A</v>
      </c>
      <c r="AI198" s="100" t="e">
        <f>VLOOKUP(TableWRRanks3242[[#This Row],[Player]],WR!B:O,5,FALSE)</f>
        <v>#N/A</v>
      </c>
      <c r="AJ198" s="100" t="e">
        <f>VLOOKUP(TableWRRanks3242[[#This Row],[Player]],WR!B:O,6,FALSE)</f>
        <v>#N/A</v>
      </c>
      <c r="AK198" s="100" t="e">
        <f>VLOOKUP(TableWRRanks3242[[#This Row],[Player]],WR!B:O,7,FALSE)</f>
        <v>#N/A</v>
      </c>
      <c r="AL198" s="100" t="e">
        <f>VLOOKUP(TableWRRanks3242[[#This Row],[Player]],WR!B:O,8,FALSE)</f>
        <v>#N/A</v>
      </c>
      <c r="AM198" s="100" t="e">
        <f>VLOOKUP(TableWRRanks3242[[#This Row],[Player]],WR!B:O,9,FALSE)</f>
        <v>#N/A</v>
      </c>
      <c r="AN198" s="95" t="e">
        <f>VLOOKUP(TableWRRanks3242[[#This Row],[Player]],WR!B:O,13,FALSE)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VLOOKUP(TableWRRanks3242[[#This Row],[RK]],Rankings!A:T,13,FALSE)</f>
        <v>#N/A</v>
      </c>
      <c r="AF199" s="58" t="str">
        <f>IFERROR(INDEX(TableWRCalcPts[TM],MATCH(TableWRRanks3242[[#This Row],[Player]],TableWRCalcPts[PLAYER],0)),"")</f>
        <v/>
      </c>
      <c r="AG199" s="58" t="str">
        <f>IFERROR(INDEX(TableWRCalcPts[BYE],MATCH(TableWRRanks3242[[#This Row],[Player]],TableWRCalcPts[PLAYER],0)),"")</f>
        <v/>
      </c>
      <c r="AH199" s="100" t="e">
        <f>VLOOKUP(TableWRRanks3242[[#This Row],[Player]],WR!B:O,4,FALSE)</f>
        <v>#N/A</v>
      </c>
      <c r="AI199" s="100" t="e">
        <f>VLOOKUP(TableWRRanks3242[[#This Row],[Player]],WR!B:O,5,FALSE)</f>
        <v>#N/A</v>
      </c>
      <c r="AJ199" s="100" t="e">
        <f>VLOOKUP(TableWRRanks3242[[#This Row],[Player]],WR!B:O,6,FALSE)</f>
        <v>#N/A</v>
      </c>
      <c r="AK199" s="100" t="e">
        <f>VLOOKUP(TableWRRanks3242[[#This Row],[Player]],WR!B:O,7,FALSE)</f>
        <v>#N/A</v>
      </c>
      <c r="AL199" s="100" t="e">
        <f>VLOOKUP(TableWRRanks3242[[#This Row],[Player]],WR!B:O,8,FALSE)</f>
        <v>#N/A</v>
      </c>
      <c r="AM199" s="100" t="e">
        <f>VLOOKUP(TableWRRanks3242[[#This Row],[Player]],WR!B:O,9,FALSE)</f>
        <v>#N/A</v>
      </c>
      <c r="AN199" s="95" t="e">
        <f>VLOOKUP(TableWRRanks3242[[#This Row],[Player]],WR!B:O,13,FALSE)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VLOOKUP(TableWRRanks3242[[#This Row],[RK]],Rankings!A:T,13,FALSE)</f>
        <v>#N/A</v>
      </c>
      <c r="AF200" s="58" t="str">
        <f>IFERROR(INDEX(TableWRCalcPts[TM],MATCH(TableWRRanks3242[[#This Row],[Player]],TableWRCalcPts[PLAYER],0)),"")</f>
        <v/>
      </c>
      <c r="AG200" s="58" t="str">
        <f>IFERROR(INDEX(TableWRCalcPts[BYE],MATCH(TableWRRanks3242[[#This Row],[Player]],TableWRCalcPts[PLAYER],0)),"")</f>
        <v/>
      </c>
      <c r="AH200" s="100" t="e">
        <f>VLOOKUP(TableWRRanks3242[[#This Row],[Player]],WR!B:O,4,FALSE)</f>
        <v>#N/A</v>
      </c>
      <c r="AI200" s="100" t="e">
        <f>VLOOKUP(TableWRRanks3242[[#This Row],[Player]],WR!B:O,5,FALSE)</f>
        <v>#N/A</v>
      </c>
      <c r="AJ200" s="100" t="e">
        <f>VLOOKUP(TableWRRanks3242[[#This Row],[Player]],WR!B:O,6,FALSE)</f>
        <v>#N/A</v>
      </c>
      <c r="AK200" s="100" t="e">
        <f>VLOOKUP(TableWRRanks3242[[#This Row],[Player]],WR!B:O,7,FALSE)</f>
        <v>#N/A</v>
      </c>
      <c r="AL200" s="100" t="e">
        <f>VLOOKUP(TableWRRanks3242[[#This Row],[Player]],WR!B:O,8,FALSE)</f>
        <v>#N/A</v>
      </c>
      <c r="AM200" s="100" t="e">
        <f>VLOOKUP(TableWRRanks3242[[#This Row],[Player]],WR!B:O,9,FALSE)</f>
        <v>#N/A</v>
      </c>
      <c r="AN200" s="95" t="e">
        <f>VLOOKUP(TableWRRanks3242[[#This Row],[Player]],WR!B:O,13,FALSE)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VLOOKUP(TableWRRanks3242[[#This Row],[RK]],Rankings!A:T,13,FALSE)</f>
        <v>#N/A</v>
      </c>
      <c r="AF201" s="58" t="str">
        <f>IFERROR(INDEX(TableWRCalcPts[TM],MATCH(TableWRRanks3242[[#This Row],[Player]],TableWRCalcPts[PLAYER],0)),"")</f>
        <v/>
      </c>
      <c r="AG201" s="58" t="str">
        <f>IFERROR(INDEX(TableWRCalcPts[BYE],MATCH(TableWRRanks3242[[#This Row],[Player]],TableWRCalcPts[PLAYER],0)),"")</f>
        <v/>
      </c>
      <c r="AH201" s="100" t="e">
        <f>VLOOKUP(TableWRRanks3242[[#This Row],[Player]],WR!B:O,4,FALSE)</f>
        <v>#N/A</v>
      </c>
      <c r="AI201" s="100" t="e">
        <f>VLOOKUP(TableWRRanks3242[[#This Row],[Player]],WR!B:O,5,FALSE)</f>
        <v>#N/A</v>
      </c>
      <c r="AJ201" s="100" t="e">
        <f>VLOOKUP(TableWRRanks3242[[#This Row],[Player]],WR!B:O,6,FALSE)</f>
        <v>#N/A</v>
      </c>
      <c r="AK201" s="100" t="e">
        <f>VLOOKUP(TableWRRanks3242[[#This Row],[Player]],WR!B:O,7,FALSE)</f>
        <v>#N/A</v>
      </c>
      <c r="AL201" s="100" t="e">
        <f>VLOOKUP(TableWRRanks3242[[#This Row],[Player]],WR!B:O,8,FALSE)</f>
        <v>#N/A</v>
      </c>
      <c r="AM201" s="100" t="e">
        <f>VLOOKUP(TableWRRanks3242[[#This Row],[Player]],WR!B:O,9,FALSE)</f>
        <v>#N/A</v>
      </c>
      <c r="AN201" s="95" t="e">
        <f>VLOOKUP(TableWRRanks3242[[#This Row],[Player]],WR!B:O,13,FALSE)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VLOOKUP(TableWRRanks3242[[#This Row],[RK]],Rankings!A:T,13,FALSE)</f>
        <v>#N/A</v>
      </c>
      <c r="AF202" s="58" t="str">
        <f>IFERROR(INDEX(TableWRCalcPts[TM],MATCH(TableWRRanks3242[[#This Row],[Player]],TableWRCalcPts[PLAYER],0)),"")</f>
        <v/>
      </c>
      <c r="AG202" s="58" t="str">
        <f>IFERROR(INDEX(TableWRCalcPts[BYE],MATCH(TableWRRanks3242[[#This Row],[Player]],TableWRCalcPts[PLAYER],0)),"")</f>
        <v/>
      </c>
      <c r="AH202" s="100" t="e">
        <f>VLOOKUP(TableWRRanks3242[[#This Row],[Player]],WR!B:O,4,FALSE)</f>
        <v>#N/A</v>
      </c>
      <c r="AI202" s="100" t="e">
        <f>VLOOKUP(TableWRRanks3242[[#This Row],[Player]],WR!B:O,5,FALSE)</f>
        <v>#N/A</v>
      </c>
      <c r="AJ202" s="100" t="e">
        <f>VLOOKUP(TableWRRanks3242[[#This Row],[Player]],WR!B:O,6,FALSE)</f>
        <v>#N/A</v>
      </c>
      <c r="AK202" s="100" t="e">
        <f>VLOOKUP(TableWRRanks3242[[#This Row],[Player]],WR!B:O,7,FALSE)</f>
        <v>#N/A</v>
      </c>
      <c r="AL202" s="100" t="e">
        <f>VLOOKUP(TableWRRanks3242[[#This Row],[Player]],WR!B:O,8,FALSE)</f>
        <v>#N/A</v>
      </c>
      <c r="AM202" s="100" t="e">
        <f>VLOOKUP(TableWRRanks3242[[#This Row],[Player]],WR!B:O,9,FALSE)</f>
        <v>#N/A</v>
      </c>
      <c r="AN202" s="95" t="e">
        <f>VLOOKUP(TableWRRanks3242[[#This Row],[Player]],WR!B:O,13,FALSE)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VLOOKUP(TableWRRanks3242[[#This Row],[RK]],Rankings!A:T,13,FALSE)</f>
        <v>#N/A</v>
      </c>
      <c r="AF203" s="58" t="str">
        <f>IFERROR(INDEX(TableWRCalcPts[TM],MATCH(TableWRRanks3242[[#This Row],[Player]],TableWRCalcPts[PLAYER],0)),"")</f>
        <v/>
      </c>
      <c r="AG203" s="58" t="str">
        <f>IFERROR(INDEX(TableWRCalcPts[BYE],MATCH(TableWRRanks3242[[#This Row],[Player]],TableWRCalcPts[PLAYER],0)),"")</f>
        <v/>
      </c>
      <c r="AH203" s="100" t="e">
        <f>VLOOKUP(TableWRRanks3242[[#This Row],[Player]],WR!B:O,4,FALSE)</f>
        <v>#N/A</v>
      </c>
      <c r="AI203" s="100" t="e">
        <f>VLOOKUP(TableWRRanks3242[[#This Row],[Player]],WR!B:O,5,FALSE)</f>
        <v>#N/A</v>
      </c>
      <c r="AJ203" s="100" t="e">
        <f>VLOOKUP(TableWRRanks3242[[#This Row],[Player]],WR!B:O,6,FALSE)</f>
        <v>#N/A</v>
      </c>
      <c r="AK203" s="100" t="e">
        <f>VLOOKUP(TableWRRanks3242[[#This Row],[Player]],WR!B:O,7,FALSE)</f>
        <v>#N/A</v>
      </c>
      <c r="AL203" s="100" t="e">
        <f>VLOOKUP(TableWRRanks3242[[#This Row],[Player]],WR!B:O,8,FALSE)</f>
        <v>#N/A</v>
      </c>
      <c r="AM203" s="100" t="e">
        <f>VLOOKUP(TableWRRanks3242[[#This Row],[Player]],WR!B:O,9,FALSE)</f>
        <v>#N/A</v>
      </c>
      <c r="AN203" s="95" t="e">
        <f>VLOOKUP(TableWRRanks3242[[#This Row],[Player]],WR!B:O,13,FALSE)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VLOOKUP(TableWRRanks3242[[#This Row],[RK]],Rankings!A:T,13,FALSE)</f>
        <v>#N/A</v>
      </c>
      <c r="AF204" s="58" t="str">
        <f>IFERROR(INDEX(TableWRCalcPts[TM],MATCH(TableWRRanks3242[[#This Row],[Player]],TableWRCalcPts[PLAYER],0)),"")</f>
        <v/>
      </c>
      <c r="AG204" s="58" t="str">
        <f>IFERROR(INDEX(TableWRCalcPts[BYE],MATCH(TableWRRanks3242[[#This Row],[Player]],TableWRCalcPts[PLAYER],0)),"")</f>
        <v/>
      </c>
      <c r="AH204" s="100" t="e">
        <f>VLOOKUP(TableWRRanks3242[[#This Row],[Player]],WR!B:O,4,FALSE)</f>
        <v>#N/A</v>
      </c>
      <c r="AI204" s="100" t="e">
        <f>VLOOKUP(TableWRRanks3242[[#This Row],[Player]],WR!B:O,5,FALSE)</f>
        <v>#N/A</v>
      </c>
      <c r="AJ204" s="100" t="e">
        <f>VLOOKUP(TableWRRanks3242[[#This Row],[Player]],WR!B:O,6,FALSE)</f>
        <v>#N/A</v>
      </c>
      <c r="AK204" s="100" t="e">
        <f>VLOOKUP(TableWRRanks3242[[#This Row],[Player]],WR!B:O,7,FALSE)</f>
        <v>#N/A</v>
      </c>
      <c r="AL204" s="100" t="e">
        <f>VLOOKUP(TableWRRanks3242[[#This Row],[Player]],WR!B:O,8,FALSE)</f>
        <v>#N/A</v>
      </c>
      <c r="AM204" s="100" t="e">
        <f>VLOOKUP(TableWRRanks3242[[#This Row],[Player]],WR!B:O,9,FALSE)</f>
        <v>#N/A</v>
      </c>
      <c r="AN204" s="95" t="e">
        <f>VLOOKUP(TableWRRanks3242[[#This Row],[Player]],WR!B:O,13,FALSE)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VLOOKUP(TableWRRanks3242[[#This Row],[RK]],Rankings!A:T,13,FALSE)</f>
        <v>#N/A</v>
      </c>
      <c r="AF205" s="58" t="str">
        <f>IFERROR(INDEX(TableWRCalcPts[TM],MATCH(TableWRRanks3242[[#This Row],[Player]],TableWRCalcPts[PLAYER],0)),"")</f>
        <v/>
      </c>
      <c r="AG205" s="58" t="str">
        <f>IFERROR(INDEX(TableWRCalcPts[BYE],MATCH(TableWRRanks3242[[#This Row],[Player]],TableWRCalcPts[PLAYER],0)),"")</f>
        <v/>
      </c>
      <c r="AH205" s="100" t="e">
        <f>VLOOKUP(TableWRRanks3242[[#This Row],[Player]],WR!B:O,4,FALSE)</f>
        <v>#N/A</v>
      </c>
      <c r="AI205" s="100" t="e">
        <f>VLOOKUP(TableWRRanks3242[[#This Row],[Player]],WR!B:O,5,FALSE)</f>
        <v>#N/A</v>
      </c>
      <c r="AJ205" s="100" t="e">
        <f>VLOOKUP(TableWRRanks3242[[#This Row],[Player]],WR!B:O,6,FALSE)</f>
        <v>#N/A</v>
      </c>
      <c r="AK205" s="100" t="e">
        <f>VLOOKUP(TableWRRanks3242[[#This Row],[Player]],WR!B:O,7,FALSE)</f>
        <v>#N/A</v>
      </c>
      <c r="AL205" s="100" t="e">
        <f>VLOOKUP(TableWRRanks3242[[#This Row],[Player]],WR!B:O,8,FALSE)</f>
        <v>#N/A</v>
      </c>
      <c r="AM205" s="100" t="e">
        <f>VLOOKUP(TableWRRanks3242[[#This Row],[Player]],WR!B:O,9,FALSE)</f>
        <v>#N/A</v>
      </c>
      <c r="AN205" s="95" t="e">
        <f>VLOOKUP(TableWRRanks3242[[#This Row],[Player]],WR!B:O,13,FALSE)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VLOOKUP(TableWRRanks3242[[#This Row],[RK]],Rankings!A:T,13,FALSE)</f>
        <v>#N/A</v>
      </c>
      <c r="AF206" s="58" t="str">
        <f>IFERROR(INDEX(TableWRCalcPts[TM],MATCH(TableWRRanks3242[[#This Row],[Player]],TableWRCalcPts[PLAYER],0)),"")</f>
        <v/>
      </c>
      <c r="AG206" s="58" t="str">
        <f>IFERROR(INDEX(TableWRCalcPts[BYE],MATCH(TableWRRanks3242[[#This Row],[Player]],TableWRCalcPts[PLAYER],0)),"")</f>
        <v/>
      </c>
      <c r="AH206" s="100" t="e">
        <f>VLOOKUP(TableWRRanks3242[[#This Row],[Player]],WR!B:O,4,FALSE)</f>
        <v>#N/A</v>
      </c>
      <c r="AI206" s="100" t="e">
        <f>VLOOKUP(TableWRRanks3242[[#This Row],[Player]],WR!B:O,5,FALSE)</f>
        <v>#N/A</v>
      </c>
      <c r="AJ206" s="100" t="e">
        <f>VLOOKUP(TableWRRanks3242[[#This Row],[Player]],WR!B:O,6,FALSE)</f>
        <v>#N/A</v>
      </c>
      <c r="AK206" s="100" t="e">
        <f>VLOOKUP(TableWRRanks3242[[#This Row],[Player]],WR!B:O,7,FALSE)</f>
        <v>#N/A</v>
      </c>
      <c r="AL206" s="100" t="e">
        <f>VLOOKUP(TableWRRanks3242[[#This Row],[Player]],WR!B:O,8,FALSE)</f>
        <v>#N/A</v>
      </c>
      <c r="AM206" s="100" t="e">
        <f>VLOOKUP(TableWRRanks3242[[#This Row],[Player]],WR!B:O,9,FALSE)</f>
        <v>#N/A</v>
      </c>
      <c r="AN206" s="95" t="e">
        <f>VLOOKUP(TableWRRanks3242[[#This Row],[Player]],WR!B:O,13,FALSE)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VLOOKUP(TableWRRanks3242[[#This Row],[RK]],Rankings!A:T,13,FALSE)</f>
        <v>#N/A</v>
      </c>
      <c r="AF207" s="58" t="str">
        <f>IFERROR(INDEX(TableWRCalcPts[TM],MATCH(TableWRRanks3242[[#This Row],[Player]],TableWRCalcPts[PLAYER],0)),"")</f>
        <v/>
      </c>
      <c r="AG207" s="58" t="str">
        <f>IFERROR(INDEX(TableWRCalcPts[BYE],MATCH(TableWRRanks3242[[#This Row],[Player]],TableWRCalcPts[PLAYER],0)),"")</f>
        <v/>
      </c>
      <c r="AH207" s="100" t="e">
        <f>VLOOKUP(TableWRRanks3242[[#This Row],[Player]],WR!B:O,4,FALSE)</f>
        <v>#N/A</v>
      </c>
      <c r="AI207" s="100" t="e">
        <f>VLOOKUP(TableWRRanks3242[[#This Row],[Player]],WR!B:O,5,FALSE)</f>
        <v>#N/A</v>
      </c>
      <c r="AJ207" s="100" t="e">
        <f>VLOOKUP(TableWRRanks3242[[#This Row],[Player]],WR!B:O,6,FALSE)</f>
        <v>#N/A</v>
      </c>
      <c r="AK207" s="100" t="e">
        <f>VLOOKUP(TableWRRanks3242[[#This Row],[Player]],WR!B:O,7,FALSE)</f>
        <v>#N/A</v>
      </c>
      <c r="AL207" s="100" t="e">
        <f>VLOOKUP(TableWRRanks3242[[#This Row],[Player]],WR!B:O,8,FALSE)</f>
        <v>#N/A</v>
      </c>
      <c r="AM207" s="100" t="e">
        <f>VLOOKUP(TableWRRanks3242[[#This Row],[Player]],WR!B:O,9,FALSE)</f>
        <v>#N/A</v>
      </c>
      <c r="AN207" s="95" t="e">
        <f>VLOOKUP(TableWRRanks3242[[#This Row],[Player]],WR!B:O,13,FALSE)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VLOOKUP(TableWRRanks3242[[#This Row],[RK]],Rankings!A:T,13,FALSE)</f>
        <v>#N/A</v>
      </c>
      <c r="AF208" s="58" t="str">
        <f>IFERROR(INDEX(TableWRCalcPts[TM],MATCH(TableWRRanks3242[[#This Row],[Player]],TableWRCalcPts[PLAYER],0)),"")</f>
        <v/>
      </c>
      <c r="AG208" s="58" t="str">
        <f>IFERROR(INDEX(TableWRCalcPts[BYE],MATCH(TableWRRanks3242[[#This Row],[Player]],TableWRCalcPts[PLAYER],0)),"")</f>
        <v/>
      </c>
      <c r="AH208" s="100" t="e">
        <f>VLOOKUP(TableWRRanks3242[[#This Row],[Player]],WR!B:O,4,FALSE)</f>
        <v>#N/A</v>
      </c>
      <c r="AI208" s="100" t="e">
        <f>VLOOKUP(TableWRRanks3242[[#This Row],[Player]],WR!B:O,5,FALSE)</f>
        <v>#N/A</v>
      </c>
      <c r="AJ208" s="100" t="e">
        <f>VLOOKUP(TableWRRanks3242[[#This Row],[Player]],WR!B:O,6,FALSE)</f>
        <v>#N/A</v>
      </c>
      <c r="AK208" s="100" t="e">
        <f>VLOOKUP(TableWRRanks3242[[#This Row],[Player]],WR!B:O,7,FALSE)</f>
        <v>#N/A</v>
      </c>
      <c r="AL208" s="100" t="e">
        <f>VLOOKUP(TableWRRanks3242[[#This Row],[Player]],WR!B:O,8,FALSE)</f>
        <v>#N/A</v>
      </c>
      <c r="AM208" s="100" t="e">
        <f>VLOOKUP(TableWRRanks3242[[#This Row],[Player]],WR!B:O,9,FALSE)</f>
        <v>#N/A</v>
      </c>
      <c r="AN208" s="95" t="e">
        <f>VLOOKUP(TableWRRanks3242[[#This Row],[Player]],WR!B:O,13,FALSE)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VLOOKUP(TableWRRanks3242[[#This Row],[RK]],Rankings!A:T,13,FALSE)</f>
        <v>#N/A</v>
      </c>
      <c r="AF209" s="58" t="str">
        <f>IFERROR(INDEX(TableWRCalcPts[TM],MATCH(TableWRRanks3242[[#This Row],[Player]],TableWRCalcPts[PLAYER],0)),"")</f>
        <v/>
      </c>
      <c r="AG209" s="58" t="str">
        <f>IFERROR(INDEX(TableWRCalcPts[BYE],MATCH(TableWRRanks3242[[#This Row],[Player]],TableWRCalcPts[PLAYER],0)),"")</f>
        <v/>
      </c>
      <c r="AH209" s="100" t="e">
        <f>VLOOKUP(TableWRRanks3242[[#This Row],[Player]],WR!B:O,4,FALSE)</f>
        <v>#N/A</v>
      </c>
      <c r="AI209" s="100" t="e">
        <f>VLOOKUP(TableWRRanks3242[[#This Row],[Player]],WR!B:O,5,FALSE)</f>
        <v>#N/A</v>
      </c>
      <c r="AJ209" s="100" t="e">
        <f>VLOOKUP(TableWRRanks3242[[#This Row],[Player]],WR!B:O,6,FALSE)</f>
        <v>#N/A</v>
      </c>
      <c r="AK209" s="100" t="e">
        <f>VLOOKUP(TableWRRanks3242[[#This Row],[Player]],WR!B:O,7,FALSE)</f>
        <v>#N/A</v>
      </c>
      <c r="AL209" s="100" t="e">
        <f>VLOOKUP(TableWRRanks3242[[#This Row],[Player]],WR!B:O,8,FALSE)</f>
        <v>#N/A</v>
      </c>
      <c r="AM209" s="100" t="e">
        <f>VLOOKUP(TableWRRanks3242[[#This Row],[Player]],WR!B:O,9,FALSE)</f>
        <v>#N/A</v>
      </c>
      <c r="AN209" s="95" t="e">
        <f>VLOOKUP(TableWRRanks3242[[#This Row],[Player]],WR!B:O,13,FALSE)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VLOOKUP(TableWRRanks3242[[#This Row],[RK]],Rankings!A:T,13,FALSE)</f>
        <v>#N/A</v>
      </c>
      <c r="AF210" s="58" t="str">
        <f>IFERROR(INDEX(TableWRCalcPts[TM],MATCH(TableWRRanks3242[[#This Row],[Player]],TableWRCalcPts[PLAYER],0)),"")</f>
        <v/>
      </c>
      <c r="AG210" s="58" t="str">
        <f>IFERROR(INDEX(TableWRCalcPts[BYE],MATCH(TableWRRanks3242[[#This Row],[Player]],TableWRCalcPts[PLAYER],0)),"")</f>
        <v/>
      </c>
      <c r="AH210" s="100" t="e">
        <f>VLOOKUP(TableWRRanks3242[[#This Row],[Player]],WR!B:O,4,FALSE)</f>
        <v>#N/A</v>
      </c>
      <c r="AI210" s="100" t="e">
        <f>VLOOKUP(TableWRRanks3242[[#This Row],[Player]],WR!B:O,5,FALSE)</f>
        <v>#N/A</v>
      </c>
      <c r="AJ210" s="100" t="e">
        <f>VLOOKUP(TableWRRanks3242[[#This Row],[Player]],WR!B:O,6,FALSE)</f>
        <v>#N/A</v>
      </c>
      <c r="AK210" s="100" t="e">
        <f>VLOOKUP(TableWRRanks3242[[#This Row],[Player]],WR!B:O,7,FALSE)</f>
        <v>#N/A</v>
      </c>
      <c r="AL210" s="100" t="e">
        <f>VLOOKUP(TableWRRanks3242[[#This Row],[Player]],WR!B:O,8,FALSE)</f>
        <v>#N/A</v>
      </c>
      <c r="AM210" s="100" t="e">
        <f>VLOOKUP(TableWRRanks3242[[#This Row],[Player]],WR!B:O,9,FALSE)</f>
        <v>#N/A</v>
      </c>
      <c r="AN210" s="95" t="e">
        <f>VLOOKUP(TableWRRanks3242[[#This Row],[Player]],WR!B:O,13,FALSE)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VLOOKUP(TableWRRanks3242[[#This Row],[RK]],Rankings!A:T,13,FALSE)</f>
        <v>#N/A</v>
      </c>
      <c r="AF211" s="58" t="str">
        <f>IFERROR(INDEX(TableWRCalcPts[TM],MATCH(TableWRRanks3242[[#This Row],[Player]],TableWRCalcPts[PLAYER],0)),"")</f>
        <v/>
      </c>
      <c r="AG211" s="58" t="str">
        <f>IFERROR(INDEX(TableWRCalcPts[BYE],MATCH(TableWRRanks3242[[#This Row],[Player]],TableWRCalcPts[PLAYER],0)),"")</f>
        <v/>
      </c>
      <c r="AH211" s="100" t="e">
        <f>VLOOKUP(TableWRRanks3242[[#This Row],[Player]],WR!B:O,4,FALSE)</f>
        <v>#N/A</v>
      </c>
      <c r="AI211" s="100" t="e">
        <f>VLOOKUP(TableWRRanks3242[[#This Row],[Player]],WR!B:O,5,FALSE)</f>
        <v>#N/A</v>
      </c>
      <c r="AJ211" s="100" t="e">
        <f>VLOOKUP(TableWRRanks3242[[#This Row],[Player]],WR!B:O,6,FALSE)</f>
        <v>#N/A</v>
      </c>
      <c r="AK211" s="100" t="e">
        <f>VLOOKUP(TableWRRanks3242[[#This Row],[Player]],WR!B:O,7,FALSE)</f>
        <v>#N/A</v>
      </c>
      <c r="AL211" s="100" t="e">
        <f>VLOOKUP(TableWRRanks3242[[#This Row],[Player]],WR!B:O,8,FALSE)</f>
        <v>#N/A</v>
      </c>
      <c r="AM211" s="100" t="e">
        <f>VLOOKUP(TableWRRanks3242[[#This Row],[Player]],WR!B:O,9,FALSE)</f>
        <v>#N/A</v>
      </c>
      <c r="AN211" s="95" t="e">
        <f>VLOOKUP(TableWRRanks3242[[#This Row],[Player]],WR!B:O,13,FALSE)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VLOOKUP(TableWRRanks3242[[#This Row],[RK]],Rankings!A:T,13,FALSE)</f>
        <v>#N/A</v>
      </c>
      <c r="AF212" s="58" t="str">
        <f>IFERROR(INDEX(TableWRCalcPts[TM],MATCH(TableWRRanks3242[[#This Row],[Player]],TableWRCalcPts[PLAYER],0)),"")</f>
        <v/>
      </c>
      <c r="AG212" s="58" t="str">
        <f>IFERROR(INDEX(TableWRCalcPts[BYE],MATCH(TableWRRanks3242[[#This Row],[Player]],TableWRCalcPts[PLAYER],0)),"")</f>
        <v/>
      </c>
      <c r="AH212" s="100" t="e">
        <f>VLOOKUP(TableWRRanks3242[[#This Row],[Player]],WR!B:O,4,FALSE)</f>
        <v>#N/A</v>
      </c>
      <c r="AI212" s="100" t="e">
        <f>VLOOKUP(TableWRRanks3242[[#This Row],[Player]],WR!B:O,5,FALSE)</f>
        <v>#N/A</v>
      </c>
      <c r="AJ212" s="100" t="e">
        <f>VLOOKUP(TableWRRanks3242[[#This Row],[Player]],WR!B:O,6,FALSE)</f>
        <v>#N/A</v>
      </c>
      <c r="AK212" s="100" t="e">
        <f>VLOOKUP(TableWRRanks3242[[#This Row],[Player]],WR!B:O,7,FALSE)</f>
        <v>#N/A</v>
      </c>
      <c r="AL212" s="100" t="e">
        <f>VLOOKUP(TableWRRanks3242[[#This Row],[Player]],WR!B:O,8,FALSE)</f>
        <v>#N/A</v>
      </c>
      <c r="AM212" s="100" t="e">
        <f>VLOOKUP(TableWRRanks3242[[#This Row],[Player]],WR!B:O,9,FALSE)</f>
        <v>#N/A</v>
      </c>
      <c r="AN212" s="95" t="e">
        <f>VLOOKUP(TableWRRanks3242[[#This Row],[Player]],WR!B:O,13,FALSE)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VLOOKUP(TableWRRanks3242[[#This Row],[RK]],Rankings!A:T,13,FALSE)</f>
        <v>#N/A</v>
      </c>
      <c r="AF213" s="58" t="str">
        <f>IFERROR(INDEX(TableWRCalcPts[TM],MATCH(TableWRRanks3242[[#This Row],[Player]],TableWRCalcPts[PLAYER],0)),"")</f>
        <v/>
      </c>
      <c r="AG213" s="58" t="str">
        <f>IFERROR(INDEX(TableWRCalcPts[BYE],MATCH(TableWRRanks3242[[#This Row],[Player]],TableWRCalcPts[PLAYER],0)),"")</f>
        <v/>
      </c>
      <c r="AH213" s="100" t="e">
        <f>VLOOKUP(TableWRRanks3242[[#This Row],[Player]],WR!B:O,4,FALSE)</f>
        <v>#N/A</v>
      </c>
      <c r="AI213" s="100" t="e">
        <f>VLOOKUP(TableWRRanks3242[[#This Row],[Player]],WR!B:O,5,FALSE)</f>
        <v>#N/A</v>
      </c>
      <c r="AJ213" s="100" t="e">
        <f>VLOOKUP(TableWRRanks3242[[#This Row],[Player]],WR!B:O,6,FALSE)</f>
        <v>#N/A</v>
      </c>
      <c r="AK213" s="100" t="e">
        <f>VLOOKUP(TableWRRanks3242[[#This Row],[Player]],WR!B:O,7,FALSE)</f>
        <v>#N/A</v>
      </c>
      <c r="AL213" s="100" t="e">
        <f>VLOOKUP(TableWRRanks3242[[#This Row],[Player]],WR!B:O,8,FALSE)</f>
        <v>#N/A</v>
      </c>
      <c r="AM213" s="100" t="e">
        <f>VLOOKUP(TableWRRanks3242[[#This Row],[Player]],WR!B:O,9,FALSE)</f>
        <v>#N/A</v>
      </c>
      <c r="AN213" s="95" t="e">
        <f>VLOOKUP(TableWRRanks3242[[#This Row],[Player]],WR!B:O,13,FALSE)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VLOOKUP(TableWRRanks3242[[#This Row],[RK]],Rankings!A:T,13,FALSE)</f>
        <v>#N/A</v>
      </c>
      <c r="AF214" s="58" t="str">
        <f>IFERROR(INDEX(TableWRCalcPts[TM],MATCH(TableWRRanks3242[[#This Row],[Player]],TableWRCalcPts[PLAYER],0)),"")</f>
        <v/>
      </c>
      <c r="AG214" s="58" t="str">
        <f>IFERROR(INDEX(TableWRCalcPts[BYE],MATCH(TableWRRanks3242[[#This Row],[Player]],TableWRCalcPts[PLAYER],0)),"")</f>
        <v/>
      </c>
      <c r="AH214" s="100" t="e">
        <f>VLOOKUP(TableWRRanks3242[[#This Row],[Player]],WR!B:O,4,FALSE)</f>
        <v>#N/A</v>
      </c>
      <c r="AI214" s="100" t="e">
        <f>VLOOKUP(TableWRRanks3242[[#This Row],[Player]],WR!B:O,5,FALSE)</f>
        <v>#N/A</v>
      </c>
      <c r="AJ214" s="100" t="e">
        <f>VLOOKUP(TableWRRanks3242[[#This Row],[Player]],WR!B:O,6,FALSE)</f>
        <v>#N/A</v>
      </c>
      <c r="AK214" s="100" t="e">
        <f>VLOOKUP(TableWRRanks3242[[#This Row],[Player]],WR!B:O,7,FALSE)</f>
        <v>#N/A</v>
      </c>
      <c r="AL214" s="100" t="e">
        <f>VLOOKUP(TableWRRanks3242[[#This Row],[Player]],WR!B:O,8,FALSE)</f>
        <v>#N/A</v>
      </c>
      <c r="AM214" s="100" t="e">
        <f>VLOOKUP(TableWRRanks3242[[#This Row],[Player]],WR!B:O,9,FALSE)</f>
        <v>#N/A</v>
      </c>
      <c r="AN214" s="95" t="e">
        <f>VLOOKUP(TableWRRanks3242[[#This Row],[Player]],WR!B:O,13,FALSE)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VLOOKUP(TableWRRanks3242[[#This Row],[RK]],Rankings!A:T,13,FALSE)</f>
        <v>#N/A</v>
      </c>
      <c r="AF215" s="58" t="str">
        <f>IFERROR(INDEX(TableWRCalcPts[TM],MATCH(TableWRRanks3242[[#This Row],[Player]],TableWRCalcPts[PLAYER],0)),"")</f>
        <v/>
      </c>
      <c r="AG215" s="58" t="str">
        <f>IFERROR(INDEX(TableWRCalcPts[BYE],MATCH(TableWRRanks3242[[#This Row],[Player]],TableWRCalcPts[PLAYER],0)),"")</f>
        <v/>
      </c>
      <c r="AH215" s="100" t="e">
        <f>VLOOKUP(TableWRRanks3242[[#This Row],[Player]],WR!B:O,4,FALSE)</f>
        <v>#N/A</v>
      </c>
      <c r="AI215" s="100" t="e">
        <f>VLOOKUP(TableWRRanks3242[[#This Row],[Player]],WR!B:O,5,FALSE)</f>
        <v>#N/A</v>
      </c>
      <c r="AJ215" s="100" t="e">
        <f>VLOOKUP(TableWRRanks3242[[#This Row],[Player]],WR!B:O,6,FALSE)</f>
        <v>#N/A</v>
      </c>
      <c r="AK215" s="100" t="e">
        <f>VLOOKUP(TableWRRanks3242[[#This Row],[Player]],WR!B:O,7,FALSE)</f>
        <v>#N/A</v>
      </c>
      <c r="AL215" s="100" t="e">
        <f>VLOOKUP(TableWRRanks3242[[#This Row],[Player]],WR!B:O,8,FALSE)</f>
        <v>#N/A</v>
      </c>
      <c r="AM215" s="100" t="e">
        <f>VLOOKUP(TableWRRanks3242[[#This Row],[Player]],WR!B:O,9,FALSE)</f>
        <v>#N/A</v>
      </c>
      <c r="AN215" s="95" t="e">
        <f>VLOOKUP(TableWRRanks3242[[#This Row],[Player]],WR!B:O,13,FALSE)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VLOOKUP(TableWRRanks3242[[#This Row],[RK]],Rankings!A:T,13,FALSE)</f>
        <v>#N/A</v>
      </c>
      <c r="AF216" s="58" t="str">
        <f>IFERROR(INDEX(TableWRCalcPts[TM],MATCH(TableWRRanks3242[[#This Row],[Player]],TableWRCalcPts[PLAYER],0)),"")</f>
        <v/>
      </c>
      <c r="AG216" s="58" t="str">
        <f>IFERROR(INDEX(TableWRCalcPts[BYE],MATCH(TableWRRanks3242[[#This Row],[Player]],TableWRCalcPts[PLAYER],0)),"")</f>
        <v/>
      </c>
      <c r="AH216" s="100" t="e">
        <f>VLOOKUP(TableWRRanks3242[[#This Row],[Player]],WR!B:O,4,FALSE)</f>
        <v>#N/A</v>
      </c>
      <c r="AI216" s="100" t="e">
        <f>VLOOKUP(TableWRRanks3242[[#This Row],[Player]],WR!B:O,5,FALSE)</f>
        <v>#N/A</v>
      </c>
      <c r="AJ216" s="100" t="e">
        <f>VLOOKUP(TableWRRanks3242[[#This Row],[Player]],WR!B:O,6,FALSE)</f>
        <v>#N/A</v>
      </c>
      <c r="AK216" s="100" t="e">
        <f>VLOOKUP(TableWRRanks3242[[#This Row],[Player]],WR!B:O,7,FALSE)</f>
        <v>#N/A</v>
      </c>
      <c r="AL216" s="100" t="e">
        <f>VLOOKUP(TableWRRanks3242[[#This Row],[Player]],WR!B:O,8,FALSE)</f>
        <v>#N/A</v>
      </c>
      <c r="AM216" s="100" t="e">
        <f>VLOOKUP(TableWRRanks3242[[#This Row],[Player]],WR!B:O,9,FALSE)</f>
        <v>#N/A</v>
      </c>
      <c r="AN216" s="95" t="e">
        <f>VLOOKUP(TableWRRanks3242[[#This Row],[Player]],WR!B:O,13,FALSE)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VLOOKUP(TableWRRanks3242[[#This Row],[RK]],Rankings!A:T,13,FALSE)</f>
        <v>#N/A</v>
      </c>
      <c r="AF217" s="58" t="str">
        <f>IFERROR(INDEX(TableWRCalcPts[TM],MATCH(TableWRRanks3242[[#This Row],[Player]],TableWRCalcPts[PLAYER],0)),"")</f>
        <v/>
      </c>
      <c r="AG217" s="58" t="str">
        <f>IFERROR(INDEX(TableWRCalcPts[BYE],MATCH(TableWRRanks3242[[#This Row],[Player]],TableWRCalcPts[PLAYER],0)),"")</f>
        <v/>
      </c>
      <c r="AH217" s="100" t="e">
        <f>VLOOKUP(TableWRRanks3242[[#This Row],[Player]],WR!B:O,4,FALSE)</f>
        <v>#N/A</v>
      </c>
      <c r="AI217" s="100" t="e">
        <f>VLOOKUP(TableWRRanks3242[[#This Row],[Player]],WR!B:O,5,FALSE)</f>
        <v>#N/A</v>
      </c>
      <c r="AJ217" s="100" t="e">
        <f>VLOOKUP(TableWRRanks3242[[#This Row],[Player]],WR!B:O,6,FALSE)</f>
        <v>#N/A</v>
      </c>
      <c r="AK217" s="100" t="e">
        <f>VLOOKUP(TableWRRanks3242[[#This Row],[Player]],WR!B:O,7,FALSE)</f>
        <v>#N/A</v>
      </c>
      <c r="AL217" s="100" t="e">
        <f>VLOOKUP(TableWRRanks3242[[#This Row],[Player]],WR!B:O,8,FALSE)</f>
        <v>#N/A</v>
      </c>
      <c r="AM217" s="100" t="e">
        <f>VLOOKUP(TableWRRanks3242[[#This Row],[Player]],WR!B:O,9,FALSE)</f>
        <v>#N/A</v>
      </c>
      <c r="AN217" s="95" t="e">
        <f>VLOOKUP(TableWRRanks3242[[#This Row],[Player]],WR!B:O,13,FALSE)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VLOOKUP(TableWRRanks3242[[#This Row],[RK]],Rankings!A:T,13,FALSE)</f>
        <v>#N/A</v>
      </c>
      <c r="AF218" s="58" t="str">
        <f>IFERROR(INDEX(TableWRCalcPts[TM],MATCH(TableWRRanks3242[[#This Row],[Player]],TableWRCalcPts[PLAYER],0)),"")</f>
        <v/>
      </c>
      <c r="AG218" s="58" t="str">
        <f>IFERROR(INDEX(TableWRCalcPts[BYE],MATCH(TableWRRanks3242[[#This Row],[Player]],TableWRCalcPts[PLAYER],0)),"")</f>
        <v/>
      </c>
      <c r="AH218" s="100" t="e">
        <f>VLOOKUP(TableWRRanks3242[[#This Row],[Player]],WR!B:O,4,FALSE)</f>
        <v>#N/A</v>
      </c>
      <c r="AI218" s="100" t="e">
        <f>VLOOKUP(TableWRRanks3242[[#This Row],[Player]],WR!B:O,5,FALSE)</f>
        <v>#N/A</v>
      </c>
      <c r="AJ218" s="100" t="e">
        <f>VLOOKUP(TableWRRanks3242[[#This Row],[Player]],WR!B:O,6,FALSE)</f>
        <v>#N/A</v>
      </c>
      <c r="AK218" s="100" t="e">
        <f>VLOOKUP(TableWRRanks3242[[#This Row],[Player]],WR!B:O,7,FALSE)</f>
        <v>#N/A</v>
      </c>
      <c r="AL218" s="100" t="e">
        <f>VLOOKUP(TableWRRanks3242[[#This Row],[Player]],WR!B:O,8,FALSE)</f>
        <v>#N/A</v>
      </c>
      <c r="AM218" s="100" t="e">
        <f>VLOOKUP(TableWRRanks3242[[#This Row],[Player]],WR!B:O,9,FALSE)</f>
        <v>#N/A</v>
      </c>
      <c r="AN218" s="95" t="e">
        <f>VLOOKUP(TableWRRanks3242[[#This Row],[Player]],WR!B:O,13,FALSE)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VLOOKUP(TableWRRanks3242[[#This Row],[RK]],Rankings!A:T,13,FALSE)</f>
        <v>#N/A</v>
      </c>
      <c r="AF219" s="58" t="str">
        <f>IFERROR(INDEX(TableWRCalcPts[TM],MATCH(TableWRRanks3242[[#This Row],[Player]],TableWRCalcPts[PLAYER],0)),"")</f>
        <v/>
      </c>
      <c r="AG219" s="58" t="str">
        <f>IFERROR(INDEX(TableWRCalcPts[BYE],MATCH(TableWRRanks3242[[#This Row],[Player]],TableWRCalcPts[PLAYER],0)),"")</f>
        <v/>
      </c>
      <c r="AH219" s="100" t="e">
        <f>VLOOKUP(TableWRRanks3242[[#This Row],[Player]],WR!B:O,4,FALSE)</f>
        <v>#N/A</v>
      </c>
      <c r="AI219" s="100" t="e">
        <f>VLOOKUP(TableWRRanks3242[[#This Row],[Player]],WR!B:O,5,FALSE)</f>
        <v>#N/A</v>
      </c>
      <c r="AJ219" s="100" t="e">
        <f>VLOOKUP(TableWRRanks3242[[#This Row],[Player]],WR!B:O,6,FALSE)</f>
        <v>#N/A</v>
      </c>
      <c r="AK219" s="100" t="e">
        <f>VLOOKUP(TableWRRanks3242[[#This Row],[Player]],WR!B:O,7,FALSE)</f>
        <v>#N/A</v>
      </c>
      <c r="AL219" s="100" t="e">
        <f>VLOOKUP(TableWRRanks3242[[#This Row],[Player]],WR!B:O,8,FALSE)</f>
        <v>#N/A</v>
      </c>
      <c r="AM219" s="100" t="e">
        <f>VLOOKUP(TableWRRanks3242[[#This Row],[Player]],WR!B:O,9,FALSE)</f>
        <v>#N/A</v>
      </c>
      <c r="AN219" s="95" t="e">
        <f>VLOOKUP(TableWRRanks3242[[#This Row],[Player]],WR!B:O,13,FALSE)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VLOOKUP(TableWRRanks3242[[#This Row],[RK]],Rankings!A:T,13,FALSE)</f>
        <v>#N/A</v>
      </c>
      <c r="AF220" s="58" t="str">
        <f>IFERROR(INDEX(TableWRCalcPts[TM],MATCH(TableWRRanks3242[[#This Row],[Player]],TableWRCalcPts[PLAYER],0)),"")</f>
        <v/>
      </c>
      <c r="AG220" s="58" t="str">
        <f>IFERROR(INDEX(TableWRCalcPts[BYE],MATCH(TableWRRanks3242[[#This Row],[Player]],TableWRCalcPts[PLAYER],0)),"")</f>
        <v/>
      </c>
      <c r="AH220" s="100" t="e">
        <f>VLOOKUP(TableWRRanks3242[[#This Row],[Player]],WR!B:O,4,FALSE)</f>
        <v>#N/A</v>
      </c>
      <c r="AI220" s="100" t="e">
        <f>VLOOKUP(TableWRRanks3242[[#This Row],[Player]],WR!B:O,5,FALSE)</f>
        <v>#N/A</v>
      </c>
      <c r="AJ220" s="100" t="e">
        <f>VLOOKUP(TableWRRanks3242[[#This Row],[Player]],WR!B:O,6,FALSE)</f>
        <v>#N/A</v>
      </c>
      <c r="AK220" s="100" t="e">
        <f>VLOOKUP(TableWRRanks3242[[#This Row],[Player]],WR!B:O,7,FALSE)</f>
        <v>#N/A</v>
      </c>
      <c r="AL220" s="100" t="e">
        <f>VLOOKUP(TableWRRanks3242[[#This Row],[Player]],WR!B:O,8,FALSE)</f>
        <v>#N/A</v>
      </c>
      <c r="AM220" s="100" t="e">
        <f>VLOOKUP(TableWRRanks3242[[#This Row],[Player]],WR!B:O,9,FALSE)</f>
        <v>#N/A</v>
      </c>
      <c r="AN220" s="95" t="e">
        <f>VLOOKUP(TableWRRanks3242[[#This Row],[Player]],WR!B:O,13,FALSE)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VLOOKUP(TableWRRanks3242[[#This Row],[RK]],Rankings!A:T,13,FALSE)</f>
        <v>#N/A</v>
      </c>
      <c r="AF221" s="58" t="str">
        <f>IFERROR(INDEX(TableWRCalcPts[TM],MATCH(TableWRRanks3242[[#This Row],[Player]],TableWRCalcPts[PLAYER],0)),"")</f>
        <v/>
      </c>
      <c r="AG221" s="58" t="str">
        <f>IFERROR(INDEX(TableWRCalcPts[BYE],MATCH(TableWRRanks3242[[#This Row],[Player]],TableWRCalcPts[PLAYER],0)),"")</f>
        <v/>
      </c>
      <c r="AH221" s="100" t="e">
        <f>VLOOKUP(TableWRRanks3242[[#This Row],[Player]],WR!B:O,4,FALSE)</f>
        <v>#N/A</v>
      </c>
      <c r="AI221" s="100" t="e">
        <f>VLOOKUP(TableWRRanks3242[[#This Row],[Player]],WR!B:O,5,FALSE)</f>
        <v>#N/A</v>
      </c>
      <c r="AJ221" s="100" t="e">
        <f>VLOOKUP(TableWRRanks3242[[#This Row],[Player]],WR!B:O,6,FALSE)</f>
        <v>#N/A</v>
      </c>
      <c r="AK221" s="100" t="e">
        <f>VLOOKUP(TableWRRanks3242[[#This Row],[Player]],WR!B:O,7,FALSE)</f>
        <v>#N/A</v>
      </c>
      <c r="AL221" s="100" t="e">
        <f>VLOOKUP(TableWRRanks3242[[#This Row],[Player]],WR!B:O,8,FALSE)</f>
        <v>#N/A</v>
      </c>
      <c r="AM221" s="100" t="e">
        <f>VLOOKUP(TableWRRanks3242[[#This Row],[Player]],WR!B:O,9,FALSE)</f>
        <v>#N/A</v>
      </c>
      <c r="AN221" s="95" t="e">
        <f>VLOOKUP(TableWRRanks3242[[#This Row],[Player]],WR!B:O,13,FALSE)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101" customFormat="1" ht="42.75" x14ac:dyDescent="0.2">
      <c r="A1" s="101" t="s">
        <v>0</v>
      </c>
      <c r="B1" s="21" t="s">
        <v>6</v>
      </c>
      <c r="C1" s="101" t="s">
        <v>87</v>
      </c>
      <c r="D1" s="102" t="s">
        <v>150</v>
      </c>
      <c r="E1" s="102" t="s">
        <v>1</v>
      </c>
      <c r="F1" s="102" t="s">
        <v>153</v>
      </c>
      <c r="G1" s="102" t="s">
        <v>168</v>
      </c>
      <c r="H1" s="102" t="s">
        <v>2</v>
      </c>
      <c r="I1" s="102" t="s">
        <v>169</v>
      </c>
      <c r="J1" s="102" t="s">
        <v>157</v>
      </c>
      <c r="K1" s="102" t="s">
        <v>170</v>
      </c>
      <c r="L1" s="102" t="s">
        <v>159</v>
      </c>
      <c r="M1" s="102" t="s">
        <v>4</v>
      </c>
      <c r="N1" s="102" t="s">
        <v>163</v>
      </c>
      <c r="O1" s="102" t="s">
        <v>171</v>
      </c>
      <c r="Q1" s="103" t="s">
        <v>218</v>
      </c>
      <c r="R1" s="104" t="s">
        <v>172</v>
      </c>
      <c r="S1" s="105" t="s">
        <v>351</v>
      </c>
      <c r="T1" s="104" t="s">
        <v>146</v>
      </c>
      <c r="U1" s="104" t="s">
        <v>149</v>
      </c>
      <c r="V1" s="31" t="s">
        <v>217</v>
      </c>
      <c r="W1" s="106" t="s">
        <v>219</v>
      </c>
      <c r="X1" s="104" t="s">
        <v>173</v>
      </c>
      <c r="Y1" s="107" t="s">
        <v>174</v>
      </c>
      <c r="Z1" s="31" t="s">
        <v>175</v>
      </c>
      <c r="AA1" s="103" t="s">
        <v>176</v>
      </c>
      <c r="AB1" s="108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101" t="s">
        <v>52</v>
      </c>
    </row>
    <row r="2" spans="1:39" x14ac:dyDescent="0.25">
      <c r="A2" s="32" t="s">
        <v>88</v>
      </c>
      <c r="B2" s="33" t="s">
        <v>7</v>
      </c>
      <c r="C2" s="33">
        <f>VLOOKUP($AM$1,DST!C:D,2,FALSE)</f>
        <v>14</v>
      </c>
      <c r="D2" s="34">
        <f>D$32*Q2</f>
        <v>482.18800000000005</v>
      </c>
      <c r="E2" s="34">
        <f>D2*R2</f>
        <v>309.56469600000003</v>
      </c>
      <c r="F2" s="34">
        <f>E2*S2</f>
        <v>3231.8554262400003</v>
      </c>
      <c r="G2" s="34">
        <f>E2*T2</f>
        <v>21.979093416000001</v>
      </c>
      <c r="H2" s="34">
        <f>D2*U2</f>
        <v>7.9524469492371814</v>
      </c>
      <c r="I2" s="34">
        <f>D$35*W2</f>
        <v>44.117365599999999</v>
      </c>
      <c r="J2" s="34">
        <f>I2*V2</f>
        <v>208.64678278208768</v>
      </c>
      <c r="K2" s="34">
        <f>I2*X2</f>
        <v>1.1095870803243719</v>
      </c>
      <c r="L2" s="35"/>
      <c r="M2" s="35"/>
      <c r="N2" s="35"/>
      <c r="O2" s="35"/>
      <c r="Q2" s="36">
        <f>(AD2/SUM(AD$2:AD$25))</f>
        <v>0.85</v>
      </c>
      <c r="R2" s="37">
        <v>0.64200000000000002</v>
      </c>
      <c r="S2" s="38">
        <v>10.44</v>
      </c>
      <c r="T2" s="37">
        <v>7.0999999999999994E-2</v>
      </c>
      <c r="U2" s="37">
        <v>1.6492419863698767E-2</v>
      </c>
      <c r="V2" s="38">
        <v>4.7293572484320707</v>
      </c>
      <c r="W2" s="36">
        <f>(AE2/SUM(AE$2:AE$20))*0.98</f>
        <v>9.8979999999999999E-2</v>
      </c>
      <c r="X2" s="37">
        <v>2.5150800942755566E-2</v>
      </c>
      <c r="Y2" s="39"/>
      <c r="Z2" s="40"/>
      <c r="AA2" s="41"/>
      <c r="AB2" s="41"/>
      <c r="AD2" s="37">
        <v>0.85</v>
      </c>
      <c r="AE2" s="37">
        <v>0.10100000000000001</v>
      </c>
      <c r="AF2" s="42"/>
      <c r="AG2" s="42"/>
      <c r="AH2" s="43">
        <f>AE2/(SUM(AE$2:AE$25))</f>
        <v>0.10100000000000001</v>
      </c>
    </row>
    <row r="3" spans="1:39" x14ac:dyDescent="0.25">
      <c r="A3" s="32" t="s">
        <v>309</v>
      </c>
      <c r="B3" s="33" t="s">
        <v>7</v>
      </c>
      <c r="C3" s="33">
        <f>VLOOKUP($AM$1,DST!C:D,2,FALSE)</f>
        <v>14</v>
      </c>
      <c r="D3" s="34">
        <f>D$32*Q3</f>
        <v>11.345600000000003</v>
      </c>
      <c r="E3" s="34">
        <f t="shared" ref="E3:F4" si="0">D3*R3</f>
        <v>7.0106146735531736</v>
      </c>
      <c r="F3" s="34">
        <f t="shared" si="0"/>
        <v>75.434213887432151</v>
      </c>
      <c r="G3" s="34">
        <f t="shared" ref="G3" si="1">E3*T3</f>
        <v>0.45568995378095628</v>
      </c>
      <c r="H3" s="34">
        <f>D3*U3</f>
        <v>0.30633120000000008</v>
      </c>
      <c r="I3" s="34">
        <f>D$35*W3</f>
        <v>1.3104167999999998</v>
      </c>
      <c r="J3" s="34">
        <f>I3*V3</f>
        <v>4.6448437069306934</v>
      </c>
      <c r="K3" s="34">
        <f>I3*X3</f>
        <v>1.9656251999999996E-2</v>
      </c>
      <c r="L3" s="35"/>
      <c r="M3" s="35"/>
      <c r="N3" s="35"/>
      <c r="O3" s="35"/>
      <c r="Q3" s="36">
        <f>(AD3/SUM(AD$2:AD$25))</f>
        <v>0.02</v>
      </c>
      <c r="R3" s="37">
        <v>0.61791484571579924</v>
      </c>
      <c r="S3" s="38">
        <v>10.76</v>
      </c>
      <c r="T3" s="37">
        <v>6.5000000000000002E-2</v>
      </c>
      <c r="U3" s="37">
        <v>2.7E-2</v>
      </c>
      <c r="V3" s="38">
        <v>3.544554455445545</v>
      </c>
      <c r="W3" s="36">
        <f>(AE3/SUM(AE$2:AE$20))*0.98</f>
        <v>2.9399999999999999E-3</v>
      </c>
      <c r="X3" s="37">
        <v>1.4999999999999999E-2</v>
      </c>
      <c r="Y3" s="39"/>
      <c r="Z3" s="40"/>
      <c r="AA3" s="41"/>
      <c r="AB3" s="41"/>
      <c r="AD3" s="37">
        <v>0.02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A4" s="32" t="s">
        <v>649</v>
      </c>
      <c r="B4" s="33" t="s">
        <v>7</v>
      </c>
      <c r="C4" s="33">
        <f>VLOOKUP($AM$1,DST!C:D,2,FALSE)</f>
        <v>14</v>
      </c>
      <c r="D4" s="34">
        <f>D$32*Q4</f>
        <v>73.746400000000008</v>
      </c>
      <c r="E4" s="34">
        <f t="shared" si="0"/>
        <v>45.870260800000004</v>
      </c>
      <c r="F4" s="34">
        <f t="shared" si="0"/>
        <v>469.25276798400006</v>
      </c>
      <c r="G4" s="34">
        <v>0</v>
      </c>
      <c r="H4" s="34">
        <f>D4*U4</f>
        <v>1.9951710568781751</v>
      </c>
      <c r="I4" s="34">
        <f>D$35*W4</f>
        <v>1.7472223999999998</v>
      </c>
      <c r="J4" s="34">
        <f>I4*V4</f>
        <v>5.5127879172413792</v>
      </c>
      <c r="K4" s="34">
        <f>I4*X4</f>
        <v>4.0166032183908039E-2</v>
      </c>
      <c r="L4" s="35"/>
      <c r="M4" s="35"/>
      <c r="N4" s="35"/>
      <c r="O4" s="35"/>
      <c r="Q4" s="36">
        <f>(AD4/SUM(AD$2:AD$25))</f>
        <v>0.13</v>
      </c>
      <c r="R4" s="37">
        <v>0.622</v>
      </c>
      <c r="S4" s="38">
        <v>10.23</v>
      </c>
      <c r="T4" s="37">
        <v>6.4000000000000001E-2</v>
      </c>
      <c r="U4" s="37">
        <v>2.7054487498754852E-2</v>
      </c>
      <c r="V4" s="38">
        <v>3.1551724137931036</v>
      </c>
      <c r="W4" s="36">
        <f>(AE4/SUM(AE$2:AE$20))*0.98</f>
        <v>3.9199999999999999E-3</v>
      </c>
      <c r="X4" s="37">
        <v>2.2988505747126436E-2</v>
      </c>
      <c r="Y4" s="39"/>
      <c r="Z4" s="40"/>
      <c r="AA4" s="41"/>
      <c r="AB4" s="41"/>
      <c r="AD4" s="37">
        <v>0.13</v>
      </c>
      <c r="AE4" s="37">
        <v>4.0000000000000001E-3</v>
      </c>
      <c r="AF4" s="42"/>
      <c r="AG4" s="42"/>
      <c r="AH4" s="43">
        <f t="shared" si="2"/>
        <v>4.0000000000000001E-3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667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225.39168960000001</v>
      </c>
      <c r="J6" s="34">
        <f t="shared" ref="J6:J11" si="4">I6*V6</f>
        <v>1007.3544595648907</v>
      </c>
      <c r="K6" s="34">
        <f t="shared" ref="K6:K11" si="5">I6*X6</f>
        <v>6.0855756192000001</v>
      </c>
      <c r="L6" s="34">
        <f t="shared" ref="L6:L11" si="6">((D$2+D$3+D$4)*AA6)</f>
        <v>67.823996800000003</v>
      </c>
      <c r="M6" s="34">
        <f t="shared" ref="M6:N11" si="7">L6*Y6</f>
        <v>52.631135339598316</v>
      </c>
      <c r="N6" s="34">
        <f t="shared" si="7"/>
        <v>394.73351504698735</v>
      </c>
      <c r="O6" s="34">
        <f t="shared" ref="O6:O11" si="8">(M6*AG6)</f>
        <v>1.9473520075651376</v>
      </c>
      <c r="Q6" s="53"/>
      <c r="R6" s="54"/>
      <c r="S6" s="55"/>
      <c r="T6" s="54"/>
      <c r="U6" s="54"/>
      <c r="V6" s="38">
        <v>4.4693504953648953</v>
      </c>
      <c r="W6" s="36">
        <f t="shared" ref="W6:W11" si="9">(AE6/SUM(AE$2:AE$20))*0.98</f>
        <v>0.50568000000000002</v>
      </c>
      <c r="X6" s="37">
        <v>2.7E-2</v>
      </c>
      <c r="Y6" s="37">
        <v>0.77599578059071728</v>
      </c>
      <c r="Z6" s="56">
        <v>7.5</v>
      </c>
      <c r="AA6" s="36">
        <f t="shared" ref="AA6:AB11" si="10">(AF6/SUM(AF$6:AF$25))*0.98</f>
        <v>0.11956</v>
      </c>
      <c r="AB6" s="36">
        <f t="shared" si="10"/>
        <v>5.0965509784841587E-2</v>
      </c>
      <c r="AD6" s="42"/>
      <c r="AE6" s="37">
        <v>0.51600000000000001</v>
      </c>
      <c r="AF6" s="37">
        <v>0.122</v>
      </c>
      <c r="AG6" s="37">
        <v>3.6999999999999998E-2</v>
      </c>
      <c r="AH6" s="43">
        <f t="shared" si="2"/>
        <v>0.51600000000000001</v>
      </c>
      <c r="AI6" s="43">
        <f>AF6/(SUM(AF$6:AF$25))</f>
        <v>0.122</v>
      </c>
    </row>
    <row r="7" spans="1:39" x14ac:dyDescent="0.25">
      <c r="A7" s="32" t="s">
        <v>322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109.63820559999999</v>
      </c>
      <c r="J7" s="34">
        <f t="shared" si="4"/>
        <v>451.43669207096968</v>
      </c>
      <c r="K7" s="34">
        <f t="shared" si="5"/>
        <v>2.9602315511999997</v>
      </c>
      <c r="L7" s="34">
        <f t="shared" si="6"/>
        <v>16.678032000000002</v>
      </c>
      <c r="M7" s="34">
        <f t="shared" si="7"/>
        <v>13.025542992000002</v>
      </c>
      <c r="N7" s="34">
        <f t="shared" si="7"/>
        <v>84.666029448000018</v>
      </c>
      <c r="O7" s="34">
        <f t="shared" si="8"/>
        <v>0.39076628976000005</v>
      </c>
      <c r="Q7" s="53"/>
      <c r="R7" s="54"/>
      <c r="S7" s="55"/>
      <c r="T7" s="54"/>
      <c r="U7" s="54"/>
      <c r="V7" s="38">
        <v>4.117512591531959</v>
      </c>
      <c r="W7" s="36">
        <f t="shared" si="9"/>
        <v>0.24598</v>
      </c>
      <c r="X7" s="37">
        <v>2.7E-2</v>
      </c>
      <c r="Y7" s="37">
        <v>0.78100000000000003</v>
      </c>
      <c r="Z7" s="56">
        <v>6.5</v>
      </c>
      <c r="AA7" s="36">
        <f t="shared" si="10"/>
        <v>2.9399999999999999E-2</v>
      </c>
      <c r="AB7" s="36">
        <f t="shared" si="10"/>
        <v>4.1323386312033722E-2</v>
      </c>
      <c r="AD7" s="42"/>
      <c r="AE7" s="37">
        <v>0.251</v>
      </c>
      <c r="AF7" s="37">
        <v>0.03</v>
      </c>
      <c r="AG7" s="37">
        <v>0.03</v>
      </c>
      <c r="AH7" s="43">
        <f t="shared" si="2"/>
        <v>0.251</v>
      </c>
      <c r="AI7" s="43">
        <f t="shared" ref="AI7:AI25" si="11">AF7/(SUM(AF$6:AF$25))</f>
        <v>0.03</v>
      </c>
    </row>
    <row r="8" spans="1:39" x14ac:dyDescent="0.25">
      <c r="A8" s="32" t="s">
        <v>439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45.864587999999991</v>
      </c>
      <c r="J8" s="34">
        <f t="shared" si="4"/>
        <v>203.63877071999997</v>
      </c>
      <c r="K8" s="34">
        <f t="shared" si="5"/>
        <v>1.0548855239999997</v>
      </c>
      <c r="L8" s="34">
        <f t="shared" si="6"/>
        <v>8.3390160000000009</v>
      </c>
      <c r="M8" s="34">
        <f t="shared" si="7"/>
        <v>6.1946976000000005</v>
      </c>
      <c r="N8" s="34">
        <f t="shared" si="7"/>
        <v>42.247837632000007</v>
      </c>
      <c r="O8" s="34">
        <f t="shared" si="8"/>
        <v>0.23825760000000004</v>
      </c>
      <c r="Q8" s="53"/>
      <c r="R8" s="54"/>
      <c r="S8" s="55"/>
      <c r="T8" s="54"/>
      <c r="U8" s="54"/>
      <c r="V8" s="38">
        <v>4.4400000000000004</v>
      </c>
      <c r="W8" s="36">
        <f t="shared" si="9"/>
        <v>0.10289999999999999</v>
      </c>
      <c r="X8" s="37">
        <v>2.3E-2</v>
      </c>
      <c r="Y8" s="37">
        <v>0.74285714285714288</v>
      </c>
      <c r="Z8" s="56">
        <v>6.82</v>
      </c>
      <c r="AA8" s="36">
        <f t="shared" si="10"/>
        <v>1.47E-2</v>
      </c>
      <c r="AB8" s="36">
        <f t="shared" si="10"/>
        <v>5.2978700400043238E-2</v>
      </c>
      <c r="AD8" s="42"/>
      <c r="AE8" s="37">
        <v>0.105</v>
      </c>
      <c r="AF8" s="37">
        <v>1.4999999999999999E-2</v>
      </c>
      <c r="AG8" s="37">
        <v>3.8461538461538464E-2</v>
      </c>
      <c r="AH8" s="43">
        <f t="shared" si="2"/>
        <v>0.105</v>
      </c>
      <c r="AI8" s="43">
        <f t="shared" si="11"/>
        <v>1.4999999999999999E-2</v>
      </c>
    </row>
    <row r="9" spans="1:39" x14ac:dyDescent="0.25">
      <c r="A9" s="32" t="s">
        <v>38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8.7361119999999985</v>
      </c>
      <c r="J9" s="34">
        <f t="shared" si="4"/>
        <v>33.273701584484463</v>
      </c>
      <c r="K9" s="34">
        <f t="shared" si="5"/>
        <v>0.1954207190461914</v>
      </c>
      <c r="L9" s="34">
        <f t="shared" si="6"/>
        <v>8.8949504000000008</v>
      </c>
      <c r="M9" s="34">
        <f t="shared" si="7"/>
        <v>6.6712128000000011</v>
      </c>
      <c r="N9" s="34">
        <f t="shared" si="7"/>
        <v>43.362883200000006</v>
      </c>
      <c r="O9" s="34">
        <f t="shared" si="8"/>
        <v>0.26684851200000004</v>
      </c>
      <c r="Q9" s="53"/>
      <c r="R9" s="54"/>
      <c r="S9" s="55"/>
      <c r="T9" s="54"/>
      <c r="U9" s="54"/>
      <c r="V9" s="38">
        <v>3.8087540068722183</v>
      </c>
      <c r="W9" s="36">
        <f t="shared" si="9"/>
        <v>1.9599999999999999E-2</v>
      </c>
      <c r="X9" s="37">
        <v>2.2369301016996055E-2</v>
      </c>
      <c r="Y9" s="37">
        <v>0.75</v>
      </c>
      <c r="Z9" s="56">
        <v>6.5</v>
      </c>
      <c r="AA9" s="36">
        <f t="shared" si="10"/>
        <v>1.5679999999999999E-2</v>
      </c>
      <c r="AB9" s="36">
        <f t="shared" si="10"/>
        <v>5.509784841604496E-2</v>
      </c>
      <c r="AD9" s="42"/>
      <c r="AE9" s="37">
        <v>0.02</v>
      </c>
      <c r="AF9" s="37">
        <v>1.6E-2</v>
      </c>
      <c r="AG9" s="37">
        <v>0.04</v>
      </c>
      <c r="AH9" s="43">
        <f t="shared" si="2"/>
        <v>0.02</v>
      </c>
      <c r="AI9" s="43">
        <f t="shared" si="11"/>
        <v>1.6E-2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122.86150240000002</v>
      </c>
      <c r="M13" s="34">
        <f t="shared" ref="M13:N20" si="16">L13*Y13</f>
        <v>67.205241812800011</v>
      </c>
      <c r="N13" s="34">
        <f t="shared" si="16"/>
        <v>923.40002250787222</v>
      </c>
      <c r="O13" s="34">
        <f t="shared" ref="O13:O20" si="17">(M13*AG13)</f>
        <v>5.5108298286496016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0.54700000000000004</v>
      </c>
      <c r="Z13" s="56">
        <v>13.74</v>
      </c>
      <c r="AA13" s="36">
        <f t="shared" ref="AA13:AB20" si="19">(AF13/SUM(AF$6:AF$25))*0.98</f>
        <v>0.21657999999999999</v>
      </c>
      <c r="AB13" s="36">
        <f t="shared" si="19"/>
        <v>0.11295058925289217</v>
      </c>
      <c r="AD13" s="42"/>
      <c r="AE13" s="37">
        <v>0</v>
      </c>
      <c r="AF13" s="37">
        <v>0.221</v>
      </c>
      <c r="AG13" s="37">
        <v>8.2000000000000003E-2</v>
      </c>
      <c r="AH13" s="43">
        <f t="shared" si="2"/>
        <v>0</v>
      </c>
      <c r="AI13" s="43">
        <f t="shared" si="11"/>
        <v>0.221</v>
      </c>
    </row>
    <row r="14" spans="1:39" x14ac:dyDescent="0.25">
      <c r="A14" s="32" t="s">
        <v>366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112.29874880000001</v>
      </c>
      <c r="M14" s="34">
        <f t="shared" si="16"/>
        <v>66.274717090252423</v>
      </c>
      <c r="N14" s="34">
        <f t="shared" si="16"/>
        <v>804.57506547566447</v>
      </c>
      <c r="O14" s="34">
        <f t="shared" si="17"/>
        <v>4.9706037817689319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0.59016434108527138</v>
      </c>
      <c r="Z14" s="56">
        <v>12.14</v>
      </c>
      <c r="AA14" s="36">
        <f t="shared" si="19"/>
        <v>0.19796</v>
      </c>
      <c r="AB14" s="36">
        <f t="shared" si="19"/>
        <v>0.10330846578008429</v>
      </c>
      <c r="AD14" s="42"/>
      <c r="AE14" s="37">
        <v>0</v>
      </c>
      <c r="AF14" s="37">
        <v>0.20200000000000001</v>
      </c>
      <c r="AG14" s="37">
        <v>7.4999999999999997E-2</v>
      </c>
      <c r="AH14" s="43">
        <f t="shared" si="2"/>
        <v>0</v>
      </c>
      <c r="AI14" s="43">
        <f t="shared" si="11"/>
        <v>0.20200000000000001</v>
      </c>
    </row>
    <row r="15" spans="1:39" x14ac:dyDescent="0.25">
      <c r="A15" s="32" t="s">
        <v>604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44.474752000000002</v>
      </c>
      <c r="M15" s="34">
        <f t="shared" si="16"/>
        <v>27.529871488000001</v>
      </c>
      <c r="N15" s="34">
        <f t="shared" si="16"/>
        <v>296.77201464064001</v>
      </c>
      <c r="O15" s="34">
        <f t="shared" si="17"/>
        <v>1.6517922892800001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0.61899999999999999</v>
      </c>
      <c r="Z15" s="56">
        <v>10.78</v>
      </c>
      <c r="AA15" s="36">
        <f t="shared" si="19"/>
        <v>7.8399999999999997E-2</v>
      </c>
      <c r="AB15" s="36">
        <f t="shared" si="19"/>
        <v>8.2646772624067444E-2</v>
      </c>
      <c r="AD15" s="42"/>
      <c r="AE15" s="37">
        <v>0</v>
      </c>
      <c r="AF15" s="37">
        <v>0.08</v>
      </c>
      <c r="AG15" s="37">
        <v>0.06</v>
      </c>
      <c r="AH15" s="43">
        <f t="shared" si="2"/>
        <v>0</v>
      </c>
      <c r="AI15" s="43">
        <f t="shared" si="11"/>
        <v>0.08</v>
      </c>
    </row>
    <row r="16" spans="1:39" x14ac:dyDescent="0.25">
      <c r="A16" s="32" t="s">
        <v>668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7.227147200000001</v>
      </c>
      <c r="M16" s="34">
        <f t="shared" si="16"/>
        <v>3.8520694576000007</v>
      </c>
      <c r="N16" s="34">
        <f t="shared" si="16"/>
        <v>42.950574452240012</v>
      </c>
      <c r="O16" s="34">
        <f t="shared" si="17"/>
        <v>0.23497623691360003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0.53300000000000003</v>
      </c>
      <c r="Z16" s="56">
        <v>11.15</v>
      </c>
      <c r="AA16" s="36">
        <f t="shared" si="19"/>
        <v>1.274E-2</v>
      </c>
      <c r="AB16" s="36">
        <f t="shared" si="19"/>
        <v>8.4024218834468548E-2</v>
      </c>
      <c r="AD16" s="42"/>
      <c r="AE16" s="37">
        <v>0</v>
      </c>
      <c r="AF16" s="37">
        <v>1.2999999999999999E-2</v>
      </c>
      <c r="AG16" s="37">
        <v>6.0999999999999999E-2</v>
      </c>
      <c r="AH16" s="43">
        <f t="shared" si="2"/>
        <v>0</v>
      </c>
      <c r="AI16" s="43">
        <f t="shared" si="11"/>
        <v>1.2999999999999999E-2</v>
      </c>
    </row>
    <row r="17" spans="1:35" x14ac:dyDescent="0.25">
      <c r="A17" s="32" t="s">
        <v>102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5.5593440000000003</v>
      </c>
      <c r="M17" s="34">
        <f t="shared" si="16"/>
        <v>3.0497634626666668</v>
      </c>
      <c r="N17" s="34">
        <f t="shared" si="16"/>
        <v>29.277729241599999</v>
      </c>
      <c r="O17" s="34">
        <f t="shared" si="17"/>
        <v>0.16773699044666668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0.05</v>
      </c>
      <c r="Y17" s="37">
        <v>0.54858333333333331</v>
      </c>
      <c r="Z17" s="56">
        <v>9.6</v>
      </c>
      <c r="AA17" s="36">
        <f t="shared" si="19"/>
        <v>9.7999999999999997E-3</v>
      </c>
      <c r="AB17" s="36">
        <f t="shared" si="19"/>
        <v>7.5759541572061814E-2</v>
      </c>
      <c r="AD17" s="42"/>
      <c r="AE17" s="37">
        <v>0</v>
      </c>
      <c r="AF17" s="37">
        <v>0.01</v>
      </c>
      <c r="AG17" s="37">
        <v>5.5E-2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508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2.7796720000000001</v>
      </c>
      <c r="M18" s="34">
        <f t="shared" si="16"/>
        <v>1.737295</v>
      </c>
      <c r="N18" s="34">
        <f t="shared" si="16"/>
        <v>16.03523285</v>
      </c>
      <c r="O18" s="34">
        <f t="shared" si="17"/>
        <v>9.5551225000000004E-2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0.625</v>
      </c>
      <c r="Z18" s="56">
        <v>9.23</v>
      </c>
      <c r="AA18" s="36">
        <f t="shared" si="19"/>
        <v>4.8999999999999998E-3</v>
      </c>
      <c r="AB18" s="36">
        <f t="shared" si="19"/>
        <v>7.5759541572061814E-2</v>
      </c>
      <c r="AD18" s="42"/>
      <c r="AE18" s="37">
        <v>0</v>
      </c>
      <c r="AF18" s="37">
        <v>5.0000000000000001E-3</v>
      </c>
      <c r="AG18" s="37">
        <v>5.5E-2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349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140.09546880000002</v>
      </c>
      <c r="M22" s="34">
        <f t="shared" ref="M22:N25" si="20">L22*Y22</f>
        <v>97.851594983020078</v>
      </c>
      <c r="N22" s="34">
        <f t="shared" si="20"/>
        <v>972.64485413121952</v>
      </c>
      <c r="O22" s="34">
        <f>(M22*AG22)</f>
        <v>6.1646504839302647</v>
      </c>
      <c r="Q22" s="53"/>
      <c r="R22" s="54"/>
      <c r="S22" s="55"/>
      <c r="T22" s="54"/>
      <c r="U22" s="54"/>
      <c r="V22" s="59"/>
      <c r="W22" s="60"/>
      <c r="X22" s="54"/>
      <c r="Y22" s="37">
        <v>0.69846366782006919</v>
      </c>
      <c r="Z22" s="56">
        <v>9.94</v>
      </c>
      <c r="AA22" s="36">
        <f t="shared" ref="AA22:AB25" si="21">(AF22/SUM(AF$6:AF$25))*0.98</f>
        <v>0.24695999999999999</v>
      </c>
      <c r="AB22" s="36">
        <f t="shared" si="21"/>
        <v>8.677911125527081E-2</v>
      </c>
      <c r="AD22" s="42"/>
      <c r="AE22" s="42"/>
      <c r="AF22" s="37">
        <v>0.252</v>
      </c>
      <c r="AG22" s="37">
        <v>6.3E-2</v>
      </c>
      <c r="AH22" s="43"/>
      <c r="AI22" s="43">
        <f t="shared" si="11"/>
        <v>0.252</v>
      </c>
    </row>
    <row r="23" spans="1:35" x14ac:dyDescent="0.25">
      <c r="A23" s="32" t="s">
        <v>415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16.122097600000004</v>
      </c>
      <c r="M23" s="34">
        <f t="shared" si="20"/>
        <v>11.285468320000001</v>
      </c>
      <c r="N23" s="34">
        <f t="shared" si="20"/>
        <v>107.61583109588102</v>
      </c>
      <c r="O23" s="34">
        <f>(M23*AG23)</f>
        <v>0.67712809920000006</v>
      </c>
      <c r="Q23" s="53"/>
      <c r="R23" s="54"/>
      <c r="S23" s="55"/>
      <c r="T23" s="54"/>
      <c r="U23" s="54"/>
      <c r="V23" s="59"/>
      <c r="W23" s="60"/>
      <c r="X23" s="54"/>
      <c r="Y23" s="37">
        <v>0.7</v>
      </c>
      <c r="Z23" s="56">
        <v>9.5357877975843728</v>
      </c>
      <c r="AA23" s="36">
        <f t="shared" si="21"/>
        <v>2.8420000000000001E-2</v>
      </c>
      <c r="AB23" s="36">
        <f t="shared" si="21"/>
        <v>8.2646772624067444E-2</v>
      </c>
      <c r="AD23" s="42"/>
      <c r="AE23" s="42"/>
      <c r="AF23" s="37">
        <v>2.9000000000000001E-2</v>
      </c>
      <c r="AG23" s="37">
        <v>0.06</v>
      </c>
      <c r="AH23" s="43"/>
      <c r="AI23" s="43">
        <f t="shared" si="11"/>
        <v>2.9000000000000001E-2</v>
      </c>
    </row>
    <row r="24" spans="1:35" x14ac:dyDescent="0.25">
      <c r="A24" s="32" t="s">
        <v>438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2.7796720000000001</v>
      </c>
      <c r="M24" s="34">
        <f t="shared" si="20"/>
        <v>1.8818379440000002</v>
      </c>
      <c r="N24" s="34">
        <f t="shared" si="20"/>
        <v>15.990132189802491</v>
      </c>
      <c r="O24" s="34">
        <f>(M24*AG24)</f>
        <v>0.10350108692000001</v>
      </c>
      <c r="Q24" s="53"/>
      <c r="R24" s="54"/>
      <c r="S24" s="55"/>
      <c r="T24" s="54"/>
      <c r="U24" s="54"/>
      <c r="V24" s="59"/>
      <c r="W24" s="60"/>
      <c r="X24" s="54"/>
      <c r="Y24" s="37">
        <v>0.67700000000000005</v>
      </c>
      <c r="Z24" s="56">
        <v>8.4970824617417158</v>
      </c>
      <c r="AA24" s="36">
        <f t="shared" si="21"/>
        <v>4.8999999999999998E-3</v>
      </c>
      <c r="AB24" s="36">
        <f t="shared" si="21"/>
        <v>7.5759541572061814E-2</v>
      </c>
      <c r="AD24" s="42"/>
      <c r="AE24" s="42"/>
      <c r="AF24" s="37">
        <v>5.0000000000000001E-3</v>
      </c>
      <c r="AG24" s="37">
        <v>5.5E-2</v>
      </c>
      <c r="AH24" s="43"/>
      <c r="AI24" s="43">
        <f t="shared" si="11"/>
        <v>5.0000000000000001E-3</v>
      </c>
    </row>
    <row r="25" spans="1:35" x14ac:dyDescent="0.25"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(M25*AG25)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N26" s="47"/>
      <c r="O26" s="47"/>
      <c r="W26" s="57"/>
      <c r="AA26" s="50"/>
      <c r="AB26" s="45"/>
    </row>
    <row r="27" spans="1:35" s="69" customFormat="1" x14ac:dyDescent="0.25"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109" t="s">
        <v>203</v>
      </c>
      <c r="X27" s="65"/>
      <c r="Y27" s="65"/>
      <c r="Z27" s="66"/>
      <c r="AA27" s="109" t="s">
        <v>203</v>
      </c>
      <c r="AB27" s="109" t="s">
        <v>203</v>
      </c>
      <c r="AC27" s="110"/>
      <c r="AD27" s="109" t="s">
        <v>203</v>
      </c>
      <c r="AE27" s="109" t="s">
        <v>203</v>
      </c>
      <c r="AF27" s="109" t="s">
        <v>203</v>
      </c>
    </row>
    <row r="28" spans="1:35" s="69" customFormat="1" x14ac:dyDescent="0.25">
      <c r="A28" s="111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0.97999999999999954</v>
      </c>
      <c r="AC28" s="73"/>
      <c r="AD28" s="36">
        <f>SUM(AD2:AD4,AD6:AD25)</f>
        <v>1</v>
      </c>
      <c r="AE28" s="36">
        <f>SUM(AE2:AE4,AE6:AE25)</f>
        <v>1</v>
      </c>
      <c r="AF28" s="112">
        <f>SUM(AF6:AF25)</f>
        <v>1</v>
      </c>
    </row>
    <row r="29" spans="1:35" s="69" customFormat="1" x14ac:dyDescent="0.25">
      <c r="B29" s="63"/>
      <c r="C29" s="63"/>
      <c r="D29" s="74">
        <v>1013</v>
      </c>
      <c r="E29" s="75">
        <v>0.56000000000000005</v>
      </c>
      <c r="F29" s="76">
        <f>1-E29</f>
        <v>0.43999999999999995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111" t="s">
        <v>204</v>
      </c>
      <c r="B31" s="63"/>
      <c r="C31" s="63"/>
      <c r="D31" s="72" t="s">
        <v>215</v>
      </c>
      <c r="E31" s="72" t="s">
        <v>1</v>
      </c>
      <c r="F31" s="72" t="s">
        <v>202</v>
      </c>
      <c r="G31" s="72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B32" s="63"/>
      <c r="C32" s="63"/>
      <c r="D32" s="80">
        <f>D29*E29</f>
        <v>567.28000000000009</v>
      </c>
      <c r="E32" s="80">
        <f>SUM(E2:E4)</f>
        <v>362.44557147355317</v>
      </c>
      <c r="F32" s="80">
        <f>SUM(F2:F4)</f>
        <v>3776.5424081114325</v>
      </c>
      <c r="G32" s="80">
        <f>SUM(G2:G4)</f>
        <v>22.434783369780959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B33" s="63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111" t="s">
        <v>204</v>
      </c>
      <c r="B34" s="63"/>
      <c r="C34" s="63"/>
      <c r="D34" s="72" t="s">
        <v>208</v>
      </c>
      <c r="E34" s="72" t="s">
        <v>202</v>
      </c>
      <c r="F34" s="72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B35" s="63"/>
      <c r="C35" s="63"/>
      <c r="D35" s="80">
        <f>D29*F29</f>
        <v>445.71999999999997</v>
      </c>
      <c r="E35" s="80">
        <f>D35*G29</f>
        <v>1916.5959999999998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13" t="s">
        <v>216</v>
      </c>
      <c r="B37" s="85"/>
      <c r="C37" s="85"/>
      <c r="D37" s="102" t="s">
        <v>568</v>
      </c>
      <c r="E37" s="102" t="s">
        <v>211</v>
      </c>
      <c r="F37" s="102" t="s">
        <v>212</v>
      </c>
      <c r="G37" s="102" t="s">
        <v>209</v>
      </c>
      <c r="H37" s="102" t="s">
        <v>210</v>
      </c>
      <c r="I37" s="102" t="s">
        <v>213</v>
      </c>
      <c r="J37" s="102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436.80559999999997</v>
      </c>
      <c r="E38" s="91">
        <f>SUM(J2:J4,J6:J11,J13:J20)</f>
        <v>1914.5080383466047</v>
      </c>
      <c r="F38" s="91">
        <f>SUM(K2:K4,K6:K11,K13:K20)</f>
        <v>11.465522777954471</v>
      </c>
      <c r="G38" s="91">
        <f>SUM(L6:L11,L13:L20,L22:L25)</f>
        <v>555.9344000000001</v>
      </c>
      <c r="H38" s="91">
        <f>SUM(M6:M11,M13:M20,M22:M25)</f>
        <v>359.19044828993748</v>
      </c>
      <c r="I38" s="91">
        <f>SUM(N6:N11,N13:N20,N22:N25)</f>
        <v>3774.2717219119068</v>
      </c>
      <c r="J38" s="91">
        <f>SUM(O6:O11,O13:O20,O22:O25)</f>
        <v>22.419994431434205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8.9144000000000005</v>
      </c>
      <c r="E39" s="92">
        <f>E35-E38</f>
        <v>2.0879616533950411</v>
      </c>
      <c r="F39" s="92">
        <f>F35-F38</f>
        <v>3.4477222045529388E-2</v>
      </c>
      <c r="G39" s="92">
        <f>SUM(D2:D4)-G38</f>
        <v>11.34559999999999</v>
      </c>
      <c r="H39" s="92">
        <f>E32-H38</f>
        <v>3.2551231836156944</v>
      </c>
      <c r="I39" s="92">
        <f>F32-I38</f>
        <v>2.2706861995256986</v>
      </c>
      <c r="J39" s="92">
        <f>G32-J38</f>
        <v>1.4788938346754321E-2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63" priority="1" operator="lessThan">
      <formula>0</formula>
    </cfRule>
  </conditionalFormatting>
  <conditionalFormatting sqref="W28 AA28:AF28">
    <cfRule type="cellIs" dxfId="62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C0000"/>
  </sheetPr>
  <dimension ref="A1:AM76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53</v>
      </c>
    </row>
    <row r="2" spans="1:39" x14ac:dyDescent="0.25">
      <c r="A2" s="32" t="s">
        <v>111</v>
      </c>
      <c r="B2" s="33" t="s">
        <v>7</v>
      </c>
      <c r="C2" s="33">
        <f>VLOOKUP($AM$1,DST!C:D,2,FALSE)</f>
        <v>11</v>
      </c>
      <c r="D2" s="34">
        <f>D$32*Q2</f>
        <v>521.31780000000003</v>
      </c>
      <c r="E2" s="34">
        <f>D2*R2</f>
        <v>348.04812762756814</v>
      </c>
      <c r="F2" s="34">
        <f>E2*S2</f>
        <v>3842.4513290083519</v>
      </c>
      <c r="G2" s="34">
        <f>E2*T2</f>
        <v>20.698284366937415</v>
      </c>
      <c r="H2" s="34">
        <f>D2*U2</f>
        <v>12.815002775919732</v>
      </c>
      <c r="I2" s="34">
        <f>D$35*W2</f>
        <v>12.039519520000001</v>
      </c>
      <c r="J2" s="34">
        <f>I2*V2</f>
        <v>32.117807809089577</v>
      </c>
      <c r="K2" s="34">
        <f>I2*X2</f>
        <v>0.18059279280000001</v>
      </c>
      <c r="L2" s="35"/>
      <c r="M2" s="35"/>
      <c r="N2" s="35"/>
      <c r="O2" s="35"/>
      <c r="Q2" s="36">
        <f>(AD2/SUM(AD$2:AD$25))</f>
        <v>0.9</v>
      </c>
      <c r="R2" s="37">
        <v>0.66763139034878172</v>
      </c>
      <c r="S2" s="38">
        <v>11.04</v>
      </c>
      <c r="T2" s="37">
        <v>5.9469604126374698E-2</v>
      </c>
      <c r="U2" s="37">
        <v>2.4581939799331102E-2</v>
      </c>
      <c r="V2" s="38">
        <v>2.6676984705025486</v>
      </c>
      <c r="W2" s="36">
        <f>(AE2/SUM(AE$2:AE$20))*0.98</f>
        <v>2.7439999999999999E-2</v>
      </c>
      <c r="X2" s="37">
        <v>1.4999999999999999E-2</v>
      </c>
      <c r="Y2" s="39"/>
      <c r="Z2" s="40"/>
      <c r="AA2" s="41"/>
      <c r="AB2" s="41"/>
      <c r="AD2" s="37">
        <v>0.9</v>
      </c>
      <c r="AE2" s="37">
        <v>2.8000000000000001E-2</v>
      </c>
      <c r="AF2" s="42"/>
      <c r="AG2" s="42"/>
      <c r="AH2" s="43">
        <f>AE2/(SUM(AE$2:AE$25))</f>
        <v>2.8000000000000001E-2</v>
      </c>
    </row>
    <row r="3" spans="1:39" x14ac:dyDescent="0.25">
      <c r="A3" s="32" t="s">
        <v>428</v>
      </c>
      <c r="B3" s="33" t="s">
        <v>7</v>
      </c>
      <c r="C3" s="33">
        <f>VLOOKUP($AM$1,DST!C:D,2,FALSE)</f>
        <v>11</v>
      </c>
      <c r="D3" s="34">
        <f>D$32*Q3</f>
        <v>57.924199999999999</v>
      </c>
      <c r="E3" s="34">
        <f>D3*R3</f>
        <v>34.758412400683376</v>
      </c>
      <c r="F3" s="34">
        <f>E3*S3</f>
        <v>410.14926632806385</v>
      </c>
      <c r="G3" s="34">
        <f t="shared" ref="G3:G4" si="0">E3*T3</f>
        <v>1.9369641366742598</v>
      </c>
      <c r="H3" s="34">
        <f>D3*U3</f>
        <v>1.0238992984054669</v>
      </c>
      <c r="I3" s="34">
        <f>D$35*W3</f>
        <v>17.1993136</v>
      </c>
      <c r="J3" s="34">
        <f>I3*V3</f>
        <v>60.240657920054332</v>
      </c>
      <c r="K3" s="34">
        <f>I3*X3</f>
        <v>0.90791590080624651</v>
      </c>
      <c r="L3" s="35"/>
      <c r="M3" s="35"/>
      <c r="N3" s="35"/>
      <c r="O3" s="35"/>
      <c r="Q3" s="36">
        <f>(AD3/SUM(AD$2:AD$25))</f>
        <v>0.1</v>
      </c>
      <c r="R3" s="37">
        <v>0.60006719817767662</v>
      </c>
      <c r="S3" s="38">
        <v>11.8</v>
      </c>
      <c r="T3" s="37">
        <v>5.5726484695146135E-2</v>
      </c>
      <c r="U3" s="37">
        <v>1.7676537585421412E-2</v>
      </c>
      <c r="V3" s="38">
        <v>3.5025036068912851</v>
      </c>
      <c r="W3" s="36">
        <f>(AE3/SUM(AE$2:AE$20))*0.98</f>
        <v>3.9199999999999999E-2</v>
      </c>
      <c r="X3" s="37">
        <v>5.2787914792497677E-2</v>
      </c>
      <c r="Y3" s="39"/>
      <c r="Z3" s="40"/>
      <c r="AA3" s="41"/>
      <c r="AB3" s="41"/>
      <c r="AD3" s="37">
        <v>0.1</v>
      </c>
      <c r="AE3" s="37">
        <v>0.04</v>
      </c>
      <c r="AF3" s="42"/>
      <c r="AG3" s="42"/>
      <c r="AH3" s="43">
        <f t="shared" ref="AH3:AH20" si="1">AE3/(SUM(AE$2:AE$25))</f>
        <v>0.04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ref="E4:F4" si="2">D4*R4</f>
        <v>0</v>
      </c>
      <c r="F4" s="34">
        <f t="shared" si="2"/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367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264.86942944000003</v>
      </c>
      <c r="J6" s="34">
        <f>I6*V6</f>
        <v>1287.2654270784003</v>
      </c>
      <c r="K6" s="34">
        <f>I6*X6</f>
        <v>10.065038318720001</v>
      </c>
      <c r="L6" s="34">
        <f>((D$2+D$3+D$4)*AA6)</f>
        <v>102.17828880000003</v>
      </c>
      <c r="M6" s="34">
        <f t="shared" ref="M6:N11" si="4">L6*Y6</f>
        <v>76.394583552176854</v>
      </c>
      <c r="N6" s="34">
        <f t="shared" si="4"/>
        <v>737.62506684720006</v>
      </c>
      <c r="O6" s="34">
        <f t="shared" ref="O6:O11" si="5">M6*AG6</f>
        <v>3.6379056015915796</v>
      </c>
      <c r="Q6" s="53"/>
      <c r="R6" s="54"/>
      <c r="S6" s="55"/>
      <c r="T6" s="54"/>
      <c r="U6" s="54"/>
      <c r="V6" s="38">
        <v>4.8600000000000003</v>
      </c>
      <c r="W6" s="36">
        <f t="shared" ref="W6:W11" si="6">(AE6/SUM(AE$2:AE$20))*0.98</f>
        <v>0.60367999999999999</v>
      </c>
      <c r="X6" s="37">
        <v>3.7999999999999999E-2</v>
      </c>
      <c r="Y6" s="37">
        <v>0.74765964912280691</v>
      </c>
      <c r="Z6" s="56">
        <v>9.6554628947405465</v>
      </c>
      <c r="AA6" s="36">
        <f t="shared" ref="AA6:AA11" si="7">(AF6/SUM(AF$6:AF$25))*0.98</f>
        <v>0.17640000000000003</v>
      </c>
      <c r="AB6" s="36">
        <f t="shared" ref="AB6:AB11" si="8">(AG6/SUM(AG$6:AG$25))*0.98</f>
        <v>8.1064960977385234E-2</v>
      </c>
      <c r="AD6" s="42"/>
      <c r="AE6" s="37">
        <v>0.61599999999999999</v>
      </c>
      <c r="AF6" s="37">
        <v>0.18</v>
      </c>
      <c r="AG6" s="37">
        <v>4.7619941525133401E-2</v>
      </c>
      <c r="AH6" s="43">
        <f t="shared" si="1"/>
        <v>0.61599999999999999</v>
      </c>
      <c r="AI6" s="43">
        <f>AF6/(SUM(AF$6:AF$25))</f>
        <v>0.18000000000000002</v>
      </c>
    </row>
    <row r="7" spans="1:39" x14ac:dyDescent="0.25">
      <c r="A7" s="32" t="s">
        <v>332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110.50558988000002</v>
      </c>
      <c r="J7" s="34">
        <f>I7*V7</f>
        <v>471.85886878760004</v>
      </c>
      <c r="K7" s="34">
        <f>I7*X7</f>
        <v>4.5307291850800011</v>
      </c>
      <c r="L7" s="34">
        <f>((D$2+D$3+D$4)*AA7)</f>
        <v>10.785486040000002</v>
      </c>
      <c r="M7" s="34">
        <f t="shared" si="4"/>
        <v>8.0891145300000016</v>
      </c>
      <c r="N7" s="34">
        <f t="shared" si="4"/>
        <v>54.636638549268255</v>
      </c>
      <c r="O7" s="34">
        <f t="shared" si="5"/>
        <v>0.24267343590000004</v>
      </c>
      <c r="Q7" s="53"/>
      <c r="R7" s="54"/>
      <c r="S7" s="55"/>
      <c r="T7" s="54"/>
      <c r="U7" s="54"/>
      <c r="V7" s="38">
        <v>4.2699999999999996</v>
      </c>
      <c r="W7" s="36">
        <f t="shared" si="6"/>
        <v>0.25186000000000003</v>
      </c>
      <c r="X7" s="37">
        <v>4.1000000000000002E-2</v>
      </c>
      <c r="Y7" s="37">
        <v>0.75</v>
      </c>
      <c r="Z7" s="56">
        <v>6.7543410773377</v>
      </c>
      <c r="AA7" s="36">
        <f t="shared" si="7"/>
        <v>1.8620000000000001E-2</v>
      </c>
      <c r="AB7" s="36">
        <f t="shared" si="8"/>
        <v>5.1069966728917435E-2</v>
      </c>
      <c r="AD7" s="42"/>
      <c r="AE7" s="37">
        <v>0.25700000000000001</v>
      </c>
      <c r="AF7" s="37">
        <v>1.9E-2</v>
      </c>
      <c r="AG7" s="37">
        <v>0.03</v>
      </c>
      <c r="AH7" s="43">
        <f t="shared" si="1"/>
        <v>0.25700000000000001</v>
      </c>
      <c r="AI7" s="43">
        <f t="shared" ref="AI7:AI25" si="9">AF7/(SUM(AF$6:AF$25))</f>
        <v>1.9000000000000003E-2</v>
      </c>
    </row>
    <row r="8" spans="1:39" x14ac:dyDescent="0.25">
      <c r="A8" s="32" t="s">
        <v>598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23.219073360000003</v>
      </c>
      <c r="J8" s="34">
        <f>I8*V8</f>
        <v>84.981808497600014</v>
      </c>
      <c r="K8" s="34">
        <f>I8*X8</f>
        <v>0.69657220080000004</v>
      </c>
      <c r="L8" s="34">
        <f>((D$2+D$3+D$4)*AA8)</f>
        <v>2.8382858000000009</v>
      </c>
      <c r="M8" s="34">
        <f t="shared" si="4"/>
        <v>2.0151829180000007</v>
      </c>
      <c r="N8" s="34">
        <f t="shared" si="4"/>
        <v>12.171005983571636</v>
      </c>
      <c r="O8" s="34">
        <f t="shared" si="5"/>
        <v>6.0455487540000019E-2</v>
      </c>
      <c r="Q8" s="53"/>
      <c r="R8" s="54"/>
      <c r="S8" s="55"/>
      <c r="T8" s="54"/>
      <c r="U8" s="54"/>
      <c r="V8" s="38">
        <v>3.66</v>
      </c>
      <c r="W8" s="36">
        <f t="shared" si="6"/>
        <v>5.2920000000000002E-2</v>
      </c>
      <c r="X8" s="37">
        <v>0.03</v>
      </c>
      <c r="Y8" s="37">
        <v>0.71</v>
      </c>
      <c r="Z8" s="56">
        <v>6.0396532120523023</v>
      </c>
      <c r="AA8" s="36">
        <f t="shared" si="7"/>
        <v>4.9000000000000007E-3</v>
      </c>
      <c r="AB8" s="36">
        <f t="shared" si="8"/>
        <v>5.1069966728917435E-2</v>
      </c>
      <c r="AD8" s="42"/>
      <c r="AE8" s="37">
        <v>5.3999999999999999E-2</v>
      </c>
      <c r="AF8" s="37">
        <v>5.0000000000000001E-3</v>
      </c>
      <c r="AG8" s="37">
        <v>0.03</v>
      </c>
      <c r="AH8" s="43">
        <f t="shared" si="1"/>
        <v>5.3999999999999999E-2</v>
      </c>
      <c r="AI8" s="43">
        <f t="shared" si="9"/>
        <v>5.000000000000001E-3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313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158.37634764000006</v>
      </c>
      <c r="M13" s="34">
        <f t="shared" ref="M13:N20" si="17">L13*Y13</f>
        <v>101.04410979432004</v>
      </c>
      <c r="N13" s="34">
        <f t="shared" si="17"/>
        <v>1316.60475061999</v>
      </c>
      <c r="O13" s="34">
        <f t="shared" ref="O13:O20" si="18">M13*AG13</f>
        <v>7.7803964541626423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0.63800000000000001</v>
      </c>
      <c r="Z13" s="56">
        <v>13.03</v>
      </c>
      <c r="AA13" s="36">
        <f t="shared" ref="AA13:AB20" si="20">(AF13/SUM(AF$6:AF$25))*0.98</f>
        <v>0.27342000000000005</v>
      </c>
      <c r="AB13" s="36">
        <f t="shared" si="20"/>
        <v>0.13107958127088812</v>
      </c>
      <c r="AD13" s="42"/>
      <c r="AE13" s="37">
        <v>0</v>
      </c>
      <c r="AF13" s="37">
        <v>0.27900000000000003</v>
      </c>
      <c r="AG13" s="37">
        <v>7.6999999999999999E-2</v>
      </c>
      <c r="AH13" s="43">
        <f t="shared" si="1"/>
        <v>0</v>
      </c>
      <c r="AI13" s="43">
        <f t="shared" si="9"/>
        <v>0.27900000000000008</v>
      </c>
    </row>
    <row r="14" spans="1:39" x14ac:dyDescent="0.25">
      <c r="A14" s="32" t="s">
        <v>669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2.1499142</v>
      </c>
      <c r="J14" s="34">
        <f t="shared" si="14"/>
        <v>15.318138675</v>
      </c>
      <c r="K14" s="34">
        <f t="shared" si="15"/>
        <v>8.0621782500000003E-2</v>
      </c>
      <c r="L14" s="34">
        <f t="shared" si="16"/>
        <v>59.604001800000013</v>
      </c>
      <c r="M14" s="34">
        <f t="shared" si="17"/>
        <v>33.25903300440001</v>
      </c>
      <c r="N14" s="34">
        <f t="shared" si="17"/>
        <v>403.0994800133281</v>
      </c>
      <c r="O14" s="34">
        <f t="shared" si="18"/>
        <v>2.2616142442992007</v>
      </c>
      <c r="Q14" s="53"/>
      <c r="R14" s="54"/>
      <c r="S14" s="55"/>
      <c r="T14" s="54"/>
      <c r="U14" s="54"/>
      <c r="V14" s="38">
        <v>7.125</v>
      </c>
      <c r="W14" s="36">
        <f t="shared" si="19"/>
        <v>4.8999999999999998E-3</v>
      </c>
      <c r="X14" s="37">
        <v>3.7499999999999999E-2</v>
      </c>
      <c r="Y14" s="37">
        <v>0.55800000000000005</v>
      </c>
      <c r="Z14" s="56">
        <v>12.12</v>
      </c>
      <c r="AA14" s="36">
        <f t="shared" si="20"/>
        <v>0.10290000000000001</v>
      </c>
      <c r="AB14" s="36">
        <f t="shared" si="20"/>
        <v>0.11575859125221288</v>
      </c>
      <c r="AD14" s="42"/>
      <c r="AE14" s="37">
        <v>5.0000000000000001E-3</v>
      </c>
      <c r="AF14" s="37">
        <v>0.105</v>
      </c>
      <c r="AG14" s="37">
        <v>6.8000000000000005E-2</v>
      </c>
      <c r="AH14" s="43">
        <f t="shared" si="1"/>
        <v>5.0000000000000001E-3</v>
      </c>
      <c r="AI14" s="43">
        <f t="shared" si="9"/>
        <v>0.10500000000000001</v>
      </c>
    </row>
    <row r="15" spans="1:39" x14ac:dyDescent="0.25">
      <c r="A15" s="32" t="s">
        <v>423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46.547887120000013</v>
      </c>
      <c r="M15" s="34">
        <f t="shared" si="17"/>
        <v>30.19048217180514</v>
      </c>
      <c r="N15" s="34">
        <f t="shared" si="17"/>
        <v>304.01815547007777</v>
      </c>
      <c r="O15" s="34">
        <f t="shared" si="18"/>
        <v>1.5614429057625647</v>
      </c>
      <c r="Q15" s="53"/>
      <c r="R15" s="54"/>
      <c r="S15" s="55"/>
      <c r="T15" s="54"/>
      <c r="U15" s="54"/>
      <c r="V15" s="38">
        <v>6</v>
      </c>
      <c r="W15" s="36">
        <f t="shared" si="19"/>
        <v>0</v>
      </c>
      <c r="X15" s="37">
        <v>0.05</v>
      </c>
      <c r="Y15" s="37">
        <v>0.64858974358974364</v>
      </c>
      <c r="Z15" s="56">
        <v>10.07</v>
      </c>
      <c r="AA15" s="36">
        <f t="shared" si="20"/>
        <v>8.0360000000000015E-2</v>
      </c>
      <c r="AB15" s="36">
        <f t="shared" si="20"/>
        <v>8.8044124626877829E-2</v>
      </c>
      <c r="AD15" s="42"/>
      <c r="AE15" s="37">
        <v>0</v>
      </c>
      <c r="AF15" s="37">
        <v>8.2000000000000003E-2</v>
      </c>
      <c r="AG15" s="37">
        <v>5.1719707452065625E-2</v>
      </c>
      <c r="AH15" s="43">
        <f t="shared" si="1"/>
        <v>0</v>
      </c>
      <c r="AI15" s="43">
        <f t="shared" si="9"/>
        <v>8.2000000000000017E-2</v>
      </c>
    </row>
    <row r="16" spans="1:39" x14ac:dyDescent="0.25">
      <c r="A16" s="32" t="s">
        <v>319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45.412572800000014</v>
      </c>
      <c r="M16" s="34">
        <f t="shared" si="17"/>
        <v>28.046307289249324</v>
      </c>
      <c r="N16" s="34">
        <f t="shared" si="17"/>
        <v>348.89606267826156</v>
      </c>
      <c r="O16" s="34">
        <f t="shared" si="18"/>
        <v>1.7108247446442086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0.61758904109589041</v>
      </c>
      <c r="Z16" s="56">
        <v>12.44</v>
      </c>
      <c r="AA16" s="36">
        <f t="shared" si="20"/>
        <v>7.8400000000000011E-2</v>
      </c>
      <c r="AB16" s="36">
        <f t="shared" si="20"/>
        <v>0.10384226568213213</v>
      </c>
      <c r="AD16" s="42"/>
      <c r="AE16" s="37">
        <v>0</v>
      </c>
      <c r="AF16" s="37">
        <v>0.08</v>
      </c>
      <c r="AG16" s="37">
        <v>6.0999999999999999E-2</v>
      </c>
      <c r="AH16" s="43">
        <f t="shared" si="1"/>
        <v>0</v>
      </c>
      <c r="AI16" s="43">
        <f t="shared" si="9"/>
        <v>8.0000000000000016E-2</v>
      </c>
    </row>
    <row r="17" spans="1:35" x14ac:dyDescent="0.25">
      <c r="A17" s="32" t="s">
        <v>440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5.6765716000000017</v>
      </c>
      <c r="M17" s="34">
        <f t="shared" si="17"/>
        <v>3.9168344040000007</v>
      </c>
      <c r="N17" s="34">
        <f t="shared" si="17"/>
        <v>43.75104029268001</v>
      </c>
      <c r="O17" s="34">
        <f t="shared" si="18"/>
        <v>0.19584172020000004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0.69</v>
      </c>
      <c r="Z17" s="56">
        <v>11.17</v>
      </c>
      <c r="AA17" s="36">
        <f t="shared" si="20"/>
        <v>9.8000000000000014E-3</v>
      </c>
      <c r="AB17" s="36">
        <f t="shared" si="20"/>
        <v>8.5116611214862414E-2</v>
      </c>
      <c r="AD17" s="42"/>
      <c r="AE17" s="37">
        <v>0</v>
      </c>
      <c r="AF17" s="37">
        <v>0.01</v>
      </c>
      <c r="AG17" s="37">
        <v>0.05</v>
      </c>
      <c r="AH17" s="43">
        <f t="shared" si="1"/>
        <v>0</v>
      </c>
      <c r="AI17" s="43">
        <f t="shared" si="9"/>
        <v>1.0000000000000002E-2</v>
      </c>
    </row>
    <row r="18" spans="1:35" x14ac:dyDescent="0.25"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125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108.42251756000002</v>
      </c>
      <c r="M22" s="34">
        <f t="shared" ref="M22:N25" si="21">L22*Y22</f>
        <v>73.503679893626185</v>
      </c>
      <c r="N22" s="34">
        <f t="shared" si="21"/>
        <v>806.69339349943709</v>
      </c>
      <c r="O22" s="34">
        <f>M22*AG22</f>
        <v>3.9691987142558141</v>
      </c>
      <c r="Q22" s="53"/>
      <c r="R22" s="54"/>
      <c r="S22" s="55"/>
      <c r="T22" s="54"/>
      <c r="U22" s="54"/>
      <c r="V22" s="59"/>
      <c r="W22" s="60"/>
      <c r="X22" s="54"/>
      <c r="Y22" s="37">
        <v>0.67793740219092335</v>
      </c>
      <c r="Z22" s="56">
        <v>10.974870845471628</v>
      </c>
      <c r="AA22" s="36">
        <f t="shared" ref="AA22:AB25" si="22">(AF22/SUM(AF$6:AF$25))*0.98</f>
        <v>0.18718000000000001</v>
      </c>
      <c r="AB22" s="36">
        <f t="shared" si="22"/>
        <v>9.1925940112051394E-2</v>
      </c>
      <c r="AD22" s="42"/>
      <c r="AE22" s="42"/>
      <c r="AF22" s="37">
        <v>0.191</v>
      </c>
      <c r="AG22" s="37">
        <v>5.3999999999999999E-2</v>
      </c>
      <c r="AH22" s="43"/>
      <c r="AI22" s="43">
        <f t="shared" si="9"/>
        <v>0.19100000000000003</v>
      </c>
    </row>
    <row r="23" spans="1:35" x14ac:dyDescent="0.25">
      <c r="A23" s="32" t="s">
        <v>616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22.138629240000004</v>
      </c>
      <c r="M23" s="34">
        <f t="shared" si="21"/>
        <v>17.400962582640005</v>
      </c>
      <c r="N23" s="34">
        <f t="shared" si="21"/>
        <v>186.01629000842166</v>
      </c>
      <c r="O23" s="34">
        <f>M23*AG23</f>
        <v>0.98039049847632109</v>
      </c>
      <c r="Q23" s="53"/>
      <c r="R23" s="54"/>
      <c r="S23" s="55"/>
      <c r="T23" s="54"/>
      <c r="U23" s="54"/>
      <c r="V23" s="59"/>
      <c r="W23" s="60"/>
      <c r="X23" s="54"/>
      <c r="Y23" s="37">
        <v>0.78600000000000003</v>
      </c>
      <c r="Z23" s="56">
        <v>10.69</v>
      </c>
      <c r="AA23" s="36">
        <f t="shared" si="22"/>
        <v>3.8220000000000004E-2</v>
      </c>
      <c r="AB23" s="36">
        <f t="shared" si="22"/>
        <v>9.5911380190892695E-2</v>
      </c>
      <c r="AD23" s="42"/>
      <c r="AE23" s="42"/>
      <c r="AF23" s="37">
        <v>3.9E-2</v>
      </c>
      <c r="AG23" s="37">
        <v>5.6341164680993192E-2</v>
      </c>
      <c r="AH23" s="43"/>
      <c r="AI23" s="43">
        <f t="shared" si="9"/>
        <v>3.9000000000000007E-2</v>
      </c>
    </row>
    <row r="24" spans="1:35" x14ac:dyDescent="0.25">
      <c r="A24" s="32" t="s">
        <v>129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5.6765716000000017</v>
      </c>
      <c r="M24" s="34">
        <f t="shared" si="21"/>
        <v>4.2006629840000009</v>
      </c>
      <c r="N24" s="34">
        <f t="shared" si="21"/>
        <v>35.836419755850109</v>
      </c>
      <c r="O24" s="34">
        <f>M24*AG24</f>
        <v>0.21003314920000005</v>
      </c>
      <c r="Q24" s="53"/>
      <c r="R24" s="54"/>
      <c r="S24" s="55"/>
      <c r="T24" s="54"/>
      <c r="U24" s="54"/>
      <c r="V24" s="59"/>
      <c r="W24" s="60"/>
      <c r="X24" s="54"/>
      <c r="Y24" s="37">
        <v>0.74</v>
      </c>
      <c r="Z24" s="56">
        <v>8.5311342262752916</v>
      </c>
      <c r="AA24" s="36">
        <f t="shared" si="22"/>
        <v>9.8000000000000014E-3</v>
      </c>
      <c r="AB24" s="36">
        <f t="shared" si="22"/>
        <v>8.5116611214862414E-2</v>
      </c>
      <c r="AD24" s="42"/>
      <c r="AE24" s="42"/>
      <c r="AF24" s="37">
        <v>0.01</v>
      </c>
      <c r="AG24" s="37">
        <v>0.05</v>
      </c>
      <c r="AH24" s="43"/>
      <c r="AI24" s="43">
        <f t="shared" si="9"/>
        <v>1.0000000000000002E-2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0.99999999999999989</v>
      </c>
    </row>
    <row r="29" spans="1:35" s="69" customFormat="1" x14ac:dyDescent="0.25">
      <c r="A29" s="62"/>
      <c r="B29" s="63"/>
      <c r="C29" s="63"/>
      <c r="D29" s="74">
        <v>1018</v>
      </c>
      <c r="E29" s="75">
        <v>0.56899999999999995</v>
      </c>
      <c r="F29" s="76">
        <f>1-E29</f>
        <v>0.43100000000000005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579.24199999999996</v>
      </c>
      <c r="E32" s="80">
        <f>SUM(E2:E4)</f>
        <v>382.8065400282515</v>
      </c>
      <c r="F32" s="80">
        <f>SUM(F2:F4)</f>
        <v>4252.6005953364156</v>
      </c>
      <c r="G32" s="80">
        <f>SUM(G2:G4)</f>
        <v>22.635248503611674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438.75800000000004</v>
      </c>
      <c r="E35" s="80">
        <f>D35*G29</f>
        <v>1952.4731000000002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429.98284000000001</v>
      </c>
      <c r="E38" s="91">
        <f>SUM(J2:J4,J6:J11,J13:J20)</f>
        <v>1951.7827087677445</v>
      </c>
      <c r="F38" s="91">
        <f>SUM(K2:K4,K6:K11,K13:K20)</f>
        <v>16.461470180706247</v>
      </c>
      <c r="G38" s="91">
        <f>SUM(L6:L11,L13:L20,L22:L25)</f>
        <v>567.6571600000002</v>
      </c>
      <c r="H38" s="91">
        <f>SUM(M6:M11,M13:M20,M22:M25)</f>
        <v>378.06095312421758</v>
      </c>
      <c r="I38" s="91">
        <f>SUM(N6:N11,N13:N20,N22:N25)</f>
        <v>4249.3483037180858</v>
      </c>
      <c r="J38" s="91">
        <f>SUM(O6:O11,O13:O20,O22:O25)</f>
        <v>22.610776956032336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8.775160000000028</v>
      </c>
      <c r="E39" s="92">
        <f>E35-E38</f>
        <v>0.6903912322557062</v>
      </c>
      <c r="F39" s="92">
        <f>F35-F38</f>
        <v>3.852981929375332E-2</v>
      </c>
      <c r="G39" s="92">
        <f>SUM(D2:D4)-G38</f>
        <v>11.584839999999872</v>
      </c>
      <c r="H39" s="92">
        <f>E32-H38</f>
        <v>4.745586904033928</v>
      </c>
      <c r="I39" s="92">
        <f>F32-I38</f>
        <v>3.2522916183297639</v>
      </c>
      <c r="J39" s="92">
        <f>G32-J38</f>
        <v>2.4471547579338448E-2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A41" s="32"/>
      <c r="AB41" s="32"/>
      <c r="AD41" s="32"/>
      <c r="AE41" s="32"/>
      <c r="AG41" s="65"/>
    </row>
    <row r="42" spans="1:33" x14ac:dyDescent="0.25">
      <c r="V42" s="82"/>
      <c r="X42" s="65"/>
      <c r="Y42" s="65"/>
      <c r="Z42" s="82"/>
      <c r="AA42" s="32"/>
      <c r="AB42" s="32"/>
      <c r="AD42" s="32"/>
      <c r="AE42" s="32"/>
      <c r="AG42" s="65"/>
    </row>
    <row r="43" spans="1:33" x14ac:dyDescent="0.25">
      <c r="V43" s="82"/>
      <c r="X43" s="65"/>
      <c r="Y43" s="65"/>
      <c r="Z43" s="82"/>
      <c r="AA43" s="32"/>
      <c r="AB43" s="32"/>
      <c r="AD43" s="32"/>
      <c r="AE43" s="32"/>
      <c r="AG43" s="65"/>
    </row>
    <row r="44" spans="1:33" x14ac:dyDescent="0.25">
      <c r="V44" s="82"/>
      <c r="X44" s="65"/>
      <c r="Y44" s="65"/>
      <c r="Z44" s="82"/>
      <c r="AA44" s="32"/>
      <c r="AB44" s="32"/>
      <c r="AD44" s="32"/>
      <c r="AE44" s="32"/>
      <c r="AG44" s="65"/>
    </row>
    <row r="45" spans="1:33" x14ac:dyDescent="0.25">
      <c r="V45" s="82"/>
      <c r="X45" s="65"/>
      <c r="Y45" s="65"/>
      <c r="Z45" s="82"/>
      <c r="AA45" s="32"/>
      <c r="AB45" s="32"/>
      <c r="AD45" s="32"/>
      <c r="AE45" s="32"/>
      <c r="AG45" s="65"/>
    </row>
    <row r="46" spans="1:33" x14ac:dyDescent="0.25">
      <c r="V46" s="82"/>
      <c r="X46" s="65"/>
      <c r="Y46" s="65"/>
      <c r="Z46" s="82"/>
      <c r="AA46" s="32"/>
      <c r="AB46" s="32"/>
      <c r="AD46" s="32"/>
      <c r="AE46" s="32"/>
      <c r="AG46" s="65"/>
    </row>
    <row r="47" spans="1:33" x14ac:dyDescent="0.25">
      <c r="V47" s="82"/>
      <c r="X47" s="65"/>
      <c r="Y47" s="65"/>
      <c r="Z47" s="82"/>
      <c r="AA47" s="32"/>
      <c r="AB47" s="32"/>
      <c r="AD47" s="32"/>
      <c r="AE47" s="32"/>
      <c r="AG47" s="65"/>
    </row>
    <row r="48" spans="1:33" x14ac:dyDescent="0.25">
      <c r="V48" s="82"/>
      <c r="X48" s="65"/>
      <c r="Y48" s="65"/>
      <c r="Z48" s="82"/>
      <c r="AA48" s="32"/>
      <c r="AB48" s="32"/>
      <c r="AD48" s="32"/>
      <c r="AE48" s="32"/>
      <c r="AG48" s="65"/>
    </row>
    <row r="49" spans="22:33" x14ac:dyDescent="0.25">
      <c r="V49" s="82"/>
      <c r="X49" s="65"/>
      <c r="Y49" s="65"/>
      <c r="Z49" s="82"/>
      <c r="AA49" s="32"/>
      <c r="AB49" s="32"/>
      <c r="AD49" s="32"/>
      <c r="AE49" s="32"/>
      <c r="AG49" s="65"/>
    </row>
    <row r="50" spans="22:33" x14ac:dyDescent="0.25">
      <c r="V50" s="82"/>
      <c r="X50" s="65"/>
      <c r="Y50" s="65"/>
      <c r="Z50" s="82"/>
      <c r="AA50" s="32"/>
      <c r="AB50" s="32"/>
      <c r="AD50" s="32"/>
      <c r="AE50" s="32"/>
      <c r="AG50" s="65"/>
    </row>
    <row r="51" spans="22:33" x14ac:dyDescent="0.25">
      <c r="X51" s="48"/>
      <c r="Y51" s="65"/>
      <c r="Z51" s="82"/>
      <c r="AA51" s="32"/>
      <c r="AB51" s="32"/>
      <c r="AD51" s="32"/>
      <c r="AE51" s="32"/>
      <c r="AG51" s="65"/>
    </row>
    <row r="52" spans="22:33" x14ac:dyDescent="0.25">
      <c r="X52" s="48"/>
      <c r="Y52" s="65"/>
      <c r="Z52" s="82"/>
      <c r="AA52" s="32"/>
      <c r="AB52" s="32"/>
      <c r="AD52" s="32"/>
      <c r="AE52" s="32"/>
      <c r="AG52" s="65"/>
    </row>
    <row r="53" spans="22:33" x14ac:dyDescent="0.25">
      <c r="X53" s="48"/>
      <c r="Y53" s="65"/>
      <c r="Z53" s="82"/>
      <c r="AA53" s="32"/>
      <c r="AB53" s="32"/>
      <c r="AD53" s="32"/>
      <c r="AE53" s="32"/>
      <c r="AG53" s="65"/>
    </row>
    <row r="54" spans="22:33" x14ac:dyDescent="0.25">
      <c r="X54" s="48"/>
      <c r="Y54" s="65"/>
      <c r="Z54" s="82"/>
      <c r="AA54" s="32"/>
      <c r="AB54" s="32"/>
      <c r="AD54" s="32"/>
      <c r="AE54" s="32"/>
      <c r="AG54" s="65"/>
    </row>
    <row r="55" spans="22:33" x14ac:dyDescent="0.25">
      <c r="X55" s="48"/>
      <c r="Y55" s="65"/>
      <c r="Z55" s="82"/>
      <c r="AA55" s="32"/>
      <c r="AB55" s="32"/>
      <c r="AD55" s="32"/>
      <c r="AE55" s="32"/>
      <c r="AG55" s="65"/>
    </row>
    <row r="56" spans="22:33" x14ac:dyDescent="0.25">
      <c r="X56" s="48"/>
      <c r="Y56" s="48"/>
      <c r="AA56" s="32"/>
      <c r="AB56" s="32"/>
      <c r="AD56" s="32"/>
      <c r="AE56" s="32"/>
      <c r="AG56" s="48"/>
    </row>
    <row r="57" spans="22:33" x14ac:dyDescent="0.25">
      <c r="X57" s="48"/>
      <c r="Y57" s="48"/>
      <c r="AA57" s="32"/>
      <c r="AB57" s="32"/>
      <c r="AD57" s="32"/>
      <c r="AE57" s="32"/>
      <c r="AG57" s="48"/>
    </row>
    <row r="58" spans="22:33" x14ac:dyDescent="0.25">
      <c r="X58" s="48"/>
      <c r="Y58" s="48"/>
      <c r="AA58" s="32"/>
      <c r="AB58" s="32"/>
      <c r="AD58" s="32"/>
      <c r="AE58" s="32"/>
      <c r="AG58" s="48"/>
    </row>
    <row r="59" spans="22:33" x14ac:dyDescent="0.25">
      <c r="X59" s="48"/>
      <c r="Y59" s="48"/>
      <c r="AA59" s="32"/>
      <c r="AB59" s="32"/>
      <c r="AD59" s="32"/>
      <c r="AE59" s="32"/>
      <c r="AG59" s="48"/>
    </row>
    <row r="60" spans="22:33" x14ac:dyDescent="0.25">
      <c r="X60" s="32"/>
      <c r="Y60" s="48"/>
      <c r="AA60" s="32"/>
      <c r="AB60" s="32"/>
      <c r="AD60" s="32"/>
      <c r="AE60" s="32"/>
      <c r="AG60" s="48"/>
    </row>
    <row r="61" spans="22:33" x14ac:dyDescent="0.25">
      <c r="X61" s="32"/>
      <c r="Y61" s="48"/>
      <c r="AA61" s="32"/>
      <c r="AB61" s="32"/>
      <c r="AD61" s="32"/>
      <c r="AE61" s="32"/>
      <c r="AG61" s="48"/>
    </row>
    <row r="62" spans="22:33" x14ac:dyDescent="0.25">
      <c r="X62" s="32"/>
      <c r="Y62" s="48"/>
      <c r="AA62" s="32"/>
      <c r="AB62" s="32"/>
      <c r="AD62" s="32"/>
      <c r="AE62" s="32"/>
      <c r="AG62" s="48"/>
    </row>
    <row r="63" spans="22:33" x14ac:dyDescent="0.25">
      <c r="X63" s="32"/>
      <c r="Y63" s="48"/>
      <c r="AA63" s="32"/>
      <c r="AB63" s="32"/>
      <c r="AD63" s="32"/>
      <c r="AE63" s="32"/>
      <c r="AG63" s="48"/>
    </row>
    <row r="64" spans="22:33" x14ac:dyDescent="0.25">
      <c r="X64" s="32"/>
      <c r="Y64" s="48"/>
      <c r="AA64" s="32"/>
      <c r="AB64" s="32"/>
      <c r="AD64" s="32"/>
      <c r="AE64" s="32"/>
      <c r="AG64" s="48"/>
    </row>
    <row r="65" spans="24:31" x14ac:dyDescent="0.25">
      <c r="X65" s="32"/>
      <c r="Y65" s="33"/>
      <c r="Z65" s="33"/>
      <c r="AA65" s="32"/>
      <c r="AB65" s="32"/>
      <c r="AD65" s="32"/>
      <c r="AE65" s="32"/>
    </row>
    <row r="66" spans="24:31" x14ac:dyDescent="0.25">
      <c r="X66" s="32"/>
      <c r="Y66" s="33"/>
      <c r="Z66" s="33"/>
      <c r="AA66" s="32"/>
      <c r="AB66" s="32"/>
      <c r="AD66" s="32"/>
      <c r="AE66" s="32"/>
    </row>
    <row r="67" spans="24:31" x14ac:dyDescent="0.25">
      <c r="X67" s="32"/>
      <c r="Y67" s="33"/>
      <c r="Z67" s="33"/>
      <c r="AA67" s="32"/>
      <c r="AB67" s="32"/>
      <c r="AD67" s="32"/>
      <c r="AE67" s="32"/>
    </row>
    <row r="68" spans="24:31" x14ac:dyDescent="0.25">
      <c r="X68" s="32"/>
      <c r="Y68" s="33"/>
      <c r="Z68" s="33"/>
      <c r="AA68" s="32"/>
      <c r="AB68" s="32"/>
      <c r="AD68" s="32"/>
      <c r="AE68" s="32"/>
    </row>
    <row r="69" spans="24:31" x14ac:dyDescent="0.25">
      <c r="X69" s="32"/>
      <c r="Y69" s="33"/>
      <c r="Z69" s="33"/>
      <c r="AA69" s="32"/>
      <c r="AB69" s="32"/>
      <c r="AD69" s="32"/>
      <c r="AE69" s="32"/>
    </row>
    <row r="70" spans="24:31" x14ac:dyDescent="0.25">
      <c r="X70" s="32"/>
      <c r="Y70" s="33"/>
      <c r="Z70" s="33"/>
      <c r="AA70" s="32"/>
      <c r="AB70" s="32"/>
      <c r="AD70" s="32"/>
      <c r="AE70" s="32"/>
    </row>
    <row r="71" spans="24:31" x14ac:dyDescent="0.25">
      <c r="X71" s="32"/>
      <c r="Y71" s="33"/>
      <c r="Z71" s="33"/>
      <c r="AA71" s="32"/>
      <c r="AB71" s="32"/>
      <c r="AD71" s="32"/>
      <c r="AE71" s="32"/>
    </row>
    <row r="72" spans="24:31" x14ac:dyDescent="0.25">
      <c r="X72" s="32"/>
      <c r="Y72" s="33"/>
      <c r="Z72" s="33"/>
      <c r="AA72" s="32"/>
      <c r="AB72" s="32"/>
      <c r="AD72" s="32"/>
      <c r="AE72" s="32"/>
    </row>
    <row r="73" spans="24:31" x14ac:dyDescent="0.25">
      <c r="X73" s="32"/>
      <c r="Y73" s="33"/>
      <c r="Z73" s="33"/>
      <c r="AA73" s="32"/>
      <c r="AB73" s="32"/>
      <c r="AD73" s="32"/>
      <c r="AE73" s="32"/>
    </row>
    <row r="74" spans="24:31" x14ac:dyDescent="0.25">
      <c r="X74" s="32"/>
      <c r="Y74" s="33"/>
      <c r="Z74" s="33"/>
      <c r="AA74" s="32"/>
      <c r="AB74" s="32"/>
      <c r="AD74" s="32"/>
      <c r="AE74" s="32"/>
    </row>
    <row r="75" spans="24:31" x14ac:dyDescent="0.25">
      <c r="X75" s="32"/>
      <c r="Y75" s="33"/>
      <c r="Z75" s="33"/>
      <c r="AA75" s="32"/>
      <c r="AB75" s="32"/>
      <c r="AD75" s="32"/>
      <c r="AE75" s="32"/>
    </row>
    <row r="76" spans="24:31" x14ac:dyDescent="0.25">
      <c r="X76" s="32"/>
      <c r="Y76" s="33"/>
      <c r="Z76" s="33"/>
      <c r="AA76" s="32"/>
      <c r="AB76" s="32"/>
      <c r="AD76" s="32"/>
      <c r="AE76" s="32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61" priority="1" operator="lessThan">
      <formula>0</formula>
    </cfRule>
  </conditionalFormatting>
  <conditionalFormatting sqref="W28 AA28:AF28">
    <cfRule type="cellIs" dxfId="6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580167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8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6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54</v>
      </c>
    </row>
    <row r="2" spans="1:39" x14ac:dyDescent="0.25">
      <c r="A2" s="32" t="s">
        <v>12</v>
      </c>
      <c r="B2" s="33" t="s">
        <v>7</v>
      </c>
      <c r="C2" s="33">
        <f>VLOOKUP($AM$1,DST!C:D,2,FALSE)</f>
        <v>13</v>
      </c>
      <c r="D2" s="34">
        <f>D$32*Q2</f>
        <v>455.57439999999997</v>
      </c>
      <c r="E2" s="34">
        <f>D2*R2</f>
        <v>294.66200484712675</v>
      </c>
      <c r="F2" s="34">
        <f>E2*S2</f>
        <v>3653.8088601043719</v>
      </c>
      <c r="G2" s="34">
        <f>E2*T2</f>
        <v>27.509901520511995</v>
      </c>
      <c r="H2" s="34">
        <f>D2*U2</f>
        <v>8.6775547780125564</v>
      </c>
      <c r="I2" s="34">
        <f>D$35*W2</f>
        <v>127.95454966421661</v>
      </c>
      <c r="J2" s="34">
        <f>I2*V2</f>
        <v>723.43585354761888</v>
      </c>
      <c r="K2" s="34">
        <f>I2*X2</f>
        <v>3.5060651957753577</v>
      </c>
      <c r="L2" s="35"/>
      <c r="M2" s="35"/>
      <c r="N2" s="35"/>
      <c r="O2" s="35"/>
      <c r="Q2" s="36">
        <f>(AD2/SUM(AD$2:AD$25))</f>
        <v>0.95</v>
      </c>
      <c r="R2" s="37">
        <v>0.64679227991547983</v>
      </c>
      <c r="S2" s="38">
        <v>12.4</v>
      </c>
      <c r="T2" s="37">
        <v>9.3360871330473619E-2</v>
      </c>
      <c r="U2" s="37">
        <v>1.9047503059900987E-2</v>
      </c>
      <c r="V2" s="38">
        <v>5.6538501791932196</v>
      </c>
      <c r="W2" s="36">
        <f>(AE2/SUM(AE$2:AE$20))*0.98</f>
        <v>0.23852181323113633</v>
      </c>
      <c r="X2" s="37">
        <v>2.7400863861239109E-2</v>
      </c>
      <c r="Y2" s="39"/>
      <c r="Z2" s="40"/>
      <c r="AA2" s="41"/>
      <c r="AB2" s="41"/>
      <c r="AD2" s="37">
        <v>0.95</v>
      </c>
      <c r="AE2" s="37">
        <v>0.24099999999999999</v>
      </c>
      <c r="AF2" s="42"/>
      <c r="AG2" s="42"/>
      <c r="AH2" s="43">
        <f>AE2/(SUM(AE$2:AE$25))</f>
        <v>0.24338960533789422</v>
      </c>
    </row>
    <row r="3" spans="1:39" x14ac:dyDescent="0.25">
      <c r="A3" s="32" t="s">
        <v>617</v>
      </c>
      <c r="B3" s="33" t="s">
        <v>7</v>
      </c>
      <c r="C3" s="33">
        <f>VLOOKUP($AM$1,DST!C:D,2,FALSE)</f>
        <v>13</v>
      </c>
      <c r="D3" s="34">
        <f>D$32*Q3</f>
        <v>23.977599999999999</v>
      </c>
      <c r="E3" s="34">
        <f t="shared" ref="E3:F4" si="0">D3*R3</f>
        <v>17.184053790823391</v>
      </c>
      <c r="F3" s="34">
        <f t="shared" si="0"/>
        <v>177.33943512129741</v>
      </c>
      <c r="G3" s="34">
        <f t="shared" ref="G3:G4" si="1">E3*T3</f>
        <v>1.0091095563597374</v>
      </c>
      <c r="H3" s="34">
        <f>D3*U3</f>
        <v>0.34172605995621669</v>
      </c>
      <c r="I3" s="34">
        <f>D$35*W3</f>
        <v>4.5397286451340211</v>
      </c>
      <c r="J3" s="34">
        <f>I3*V3</f>
        <v>24.394805576599303</v>
      </c>
      <c r="K3" s="34">
        <f>I3*X3</f>
        <v>0.14966138390551717</v>
      </c>
      <c r="L3" s="35"/>
      <c r="M3" s="35"/>
      <c r="N3" s="35"/>
      <c r="O3" s="35"/>
      <c r="Q3" s="36">
        <f>(AD3/SUM(AD$2:AD$25))</f>
        <v>0.05</v>
      </c>
      <c r="R3" s="37">
        <v>0.71667113434302809</v>
      </c>
      <c r="S3" s="38">
        <v>10.32</v>
      </c>
      <c r="T3" s="37">
        <v>5.8723603210473006E-2</v>
      </c>
      <c r="U3" s="37">
        <v>1.4251887593262742E-2</v>
      </c>
      <c r="V3" s="38">
        <v>5.3736263736263741</v>
      </c>
      <c r="W3" s="36">
        <f>(AE3/SUM(AE$2:AE$20))*0.98</f>
        <v>8.4625698019827108E-3</v>
      </c>
      <c r="X3" s="37">
        <v>3.2967032967032968E-2</v>
      </c>
      <c r="Y3" s="39"/>
      <c r="Z3" s="40"/>
      <c r="AA3" s="41"/>
      <c r="AB3" s="41"/>
      <c r="AD3" s="37">
        <v>0.05</v>
      </c>
      <c r="AE3" s="37">
        <v>8.5504939554585033E-3</v>
      </c>
      <c r="AF3" s="42"/>
      <c r="AG3" s="42"/>
      <c r="AH3" s="43">
        <f t="shared" ref="AH3:AH20" si="2">AE3/(SUM(AE$2:AE$25))</f>
        <v>8.6352753081456231E-3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35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281.9247546543528</v>
      </c>
      <c r="J6" s="34">
        <f t="shared" ref="J6:J11" si="4">I6*V6</f>
        <v>1413.2204856259643</v>
      </c>
      <c r="K6" s="34">
        <f t="shared" ref="K6:K11" si="5">I6*X6</f>
        <v>11.113038933805319</v>
      </c>
      <c r="L6" s="34">
        <f t="shared" ref="L6:L11" si="6">((D$2+D$3+D$4)*AA6)</f>
        <v>25.847852799999995</v>
      </c>
      <c r="M6" s="34">
        <f t="shared" ref="M6:N11" si="7">L6*Y6</f>
        <v>18.452265156863994</v>
      </c>
      <c r="N6" s="34">
        <f t="shared" si="7"/>
        <v>177.21666981521065</v>
      </c>
      <c r="O6" s="34">
        <f t="shared" ref="O6:O11" si="8">M6*AG6</f>
        <v>0.97797005331379172</v>
      </c>
      <c r="Q6" s="53"/>
      <c r="R6" s="54"/>
      <c r="S6" s="59"/>
      <c r="T6" s="54"/>
      <c r="U6" s="54"/>
      <c r="V6" s="38">
        <v>5.0127577032340067</v>
      </c>
      <c r="W6" s="36">
        <f t="shared" ref="W6:W11" si="9">(AE6/SUM(AE$2:AE$20))*0.98</f>
        <v>0.52553976276237924</v>
      </c>
      <c r="X6" s="37">
        <v>3.9418457408716016E-2</v>
      </c>
      <c r="Y6" s="37">
        <v>0.71387999999999996</v>
      </c>
      <c r="Z6" s="56">
        <v>9.6040604396630638</v>
      </c>
      <c r="AA6" s="36">
        <f t="shared" ref="AA6:AA11" si="10">(AF6/SUM(AF$6:AF$25))*0.98</f>
        <v>5.3899999999999997E-2</v>
      </c>
      <c r="AB6" s="36">
        <f t="shared" ref="AB6:AB11" si="11">(AG6/SUM(AG$6:AG$25))*0.98</f>
        <v>5.1990940000797591E-2</v>
      </c>
      <c r="AD6" s="42"/>
      <c r="AE6" s="37">
        <v>0.53100000000000003</v>
      </c>
      <c r="AF6" s="37">
        <v>5.5E-2</v>
      </c>
      <c r="AG6" s="37">
        <v>5.2999999999999999E-2</v>
      </c>
      <c r="AH6" s="43">
        <f t="shared" si="2"/>
        <v>0.53626506404324414</v>
      </c>
      <c r="AI6" s="43">
        <f>AF6/(SUM(AF$6:AF$25))</f>
        <v>5.5E-2</v>
      </c>
    </row>
    <row r="7" spans="1:39" x14ac:dyDescent="0.25">
      <c r="A7" s="32" t="s">
        <v>412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39.288948859551994</v>
      </c>
      <c r="J7" s="34">
        <f t="shared" si="4"/>
        <v>189.68282377937382</v>
      </c>
      <c r="K7" s="34">
        <f t="shared" si="5"/>
        <v>1.4480090584472696</v>
      </c>
      <c r="L7" s="34">
        <f t="shared" si="6"/>
        <v>47.936017919999991</v>
      </c>
      <c r="M7" s="34">
        <f t="shared" si="7"/>
        <v>38.38817232966062</v>
      </c>
      <c r="N7" s="34">
        <f t="shared" si="7"/>
        <v>328.26147760575321</v>
      </c>
      <c r="O7" s="34">
        <f t="shared" si="8"/>
        <v>2.1497376504609949</v>
      </c>
      <c r="Q7" s="53"/>
      <c r="R7" s="54"/>
      <c r="S7" s="59"/>
      <c r="T7" s="54"/>
      <c r="U7" s="54"/>
      <c r="V7" s="38">
        <v>4.8278925572033424</v>
      </c>
      <c r="W7" s="36">
        <f t="shared" si="9"/>
        <v>7.3239062983834397E-2</v>
      </c>
      <c r="X7" s="37">
        <v>3.685537792379058E-2</v>
      </c>
      <c r="Y7" s="37">
        <v>0.80082105263157888</v>
      </c>
      <c r="Z7" s="56">
        <v>8.5511098258804576</v>
      </c>
      <c r="AA7" s="36">
        <f t="shared" si="10"/>
        <v>9.9959999999999993E-2</v>
      </c>
      <c r="AB7" s="36">
        <f t="shared" si="11"/>
        <v>5.4933823397069155E-2</v>
      </c>
      <c r="AD7" s="42"/>
      <c r="AE7" s="37">
        <v>7.3999999999999996E-2</v>
      </c>
      <c r="AF7" s="37">
        <v>0.10199999999999999</v>
      </c>
      <c r="AG7" s="37">
        <v>5.6000000000000001E-2</v>
      </c>
      <c r="AH7" s="43">
        <f t="shared" si="2"/>
        <v>7.4733737738606532E-2</v>
      </c>
      <c r="AI7" s="43">
        <f t="shared" ref="AI7:AI25" si="12">AF7/(SUM(AF$6:AF$25))</f>
        <v>0.10199999999999999</v>
      </c>
    </row>
    <row r="8" spans="1:39" x14ac:dyDescent="0.25">
      <c r="A8" s="32" t="s">
        <v>463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41.668722506974092</v>
      </c>
      <c r="J8" s="34">
        <f t="shared" si="4"/>
        <v>157.28214157398611</v>
      </c>
      <c r="K8" s="34">
        <f t="shared" si="5"/>
        <v>1.0486274298979903</v>
      </c>
      <c r="L8" s="34">
        <f t="shared" si="6"/>
        <v>2.3498047999999998</v>
      </c>
      <c r="M8" s="34">
        <f t="shared" si="7"/>
        <v>1.7623536</v>
      </c>
      <c r="N8" s="34">
        <f t="shared" si="7"/>
        <v>14.977866079500521</v>
      </c>
      <c r="O8" s="34">
        <f t="shared" si="8"/>
        <v>0.105741216</v>
      </c>
      <c r="Q8" s="53"/>
      <c r="R8" s="54"/>
      <c r="S8" s="59"/>
      <c r="T8" s="54"/>
      <c r="U8" s="54"/>
      <c r="V8" s="38">
        <v>3.7745851591121329</v>
      </c>
      <c r="W8" s="36">
        <f t="shared" si="9"/>
        <v>7.7675231349495374E-2</v>
      </c>
      <c r="X8" s="37">
        <v>2.516581663194694E-2</v>
      </c>
      <c r="Y8" s="37">
        <v>0.75</v>
      </c>
      <c r="Z8" s="56">
        <v>8.4987859868192857</v>
      </c>
      <c r="AA8" s="36">
        <f t="shared" si="10"/>
        <v>4.8999999999999998E-3</v>
      </c>
      <c r="AB8" s="36">
        <f t="shared" si="11"/>
        <v>5.8857667925431234E-2</v>
      </c>
      <c r="AD8" s="42"/>
      <c r="AE8" s="37">
        <v>7.8482259134464494E-2</v>
      </c>
      <c r="AF8" s="37">
        <v>5.0000000000000001E-3</v>
      </c>
      <c r="AG8" s="37">
        <v>0.06</v>
      </c>
      <c r="AH8" s="43">
        <f t="shared" si="2"/>
        <v>7.9260440152546296E-2</v>
      </c>
      <c r="AI8" s="43">
        <f t="shared" si="12"/>
        <v>5.0000000000000001E-3</v>
      </c>
    </row>
    <row r="9" spans="1:39" x14ac:dyDescent="0.25">
      <c r="A9" s="32" t="s">
        <v>666</v>
      </c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21.237269653811889</v>
      </c>
      <c r="J9" s="34">
        <f t="shared" si="4"/>
        <v>88.703411982478883</v>
      </c>
      <c r="K9" s="34">
        <f t="shared" si="5"/>
        <v>0.46426317935038602</v>
      </c>
      <c r="L9" s="34">
        <f t="shared" si="6"/>
        <v>5.1695705599999995</v>
      </c>
      <c r="M9" s="34">
        <f t="shared" si="7"/>
        <v>3.8771779199999994</v>
      </c>
      <c r="N9" s="34">
        <f t="shared" si="7"/>
        <v>29.424141265580108</v>
      </c>
      <c r="O9" s="34">
        <f t="shared" si="8"/>
        <v>0.15896429471999998</v>
      </c>
      <c r="Q9" s="53"/>
      <c r="R9" s="54"/>
      <c r="S9" s="59"/>
      <c r="T9" s="54"/>
      <c r="U9" s="54"/>
      <c r="V9" s="38">
        <v>4.1767804161472073</v>
      </c>
      <c r="W9" s="36">
        <f t="shared" si="9"/>
        <v>3.9588682693964539E-2</v>
      </c>
      <c r="X9" s="37">
        <v>2.1860775274709345E-2</v>
      </c>
      <c r="Y9" s="37">
        <v>0.75</v>
      </c>
      <c r="Z9" s="56">
        <v>7.5890613927720167</v>
      </c>
      <c r="AA9" s="36">
        <f t="shared" si="10"/>
        <v>1.078E-2</v>
      </c>
      <c r="AB9" s="36">
        <f t="shared" si="11"/>
        <v>4.0219406415711347E-2</v>
      </c>
      <c r="AD9" s="42"/>
      <c r="AE9" s="37">
        <v>0.04</v>
      </c>
      <c r="AF9" s="37">
        <v>1.0999999999999999E-2</v>
      </c>
      <c r="AG9" s="37">
        <v>4.1000000000000002E-2</v>
      </c>
      <c r="AH9" s="43">
        <f t="shared" si="2"/>
        <v>4.0396614993841368E-2</v>
      </c>
      <c r="AI9" s="43">
        <f t="shared" si="12"/>
        <v>1.0999999999999999E-2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9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9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368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9.1050660159585437</v>
      </c>
      <c r="J13" s="34">
        <f t="shared" ref="J13:J20" si="14">I13*V13</f>
        <v>56.413694630198776</v>
      </c>
      <c r="K13" s="34">
        <f t="shared" ref="K13:K20" si="15">I13*X13</f>
        <v>0.26872532932368426</v>
      </c>
      <c r="L13" s="34">
        <f t="shared" ref="L13:L20" si="16">((D$2+D$3+D$4)*AA13)</f>
        <v>122.65981056</v>
      </c>
      <c r="M13" s="34">
        <f t="shared" ref="M13:N20" si="17">L13*Y13</f>
        <v>82.022021242617427</v>
      </c>
      <c r="N13" s="34">
        <f t="shared" si="17"/>
        <v>1157.1558788318523</v>
      </c>
      <c r="O13" s="34">
        <f t="shared" ref="O13:O20" si="18">M13*AG13</f>
        <v>6.8078277631372472</v>
      </c>
      <c r="Q13" s="53"/>
      <c r="R13" s="54"/>
      <c r="S13" s="59"/>
      <c r="T13" s="54"/>
      <c r="U13" s="54"/>
      <c r="V13" s="38">
        <v>6.1958578368703652</v>
      </c>
      <c r="W13" s="36">
        <f t="shared" ref="W13:W20" si="19">(AE13/SUM(AE$2:AE$20))*0.98</f>
        <v>1.6972877177207378E-2</v>
      </c>
      <c r="X13" s="37">
        <v>2.951382547393798E-2</v>
      </c>
      <c r="Y13" s="37">
        <v>0.66869515669515667</v>
      </c>
      <c r="Z13" s="56">
        <v>14.107868366338321</v>
      </c>
      <c r="AA13" s="36">
        <f t="shared" ref="AA13:AB20" si="20">(AF13/SUM(AF$6:AF$25))*0.98</f>
        <v>0.25578000000000001</v>
      </c>
      <c r="AB13" s="36">
        <f t="shared" si="20"/>
        <v>8.1419773963513214E-2</v>
      </c>
      <c r="AD13" s="42"/>
      <c r="AE13" s="37">
        <v>1.7149221466563183E-2</v>
      </c>
      <c r="AF13" s="37">
        <v>0.26100000000000001</v>
      </c>
      <c r="AG13" s="37">
        <v>8.3000000000000004E-2</v>
      </c>
      <c r="AH13" s="43">
        <f t="shared" si="2"/>
        <v>1.7319262425721814E-2</v>
      </c>
      <c r="AI13" s="43">
        <f t="shared" si="12"/>
        <v>0.26100000000000001</v>
      </c>
    </row>
    <row r="14" spans="1:39" x14ac:dyDescent="0.25">
      <c r="A14" s="32" t="s">
        <v>135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53.105588480000002</v>
      </c>
      <c r="M14" s="34">
        <f t="shared" si="17"/>
        <v>33.116430408093741</v>
      </c>
      <c r="N14" s="34">
        <f t="shared" si="17"/>
        <v>480.18824091735922</v>
      </c>
      <c r="O14" s="34">
        <f t="shared" si="18"/>
        <v>3.9408552185631551</v>
      </c>
      <c r="Q14" s="53"/>
      <c r="R14" s="54"/>
      <c r="S14" s="59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0.62359595959595959</v>
      </c>
      <c r="Z14" s="56">
        <v>14.5</v>
      </c>
      <c r="AA14" s="36">
        <f t="shared" si="20"/>
        <v>0.11074000000000001</v>
      </c>
      <c r="AB14" s="36">
        <f t="shared" si="20"/>
        <v>0.11673437471877195</v>
      </c>
      <c r="AD14" s="42"/>
      <c r="AE14" s="37">
        <v>0</v>
      </c>
      <c r="AF14" s="37">
        <v>0.113</v>
      </c>
      <c r="AG14" s="37">
        <v>0.11899999999999999</v>
      </c>
      <c r="AH14" s="43">
        <f t="shared" si="2"/>
        <v>0</v>
      </c>
      <c r="AI14" s="43">
        <f t="shared" si="12"/>
        <v>0.113</v>
      </c>
    </row>
    <row r="15" spans="1:39" x14ac:dyDescent="0.25">
      <c r="A15" s="32" t="s">
        <v>671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40.416642559999993</v>
      </c>
      <c r="M15" s="34">
        <f t="shared" si="17"/>
        <v>23.393931829729151</v>
      </c>
      <c r="N15" s="34">
        <f t="shared" si="17"/>
        <v>333.14545725123338</v>
      </c>
      <c r="O15" s="34">
        <f t="shared" si="18"/>
        <v>2.3159992511431859</v>
      </c>
      <c r="Q15" s="53"/>
      <c r="R15" s="54"/>
      <c r="S15" s="59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0.57881927710843373</v>
      </c>
      <c r="Z15" s="56">
        <v>14.240678295380432</v>
      </c>
      <c r="AA15" s="36">
        <f t="shared" si="20"/>
        <v>8.4279999999999994E-2</v>
      </c>
      <c r="AB15" s="36">
        <f t="shared" si="20"/>
        <v>9.7115152076961545E-2</v>
      </c>
      <c r="AD15" s="42"/>
      <c r="AE15" s="37">
        <v>0</v>
      </c>
      <c r="AF15" s="37">
        <v>8.5999999999999993E-2</v>
      </c>
      <c r="AG15" s="37">
        <v>9.9000000000000005E-2</v>
      </c>
      <c r="AH15" s="43">
        <f t="shared" si="2"/>
        <v>0</v>
      </c>
      <c r="AI15" s="43">
        <f t="shared" si="12"/>
        <v>8.5999999999999993E-2</v>
      </c>
    </row>
    <row r="16" spans="1:39" x14ac:dyDescent="0.25">
      <c r="A16" s="32" t="s">
        <v>670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44.6462912</v>
      </c>
      <c r="M16" s="34">
        <f t="shared" si="17"/>
        <v>26.207184553424476</v>
      </c>
      <c r="N16" s="34">
        <f t="shared" si="17"/>
        <v>361.32337658647765</v>
      </c>
      <c r="O16" s="34">
        <f t="shared" si="18"/>
        <v>2.5158897171287498</v>
      </c>
      <c r="Q16" s="53"/>
      <c r="R16" s="54"/>
      <c r="S16" s="59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0.58699578059071733</v>
      </c>
      <c r="Z16" s="56">
        <v>13.787187854914531</v>
      </c>
      <c r="AA16" s="36">
        <f t="shared" si="20"/>
        <v>9.3100000000000002E-2</v>
      </c>
      <c r="AB16" s="36">
        <f t="shared" si="20"/>
        <v>9.417226868068998E-2</v>
      </c>
      <c r="AD16" s="42"/>
      <c r="AE16" s="37">
        <v>0</v>
      </c>
      <c r="AF16" s="37">
        <v>9.5000000000000001E-2</v>
      </c>
      <c r="AG16" s="37">
        <v>9.6000000000000002E-2</v>
      </c>
      <c r="AH16" s="43">
        <f t="shared" si="2"/>
        <v>0</v>
      </c>
      <c r="AI16" s="43">
        <f t="shared" si="12"/>
        <v>9.5000000000000001E-2</v>
      </c>
    </row>
    <row r="17" spans="1:35" x14ac:dyDescent="0.25">
      <c r="A17" s="32" t="s">
        <v>441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22.558126079999997</v>
      </c>
      <c r="M17" s="34">
        <f t="shared" si="17"/>
        <v>15.22556542338844</v>
      </c>
      <c r="N17" s="34">
        <f t="shared" si="17"/>
        <v>230.46852058953951</v>
      </c>
      <c r="O17" s="34">
        <f t="shared" si="18"/>
        <v>1.6748121965727285</v>
      </c>
      <c r="Q17" s="53"/>
      <c r="R17" s="54"/>
      <c r="S17" s="59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0.67494814814814807</v>
      </c>
      <c r="Z17" s="56">
        <v>15.136943304286751</v>
      </c>
      <c r="AA17" s="36">
        <f t="shared" si="20"/>
        <v>4.7039999999999998E-2</v>
      </c>
      <c r="AB17" s="36">
        <f t="shared" si="20"/>
        <v>0.10790572452995727</v>
      </c>
      <c r="AD17" s="42"/>
      <c r="AE17" s="37">
        <v>0</v>
      </c>
      <c r="AF17" s="37">
        <v>4.8000000000000001E-2</v>
      </c>
      <c r="AG17" s="37">
        <v>0.11</v>
      </c>
      <c r="AH17" s="43">
        <f t="shared" si="2"/>
        <v>0</v>
      </c>
      <c r="AI17" s="43">
        <f t="shared" si="12"/>
        <v>4.8000000000000001E-2</v>
      </c>
    </row>
    <row r="18" spans="1:35" x14ac:dyDescent="0.25"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9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2"/>
        <v>0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9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9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13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84.12301183999999</v>
      </c>
      <c r="M22" s="34">
        <f t="shared" ref="M22:N25" si="21">L22*Y22</f>
        <v>56.303566443035386</v>
      </c>
      <c r="N22" s="34">
        <f t="shared" si="21"/>
        <v>600.92286879987364</v>
      </c>
      <c r="O22" s="34">
        <f>M22*AG22</f>
        <v>6.7564279731642465</v>
      </c>
      <c r="Q22" s="53"/>
      <c r="R22" s="54"/>
      <c r="S22" s="59"/>
      <c r="T22" s="54"/>
      <c r="U22" s="54"/>
      <c r="V22" s="59"/>
      <c r="W22" s="60"/>
      <c r="X22" s="54"/>
      <c r="Y22" s="37">
        <v>0.66930041152263375</v>
      </c>
      <c r="Z22" s="56">
        <v>10.672909493359569</v>
      </c>
      <c r="AA22" s="36">
        <f t="shared" ref="AA22:AB25" si="22">(AF22/SUM(AF$6:AF$25))*0.98</f>
        <v>0.17541999999999999</v>
      </c>
      <c r="AB22" s="36">
        <f t="shared" si="22"/>
        <v>0.11771533585086247</v>
      </c>
      <c r="AD22" s="42"/>
      <c r="AE22" s="42"/>
      <c r="AF22" s="37">
        <v>0.17899999999999999</v>
      </c>
      <c r="AG22" s="37">
        <v>0.12</v>
      </c>
      <c r="AH22" s="43"/>
      <c r="AI22" s="43">
        <f t="shared" si="12"/>
        <v>0.17899999999999999</v>
      </c>
    </row>
    <row r="23" spans="1:35" x14ac:dyDescent="0.25">
      <c r="A23" s="32" t="s">
        <v>605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16.448633600000001</v>
      </c>
      <c r="M23" s="34">
        <f t="shared" si="21"/>
        <v>11.663451941866668</v>
      </c>
      <c r="N23" s="34">
        <f t="shared" si="21"/>
        <v>109.72986278520001</v>
      </c>
      <c r="O23" s="34">
        <f>M23*AG23</f>
        <v>1.0732733423999998</v>
      </c>
      <c r="Q23" s="53"/>
      <c r="R23" s="54"/>
      <c r="S23" s="59"/>
      <c r="T23" s="54"/>
      <c r="U23" s="54"/>
      <c r="V23" s="59"/>
      <c r="W23" s="60"/>
      <c r="X23" s="54"/>
      <c r="Y23" s="37">
        <v>0.7090833333333334</v>
      </c>
      <c r="Z23" s="56">
        <v>9.408009166764602</v>
      </c>
      <c r="AA23" s="36">
        <f t="shared" si="22"/>
        <v>3.4300000000000004E-2</v>
      </c>
      <c r="AB23" s="36">
        <f t="shared" si="22"/>
        <v>9.0268253193897932E-2</v>
      </c>
      <c r="AD23" s="42"/>
      <c r="AE23" s="42"/>
      <c r="AF23" s="37">
        <v>3.5000000000000003E-2</v>
      </c>
      <c r="AG23" s="37">
        <v>9.2020213891174027E-2</v>
      </c>
      <c r="AH23" s="43"/>
      <c r="AI23" s="43">
        <f t="shared" si="12"/>
        <v>3.5000000000000003E-2</v>
      </c>
    </row>
    <row r="24" spans="1:35" x14ac:dyDescent="0.25">
      <c r="A24" s="32" t="s">
        <v>720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4.6996095999999996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9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9.7999999999999997E-3</v>
      </c>
      <c r="AB24" s="36">
        <f t="shared" si="22"/>
        <v>6.8667279246336449E-2</v>
      </c>
      <c r="AD24" s="42"/>
      <c r="AE24" s="42"/>
      <c r="AF24" s="37">
        <v>0.01</v>
      </c>
      <c r="AG24" s="37">
        <v>7.0000000000000007E-2</v>
      </c>
      <c r="AH24" s="43"/>
      <c r="AI24" s="43">
        <f t="shared" si="12"/>
        <v>0.01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9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2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6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6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0.99018197455648616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1016</v>
      </c>
      <c r="E29" s="75">
        <v>0.47199999999999998</v>
      </c>
      <c r="F29" s="76">
        <f>1-E29</f>
        <v>0.52800000000000002</v>
      </c>
      <c r="G29" s="77">
        <v>4.95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6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6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6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479.55199999999996</v>
      </c>
      <c r="E32" s="80">
        <f>SUM(E2:E4)</f>
        <v>311.84605863795014</v>
      </c>
      <c r="F32" s="80">
        <f>SUM(F2:F4)</f>
        <v>3831.1482952256692</v>
      </c>
      <c r="G32" s="80">
        <f>SUM(G2:G4)</f>
        <v>28.519011076871735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536.44799999999998</v>
      </c>
      <c r="E35" s="80">
        <f>D35*G29</f>
        <v>2655.4175999999998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6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6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90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525.71903999999984</v>
      </c>
      <c r="E38" s="91">
        <f>SUM(J2:J4,J6:J11,J13:J20)</f>
        <v>2653.1332167162204</v>
      </c>
      <c r="F38" s="91">
        <f>SUM(K2:K4,K6:K11,K13:K20)</f>
        <v>17.998390510505523</v>
      </c>
      <c r="G38" s="91">
        <f>SUM(L6:L11,L13:L20,L22:L25)</f>
        <v>469.96096</v>
      </c>
      <c r="H38" s="91">
        <f>SUM(M6:M11,M13:M20,M22:M25)</f>
        <v>310.41212084867993</v>
      </c>
      <c r="I38" s="91">
        <f>SUM(N6:N11,N13:N20,N22:N25)</f>
        <v>3822.8143605275795</v>
      </c>
      <c r="J38" s="91">
        <f>SUM(O6:O11,O13:O20,O22:O25)</f>
        <v>28.4774986766041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10.728960000000143</v>
      </c>
      <c r="E39" s="92">
        <f>E35-E38</f>
        <v>2.2843832837793343</v>
      </c>
      <c r="F39" s="92">
        <f>F35-F38</f>
        <v>1.6094894944771454E-3</v>
      </c>
      <c r="G39" s="92">
        <f>SUM(D2:D4)-G38</f>
        <v>9.591039999999964</v>
      </c>
      <c r="H39" s="92">
        <f>E32-H38</f>
        <v>1.4339377892702032</v>
      </c>
      <c r="I39" s="92">
        <f>F32-I38</f>
        <v>8.3339346980897062</v>
      </c>
      <c r="J39" s="92">
        <f>G32-J38</f>
        <v>4.151240026763503E-2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9" priority="1" operator="lessThan">
      <formula>0</formula>
    </cfRule>
  </conditionalFormatting>
  <conditionalFormatting sqref="W28 AA28:AF28">
    <cfRule type="cellIs" dxfId="5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70C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55</v>
      </c>
    </row>
    <row r="2" spans="1:39" x14ac:dyDescent="0.25">
      <c r="A2" s="32" t="s">
        <v>16</v>
      </c>
      <c r="B2" s="33" t="s">
        <v>7</v>
      </c>
      <c r="C2" s="33">
        <f>VLOOKUP($AM$1,DST!C:D,2,FALSE)</f>
        <v>7</v>
      </c>
      <c r="D2" s="34">
        <f>D$32*Q2</f>
        <v>515.96819999999991</v>
      </c>
      <c r="E2" s="34">
        <f>D2*R2</f>
        <v>346.46237053878565</v>
      </c>
      <c r="F2" s="34">
        <f>E2*S2</f>
        <v>4001.6403797229746</v>
      </c>
      <c r="G2" s="34">
        <f>E2*T2</f>
        <v>27.370527272564068</v>
      </c>
      <c r="H2" s="34">
        <f>D2*U2</f>
        <v>11.143251191832489</v>
      </c>
      <c r="I2" s="34">
        <f>D$35*W2</f>
        <v>105.7124432</v>
      </c>
      <c r="J2" s="34">
        <f>I2*V2</f>
        <v>538.18209884132466</v>
      </c>
      <c r="K2" s="34">
        <f>I2*X2</f>
        <v>11.659311123198451</v>
      </c>
      <c r="L2" s="35"/>
      <c r="M2" s="35"/>
      <c r="N2" s="35"/>
      <c r="O2" s="35"/>
      <c r="Q2" s="36">
        <f>(AD2/SUM(AD$2:AD$25))</f>
        <v>0.99</v>
      </c>
      <c r="R2" s="37">
        <v>0.67148008450673069</v>
      </c>
      <c r="S2" s="38">
        <v>11.55</v>
      </c>
      <c r="T2" s="37">
        <v>7.9000000000000001E-2</v>
      </c>
      <c r="U2" s="37">
        <v>2.1596779010474854E-2</v>
      </c>
      <c r="V2" s="38">
        <v>5.091000477806805</v>
      </c>
      <c r="W2" s="36">
        <f>(AE2/SUM(AE$2:AE$20))*0.98</f>
        <v>0.20776</v>
      </c>
      <c r="X2" s="37">
        <v>0.11029270320751088</v>
      </c>
      <c r="Y2" s="39"/>
      <c r="Z2" s="40"/>
      <c r="AA2" s="41"/>
      <c r="AB2" s="41"/>
      <c r="AD2" s="37">
        <v>0.99</v>
      </c>
      <c r="AE2" s="37">
        <v>0.21199999999999999</v>
      </c>
      <c r="AF2" s="42"/>
      <c r="AG2" s="42"/>
      <c r="AH2" s="43">
        <f>AE2/(SUM(AE$2:AE$25))</f>
        <v>0.21199999999999999</v>
      </c>
    </row>
    <row r="3" spans="1:39" x14ac:dyDescent="0.25">
      <c r="A3" s="32" t="s">
        <v>597</v>
      </c>
      <c r="B3" s="33" t="s">
        <v>7</v>
      </c>
      <c r="C3" s="33">
        <f>VLOOKUP($AM$1,DST!C:D,2,FALSE)</f>
        <v>7</v>
      </c>
      <c r="D3" s="34">
        <f>D$32*Q3</f>
        <v>5.2118000000000038</v>
      </c>
      <c r="E3" s="34">
        <f t="shared" ref="E3:F4" si="0">D3*R3</f>
        <v>2.9969649568986068</v>
      </c>
      <c r="F3" s="34">
        <f t="shared" si="0"/>
        <v>32.091403457636829</v>
      </c>
      <c r="G3" s="34">
        <f t="shared" ref="G3:G4" si="1">E3*T3</f>
        <v>0.20080707720150515</v>
      </c>
      <c r="H3" s="34">
        <f>D3*U3</f>
        <v>0.10300981092537037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0.57503452874220129</v>
      </c>
      <c r="S3" s="38">
        <v>10.707967533543151</v>
      </c>
      <c r="T3" s="37">
        <v>6.7003478548948156E-2</v>
      </c>
      <c r="U3" s="37">
        <v>1.9764728294518266E-2</v>
      </c>
      <c r="V3" s="38">
        <v>2.4545454545454546</v>
      </c>
      <c r="W3" s="36">
        <f>(AE3/SUM(AE$2:AE$20))*0.98</f>
        <v>0</v>
      </c>
      <c r="X3" s="37">
        <v>4.5454545454545456E-2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338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275.25126719999997</v>
      </c>
      <c r="J6" s="34">
        <f t="shared" ref="J6:J11" si="4">I6*V6</f>
        <v>1356.9887472959997</v>
      </c>
      <c r="K6" s="34">
        <f t="shared" ref="K6:K11" si="5">I6*X6</f>
        <v>9.9643321198835419</v>
      </c>
      <c r="L6" s="34">
        <f t="shared" ref="L6:L11" si="6">((D$2+D$3+D$4)*AA6)</f>
        <v>45.968075999999989</v>
      </c>
      <c r="M6" s="34">
        <f t="shared" ref="M6:N11" si="7">L6*Y6</f>
        <v>34.768849644722884</v>
      </c>
      <c r="N6" s="34">
        <f t="shared" si="7"/>
        <v>281.62768212225535</v>
      </c>
      <c r="O6" s="34">
        <f t="shared" ref="O6:O11" si="8">M6*AG6</f>
        <v>1.9945345104578305</v>
      </c>
      <c r="Q6" s="53"/>
      <c r="R6" s="54"/>
      <c r="S6" s="55"/>
      <c r="T6" s="54"/>
      <c r="U6" s="54"/>
      <c r="V6" s="38">
        <v>4.93</v>
      </c>
      <c r="W6" s="36">
        <f t="shared" ref="W6:W11" si="9">(AE6/SUM(AE$2:AE$20))*0.98</f>
        <v>0.54096</v>
      </c>
      <c r="X6" s="37">
        <v>3.6200858296660886E-2</v>
      </c>
      <c r="Y6" s="37">
        <v>0.75636947791164666</v>
      </c>
      <c r="Z6" s="56">
        <v>8.1</v>
      </c>
      <c r="AA6" s="36">
        <f t="shared" ref="AA6:AB11" si="10">(AF6/SUM(AF$6:AF$25))*0.98</f>
        <v>8.8199999999999987E-2</v>
      </c>
      <c r="AB6" s="36">
        <f t="shared" si="10"/>
        <v>6.7726968893634054E-2</v>
      </c>
      <c r="AD6" s="42"/>
      <c r="AE6" s="37">
        <v>0.55200000000000005</v>
      </c>
      <c r="AF6" s="37">
        <v>0.09</v>
      </c>
      <c r="AG6" s="37">
        <v>5.7365559425707237E-2</v>
      </c>
      <c r="AH6" s="43">
        <f t="shared" si="2"/>
        <v>0.55200000000000005</v>
      </c>
      <c r="AI6" s="43">
        <f>AF6/(SUM(AF$6:AF$25))</f>
        <v>8.9999999999999983E-2</v>
      </c>
    </row>
    <row r="7" spans="1:39" x14ac:dyDescent="0.25">
      <c r="A7" s="32" t="s">
        <v>416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58.341301199999997</v>
      </c>
      <c r="J7" s="34">
        <f t="shared" si="4"/>
        <v>244.64132636834495</v>
      </c>
      <c r="K7" s="34">
        <f t="shared" si="5"/>
        <v>2.0585638140148612</v>
      </c>
      <c r="L7" s="34">
        <f t="shared" si="6"/>
        <v>28.091601999999988</v>
      </c>
      <c r="M7" s="34">
        <f t="shared" si="7"/>
        <v>22.330148199333323</v>
      </c>
      <c r="N7" s="34">
        <f t="shared" si="7"/>
        <v>195.16549526217324</v>
      </c>
      <c r="O7" s="34">
        <f t="shared" si="8"/>
        <v>1.4610977278333328</v>
      </c>
      <c r="Q7" s="53"/>
      <c r="R7" s="54"/>
      <c r="S7" s="55"/>
      <c r="T7" s="54"/>
      <c r="U7" s="54"/>
      <c r="V7" s="38">
        <v>4.1932785408691737</v>
      </c>
      <c r="W7" s="36">
        <f t="shared" si="9"/>
        <v>0.11466</v>
      </c>
      <c r="X7" s="37">
        <v>3.5284845755460481E-2</v>
      </c>
      <c r="Y7" s="37">
        <v>0.79490476190476189</v>
      </c>
      <c r="Z7" s="56">
        <v>8.74</v>
      </c>
      <c r="AA7" s="36">
        <f t="shared" si="10"/>
        <v>5.3899999999999983E-2</v>
      </c>
      <c r="AB7" s="36">
        <f t="shared" si="10"/>
        <v>7.7249924941999226E-2</v>
      </c>
      <c r="AD7" s="42"/>
      <c r="AE7" s="37">
        <v>0.11700000000000001</v>
      </c>
      <c r="AF7" s="37">
        <v>5.5E-2</v>
      </c>
      <c r="AG7" s="37">
        <v>6.5431618043491291E-2</v>
      </c>
      <c r="AH7" s="43">
        <f t="shared" si="2"/>
        <v>0.11700000000000001</v>
      </c>
      <c r="AI7" s="43">
        <f t="shared" ref="AI7:AI25" si="11">AF7/(SUM(AF$6:AF$25))</f>
        <v>5.4999999999999986E-2</v>
      </c>
    </row>
    <row r="8" spans="1:39" x14ac:dyDescent="0.25">
      <c r="A8" s="32" t="s">
        <v>442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54.352152400000001</v>
      </c>
      <c r="J8" s="34">
        <f t="shared" si="4"/>
        <v>247.26168301074537</v>
      </c>
      <c r="K8" s="34">
        <f t="shared" si="5"/>
        <v>1.6305645719999999</v>
      </c>
      <c r="L8" s="34">
        <f t="shared" si="6"/>
        <v>10.725884399999998</v>
      </c>
      <c r="M8" s="34">
        <f t="shared" si="7"/>
        <v>8.3018345255999986</v>
      </c>
      <c r="N8" s="34">
        <f t="shared" si="7"/>
        <v>67.659951383639992</v>
      </c>
      <c r="O8" s="34">
        <f t="shared" si="8"/>
        <v>0.5562229132151999</v>
      </c>
      <c r="Q8" s="53"/>
      <c r="R8" s="54"/>
      <c r="S8" s="55"/>
      <c r="T8" s="54"/>
      <c r="U8" s="54"/>
      <c r="V8" s="38">
        <v>4.5492528279477185</v>
      </c>
      <c r="W8" s="36">
        <f t="shared" si="9"/>
        <v>0.10682</v>
      </c>
      <c r="X8" s="37">
        <v>0.03</v>
      </c>
      <c r="Y8" s="37">
        <v>0.77400000000000002</v>
      </c>
      <c r="Z8" s="56">
        <v>8.15</v>
      </c>
      <c r="AA8" s="36">
        <f t="shared" si="10"/>
        <v>2.0579999999999998E-2</v>
      </c>
      <c r="AB8" s="36">
        <f t="shared" si="10"/>
        <v>7.91015891991807E-2</v>
      </c>
      <c r="AD8" s="42"/>
      <c r="AE8" s="37">
        <v>0.109</v>
      </c>
      <c r="AF8" s="37">
        <v>2.1000000000000001E-2</v>
      </c>
      <c r="AG8" s="37">
        <v>6.7000000000000004E-2</v>
      </c>
      <c r="AH8" s="43">
        <f t="shared" si="2"/>
        <v>0.109</v>
      </c>
      <c r="AI8" s="43">
        <f t="shared" si="11"/>
        <v>2.0999999999999998E-2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4.9864359999999994</v>
      </c>
      <c r="J13" s="34">
        <f t="shared" ref="J13:J20" si="13">I13*V13</f>
        <v>25.86713675</v>
      </c>
      <c r="K13" s="34">
        <f t="shared" ref="K13:K20" si="14">I13*X13</f>
        <v>0.15582612499999998</v>
      </c>
      <c r="L13" s="34">
        <f t="shared" ref="L13:L20" si="15">((D$2+D$3+D$4)*AA13)</f>
        <v>117.98472839999995</v>
      </c>
      <c r="M13" s="34">
        <f t="shared" ref="M13:N20" si="16">L13*Y13</f>
        <v>77.113608382461507</v>
      </c>
      <c r="N13" s="34">
        <f t="shared" si="16"/>
        <v>993.99441204992888</v>
      </c>
      <c r="O13" s="34">
        <f t="shared" ref="O13:O20" si="17">M13*AG13</f>
        <v>7.4029064047163047</v>
      </c>
      <c r="Q13" s="53"/>
      <c r="R13" s="54"/>
      <c r="S13" s="55"/>
      <c r="T13" s="54"/>
      <c r="U13" s="54"/>
      <c r="V13" s="38">
        <v>5.1875000000000009</v>
      </c>
      <c r="W13" s="36">
        <f t="shared" ref="W13:W20" si="18">(AE13/SUM(AE$2:AE$20))*0.98</f>
        <v>9.7999999999999997E-3</v>
      </c>
      <c r="X13" s="37">
        <v>3.125E-2</v>
      </c>
      <c r="Y13" s="37">
        <v>0.65358974358974364</v>
      </c>
      <c r="Z13" s="56">
        <v>12.89</v>
      </c>
      <c r="AA13" s="36">
        <f t="shared" ref="AA13:AA20" si="19">(AF13/SUM(AF$6:AF$25))*0.98</f>
        <v>0.22637999999999994</v>
      </c>
      <c r="AB13" s="36">
        <f t="shared" ref="AB13:AB20" si="20">(AG13/SUM(AG$6:AG$25))*0.98</f>
        <v>0.11333959049434847</v>
      </c>
      <c r="AD13" s="42"/>
      <c r="AE13" s="37">
        <v>0.01</v>
      </c>
      <c r="AF13" s="37">
        <v>0.23100000000000001</v>
      </c>
      <c r="AG13" s="37">
        <v>9.6000000000000002E-2</v>
      </c>
      <c r="AH13" s="43">
        <f t="shared" si="2"/>
        <v>0.01</v>
      </c>
      <c r="AI13" s="43">
        <f t="shared" si="11"/>
        <v>0.23099999999999996</v>
      </c>
    </row>
    <row r="14" spans="1:39" x14ac:dyDescent="0.25">
      <c r="A14" s="32" t="s">
        <v>325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90.403882799999963</v>
      </c>
      <c r="M14" s="34">
        <f t="shared" si="16"/>
        <v>64.457968436399966</v>
      </c>
      <c r="N14" s="34">
        <f t="shared" si="16"/>
        <v>705.95057284349139</v>
      </c>
      <c r="O14" s="34">
        <f t="shared" si="17"/>
        <v>3.7385621693111983</v>
      </c>
      <c r="Q14" s="53"/>
      <c r="R14" s="54"/>
      <c r="S14" s="55"/>
      <c r="T14" s="54"/>
      <c r="U14" s="54"/>
      <c r="V14" s="38">
        <v>6.2500000000000009</v>
      </c>
      <c r="W14" s="36">
        <f t="shared" si="18"/>
        <v>0</v>
      </c>
      <c r="X14" s="37">
        <v>2.5000000000000001E-2</v>
      </c>
      <c r="Y14" s="37">
        <v>0.71299999999999997</v>
      </c>
      <c r="Z14" s="56">
        <v>10.952107085721229</v>
      </c>
      <c r="AA14" s="36">
        <f t="shared" si="19"/>
        <v>0.17345999999999995</v>
      </c>
      <c r="AB14" s="36">
        <f t="shared" si="20"/>
        <v>6.8476002590335525E-2</v>
      </c>
      <c r="AD14" s="42"/>
      <c r="AE14" s="37">
        <v>0</v>
      </c>
      <c r="AF14" s="37">
        <v>0.17699999999999999</v>
      </c>
      <c r="AG14" s="37">
        <v>5.8000000000000003E-2</v>
      </c>
      <c r="AH14" s="43">
        <f t="shared" si="2"/>
        <v>0</v>
      </c>
      <c r="AI14" s="43">
        <f t="shared" si="11"/>
        <v>0.17699999999999996</v>
      </c>
    </row>
    <row r="15" spans="1:39" x14ac:dyDescent="0.25">
      <c r="A15" s="32" t="s">
        <v>434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36.774460799999986</v>
      </c>
      <c r="M15" s="34">
        <f t="shared" si="16"/>
        <v>19.637562067199994</v>
      </c>
      <c r="N15" s="34">
        <f t="shared" si="16"/>
        <v>281.01351318163194</v>
      </c>
      <c r="O15" s="34">
        <f t="shared" si="17"/>
        <v>1.9833937687871994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0.53400000000000003</v>
      </c>
      <c r="Z15" s="56">
        <v>14.31</v>
      </c>
      <c r="AA15" s="36">
        <f t="shared" si="19"/>
        <v>7.0559999999999984E-2</v>
      </c>
      <c r="AB15" s="36">
        <f t="shared" si="20"/>
        <v>0.11924269416592911</v>
      </c>
      <c r="AD15" s="42"/>
      <c r="AE15" s="37">
        <v>0</v>
      </c>
      <c r="AF15" s="37">
        <v>7.1999999999999995E-2</v>
      </c>
      <c r="AG15" s="37">
        <v>0.10100000000000001</v>
      </c>
      <c r="AH15" s="43">
        <f t="shared" si="2"/>
        <v>0</v>
      </c>
      <c r="AI15" s="43">
        <f t="shared" si="11"/>
        <v>7.1999999999999981E-2</v>
      </c>
    </row>
    <row r="16" spans="1:39" x14ac:dyDescent="0.25">
      <c r="A16" s="32" t="s">
        <v>406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24.005550799999988</v>
      </c>
      <c r="M16" s="34">
        <f t="shared" si="16"/>
        <v>16.251757891599993</v>
      </c>
      <c r="N16" s="34">
        <f t="shared" si="16"/>
        <v>228.66223353481192</v>
      </c>
      <c r="O16" s="34">
        <f t="shared" si="17"/>
        <v>1.0092661199777342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0.67700000000000005</v>
      </c>
      <c r="Z16" s="56">
        <v>14.07</v>
      </c>
      <c r="AA16" s="36">
        <f t="shared" si="19"/>
        <v>4.6059999999999983E-2</v>
      </c>
      <c r="AB16" s="36">
        <f t="shared" si="20"/>
        <v>7.3318868988589997E-2</v>
      </c>
      <c r="AD16" s="42"/>
      <c r="AE16" s="37">
        <v>0</v>
      </c>
      <c r="AF16" s="37">
        <v>4.7E-2</v>
      </c>
      <c r="AG16" s="37">
        <v>6.2101966243257353E-2</v>
      </c>
      <c r="AH16" s="43">
        <f t="shared" si="2"/>
        <v>0</v>
      </c>
      <c r="AI16" s="43">
        <f t="shared" si="11"/>
        <v>4.6999999999999986E-2</v>
      </c>
    </row>
    <row r="17" spans="1:35" x14ac:dyDescent="0.25">
      <c r="A17" s="32" t="s">
        <v>672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20.430255999999993</v>
      </c>
      <c r="M17" s="34">
        <f t="shared" si="16"/>
        <v>12.728049487999996</v>
      </c>
      <c r="N17" s="34">
        <f t="shared" si="16"/>
        <v>161.05822684422731</v>
      </c>
      <c r="O17" s="34">
        <f t="shared" si="17"/>
        <v>0.99498567446310282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0.623</v>
      </c>
      <c r="Z17" s="56">
        <v>12.653802689569442</v>
      </c>
      <c r="AA17" s="36">
        <f t="shared" si="19"/>
        <v>3.9199999999999992E-2</v>
      </c>
      <c r="AB17" s="36">
        <f t="shared" si="20"/>
        <v>9.2292280818531219E-2</v>
      </c>
      <c r="AD17" s="42"/>
      <c r="AE17" s="37">
        <v>0</v>
      </c>
      <c r="AF17" s="37">
        <v>0.04</v>
      </c>
      <c r="AG17" s="37">
        <v>7.817267487851734E-2</v>
      </c>
      <c r="AH17" s="43">
        <f t="shared" si="2"/>
        <v>0</v>
      </c>
      <c r="AI17" s="43">
        <f t="shared" si="11"/>
        <v>3.9999999999999994E-2</v>
      </c>
    </row>
    <row r="18" spans="1:35" x14ac:dyDescent="0.25">
      <c r="A18" s="32" t="s">
        <v>673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7.6613459999999973</v>
      </c>
      <c r="M18" s="34">
        <f t="shared" si="16"/>
        <v>4.3746285659999984</v>
      </c>
      <c r="N18" s="34">
        <f t="shared" si="16"/>
        <v>53.939170218779978</v>
      </c>
      <c r="O18" s="34">
        <f t="shared" si="17"/>
        <v>0.26247771395999991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0.57099999999999995</v>
      </c>
      <c r="Z18" s="56">
        <v>12.33</v>
      </c>
      <c r="AA18" s="36">
        <f t="shared" si="19"/>
        <v>1.4699999999999996E-2</v>
      </c>
      <c r="AB18" s="36">
        <f t="shared" si="20"/>
        <v>7.0837244058967783E-2</v>
      </c>
      <c r="AD18" s="42"/>
      <c r="AE18" s="37">
        <v>0</v>
      </c>
      <c r="AF18" s="37">
        <v>1.4999999999999999E-2</v>
      </c>
      <c r="AG18" s="37">
        <v>0.06</v>
      </c>
      <c r="AH18" s="43">
        <f t="shared" si="2"/>
        <v>0</v>
      </c>
      <c r="AI18" s="43">
        <f t="shared" si="11"/>
        <v>1.4999999999999996E-2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369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88.871613599999961</v>
      </c>
      <c r="M22" s="34">
        <f t="shared" ref="M22:N25" si="21">L22*Y22</f>
        <v>61.143670156799971</v>
      </c>
      <c r="N22" s="34">
        <f t="shared" si="21"/>
        <v>742.28415570355173</v>
      </c>
      <c r="O22" s="34">
        <f>M22*AG22</f>
        <v>5.4417866439551972</v>
      </c>
      <c r="Q22" s="53"/>
      <c r="R22" s="54"/>
      <c r="S22" s="55"/>
      <c r="T22" s="54"/>
      <c r="U22" s="54"/>
      <c r="V22" s="59"/>
      <c r="W22" s="60"/>
      <c r="X22" s="54"/>
      <c r="Y22" s="37">
        <v>0.68799999999999994</v>
      </c>
      <c r="Z22" s="56">
        <v>12.14</v>
      </c>
      <c r="AA22" s="36">
        <f t="shared" ref="AA22:AB25" si="22">(AF22/SUM(AF$6:AF$25))*0.98</f>
        <v>0.17051999999999995</v>
      </c>
      <c r="AB22" s="36">
        <f t="shared" si="22"/>
        <v>0.10507524535413555</v>
      </c>
      <c r="AD22" s="42"/>
      <c r="AE22" s="42"/>
      <c r="AF22" s="37">
        <v>0.17399999999999999</v>
      </c>
      <c r="AG22" s="37">
        <v>8.8999999999999996E-2</v>
      </c>
      <c r="AH22" s="43"/>
      <c r="AI22" s="43">
        <f t="shared" si="11"/>
        <v>0.17399999999999996</v>
      </c>
    </row>
    <row r="23" spans="1:35" x14ac:dyDescent="0.25">
      <c r="A23" s="32" t="s">
        <v>14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39.838999199999989</v>
      </c>
      <c r="M23" s="34">
        <f t="shared" si="21"/>
        <v>28.006816437599991</v>
      </c>
      <c r="N23" s="34">
        <f t="shared" si="21"/>
        <v>313.38478405489178</v>
      </c>
      <c r="O23" s="34">
        <f>M23*AG23</f>
        <v>2.6886543780095993</v>
      </c>
      <c r="Q23" s="53"/>
      <c r="R23" s="54"/>
      <c r="S23" s="55"/>
      <c r="T23" s="54"/>
      <c r="U23" s="54"/>
      <c r="V23" s="59"/>
      <c r="W23" s="60"/>
      <c r="X23" s="54"/>
      <c r="Y23" s="37">
        <v>0.70299999999999996</v>
      </c>
      <c r="Z23" s="56">
        <v>11.189589675539249</v>
      </c>
      <c r="AA23" s="36">
        <f t="shared" si="22"/>
        <v>7.643999999999998E-2</v>
      </c>
      <c r="AB23" s="36">
        <f t="shared" si="22"/>
        <v>0.11333959049434847</v>
      </c>
      <c r="AD23" s="42"/>
      <c r="AE23" s="42"/>
      <c r="AF23" s="37">
        <v>7.8E-2</v>
      </c>
      <c r="AG23" s="37">
        <v>9.6000000000000002E-2</v>
      </c>
      <c r="AH23" s="43"/>
      <c r="AI23" s="43">
        <f t="shared" si="11"/>
        <v>7.7999999999999986E-2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A25" s="61"/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1030</v>
      </c>
      <c r="E29" s="75">
        <v>0.50600000000000001</v>
      </c>
      <c r="F29" s="76">
        <f>1-E29</f>
        <v>0.49399999999999999</v>
      </c>
      <c r="G29" s="77">
        <v>4.75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521.17999999999995</v>
      </c>
      <c r="E32" s="80">
        <f>SUM(E2:E4)</f>
        <v>349.45933549568423</v>
      </c>
      <c r="F32" s="80">
        <f>SUM(F2:F4)</f>
        <v>4033.7317831806113</v>
      </c>
      <c r="G32" s="80">
        <f>SUM(G2:G4)</f>
        <v>27.571334349765575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508.82</v>
      </c>
      <c r="E35" s="80">
        <f>D35*G29</f>
        <v>2416.895</v>
      </c>
      <c r="F35" s="80">
        <v>25.5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498.64359999999999</v>
      </c>
      <c r="E38" s="91">
        <f>SUM(J2:J4,J6:J11,J13:J20)</f>
        <v>2412.9409922664149</v>
      </c>
      <c r="F38" s="91">
        <f>SUM(K2:K4,K6:K11,K13:K20)</f>
        <v>25.468597754096855</v>
      </c>
      <c r="G38" s="91">
        <f>SUM(L6:L11,L13:L20,L22:L25)</f>
        <v>510.75639999999976</v>
      </c>
      <c r="H38" s="91">
        <f>SUM(M6:M11,M13:M20,M22:M25)</f>
        <v>349.11489379571759</v>
      </c>
      <c r="I38" s="91">
        <f>SUM(N6:N11,N13:N20,N22:N25)</f>
        <v>4024.7401971993836</v>
      </c>
      <c r="J38" s="91">
        <f>SUM(O6:O11,O13:O20,O22:O25)</f>
        <v>27.533888024686696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10.176400000000001</v>
      </c>
      <c r="E39" s="92">
        <f>E35-E38</f>
        <v>3.9540077335850583</v>
      </c>
      <c r="F39" s="92">
        <f>F35-F38</f>
        <v>3.1402245903144888E-2</v>
      </c>
      <c r="G39" s="92">
        <f>SUM(D2:D4)-G38</f>
        <v>10.423600000000192</v>
      </c>
      <c r="H39" s="92">
        <f>E32-H38</f>
        <v>0.34444169996663732</v>
      </c>
      <c r="I39" s="92">
        <f>F32-I38</f>
        <v>8.9915859812276722</v>
      </c>
      <c r="J39" s="92">
        <f>G32-J38</f>
        <v>3.7446325078878573E-2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AE6:AE11"/>
  </sortState>
  <conditionalFormatting sqref="D39:J39">
    <cfRule type="cellIs" dxfId="57" priority="1" operator="lessThan">
      <formula>0</formula>
    </cfRule>
  </conditionalFormatting>
  <conditionalFormatting sqref="W28 AA28:AF28">
    <cfRule type="cellIs" dxfId="5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CC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5" width="9.7109375" style="47" customWidth="1"/>
    <col min="16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56</v>
      </c>
    </row>
    <row r="2" spans="1:39" x14ac:dyDescent="0.25">
      <c r="A2" s="32" t="s">
        <v>370</v>
      </c>
      <c r="B2" s="33" t="s">
        <v>7</v>
      </c>
      <c r="C2" s="33">
        <f>VLOOKUP($AM$1,DST!C:D,2,FALSE)</f>
        <v>5</v>
      </c>
      <c r="D2" s="34">
        <f>D$32*Q2</f>
        <v>521.97749999999996</v>
      </c>
      <c r="E2" s="34">
        <f>D2*R2</f>
        <v>333.02164499999998</v>
      </c>
      <c r="F2" s="34">
        <f>E2*S2</f>
        <v>3466.0202038358811</v>
      </c>
      <c r="G2" s="34">
        <f>E2*T2</f>
        <v>23.311515150000002</v>
      </c>
      <c r="H2" s="34">
        <f>D2*U2</f>
        <v>12.028447647849639</v>
      </c>
      <c r="I2" s="34">
        <f>D$35*W2</f>
        <v>52.240418999999989</v>
      </c>
      <c r="J2" s="34">
        <f>I2*V2</f>
        <v>245.52996929999995</v>
      </c>
      <c r="K2" s="34">
        <f>I2*X2</f>
        <v>2.1940975979999995</v>
      </c>
      <c r="L2" s="35"/>
      <c r="M2" s="35"/>
      <c r="N2" s="35"/>
      <c r="O2" s="35"/>
      <c r="Q2" s="36">
        <f>(AD2/SUM(AD$2:AD$25))</f>
        <v>0.95</v>
      </c>
      <c r="R2" s="37">
        <v>0.63800000000000001</v>
      </c>
      <c r="S2" s="38">
        <v>10.407792574070918</v>
      </c>
      <c r="T2" s="37">
        <v>7.0000000000000007E-2</v>
      </c>
      <c r="U2" s="37">
        <v>2.3043996432508373E-2</v>
      </c>
      <c r="V2" s="38">
        <v>4.7</v>
      </c>
      <c r="W2" s="36">
        <f>(AE2/SUM(AE$2:AE$20))*0.98</f>
        <v>0.11857999999999999</v>
      </c>
      <c r="X2" s="37">
        <v>4.2000000000000003E-2</v>
      </c>
      <c r="Y2" s="39"/>
      <c r="Z2" s="40"/>
      <c r="AA2" s="41"/>
      <c r="AB2" s="41"/>
      <c r="AD2" s="37">
        <v>0.95</v>
      </c>
      <c r="AE2" s="37">
        <v>0.121</v>
      </c>
      <c r="AF2" s="42"/>
      <c r="AG2" s="42"/>
      <c r="AH2" s="43">
        <f>AE2/(SUM(AE$2:AE$25))</f>
        <v>0.121</v>
      </c>
    </row>
    <row r="3" spans="1:39" x14ac:dyDescent="0.25">
      <c r="A3" s="32" t="s">
        <v>599</v>
      </c>
      <c r="B3" s="33" t="s">
        <v>7</v>
      </c>
      <c r="C3" s="33">
        <f>VLOOKUP($AM$1,DST!C:D,2,FALSE)</f>
        <v>5</v>
      </c>
      <c r="D3" s="34">
        <f>D$32*Q3</f>
        <v>27.472500000000004</v>
      </c>
      <c r="E3" s="34">
        <f t="shared" ref="E3:F4" si="0">D3*R3</f>
        <v>16.860489385117869</v>
      </c>
      <c r="F3" s="34">
        <f t="shared" si="0"/>
        <v>170.12233789583931</v>
      </c>
      <c r="G3" s="34">
        <f t="shared" ref="G3:G4" si="1">E3*T3</f>
        <v>1.0116293631070721</v>
      </c>
      <c r="H3" s="34">
        <f>D3*U3</f>
        <v>0.54097131496733908</v>
      </c>
      <c r="I3" s="34">
        <f>D$35*W3</f>
        <v>0.86347799999999986</v>
      </c>
      <c r="J3" s="34">
        <f>I3*V3</f>
        <v>3.0739816799999997</v>
      </c>
      <c r="K3" s="34">
        <f>I3*X3</f>
        <v>2.1586949999999997E-2</v>
      </c>
      <c r="L3" s="35"/>
      <c r="M3" s="35"/>
      <c r="N3" s="35"/>
      <c r="O3" s="35"/>
      <c r="Q3" s="36">
        <f>(AD3/SUM(AD$2:AD$25))</f>
        <v>0.05</v>
      </c>
      <c r="R3" s="37">
        <v>0.61372242734071769</v>
      </c>
      <c r="S3" s="38">
        <v>10.09</v>
      </c>
      <c r="T3" s="37">
        <v>0.06</v>
      </c>
      <c r="U3" s="37">
        <v>1.9691375556186694E-2</v>
      </c>
      <c r="V3" s="38">
        <v>3.56</v>
      </c>
      <c r="W3" s="36">
        <f>(AE3/SUM(AE$2:AE$20))*0.98</f>
        <v>1.9599999999999999E-3</v>
      </c>
      <c r="X3" s="37">
        <v>2.5000000000000001E-2</v>
      </c>
      <c r="Y3" s="39"/>
      <c r="Z3" s="40"/>
      <c r="AA3" s="41"/>
      <c r="AB3" s="41"/>
      <c r="AD3" s="37">
        <v>0.05</v>
      </c>
      <c r="AE3" s="37">
        <v>2E-3</v>
      </c>
      <c r="AF3" s="42"/>
      <c r="AG3" s="42"/>
      <c r="AH3" s="43">
        <f t="shared" ref="AH3:AH20" si="2">AE3/(SUM(AE$2:AE$25))</f>
        <v>2E-3</v>
      </c>
    </row>
    <row r="4" spans="1:39" x14ac:dyDescent="0.25"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130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191.69211599999997</v>
      </c>
      <c r="J6" s="34">
        <f t="shared" ref="J6:J11" si="4">I6*V6</f>
        <v>805.10688719999996</v>
      </c>
      <c r="K6" s="34">
        <f t="shared" ref="K6:K11" si="5">I6*X6</f>
        <v>4.7923028999999993</v>
      </c>
      <c r="L6" s="34">
        <f t="shared" ref="L6:L11" si="6">((D$2+D$3+D$4)*AA6)</f>
        <v>55.999943999999992</v>
      </c>
      <c r="M6" s="34">
        <f t="shared" ref="M6:N11" si="7">L6*Y6</f>
        <v>42.223957775999992</v>
      </c>
      <c r="N6" s="34">
        <f t="shared" si="7"/>
        <v>268.52151761299984</v>
      </c>
      <c r="O6" s="34">
        <f t="shared" ref="O6:O11" si="8">M6*AG6</f>
        <v>2.0689739310239998</v>
      </c>
      <c r="Q6" s="53"/>
      <c r="R6" s="54"/>
      <c r="S6" s="55"/>
      <c r="T6" s="54"/>
      <c r="U6" s="54"/>
      <c r="V6" s="38">
        <v>4.2</v>
      </c>
      <c r="W6" s="36">
        <f t="shared" ref="W6:W11" si="9">(AE6/SUM(AE$2:AE$20))*0.98</f>
        <v>0.43512000000000001</v>
      </c>
      <c r="X6" s="37">
        <v>2.5000000000000001E-2</v>
      </c>
      <c r="Y6" s="37">
        <v>0.754</v>
      </c>
      <c r="Z6" s="56">
        <v>6.3594587470345312</v>
      </c>
      <c r="AA6" s="36">
        <f t="shared" ref="AA6:AB11" si="10">(AF6/SUM(AF$6:AF$25))*0.98</f>
        <v>0.10192</v>
      </c>
      <c r="AB6" s="36">
        <f t="shared" si="10"/>
        <v>6.6761096492302968E-2</v>
      </c>
      <c r="AD6" s="42"/>
      <c r="AE6" s="37">
        <v>0.44400000000000001</v>
      </c>
      <c r="AF6" s="37">
        <v>0.104</v>
      </c>
      <c r="AG6" s="37">
        <v>4.9000000000000002E-2</v>
      </c>
      <c r="AH6" s="43">
        <f t="shared" si="2"/>
        <v>0.44400000000000001</v>
      </c>
      <c r="AI6" s="43">
        <f>AF6/(SUM(AF$6:AF$25))</f>
        <v>0.104</v>
      </c>
    </row>
    <row r="7" spans="1:39" x14ac:dyDescent="0.25">
      <c r="A7" s="32" t="s">
        <v>606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147.22299899999999</v>
      </c>
      <c r="J7" s="34">
        <f t="shared" si="4"/>
        <v>634.53112568999984</v>
      </c>
      <c r="K7" s="34">
        <f t="shared" si="5"/>
        <v>3.6805749749999999</v>
      </c>
      <c r="L7" s="34">
        <f t="shared" si="6"/>
        <v>40.384574999999991</v>
      </c>
      <c r="M7" s="34">
        <f t="shared" si="7"/>
        <v>28.551894524999991</v>
      </c>
      <c r="N7" s="34">
        <f t="shared" si="7"/>
        <v>210.26686729007403</v>
      </c>
      <c r="O7" s="34">
        <f t="shared" si="8"/>
        <v>0.91366062479999977</v>
      </c>
      <c r="Q7" s="53"/>
      <c r="R7" s="54"/>
      <c r="S7" s="55"/>
      <c r="T7" s="54"/>
      <c r="U7" s="54"/>
      <c r="V7" s="38">
        <v>4.3099999999999996</v>
      </c>
      <c r="W7" s="36">
        <f t="shared" si="9"/>
        <v>0.33418000000000003</v>
      </c>
      <c r="X7" s="37">
        <v>2.5000000000000001E-2</v>
      </c>
      <c r="Y7" s="37">
        <v>0.70699999999999996</v>
      </c>
      <c r="Z7" s="56">
        <v>7.3643753168801007</v>
      </c>
      <c r="AA7" s="36">
        <f t="shared" si="10"/>
        <v>7.3499999999999996E-2</v>
      </c>
      <c r="AB7" s="36">
        <f t="shared" si="10"/>
        <v>4.3599083423544793E-2</v>
      </c>
      <c r="AD7" s="42"/>
      <c r="AE7" s="37">
        <v>0.34100000000000003</v>
      </c>
      <c r="AF7" s="37">
        <v>7.4999999999999997E-2</v>
      </c>
      <c r="AG7" s="37">
        <v>3.2000000000000001E-2</v>
      </c>
      <c r="AH7" s="43">
        <f t="shared" si="2"/>
        <v>0.34100000000000003</v>
      </c>
      <c r="AI7" s="43">
        <f t="shared" ref="AI7:AI25" si="11">AF7/(SUM(AF$6:AF$25))</f>
        <v>7.4999999999999997E-2</v>
      </c>
    </row>
    <row r="8" spans="1:39" x14ac:dyDescent="0.25">
      <c r="A8" s="32" t="s">
        <v>618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17.269559999999998</v>
      </c>
      <c r="J8" s="34">
        <f t="shared" si="4"/>
        <v>71.545320000000004</v>
      </c>
      <c r="K8" s="34">
        <f t="shared" si="5"/>
        <v>0.41446943999999997</v>
      </c>
      <c r="L8" s="34">
        <f t="shared" si="6"/>
        <v>2.6923049999999997</v>
      </c>
      <c r="M8" s="34">
        <f t="shared" si="7"/>
        <v>1.9384595999999998</v>
      </c>
      <c r="N8" s="34">
        <f t="shared" si="7"/>
        <v>11.824603559999998</v>
      </c>
      <c r="O8" s="34">
        <f t="shared" si="8"/>
        <v>2.9076893999999995E-2</v>
      </c>
      <c r="Q8" s="53"/>
      <c r="R8" s="54"/>
      <c r="S8" s="55"/>
      <c r="T8" s="54"/>
      <c r="U8" s="54"/>
      <c r="V8" s="38">
        <v>4.1428571428571432</v>
      </c>
      <c r="W8" s="36">
        <f t="shared" si="9"/>
        <v>3.9199999999999999E-2</v>
      </c>
      <c r="X8" s="37">
        <v>2.4E-2</v>
      </c>
      <c r="Y8" s="37">
        <v>0.72</v>
      </c>
      <c r="Z8" s="56">
        <v>6.1</v>
      </c>
      <c r="AA8" s="36">
        <f t="shared" si="10"/>
        <v>4.8999999999999998E-3</v>
      </c>
      <c r="AB8" s="36">
        <f t="shared" si="10"/>
        <v>2.0437070354786622E-2</v>
      </c>
      <c r="AD8" s="42"/>
      <c r="AE8" s="37">
        <v>0.04</v>
      </c>
      <c r="AF8" s="37">
        <v>5.0000000000000001E-3</v>
      </c>
      <c r="AG8" s="37">
        <v>1.4999999999999999E-2</v>
      </c>
      <c r="AH8" s="43">
        <f t="shared" si="2"/>
        <v>0.04</v>
      </c>
      <c r="AI8" s="43">
        <f t="shared" si="11"/>
        <v>5.0000000000000001E-3</v>
      </c>
    </row>
    <row r="9" spans="1:39" x14ac:dyDescent="0.25">
      <c r="A9" s="32" t="s">
        <v>510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15.974342999999999</v>
      </c>
      <c r="J9" s="34">
        <f t="shared" si="4"/>
        <v>70.606596060000001</v>
      </c>
      <c r="K9" s="34">
        <f t="shared" si="5"/>
        <v>0.31948685999999998</v>
      </c>
      <c r="L9" s="34">
        <f t="shared" si="6"/>
        <v>5.3846099999999995</v>
      </c>
      <c r="M9" s="34">
        <f t="shared" si="7"/>
        <v>3.9361499099999997</v>
      </c>
      <c r="N9" s="34">
        <f t="shared" si="7"/>
        <v>25.112636425799998</v>
      </c>
      <c r="O9" s="34">
        <f t="shared" si="8"/>
        <v>7.5833732973701953E-2</v>
      </c>
      <c r="Q9" s="53"/>
      <c r="R9" s="54"/>
      <c r="S9" s="55"/>
      <c r="T9" s="54"/>
      <c r="U9" s="54"/>
      <c r="V9" s="38">
        <v>4.42</v>
      </c>
      <c r="W9" s="36">
        <f t="shared" si="9"/>
        <v>3.6260000000000001E-2</v>
      </c>
      <c r="X9" s="37">
        <v>0.02</v>
      </c>
      <c r="Y9" s="37">
        <v>0.73099999999999998</v>
      </c>
      <c r="Z9" s="56">
        <v>6.38</v>
      </c>
      <c r="AA9" s="36">
        <f t="shared" si="10"/>
        <v>9.7999999999999997E-3</v>
      </c>
      <c r="AB9" s="36">
        <f t="shared" si="10"/>
        <v>2.6249327752350927E-2</v>
      </c>
      <c r="AD9" s="42"/>
      <c r="AE9" s="37">
        <v>3.6999999999999998E-2</v>
      </c>
      <c r="AF9" s="37">
        <v>0.01</v>
      </c>
      <c r="AG9" s="37">
        <v>1.9265966669877663E-2</v>
      </c>
      <c r="AH9" s="43">
        <f t="shared" si="2"/>
        <v>3.6999999999999998E-2</v>
      </c>
      <c r="AI9" s="43">
        <f t="shared" si="11"/>
        <v>0.01</v>
      </c>
    </row>
    <row r="10" spans="1:39" x14ac:dyDescent="0.25">
      <c r="A10" s="61"/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511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148.61523599999998</v>
      </c>
      <c r="M13" s="34">
        <f t="shared" ref="M13:N20" si="16">L13*Y13</f>
        <v>84.666360677684196</v>
      </c>
      <c r="N13" s="34">
        <f t="shared" si="16"/>
        <v>1213.2689485112146</v>
      </c>
      <c r="O13" s="34">
        <f t="shared" ref="O13:O20" si="17">M13*AG13</f>
        <v>7.3659733789585244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0.56970175438596493</v>
      </c>
      <c r="Z13" s="56">
        <v>14.33</v>
      </c>
      <c r="AA13" s="36">
        <f t="shared" ref="AA13:AB20" si="19">(AF13/SUM(AF$6:AF$25))*0.98</f>
        <v>0.27048</v>
      </c>
      <c r="AB13" s="36">
        <f t="shared" si="19"/>
        <v>0.11853500805776239</v>
      </c>
      <c r="AD13" s="42"/>
      <c r="AE13" s="37">
        <v>0</v>
      </c>
      <c r="AF13" s="37">
        <v>0.27600000000000002</v>
      </c>
      <c r="AG13" s="37">
        <v>8.6999999999999994E-2</v>
      </c>
      <c r="AH13" s="43">
        <f t="shared" si="2"/>
        <v>0</v>
      </c>
      <c r="AI13" s="43">
        <f t="shared" si="11"/>
        <v>0.27600000000000002</v>
      </c>
    </row>
    <row r="14" spans="1:39" x14ac:dyDescent="0.25">
      <c r="A14" s="32" t="s">
        <v>512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99.615284999999986</v>
      </c>
      <c r="M14" s="34">
        <f t="shared" si="16"/>
        <v>62.558398979999993</v>
      </c>
      <c r="N14" s="34">
        <f t="shared" si="16"/>
        <v>770.09389144379998</v>
      </c>
      <c r="O14" s="34">
        <f t="shared" si="17"/>
        <v>4.629321524519999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0.628</v>
      </c>
      <c r="Z14" s="56">
        <v>12.31</v>
      </c>
      <c r="AA14" s="36">
        <f t="shared" si="19"/>
        <v>0.18129999999999999</v>
      </c>
      <c r="AB14" s="36">
        <f t="shared" si="19"/>
        <v>0.10082288041694733</v>
      </c>
      <c r="AD14" s="42"/>
      <c r="AE14" s="37">
        <v>0</v>
      </c>
      <c r="AF14" s="37">
        <v>0.185</v>
      </c>
      <c r="AG14" s="37">
        <v>7.3999999999999996E-2</v>
      </c>
      <c r="AH14" s="43">
        <f t="shared" si="2"/>
        <v>0</v>
      </c>
      <c r="AI14" s="43">
        <f t="shared" si="11"/>
        <v>0.185</v>
      </c>
    </row>
    <row r="15" spans="1:39" x14ac:dyDescent="0.25">
      <c r="A15" s="32" t="s">
        <v>433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47.923028999999993</v>
      </c>
      <c r="M15" s="34">
        <f t="shared" si="16"/>
        <v>28.945509515999994</v>
      </c>
      <c r="N15" s="34">
        <f t="shared" si="16"/>
        <v>298.90970693152786</v>
      </c>
      <c r="O15" s="34">
        <f t="shared" si="17"/>
        <v>2.4314227993439999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2.5000000000000001E-2</v>
      </c>
      <c r="Y15" s="37">
        <v>0.60399999999999998</v>
      </c>
      <c r="Z15" s="56">
        <v>10.326634836616083</v>
      </c>
      <c r="AA15" s="36">
        <f t="shared" si="19"/>
        <v>8.7219999999999992E-2</v>
      </c>
      <c r="AB15" s="36">
        <f t="shared" si="19"/>
        <v>0.1144475939868051</v>
      </c>
      <c r="AD15" s="42"/>
      <c r="AE15" s="37">
        <v>0</v>
      </c>
      <c r="AF15" s="37">
        <v>8.8999999999999996E-2</v>
      </c>
      <c r="AG15" s="37">
        <v>8.4000000000000005E-2</v>
      </c>
      <c r="AH15" s="43">
        <f t="shared" si="2"/>
        <v>0</v>
      </c>
      <c r="AI15" s="43">
        <f t="shared" si="11"/>
        <v>8.8999999999999996E-2</v>
      </c>
    </row>
    <row r="16" spans="1:39" x14ac:dyDescent="0.25">
      <c r="A16" s="32" t="s">
        <v>619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33.384581999999995</v>
      </c>
      <c r="M16" s="34">
        <f t="shared" si="16"/>
        <v>21.633209135999998</v>
      </c>
      <c r="N16" s="34">
        <f t="shared" si="16"/>
        <v>229.15304067903736</v>
      </c>
      <c r="O16" s="34">
        <f t="shared" si="17"/>
        <v>1.7306567308799998</v>
      </c>
      <c r="Q16" s="53"/>
      <c r="R16" s="54"/>
      <c r="S16" s="55"/>
      <c r="T16" s="54"/>
      <c r="U16" s="54"/>
      <c r="V16" s="38">
        <v>4.2500000000000009</v>
      </c>
      <c r="W16" s="36">
        <f t="shared" si="18"/>
        <v>0</v>
      </c>
      <c r="X16" s="37">
        <v>7.0000000000000001E-3</v>
      </c>
      <c r="Y16" s="37">
        <v>0.64800000000000002</v>
      </c>
      <c r="Z16" s="56">
        <v>10.592651290820369</v>
      </c>
      <c r="AA16" s="36">
        <f t="shared" si="19"/>
        <v>6.0760000000000002E-2</v>
      </c>
      <c r="AB16" s="36">
        <f t="shared" si="19"/>
        <v>0.10899770855886198</v>
      </c>
      <c r="AD16" s="42"/>
      <c r="AE16" s="37">
        <v>0</v>
      </c>
      <c r="AF16" s="37">
        <v>6.2E-2</v>
      </c>
      <c r="AG16" s="37">
        <v>0.08</v>
      </c>
      <c r="AH16" s="43">
        <f t="shared" si="2"/>
        <v>0</v>
      </c>
      <c r="AI16" s="43">
        <f t="shared" si="11"/>
        <v>6.2E-2</v>
      </c>
    </row>
    <row r="17" spans="1:35" x14ac:dyDescent="0.25">
      <c r="A17" s="32" t="s">
        <v>602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6.4760849999999994</v>
      </c>
      <c r="J17" s="34">
        <f t="shared" si="13"/>
        <v>19.428255</v>
      </c>
      <c r="K17" s="34">
        <f t="shared" si="14"/>
        <v>4.9184210526315789E-2</v>
      </c>
      <c r="L17" s="34">
        <f t="shared" si="15"/>
        <v>5.3846099999999995</v>
      </c>
      <c r="M17" s="34">
        <f t="shared" si="16"/>
        <v>3.4353811799999998</v>
      </c>
      <c r="N17" s="34">
        <f t="shared" si="16"/>
        <v>31.605506855999995</v>
      </c>
      <c r="O17" s="34">
        <f t="shared" si="17"/>
        <v>0.26452435085999998</v>
      </c>
      <c r="Q17" s="53"/>
      <c r="R17" s="54"/>
      <c r="S17" s="55"/>
      <c r="T17" s="54"/>
      <c r="U17" s="54"/>
      <c r="V17" s="38">
        <v>3</v>
      </c>
      <c r="W17" s="36">
        <f t="shared" si="18"/>
        <v>1.47E-2</v>
      </c>
      <c r="X17" s="37">
        <v>7.5947444368497001E-3</v>
      </c>
      <c r="Y17" s="37">
        <v>0.63800000000000001</v>
      </c>
      <c r="Z17" s="56">
        <v>9.1999999999999993</v>
      </c>
      <c r="AA17" s="36">
        <f t="shared" si="19"/>
        <v>9.7999999999999997E-3</v>
      </c>
      <c r="AB17" s="36">
        <f t="shared" si="19"/>
        <v>0.10491029448790466</v>
      </c>
      <c r="AD17" s="42"/>
      <c r="AE17" s="37">
        <v>1.4999999999999999E-2</v>
      </c>
      <c r="AF17" s="37">
        <v>0.01</v>
      </c>
      <c r="AG17" s="37">
        <v>7.6999999999999999E-2</v>
      </c>
      <c r="AH17" s="43">
        <f t="shared" si="2"/>
        <v>1.4999999999999999E-2</v>
      </c>
      <c r="AI17" s="43">
        <f t="shared" si="11"/>
        <v>0.01</v>
      </c>
    </row>
    <row r="18" spans="1:35" x14ac:dyDescent="0.25"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8.4828738512949045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443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43.076879999999996</v>
      </c>
      <c r="M22" s="34">
        <f t="shared" ref="M22:N25" si="20">L22*Y22</f>
        <v>31.532276159999995</v>
      </c>
      <c r="N22" s="34">
        <f t="shared" si="20"/>
        <v>250.18732053957442</v>
      </c>
      <c r="O22" s="34">
        <f>M22*AG22</f>
        <v>1.8919365695999997</v>
      </c>
      <c r="Q22" s="53"/>
      <c r="R22" s="54"/>
      <c r="S22" s="55"/>
      <c r="T22" s="54"/>
      <c r="U22" s="54"/>
      <c r="V22" s="59"/>
      <c r="W22" s="60"/>
      <c r="X22" s="54"/>
      <c r="Y22" s="37">
        <v>0.73199999999999998</v>
      </c>
      <c r="Z22" s="56">
        <v>7.9343247937472858</v>
      </c>
      <c r="AA22" s="36">
        <f t="shared" ref="AA22:AB25" si="21">(AF22/SUM(AF$6:AF$25))*0.98</f>
        <v>7.8399999999999997E-2</v>
      </c>
      <c r="AB22" s="36">
        <f t="shared" si="21"/>
        <v>8.1748281419146487E-2</v>
      </c>
      <c r="AD22" s="42"/>
      <c r="AE22" s="42"/>
      <c r="AF22" s="37">
        <v>0.08</v>
      </c>
      <c r="AG22" s="37">
        <v>0.06</v>
      </c>
      <c r="AH22" s="43"/>
      <c r="AI22" s="43">
        <f t="shared" si="11"/>
        <v>0.08</v>
      </c>
    </row>
    <row r="23" spans="1:35" x14ac:dyDescent="0.25">
      <c r="A23" s="32" t="s">
        <v>126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32.846120999999997</v>
      </c>
      <c r="M23" s="34">
        <f t="shared" si="20"/>
        <v>23.583514877999995</v>
      </c>
      <c r="N23" s="34">
        <f t="shared" si="20"/>
        <v>189.37562447033994</v>
      </c>
      <c r="O23" s="34">
        <f>M23*AG23</f>
        <v>1.7215965860939995</v>
      </c>
      <c r="Q23" s="53"/>
      <c r="R23" s="54"/>
      <c r="S23" s="55"/>
      <c r="T23" s="54"/>
      <c r="U23" s="54"/>
      <c r="V23" s="59"/>
      <c r="W23" s="60"/>
      <c r="X23" s="54"/>
      <c r="Y23" s="37">
        <v>0.71799999999999997</v>
      </c>
      <c r="Z23" s="56">
        <v>8.0299999999999994</v>
      </c>
      <c r="AA23" s="36">
        <f t="shared" si="21"/>
        <v>5.978E-2</v>
      </c>
      <c r="AB23" s="36">
        <f t="shared" si="21"/>
        <v>9.9460409059961549E-2</v>
      </c>
      <c r="AD23" s="42"/>
      <c r="AE23" s="42"/>
      <c r="AF23" s="37">
        <v>6.0999999999999999E-2</v>
      </c>
      <c r="AG23" s="37">
        <v>7.2999999999999995E-2</v>
      </c>
      <c r="AH23" s="43"/>
      <c r="AI23" s="43">
        <f t="shared" si="11"/>
        <v>6.0999999999999999E-2</v>
      </c>
    </row>
    <row r="24" spans="1:35" x14ac:dyDescent="0.25">
      <c r="A24" s="32" t="s">
        <v>513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23.153822999999996</v>
      </c>
      <c r="M24" s="34">
        <f t="shared" si="20"/>
        <v>16.855983143999996</v>
      </c>
      <c r="N24" s="34">
        <f t="shared" si="20"/>
        <v>136.53346346639995</v>
      </c>
      <c r="O24" s="34">
        <f>M24*AG24</f>
        <v>1.1633192061497322</v>
      </c>
      <c r="Q24" s="53"/>
      <c r="R24" s="54"/>
      <c r="S24" s="55"/>
      <c r="T24" s="54"/>
      <c r="U24" s="54"/>
      <c r="V24" s="59"/>
      <c r="W24" s="60"/>
      <c r="X24" s="54"/>
      <c r="Y24" s="37">
        <v>0.72799999999999998</v>
      </c>
      <c r="Z24" s="56">
        <v>8.1</v>
      </c>
      <c r="AA24" s="36">
        <f t="shared" si="21"/>
        <v>4.2139999999999997E-2</v>
      </c>
      <c r="AB24" s="36">
        <f t="shared" si="21"/>
        <v>9.4031245989625228E-2</v>
      </c>
      <c r="AD24" s="42"/>
      <c r="AE24" s="42"/>
      <c r="AF24" s="37">
        <v>4.2999999999999997E-2</v>
      </c>
      <c r="AG24" s="37">
        <v>6.9015209389540935E-2</v>
      </c>
      <c r="AH24" s="43"/>
      <c r="AI24" s="43">
        <f t="shared" si="11"/>
        <v>4.2999999999999997E-2</v>
      </c>
    </row>
    <row r="25" spans="1:35" x14ac:dyDescent="0.25"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990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549.45000000000005</v>
      </c>
      <c r="E32" s="80">
        <f>SUM(E2:E4)</f>
        <v>349.88213438511787</v>
      </c>
      <c r="F32" s="80">
        <f>SUM(F2:F4)</f>
        <v>3636.1425417317205</v>
      </c>
      <c r="G32" s="80">
        <f>SUM(G2:G4)</f>
        <v>24.323144513107074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440.54999999999995</v>
      </c>
      <c r="E35" s="80">
        <f>D35*G29</f>
        <v>1850.31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431.73899999999998</v>
      </c>
      <c r="E38" s="91">
        <f>SUM(J2:J4,J6:J11,J13:J20)</f>
        <v>1849.8221349299997</v>
      </c>
      <c r="F38" s="91">
        <f>SUM(K2:K4,K6:K11,K13:K20)</f>
        <v>11.471702933526313</v>
      </c>
      <c r="G38" s="91">
        <f>SUM(L6:L11,L13:L20,L22:L25)</f>
        <v>538.46100000000001</v>
      </c>
      <c r="H38" s="91">
        <f>SUM(M6:M11,M13:M20,M22:M25)</f>
        <v>349.86109548268411</v>
      </c>
      <c r="I38" s="91">
        <f>SUM(N6:N11,N13:N20,N22:N25)</f>
        <v>3634.8531277867687</v>
      </c>
      <c r="J38" s="91">
        <f>SUM(O6:O11,O13:O20,O22:O25)</f>
        <v>24.286296329203953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8.8109999999999786</v>
      </c>
      <c r="E39" s="92">
        <f>E35-E38</f>
        <v>0.48786507000022539</v>
      </c>
      <c r="F39" s="92">
        <f>F35-F38</f>
        <v>2.8297066473687238E-2</v>
      </c>
      <c r="G39" s="92">
        <f>SUM(D2:D4)-G38</f>
        <v>10.988999999999919</v>
      </c>
      <c r="H39" s="92">
        <f>E32-H38</f>
        <v>2.1038902433758722E-2</v>
      </c>
      <c r="I39" s="92">
        <f>F32-I38</f>
        <v>1.2894139449517752</v>
      </c>
      <c r="J39" s="92">
        <f>G32-J38</f>
        <v>3.6848183903121168E-2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O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I41" s="46"/>
      <c r="J41" s="48"/>
      <c r="K41" s="46"/>
      <c r="L41" s="46"/>
      <c r="M41" s="48"/>
      <c r="N41" s="46"/>
      <c r="O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I42" s="46"/>
      <c r="J42" s="48"/>
      <c r="K42" s="46"/>
      <c r="L42" s="46"/>
      <c r="M42" s="48"/>
      <c r="N42" s="46"/>
      <c r="O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5" priority="1" operator="lessThan">
      <formula>0</formula>
    </cfRule>
  </conditionalFormatting>
  <conditionalFormatting sqref="W28 AA28:AF28">
    <cfRule type="cellIs" dxfId="5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33C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57</v>
      </c>
    </row>
    <row r="2" spans="1:39" x14ac:dyDescent="0.25">
      <c r="A2" s="32" t="s">
        <v>417</v>
      </c>
      <c r="B2" s="33" t="s">
        <v>7</v>
      </c>
      <c r="C2" s="33">
        <f>VLOOKUP($AM$1,DST!C:D,2,FALSE)</f>
        <v>10</v>
      </c>
      <c r="D2" s="34">
        <f>D$32*Q2</f>
        <v>563.9351200000001</v>
      </c>
      <c r="E2" s="34">
        <f>D2*R2</f>
        <v>342.87255296000006</v>
      </c>
      <c r="F2" s="34">
        <f>E2*S2</f>
        <v>4087.0408312832005</v>
      </c>
      <c r="G2" s="34">
        <f>E2*T2</f>
        <v>27.587748593545736</v>
      </c>
      <c r="H2" s="34">
        <f>D2*U2</f>
        <v>8.1560842475057171</v>
      </c>
      <c r="I2" s="34">
        <f>D$35*W2</f>
        <v>67.718607599999984</v>
      </c>
      <c r="J2" s="34">
        <f>I2*V2</f>
        <v>346.77774832403907</v>
      </c>
      <c r="K2" s="34">
        <f>I2*X2</f>
        <v>2.7764629115999995</v>
      </c>
      <c r="L2" s="35"/>
      <c r="M2" s="35"/>
      <c r="N2" s="35"/>
      <c r="O2" s="35"/>
      <c r="Q2" s="36">
        <f>(AD2/SUM(AD$2:AD$25))</f>
        <v>0.98</v>
      </c>
      <c r="R2" s="37">
        <v>0.60799999999999998</v>
      </c>
      <c r="S2" s="38">
        <v>11.92</v>
      </c>
      <c r="T2" s="37">
        <v>8.0460650336056955E-2</v>
      </c>
      <c r="U2" s="37">
        <v>1.4462806018369126E-2</v>
      </c>
      <c r="V2" s="38">
        <v>5.1208635353577341</v>
      </c>
      <c r="W2" s="36">
        <f>(AE2/SUM(AE$2:AE$20))*0.98</f>
        <v>0.14209999999999998</v>
      </c>
      <c r="X2" s="37">
        <v>4.1000000000000002E-2</v>
      </c>
      <c r="Y2" s="39"/>
      <c r="Z2" s="40"/>
      <c r="AA2" s="41"/>
      <c r="AB2" s="41"/>
      <c r="AD2" s="37">
        <v>0.98</v>
      </c>
      <c r="AE2" s="37">
        <v>0.14499999999999999</v>
      </c>
      <c r="AF2" s="42"/>
      <c r="AG2" s="42"/>
      <c r="AH2" s="43">
        <f>AE2/(SUM(AE$2:AE$25))</f>
        <v>0.14499999999999999</v>
      </c>
    </row>
    <row r="3" spans="1:39" x14ac:dyDescent="0.25">
      <c r="A3" s="32" t="s">
        <v>410</v>
      </c>
      <c r="B3" s="33" t="s">
        <v>7</v>
      </c>
      <c r="C3" s="33">
        <f>VLOOKUP($AM$1,DST!C:D,2,FALSE)</f>
        <v>10</v>
      </c>
      <c r="D3" s="34">
        <f>D$32*Q3</f>
        <v>11.508880000000001</v>
      </c>
      <c r="E3" s="34">
        <f t="shared" ref="E3:F4" si="0">D3*R3</f>
        <v>8.1782271917050551</v>
      </c>
      <c r="F3" s="34">
        <f t="shared" si="0"/>
        <v>95.603475871032089</v>
      </c>
      <c r="G3" s="34">
        <f t="shared" ref="G3:G4" si="1">E3*T3</f>
        <v>0.62706265788300575</v>
      </c>
      <c r="H3" s="34">
        <f>D3*U3</f>
        <v>0.32455243020126479</v>
      </c>
      <c r="I3" s="34">
        <f>D$35*W3</f>
        <v>4.6702487999999995</v>
      </c>
      <c r="J3" s="34">
        <f>I3*V3</f>
        <v>16.836392996892446</v>
      </c>
      <c r="K3" s="34">
        <f>I3*X3</f>
        <v>9.4240575771843665E-2</v>
      </c>
      <c r="L3" s="35"/>
      <c r="M3" s="35"/>
      <c r="N3" s="35"/>
      <c r="O3" s="35"/>
      <c r="Q3" s="36">
        <f>(AD3/SUM(AD$2:AD$25))</f>
        <v>0.02</v>
      </c>
      <c r="R3" s="37">
        <v>0.71060148265557155</v>
      </c>
      <c r="S3" s="38">
        <v>11.69</v>
      </c>
      <c r="T3" s="37">
        <v>7.6674643927600553E-2</v>
      </c>
      <c r="U3" s="37">
        <v>2.8200175012795752E-2</v>
      </c>
      <c r="V3" s="38">
        <v>3.6050312773256206</v>
      </c>
      <c r="W3" s="36">
        <f>(AE3/SUM(AE$2:AE$20))*0.98</f>
        <v>9.7999999999999997E-3</v>
      </c>
      <c r="X3" s="37">
        <v>2.017891975516244E-2</v>
      </c>
      <c r="Y3" s="39"/>
      <c r="Z3" s="40"/>
      <c r="AA3" s="41"/>
      <c r="AB3" s="41"/>
      <c r="AD3" s="37">
        <v>0.02</v>
      </c>
      <c r="AE3" s="37">
        <v>0.01</v>
      </c>
      <c r="AF3" s="42"/>
      <c r="AG3" s="42"/>
      <c r="AH3" s="43">
        <f t="shared" ref="AH3:AH20" si="2">AE3/(SUM(AE$2:AE$25))</f>
        <v>0.01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116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191.94722567999997</v>
      </c>
      <c r="J6" s="34">
        <f t="shared" ref="J6:J11" si="4">I6*V6</f>
        <v>859.84295708886395</v>
      </c>
      <c r="K6" s="34">
        <f t="shared" ref="K6:K11" si="5">I6*X6</f>
        <v>7.1020473501599986</v>
      </c>
      <c r="L6" s="34">
        <f t="shared" ref="L6:L11" si="6">((D$2+D$3+D$4)*AA6)</f>
        <v>46.242679840000008</v>
      </c>
      <c r="M6" s="34">
        <f t="shared" ref="M6:N11" si="7">L6*Y6</f>
        <v>33.895884322720008</v>
      </c>
      <c r="N6" s="34">
        <f t="shared" si="7"/>
        <v>281.56231987692786</v>
      </c>
      <c r="O6" s="34">
        <f t="shared" ref="O6:O11" si="8">M6*AG6</f>
        <v>1.0507724140043202</v>
      </c>
      <c r="Q6" s="53"/>
      <c r="R6" s="54"/>
      <c r="S6" s="55"/>
      <c r="T6" s="54"/>
      <c r="U6" s="54"/>
      <c r="V6" s="38">
        <v>4.4795800201995606</v>
      </c>
      <c r="W6" s="36">
        <f t="shared" ref="W6:W11" si="9">(AE6/SUM(AE$2:AE$20))*0.98</f>
        <v>0.40277999999999997</v>
      </c>
      <c r="X6" s="37">
        <v>3.6999999999999998E-2</v>
      </c>
      <c r="Y6" s="37">
        <v>0.73299999999999998</v>
      </c>
      <c r="Z6" s="56">
        <v>8.3066816371036527</v>
      </c>
      <c r="AA6" s="36">
        <f t="shared" ref="AA6:AA11" si="10">(AF6/SUM(AF$6:AF$25))*0.98</f>
        <v>8.0360000000000001E-2</v>
      </c>
      <c r="AB6" s="36">
        <f t="shared" ref="AB6:AB11" si="11">(AG6/SUM(AG$6:AG$25))*0.98</f>
        <v>3.7695410660041326E-2</v>
      </c>
      <c r="AD6" s="42"/>
      <c r="AE6" s="37">
        <v>0.41099999999999998</v>
      </c>
      <c r="AF6" s="37">
        <v>8.2000000000000003E-2</v>
      </c>
      <c r="AG6" s="37">
        <v>3.1E-2</v>
      </c>
      <c r="AH6" s="43">
        <f t="shared" si="2"/>
        <v>0.41099999999999998</v>
      </c>
      <c r="AI6" s="43">
        <f>AF6/(SUM(AF$6:AF$25))</f>
        <v>8.2000000000000003E-2</v>
      </c>
    </row>
    <row r="7" spans="1:39" x14ac:dyDescent="0.25">
      <c r="A7" s="32" t="s">
        <v>514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175.60135487999997</v>
      </c>
      <c r="J7" s="34">
        <f t="shared" si="4"/>
        <v>758.92623990733705</v>
      </c>
      <c r="K7" s="34">
        <f t="shared" si="5"/>
        <v>6.672851485439999</v>
      </c>
      <c r="L7" s="34">
        <f t="shared" si="6"/>
        <v>31.016431600000001</v>
      </c>
      <c r="M7" s="34">
        <f t="shared" si="7"/>
        <v>21.773534983199998</v>
      </c>
      <c r="N7" s="34">
        <f t="shared" si="7"/>
        <v>166.47993232787942</v>
      </c>
      <c r="O7" s="34">
        <f t="shared" si="8"/>
        <v>0.6961283018646286</v>
      </c>
      <c r="Q7" s="53"/>
      <c r="R7" s="54"/>
      <c r="S7" s="55"/>
      <c r="T7" s="54"/>
      <c r="U7" s="54"/>
      <c r="V7" s="38">
        <v>4.3218700700000952</v>
      </c>
      <c r="W7" s="36">
        <f t="shared" si="9"/>
        <v>0.36847999999999997</v>
      </c>
      <c r="X7" s="37">
        <v>3.7999999999999999E-2</v>
      </c>
      <c r="Y7" s="37">
        <v>0.70199999999999996</v>
      </c>
      <c r="Z7" s="56">
        <v>7.6459762944479088</v>
      </c>
      <c r="AA7" s="36">
        <f t="shared" si="10"/>
        <v>5.3899999999999997E-2</v>
      </c>
      <c r="AB7" s="36">
        <f t="shared" si="11"/>
        <v>3.8876497621941071E-2</v>
      </c>
      <c r="AD7" s="42"/>
      <c r="AE7" s="37">
        <v>0.376</v>
      </c>
      <c r="AF7" s="37">
        <v>5.5E-2</v>
      </c>
      <c r="AG7" s="37">
        <v>3.1971303805364934E-2</v>
      </c>
      <c r="AH7" s="43">
        <f t="shared" si="2"/>
        <v>0.376</v>
      </c>
      <c r="AI7" s="43">
        <f t="shared" ref="AI7:AI25" si="12">AF7/(SUM(AF$6:AF$25))</f>
        <v>5.5E-2</v>
      </c>
    </row>
    <row r="8" spans="1:39" x14ac:dyDescent="0.25">
      <c r="A8" s="32" t="s">
        <v>402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16.3458708</v>
      </c>
      <c r="J8" s="34">
        <f t="shared" si="4"/>
        <v>65.383483200000001</v>
      </c>
      <c r="K8" s="34">
        <f t="shared" si="5"/>
        <v>0.53941373640000001</v>
      </c>
      <c r="L8" s="34">
        <f t="shared" si="6"/>
        <v>2.8196756000000001</v>
      </c>
      <c r="M8" s="34">
        <f t="shared" si="7"/>
        <v>1.9314777860000001</v>
      </c>
      <c r="N8" s="34">
        <f t="shared" si="7"/>
        <v>10.90322426852293</v>
      </c>
      <c r="O8" s="34">
        <f t="shared" si="8"/>
        <v>5.0218422435999999E-2</v>
      </c>
      <c r="Q8" s="53"/>
      <c r="R8" s="54"/>
      <c r="S8" s="55"/>
      <c r="T8" s="54"/>
      <c r="U8" s="54"/>
      <c r="V8" s="38">
        <v>4</v>
      </c>
      <c r="W8" s="36">
        <f t="shared" si="9"/>
        <v>3.4300000000000004E-2</v>
      </c>
      <c r="X8" s="37">
        <v>3.3000000000000002E-2</v>
      </c>
      <c r="Y8" s="37">
        <v>0.68500000000000005</v>
      </c>
      <c r="Z8" s="56">
        <v>5.6450166538560076</v>
      </c>
      <c r="AA8" s="36">
        <f t="shared" si="10"/>
        <v>4.8999999999999998E-3</v>
      </c>
      <c r="AB8" s="36">
        <f t="shared" si="11"/>
        <v>3.1615505714873371E-2</v>
      </c>
      <c r="AD8" s="42"/>
      <c r="AE8" s="37">
        <v>3.5000000000000003E-2</v>
      </c>
      <c r="AF8" s="37">
        <v>5.0000000000000001E-3</v>
      </c>
      <c r="AG8" s="37">
        <v>2.5999999999999999E-2</v>
      </c>
      <c r="AH8" s="43">
        <f t="shared" si="2"/>
        <v>3.5000000000000003E-2</v>
      </c>
      <c r="AI8" s="43">
        <f t="shared" si="12"/>
        <v>5.0000000000000001E-3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515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8.4064478400000002</v>
      </c>
      <c r="J13" s="34">
        <f t="shared" ref="J13:J20" si="14">I13*V13</f>
        <v>49.025872562294488</v>
      </c>
      <c r="K13" s="34">
        <f t="shared" ref="K13:K20" si="15">I13*X13</f>
        <v>0.28516944981580605</v>
      </c>
      <c r="L13" s="34">
        <f t="shared" ref="L13:L20" si="16">((D$2+D$3+D$4)*AA13)</f>
        <v>130.26901272000001</v>
      </c>
      <c r="M13" s="34">
        <f t="shared" ref="M13:N20" si="17">L13*Y13</f>
        <v>81.027325911840009</v>
      </c>
      <c r="N13" s="34">
        <f t="shared" si="17"/>
        <v>1060.6476961859858</v>
      </c>
      <c r="O13" s="34">
        <f t="shared" ref="O13:O20" si="18">M13*AG13</f>
        <v>6.4821860729472007</v>
      </c>
      <c r="Q13" s="53"/>
      <c r="R13" s="54"/>
      <c r="S13" s="55"/>
      <c r="T13" s="54"/>
      <c r="U13" s="54"/>
      <c r="V13" s="38">
        <v>5.8319368055811891</v>
      </c>
      <c r="W13" s="36">
        <f t="shared" ref="W13:W20" si="19">(AE13/SUM(AE$2:AE$20))*0.98</f>
        <v>1.7639999999999999E-2</v>
      </c>
      <c r="X13" s="37">
        <v>3.3922704957365921E-2</v>
      </c>
      <c r="Y13" s="37">
        <v>0.622</v>
      </c>
      <c r="Z13" s="56">
        <v>13.09</v>
      </c>
      <c r="AA13" s="36">
        <f t="shared" ref="AA13:AB20" si="20">(AF13/SUM(AF$6:AF$25))*0.98</f>
        <v>0.22638</v>
      </c>
      <c r="AB13" s="36">
        <f t="shared" si="20"/>
        <v>9.7278479122687292E-2</v>
      </c>
      <c r="AD13" s="42"/>
      <c r="AE13" s="37">
        <v>1.7999999999999999E-2</v>
      </c>
      <c r="AF13" s="37">
        <v>0.23100000000000001</v>
      </c>
      <c r="AG13" s="37">
        <v>0.08</v>
      </c>
      <c r="AH13" s="43">
        <f t="shared" si="2"/>
        <v>1.7999999999999999E-2</v>
      </c>
      <c r="AI13" s="43">
        <f t="shared" si="12"/>
        <v>0.23100000000000001</v>
      </c>
    </row>
    <row r="14" spans="1:39" x14ac:dyDescent="0.25">
      <c r="A14" s="32" t="s">
        <v>424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128.57720736000002</v>
      </c>
      <c r="M14" s="34">
        <f t="shared" si="17"/>
        <v>66.021181549176006</v>
      </c>
      <c r="N14" s="34">
        <f t="shared" si="17"/>
        <v>982.39518145173906</v>
      </c>
      <c r="O14" s="34">
        <f t="shared" si="18"/>
        <v>7.1302876073110086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0.51347500000000001</v>
      </c>
      <c r="Z14" s="56">
        <v>14.88</v>
      </c>
      <c r="AA14" s="36">
        <f t="shared" si="20"/>
        <v>0.22344</v>
      </c>
      <c r="AB14" s="36">
        <f t="shared" si="20"/>
        <v>0.13132594681562784</v>
      </c>
      <c r="AD14" s="42"/>
      <c r="AE14" s="37">
        <v>0</v>
      </c>
      <c r="AF14" s="37">
        <v>0.22800000000000001</v>
      </c>
      <c r="AG14" s="37">
        <v>0.108</v>
      </c>
      <c r="AH14" s="43">
        <f t="shared" si="2"/>
        <v>0</v>
      </c>
      <c r="AI14" s="43">
        <f t="shared" si="12"/>
        <v>0.22800000000000001</v>
      </c>
    </row>
    <row r="15" spans="1:39" x14ac:dyDescent="0.25">
      <c r="A15" s="32" t="s">
        <v>418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2.3351243999999998</v>
      </c>
      <c r="J15" s="34">
        <f t="shared" si="14"/>
        <v>14.529662933333332</v>
      </c>
      <c r="K15" s="34">
        <f t="shared" si="15"/>
        <v>2.5945826666666665E-2</v>
      </c>
      <c r="L15" s="34">
        <f t="shared" si="16"/>
        <v>36.091847680000001</v>
      </c>
      <c r="M15" s="34">
        <f t="shared" si="17"/>
        <v>20.283618396160001</v>
      </c>
      <c r="N15" s="34">
        <f t="shared" si="17"/>
        <v>224.53965564549122</v>
      </c>
      <c r="O15" s="34">
        <f t="shared" si="18"/>
        <v>1.25758434056192</v>
      </c>
      <c r="Q15" s="53"/>
      <c r="R15" s="54"/>
      <c r="S15" s="55"/>
      <c r="T15" s="54"/>
      <c r="U15" s="54"/>
      <c r="V15" s="38">
        <v>6.2222222222222223</v>
      </c>
      <c r="W15" s="36">
        <f t="shared" si="19"/>
        <v>4.8999999999999998E-3</v>
      </c>
      <c r="X15" s="37">
        <v>1.1111111111111112E-2</v>
      </c>
      <c r="Y15" s="37">
        <v>0.56200000000000006</v>
      </c>
      <c r="Z15" s="56">
        <v>11.07</v>
      </c>
      <c r="AA15" s="36">
        <f t="shared" si="20"/>
        <v>6.2719999999999998E-2</v>
      </c>
      <c r="AB15" s="36">
        <f t="shared" si="20"/>
        <v>7.5390821320082652E-2</v>
      </c>
      <c r="AD15" s="42"/>
      <c r="AE15" s="37">
        <v>5.0000000000000001E-3</v>
      </c>
      <c r="AF15" s="37">
        <v>6.4000000000000001E-2</v>
      </c>
      <c r="AG15" s="37">
        <v>6.2E-2</v>
      </c>
      <c r="AH15" s="43">
        <f t="shared" si="2"/>
        <v>5.0000000000000001E-3</v>
      </c>
      <c r="AI15" s="43">
        <f t="shared" si="12"/>
        <v>6.4000000000000001E-2</v>
      </c>
    </row>
    <row r="16" spans="1:39" x14ac:dyDescent="0.25">
      <c r="A16" s="32" t="s">
        <v>674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11.2787024</v>
      </c>
      <c r="M16" s="34">
        <f t="shared" si="17"/>
        <v>6.8800084640000003</v>
      </c>
      <c r="N16" s="34">
        <f t="shared" si="17"/>
        <v>66.116881339040006</v>
      </c>
      <c r="O16" s="34">
        <f t="shared" si="18"/>
        <v>0.5652210025082155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0.05</v>
      </c>
      <c r="Y16" s="37">
        <v>0.61</v>
      </c>
      <c r="Z16" s="56">
        <v>9.61</v>
      </c>
      <c r="AA16" s="36">
        <f t="shared" si="20"/>
        <v>1.9599999999999999E-2</v>
      </c>
      <c r="AB16" s="36">
        <f t="shared" si="20"/>
        <v>9.9897841296100146E-2</v>
      </c>
      <c r="AD16" s="42"/>
      <c r="AE16" s="37">
        <v>0</v>
      </c>
      <c r="AF16" s="37">
        <v>0.02</v>
      </c>
      <c r="AG16" s="37">
        <v>8.215411441217893E-2</v>
      </c>
      <c r="AH16" s="43">
        <f t="shared" si="2"/>
        <v>0</v>
      </c>
      <c r="AI16" s="43">
        <f t="shared" si="12"/>
        <v>0.02</v>
      </c>
    </row>
    <row r="17" spans="1:35" x14ac:dyDescent="0.25">
      <c r="A17" s="32" t="s">
        <v>596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5.6393512000000001</v>
      </c>
      <c r="M17" s="34">
        <f t="shared" si="17"/>
        <v>3.2426269399999996</v>
      </c>
      <c r="N17" s="34">
        <f t="shared" si="17"/>
        <v>38.740991182049278</v>
      </c>
      <c r="O17" s="34">
        <f t="shared" si="18"/>
        <v>0.30804955929999994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0.57499999999999996</v>
      </c>
      <c r="Z17" s="56">
        <v>11.947409276149813</v>
      </c>
      <c r="AA17" s="36">
        <f t="shared" si="20"/>
        <v>9.7999999999999997E-3</v>
      </c>
      <c r="AB17" s="36">
        <f t="shared" si="20"/>
        <v>0.11551819395819117</v>
      </c>
      <c r="AD17" s="42"/>
      <c r="AE17" s="37">
        <v>0</v>
      </c>
      <c r="AF17" s="37">
        <v>0.01</v>
      </c>
      <c r="AG17" s="37">
        <v>9.5000000000000001E-2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675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5.6393512000000001</v>
      </c>
      <c r="M18" s="34">
        <f t="shared" si="17"/>
        <v>3.327217208</v>
      </c>
      <c r="N18" s="34">
        <f t="shared" si="17"/>
        <v>32.506912122159996</v>
      </c>
      <c r="O18" s="34">
        <f t="shared" si="18"/>
        <v>0.19963303248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0.59</v>
      </c>
      <c r="Z18" s="56">
        <v>9.77</v>
      </c>
      <c r="AA18" s="36">
        <f t="shared" si="20"/>
        <v>9.7999999999999997E-3</v>
      </c>
      <c r="AB18" s="36">
        <f t="shared" si="20"/>
        <v>7.2958859342015459E-2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516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122.93785616000001</v>
      </c>
      <c r="M22" s="34">
        <f t="shared" ref="M22:N25" si="21">L22*Y22</f>
        <v>83.843617901120012</v>
      </c>
      <c r="N22" s="34">
        <f t="shared" si="21"/>
        <v>1012.8309042455297</v>
      </c>
      <c r="O22" s="34">
        <f>M22*AG22</f>
        <v>8.3843617901120009</v>
      </c>
      <c r="Q22" s="53"/>
      <c r="R22" s="54"/>
      <c r="S22" s="55"/>
      <c r="T22" s="54"/>
      <c r="U22" s="54"/>
      <c r="V22" s="59"/>
      <c r="W22" s="60"/>
      <c r="X22" s="54"/>
      <c r="Y22" s="37">
        <v>0.68200000000000005</v>
      </c>
      <c r="Z22" s="56">
        <v>12.08</v>
      </c>
      <c r="AA22" s="36">
        <f t="shared" ref="AA22:AB25" si="22">(AF22/SUM(AF$6:AF$25))*0.98</f>
        <v>0.21364</v>
      </c>
      <c r="AB22" s="36">
        <f t="shared" si="22"/>
        <v>0.12159809890335914</v>
      </c>
      <c r="AD22" s="42"/>
      <c r="AE22" s="42"/>
      <c r="AF22" s="37">
        <v>0.218</v>
      </c>
      <c r="AG22" s="37">
        <v>0.1</v>
      </c>
      <c r="AH22" s="43"/>
      <c r="AI22" s="43">
        <f t="shared" si="12"/>
        <v>0.218</v>
      </c>
    </row>
    <row r="23" spans="1:35" x14ac:dyDescent="0.25">
      <c r="A23" s="32" t="s">
        <v>103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34.963977440000008</v>
      </c>
      <c r="M23" s="34">
        <f t="shared" si="21"/>
        <v>23.425864884800006</v>
      </c>
      <c r="N23" s="34">
        <f t="shared" si="21"/>
        <v>251.82804751160006</v>
      </c>
      <c r="O23" s="34">
        <f>M23*AG23</f>
        <v>1.7803657312448005</v>
      </c>
      <c r="Q23" s="53"/>
      <c r="R23" s="54"/>
      <c r="S23" s="55"/>
      <c r="T23" s="54"/>
      <c r="U23" s="54"/>
      <c r="V23" s="59"/>
      <c r="W23" s="60"/>
      <c r="X23" s="54"/>
      <c r="Y23" s="37">
        <v>0.67</v>
      </c>
      <c r="Z23" s="56">
        <v>10.75</v>
      </c>
      <c r="AA23" s="36">
        <f t="shared" si="22"/>
        <v>6.0760000000000002E-2</v>
      </c>
      <c r="AB23" s="36">
        <f t="shared" si="22"/>
        <v>9.241455516655292E-2</v>
      </c>
      <c r="AD23" s="42"/>
      <c r="AE23" s="42"/>
      <c r="AF23" s="37">
        <v>6.2E-2</v>
      </c>
      <c r="AG23" s="37">
        <v>7.5999999999999998E-2</v>
      </c>
      <c r="AH23" s="43"/>
      <c r="AI23" s="43">
        <f t="shared" si="12"/>
        <v>6.2E-2</v>
      </c>
    </row>
    <row r="24" spans="1:35" x14ac:dyDescent="0.25">
      <c r="A24" s="32" t="s">
        <v>719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8.4590268000000002</v>
      </c>
      <c r="M24" s="34">
        <f t="shared" si="21"/>
        <v>5.2445966159999999</v>
      </c>
      <c r="N24" s="34">
        <f t="shared" si="21"/>
        <v>51.002181838508641</v>
      </c>
      <c r="O24" s="34">
        <f>M24*AG24</f>
        <v>0.28220248402416165</v>
      </c>
      <c r="Q24" s="53"/>
      <c r="R24" s="54"/>
      <c r="S24" s="55"/>
      <c r="T24" s="54"/>
      <c r="U24" s="54"/>
      <c r="V24" s="59"/>
      <c r="W24" s="60"/>
      <c r="X24" s="54"/>
      <c r="Y24" s="37">
        <v>0.62</v>
      </c>
      <c r="Z24" s="56">
        <v>9.7247101298340617</v>
      </c>
      <c r="AA24" s="36">
        <f t="shared" si="22"/>
        <v>1.47E-2</v>
      </c>
      <c r="AB24" s="36">
        <f t="shared" si="22"/>
        <v>6.5429790078527617E-2</v>
      </c>
      <c r="AD24" s="42"/>
      <c r="AE24" s="42"/>
      <c r="AF24" s="37">
        <v>1.4999999999999999E-2</v>
      </c>
      <c r="AG24" s="37">
        <v>5.3808234395612026E-2</v>
      </c>
      <c r="AH24" s="43"/>
      <c r="AI24" s="43">
        <f t="shared" si="12"/>
        <v>1.4999999999999999E-2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1052</v>
      </c>
      <c r="E29" s="75">
        <v>0.54700000000000004</v>
      </c>
      <c r="F29" s="76">
        <f>1-E29</f>
        <v>0.45299999999999996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575.44400000000007</v>
      </c>
      <c r="E32" s="80">
        <f>SUM(E2:E4)</f>
        <v>351.05078015170511</v>
      </c>
      <c r="F32" s="80">
        <f>SUM(F2:F4)</f>
        <v>4182.6443071542326</v>
      </c>
      <c r="G32" s="80">
        <f>SUM(G2:G4)</f>
        <v>28.214811251428742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476.55599999999998</v>
      </c>
      <c r="E35" s="80">
        <f>D35*G29</f>
        <v>2120.6741999999999</v>
      </c>
      <c r="F35" s="80">
        <v>17.5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33" t="s">
        <v>216</v>
      </c>
      <c r="B37" s="89"/>
      <c r="C37" s="89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A38" s="131"/>
      <c r="B38" s="47"/>
      <c r="C38" s="47"/>
      <c r="D38" s="91">
        <f>SUM(I2:I20)</f>
        <v>467.02487999999994</v>
      </c>
      <c r="E38" s="91">
        <f>SUM(J2:J4,J6:J11,J13:J20)</f>
        <v>2111.3223570127602</v>
      </c>
      <c r="F38" s="91">
        <f>SUM(K2:K4,K6:K11,K13:K20)</f>
        <v>17.496131335854315</v>
      </c>
      <c r="G38" s="91">
        <f>SUM(L6:L11,L13:L20,L22:L25)</f>
        <v>563.93511999999998</v>
      </c>
      <c r="H38" s="91">
        <f>SUM(M6:M11,M13:M20,M22:M25)</f>
        <v>350.89695496301607</v>
      </c>
      <c r="I38" s="91">
        <f>SUM(N6:N11,N13:N20,N22:N25)</f>
        <v>4179.5539279954337</v>
      </c>
      <c r="J38" s="91">
        <f>SUM(O6:O11,O13:O20,O22:O25)</f>
        <v>28.187010758794258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A39" s="131"/>
      <c r="B39" s="47"/>
      <c r="C39" s="47"/>
      <c r="D39" s="92">
        <f>D35-D38</f>
        <v>9.531120000000044</v>
      </c>
      <c r="E39" s="92">
        <f>E35-E38</f>
        <v>9.3518429872397064</v>
      </c>
      <c r="F39" s="92">
        <f>F35-F38</f>
        <v>3.8686641456848747E-3</v>
      </c>
      <c r="G39" s="92">
        <f>SUM(D2:D4)-G38</f>
        <v>11.50888000000009</v>
      </c>
      <c r="H39" s="92">
        <f>E32-H38</f>
        <v>0.15382518868904071</v>
      </c>
      <c r="I39" s="92">
        <f>F32-I38</f>
        <v>3.0903791587988962</v>
      </c>
      <c r="J39" s="92">
        <f>G32-J38</f>
        <v>2.7800492634483476E-2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A40" s="131"/>
      <c r="B40" s="47"/>
      <c r="C40" s="47"/>
      <c r="D40" s="33"/>
      <c r="E40" s="33"/>
      <c r="F40" s="33"/>
      <c r="G40" s="46"/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131"/>
      <c r="B41" s="47"/>
      <c r="C41" s="47"/>
      <c r="D41" s="33"/>
      <c r="E41" s="33"/>
      <c r="F41" s="33"/>
      <c r="G41" s="46"/>
      <c r="I41" s="46"/>
      <c r="J41" s="48"/>
      <c r="K41" s="46"/>
      <c r="L41" s="46"/>
      <c r="M41" s="48"/>
      <c r="N41" s="46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7"/>
      <c r="C42" s="47"/>
      <c r="D42" s="33"/>
      <c r="E42" s="33"/>
      <c r="F42" s="33"/>
      <c r="G42" s="46"/>
      <c r="I42" s="46"/>
      <c r="J42" s="48"/>
      <c r="K42" s="46"/>
      <c r="L42" s="46"/>
      <c r="M42" s="48"/>
      <c r="N42" s="46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7"/>
      <c r="C43" s="47"/>
      <c r="D43" s="33"/>
      <c r="E43" s="33"/>
      <c r="F43" s="33"/>
      <c r="G43" s="46"/>
      <c r="I43" s="46"/>
      <c r="J43" s="48"/>
      <c r="K43" s="46"/>
      <c r="L43" s="46"/>
      <c r="M43" s="48"/>
      <c r="N43" s="46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7"/>
      <c r="C44" s="47"/>
      <c r="D44" s="33"/>
      <c r="E44" s="33"/>
      <c r="F44" s="33"/>
      <c r="G44" s="46"/>
      <c r="I44" s="46"/>
      <c r="J44" s="48"/>
      <c r="K44" s="46"/>
      <c r="L44" s="46"/>
      <c r="M44" s="48"/>
      <c r="N44" s="46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53" priority="1" operator="lessThan">
      <formula>0</formula>
    </cfRule>
  </conditionalFormatting>
  <conditionalFormatting sqref="W28 AA28:AF28">
    <cfRule type="cellIs" dxfId="5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66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58</v>
      </c>
    </row>
    <row r="2" spans="1:39" x14ac:dyDescent="0.25">
      <c r="A2" s="32" t="s">
        <v>104</v>
      </c>
      <c r="B2" s="33" t="s">
        <v>7</v>
      </c>
      <c r="C2" s="33">
        <f>VLOOKUP($AM$1,DST!C:D,2,FALSE)</f>
        <v>6</v>
      </c>
      <c r="D2" s="34">
        <f>D$32*Q2</f>
        <v>613.34375</v>
      </c>
      <c r="E2" s="34">
        <f>D2*R2</f>
        <v>419.80440510814873</v>
      </c>
      <c r="F2" s="34">
        <f>E2*S2</f>
        <v>4542.2836632701692</v>
      </c>
      <c r="G2" s="34">
        <f>E2*T2</f>
        <v>36.103178839300789</v>
      </c>
      <c r="H2" s="34">
        <f>D2*U2</f>
        <v>11.04144846541895</v>
      </c>
      <c r="I2" s="34">
        <f>D$35*W2</f>
        <v>37.203494999999997</v>
      </c>
      <c r="J2" s="34">
        <f>I2*V2</f>
        <v>131.04229460580694</v>
      </c>
      <c r="K2" s="34">
        <f>I2*X2</f>
        <v>1.078901355</v>
      </c>
      <c r="L2" s="35"/>
      <c r="M2" s="35"/>
      <c r="N2" s="35"/>
      <c r="O2" s="35"/>
      <c r="Q2" s="36">
        <f>(AD2/SUM(AD$2:AD$25))</f>
        <v>0.95</v>
      </c>
      <c r="R2" s="37">
        <v>0.6844520794548713</v>
      </c>
      <c r="S2" s="38">
        <v>10.82</v>
      </c>
      <c r="T2" s="37">
        <v>8.5999999999999993E-2</v>
      </c>
      <c r="U2" s="37">
        <v>1.8002055886962166E-2</v>
      </c>
      <c r="V2" s="38">
        <v>3.5223114012757932</v>
      </c>
      <c r="W2" s="36">
        <f>(AE2/SUM(AE$2:AE$20))*0.98</f>
        <v>9.604E-2</v>
      </c>
      <c r="X2" s="37">
        <v>2.9000000000000001E-2</v>
      </c>
      <c r="Y2" s="39"/>
      <c r="Z2" s="40"/>
      <c r="AA2" s="41"/>
      <c r="AB2" s="41"/>
      <c r="AD2" s="37">
        <v>0.95</v>
      </c>
      <c r="AE2" s="37">
        <v>9.8000000000000004E-2</v>
      </c>
      <c r="AF2" s="42"/>
      <c r="AG2" s="42"/>
      <c r="AH2" s="43">
        <f>AE2/(SUM(AE$2:AE$25))</f>
        <v>9.8000000000000004E-2</v>
      </c>
    </row>
    <row r="3" spans="1:39" x14ac:dyDescent="0.25">
      <c r="A3" s="32" t="s">
        <v>420</v>
      </c>
      <c r="B3" s="33" t="s">
        <v>7</v>
      </c>
      <c r="C3" s="33">
        <f>VLOOKUP($AM$1,DST!C:D,2,FALSE)</f>
        <v>6</v>
      </c>
      <c r="D3" s="34">
        <f>D$32*Q3</f>
        <v>32.281250000000028</v>
      </c>
      <c r="E3" s="34">
        <f t="shared" ref="E3:F4" si="0">D3*R3</f>
        <v>20.024899480003217</v>
      </c>
      <c r="F3" s="34">
        <f t="shared" si="0"/>
        <v>205.50888872940564</v>
      </c>
      <c r="G3" s="34">
        <f t="shared" ref="G3:G4" si="1">E3*T3</f>
        <v>1.481842561520238</v>
      </c>
      <c r="H3" s="34">
        <f>D3*U3</f>
        <v>0.71555202875062751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5.0000000000000044E-2</v>
      </c>
      <c r="R3" s="37">
        <v>0.62032602454995389</v>
      </c>
      <c r="S3" s="38">
        <v>10.262667682033859</v>
      </c>
      <c r="T3" s="37">
        <v>7.3999999999999996E-2</v>
      </c>
      <c r="U3" s="37">
        <v>2.2166180948712547E-2</v>
      </c>
      <c r="V3" s="38">
        <v>2.9230769230769229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5.0000000000000044E-2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371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230.81351999999998</v>
      </c>
      <c r="J6" s="34">
        <f t="shared" ref="J6:J11" si="4">I6*V6</f>
        <v>1010.9632175999999</v>
      </c>
      <c r="K6" s="34">
        <f t="shared" ref="K6:K11" si="5">I6*X6</f>
        <v>6.6935920800000002</v>
      </c>
      <c r="L6" s="34">
        <f t="shared" ref="L6:L11" si="6">((D$2+D$3+D$4)*AA6)</f>
        <v>85.416187500000007</v>
      </c>
      <c r="M6" s="34">
        <f t="shared" ref="M6:N11" si="7">L6*Y6</f>
        <v>71.363433367549675</v>
      </c>
      <c r="N6" s="34">
        <f t="shared" si="7"/>
        <v>490.7282533733445</v>
      </c>
      <c r="O6" s="34">
        <f t="shared" ref="O6:O11" si="8">M6*AG6</f>
        <v>3.7786763741721856</v>
      </c>
      <c r="Q6" s="53"/>
      <c r="R6" s="54"/>
      <c r="S6" s="55"/>
      <c r="T6" s="54"/>
      <c r="U6" s="54"/>
      <c r="V6" s="38">
        <v>4.38</v>
      </c>
      <c r="W6" s="36">
        <f t="shared" ref="W6:W11" si="9">(AE6/SUM(AE$2:AE$20))*0.98</f>
        <v>0.59583999999999993</v>
      </c>
      <c r="X6" s="37">
        <v>2.9000000000000001E-2</v>
      </c>
      <c r="Y6" s="37">
        <v>0.83547902869757174</v>
      </c>
      <c r="Z6" s="56">
        <v>6.8764664228793686</v>
      </c>
      <c r="AA6" s="36">
        <f t="shared" ref="AA6:AB11" si="10">(AF6/SUM(AF$6:AF$25))*0.98</f>
        <v>0.1323</v>
      </c>
      <c r="AB6" s="36">
        <f t="shared" si="10"/>
        <v>5.8476629007137779E-2</v>
      </c>
      <c r="AD6" s="42"/>
      <c r="AE6" s="37">
        <v>0.60799999999999998</v>
      </c>
      <c r="AF6" s="37">
        <v>0.13500000000000001</v>
      </c>
      <c r="AG6" s="37">
        <v>5.2949755860407108E-2</v>
      </c>
      <c r="AH6" s="43">
        <f t="shared" si="2"/>
        <v>0.60799999999999998</v>
      </c>
      <c r="AI6" s="43">
        <f>AF6/(SUM(AF$6:AF$25))</f>
        <v>0.13500000000000001</v>
      </c>
    </row>
    <row r="7" spans="1:39" x14ac:dyDescent="0.25">
      <c r="A7" s="32" t="s">
        <v>131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86.934697499999999</v>
      </c>
      <c r="J7" s="34">
        <f t="shared" si="4"/>
        <v>376.42724017500001</v>
      </c>
      <c r="K7" s="34">
        <f t="shared" si="5"/>
        <v>2.640391754401255</v>
      </c>
      <c r="L7" s="34">
        <f t="shared" si="6"/>
        <v>26.573925000000003</v>
      </c>
      <c r="M7" s="34">
        <f t="shared" si="7"/>
        <v>22.322097000000003</v>
      </c>
      <c r="N7" s="34">
        <f t="shared" si="7"/>
        <v>149.47821969471161</v>
      </c>
      <c r="O7" s="34">
        <f t="shared" si="8"/>
        <v>1.0029674114089127</v>
      </c>
      <c r="Q7" s="53"/>
      <c r="R7" s="54"/>
      <c r="S7" s="55"/>
      <c r="T7" s="54"/>
      <c r="U7" s="54"/>
      <c r="V7" s="38">
        <v>4.33</v>
      </c>
      <c r="W7" s="36">
        <f t="shared" si="9"/>
        <v>0.22442000000000001</v>
      </c>
      <c r="X7" s="37">
        <v>3.0372127934318226E-2</v>
      </c>
      <c r="Y7" s="37">
        <v>0.84</v>
      </c>
      <c r="Z7" s="56">
        <v>6.6964237138971123</v>
      </c>
      <c r="AA7" s="36">
        <f t="shared" si="10"/>
        <v>4.1160000000000002E-2</v>
      </c>
      <c r="AB7" s="36">
        <f t="shared" si="10"/>
        <v>4.9621535381847853E-2</v>
      </c>
      <c r="AD7" s="42"/>
      <c r="AE7" s="37">
        <v>0.22900000000000001</v>
      </c>
      <c r="AF7" s="37">
        <v>4.2000000000000003E-2</v>
      </c>
      <c r="AG7" s="37">
        <v>4.4931594527562201E-2</v>
      </c>
      <c r="AH7" s="43">
        <f t="shared" si="2"/>
        <v>0.22900000000000001</v>
      </c>
      <c r="AI7" s="43">
        <f t="shared" ref="AI7:AI25" si="11">AF7/(SUM(AF$6:AF$25))</f>
        <v>4.2000000000000003E-2</v>
      </c>
    </row>
    <row r="8" spans="1:39" x14ac:dyDescent="0.25">
      <c r="A8" s="32" t="s">
        <v>517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19.361002499999998</v>
      </c>
      <c r="J8" s="34">
        <f t="shared" si="4"/>
        <v>78.799280174999993</v>
      </c>
      <c r="K8" s="34">
        <f t="shared" si="5"/>
        <v>0.50338606499999994</v>
      </c>
      <c r="L8" s="34">
        <f t="shared" si="6"/>
        <v>3.1635624999999998</v>
      </c>
      <c r="M8" s="34">
        <f t="shared" si="7"/>
        <v>2.372671875</v>
      </c>
      <c r="N8" s="34">
        <f t="shared" si="7"/>
        <v>13.116142206253409</v>
      </c>
      <c r="O8" s="34">
        <f t="shared" si="8"/>
        <v>0.14066030755591924</v>
      </c>
      <c r="Q8" s="53"/>
      <c r="R8" s="54"/>
      <c r="S8" s="55"/>
      <c r="T8" s="54"/>
      <c r="U8" s="54"/>
      <c r="V8" s="38">
        <v>4.07</v>
      </c>
      <c r="W8" s="36">
        <f t="shared" si="9"/>
        <v>4.9979999999999997E-2</v>
      </c>
      <c r="X8" s="37">
        <v>2.5999999999999999E-2</v>
      </c>
      <c r="Y8" s="37">
        <v>0.75</v>
      </c>
      <c r="Z8" s="56">
        <v>5.5280050918348786</v>
      </c>
      <c r="AA8" s="36">
        <f t="shared" si="10"/>
        <v>4.8999999999999998E-3</v>
      </c>
      <c r="AB8" s="36">
        <f t="shared" si="10"/>
        <v>6.5471493412068024E-2</v>
      </c>
      <c r="AD8" s="42"/>
      <c r="AE8" s="37">
        <v>5.0999999999999997E-2</v>
      </c>
      <c r="AF8" s="37">
        <v>5.0000000000000001E-3</v>
      </c>
      <c r="AG8" s="37">
        <v>5.928350609201672E-2</v>
      </c>
      <c r="AH8" s="43">
        <f t="shared" si="2"/>
        <v>5.0999999999999997E-2</v>
      </c>
      <c r="AI8" s="43">
        <f t="shared" si="11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138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2">D$35*W13</f>
        <v>3.0370200000000001</v>
      </c>
      <c r="J13" s="34">
        <f t="shared" ref="J13:J20" si="13">I13*V13</f>
        <v>14.884963338313767</v>
      </c>
      <c r="K13" s="34">
        <f t="shared" ref="K13:K20" si="14">I13*X13</f>
        <v>4.8294128068303098E-2</v>
      </c>
      <c r="L13" s="34">
        <f t="shared" ref="L13:L20" si="15">((D$2+D$3+D$4)*AA13)</f>
        <v>189.1810375</v>
      </c>
      <c r="M13" s="34">
        <f t="shared" ref="M13:N20" si="16">L13*Y13</f>
        <v>130.50871869868942</v>
      </c>
      <c r="N13" s="34">
        <f t="shared" si="16"/>
        <v>1621.4955597299952</v>
      </c>
      <c r="O13" s="34">
        <f t="shared" ref="O13:O20" si="17">M13*AG13</f>
        <v>11.615275964183358</v>
      </c>
      <c r="Q13" s="53"/>
      <c r="R13" s="54"/>
      <c r="S13" s="55"/>
      <c r="T13" s="54"/>
      <c r="U13" s="54"/>
      <c r="V13" s="38">
        <v>4.9011739594450372</v>
      </c>
      <c r="W13" s="36">
        <f t="shared" ref="W13:W20" si="18">(AE13/SUM(AE$2:AE$20))*0.98</f>
        <v>7.8399999999999997E-3</v>
      </c>
      <c r="X13" s="37">
        <v>1.5901814300960514E-2</v>
      </c>
      <c r="Y13" s="37">
        <v>0.6898615232443126</v>
      </c>
      <c r="Z13" s="56">
        <v>12.424423256147394</v>
      </c>
      <c r="AA13" s="36">
        <f t="shared" ref="AA13:AA20" si="19">(AF13/SUM(AF$6:AF$25))*0.98</f>
        <v>0.29302</v>
      </c>
      <c r="AB13" s="36">
        <f t="shared" ref="AB13:AB20" si="20">(AG13/SUM(AG$6:AG$25))*0.98</f>
        <v>9.8289782399673703E-2</v>
      </c>
      <c r="AD13" s="42"/>
      <c r="AE13" s="37">
        <v>8.0000000000000002E-3</v>
      </c>
      <c r="AF13" s="37">
        <v>0.29899999999999999</v>
      </c>
      <c r="AG13" s="37">
        <v>8.8999999999999996E-2</v>
      </c>
      <c r="AH13" s="43">
        <f t="shared" si="2"/>
        <v>8.0000000000000002E-3</v>
      </c>
      <c r="AI13" s="43">
        <f t="shared" si="11"/>
        <v>0.29899999999999999</v>
      </c>
    </row>
    <row r="14" spans="1:39" x14ac:dyDescent="0.25">
      <c r="A14" s="32" t="s">
        <v>105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128.44063750000001</v>
      </c>
      <c r="M14" s="34">
        <f t="shared" si="16"/>
        <v>80.556362332031256</v>
      </c>
      <c r="N14" s="34">
        <f t="shared" si="16"/>
        <v>1081.7836240677084</v>
      </c>
      <c r="O14" s="34">
        <f t="shared" si="17"/>
        <v>10.311214378500001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0.62718750000000001</v>
      </c>
      <c r="Z14" s="56">
        <v>13.428903599307187</v>
      </c>
      <c r="AA14" s="36">
        <f t="shared" si="19"/>
        <v>0.19894000000000001</v>
      </c>
      <c r="AB14" s="36">
        <f t="shared" si="20"/>
        <v>0.14136058592312623</v>
      </c>
      <c r="AD14" s="42"/>
      <c r="AE14" s="37">
        <v>0</v>
      </c>
      <c r="AF14" s="37">
        <v>0.20300000000000001</v>
      </c>
      <c r="AG14" s="37">
        <v>0.128</v>
      </c>
      <c r="AH14" s="43">
        <f t="shared" si="2"/>
        <v>0</v>
      </c>
      <c r="AI14" s="43">
        <f t="shared" si="11"/>
        <v>0.20300000000000001</v>
      </c>
    </row>
    <row r="15" spans="1:39" x14ac:dyDescent="0.25">
      <c r="A15" s="32" t="s">
        <v>411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2"/>
        <v>2.277765</v>
      </c>
      <c r="J15" s="34">
        <f t="shared" si="13"/>
        <v>11.102636344640434</v>
      </c>
      <c r="K15" s="34">
        <f t="shared" si="14"/>
        <v>3.0905902306648577E-2</v>
      </c>
      <c r="L15" s="34">
        <f t="shared" si="15"/>
        <v>68.965662499999993</v>
      </c>
      <c r="M15" s="34">
        <f t="shared" si="16"/>
        <v>46.691190297135407</v>
      </c>
      <c r="N15" s="34">
        <f t="shared" si="16"/>
        <v>524.46087475833326</v>
      </c>
      <c r="O15" s="34">
        <f t="shared" si="17"/>
        <v>4.0154423655536444</v>
      </c>
      <c r="Q15" s="53"/>
      <c r="R15" s="54"/>
      <c r="S15" s="55"/>
      <c r="T15" s="54"/>
      <c r="U15" s="54"/>
      <c r="V15" s="38">
        <v>4.8743554952510175</v>
      </c>
      <c r="W15" s="36">
        <f t="shared" si="18"/>
        <v>5.8799999999999998E-3</v>
      </c>
      <c r="X15" s="37">
        <v>1.3568521031207599E-2</v>
      </c>
      <c r="Y15" s="37">
        <v>0.67702083333333329</v>
      </c>
      <c r="Z15" s="56">
        <v>11.232544542573162</v>
      </c>
      <c r="AA15" s="36">
        <f t="shared" si="19"/>
        <v>0.10682</v>
      </c>
      <c r="AB15" s="36">
        <f t="shared" si="20"/>
        <v>9.497664366710043E-2</v>
      </c>
      <c r="AD15" s="42"/>
      <c r="AE15" s="37">
        <v>6.0000000000000001E-3</v>
      </c>
      <c r="AF15" s="37">
        <v>0.109</v>
      </c>
      <c r="AG15" s="37">
        <v>8.5999999999999993E-2</v>
      </c>
      <c r="AH15" s="43">
        <f t="shared" si="2"/>
        <v>6.0000000000000001E-3</v>
      </c>
      <c r="AI15" s="43">
        <f t="shared" si="11"/>
        <v>0.109</v>
      </c>
    </row>
    <row r="16" spans="1:39" x14ac:dyDescent="0.25">
      <c r="A16" s="32" t="s">
        <v>372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9.4906874999999999</v>
      </c>
      <c r="M16" s="34">
        <f t="shared" si="16"/>
        <v>5.6944124999999994</v>
      </c>
      <c r="N16" s="34">
        <f t="shared" si="16"/>
        <v>58.842262499999997</v>
      </c>
      <c r="O16" s="34">
        <f t="shared" si="17"/>
        <v>0.39860887499999997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</v>
      </c>
      <c r="Z16" s="56">
        <v>10.333333333333334</v>
      </c>
      <c r="AA16" s="36">
        <f t="shared" si="19"/>
        <v>1.47E-2</v>
      </c>
      <c r="AB16" s="36">
        <f t="shared" si="20"/>
        <v>7.7306570426709659E-2</v>
      </c>
      <c r="AD16" s="42"/>
      <c r="AE16" s="37">
        <v>0</v>
      </c>
      <c r="AF16" s="37">
        <v>1.4999999999999999E-2</v>
      </c>
      <c r="AG16" s="37">
        <v>7.0000000000000007E-2</v>
      </c>
      <c r="AH16" s="43">
        <f t="shared" si="2"/>
        <v>0</v>
      </c>
      <c r="AI16" s="43">
        <f t="shared" si="11"/>
        <v>1.4999999999999999E-2</v>
      </c>
    </row>
    <row r="17" spans="1:35" x14ac:dyDescent="0.25">
      <c r="A17" s="32" t="s">
        <v>591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13.286962500000001</v>
      </c>
      <c r="M17" s="34">
        <f t="shared" si="16"/>
        <v>8.3707863750000016</v>
      </c>
      <c r="N17" s="34">
        <f t="shared" si="16"/>
        <v>95.435880176789198</v>
      </c>
      <c r="O17" s="34">
        <f t="shared" si="17"/>
        <v>0.73662920100000007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0.63</v>
      </c>
      <c r="Z17" s="56">
        <v>11.401065073386153</v>
      </c>
      <c r="AA17" s="36">
        <f t="shared" si="19"/>
        <v>2.0580000000000001E-2</v>
      </c>
      <c r="AB17" s="36">
        <f t="shared" si="20"/>
        <v>9.7185402822149269E-2</v>
      </c>
      <c r="AD17" s="42"/>
      <c r="AE17" s="37">
        <v>0</v>
      </c>
      <c r="AF17" s="37">
        <v>2.1000000000000001E-2</v>
      </c>
      <c r="AG17" s="37">
        <v>8.7999999999999995E-2</v>
      </c>
      <c r="AH17" s="43">
        <f t="shared" si="2"/>
        <v>0</v>
      </c>
      <c r="AI17" s="43">
        <f t="shared" si="11"/>
        <v>2.1000000000000001E-2</v>
      </c>
    </row>
    <row r="18" spans="1:35" x14ac:dyDescent="0.25">
      <c r="A18" s="32" t="s">
        <v>676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18.981375</v>
      </c>
      <c r="M18" s="34">
        <f t="shared" si="16"/>
        <v>12.18604275</v>
      </c>
      <c r="N18" s="34">
        <f t="shared" si="16"/>
        <v>112.3107530704891</v>
      </c>
      <c r="O18" s="34">
        <f t="shared" si="17"/>
        <v>0.79209277875000006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0.64200000000000002</v>
      </c>
      <c r="Z18" s="56">
        <v>9.2163432686537305</v>
      </c>
      <c r="AA18" s="36">
        <f t="shared" si="19"/>
        <v>2.9399999999999999E-2</v>
      </c>
      <c r="AB18" s="36">
        <f t="shared" si="20"/>
        <v>7.1784672539087532E-2</v>
      </c>
      <c r="AD18" s="42"/>
      <c r="AE18" s="37">
        <v>0</v>
      </c>
      <c r="AF18" s="37">
        <v>0.03</v>
      </c>
      <c r="AG18" s="37">
        <v>6.5000000000000002E-2</v>
      </c>
      <c r="AH18" s="43">
        <f t="shared" si="2"/>
        <v>0</v>
      </c>
      <c r="AI18" s="43">
        <f t="shared" si="11"/>
        <v>0.03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61.373112500000005</v>
      </c>
      <c r="M22" s="34">
        <f t="shared" ref="M22:N25" si="21">L22*Y22</f>
        <v>42.427763056172843</v>
      </c>
      <c r="N22" s="34">
        <f t="shared" si="21"/>
        <v>435.01981948109574</v>
      </c>
      <c r="O22" s="34">
        <f>M22*AG22</f>
        <v>3.8184986750555558</v>
      </c>
      <c r="Q22" s="53"/>
      <c r="R22" s="54"/>
      <c r="S22" s="55"/>
      <c r="T22" s="54"/>
      <c r="U22" s="54"/>
      <c r="V22" s="59"/>
      <c r="W22" s="60"/>
      <c r="X22" s="54"/>
      <c r="Y22" s="37">
        <v>0.69130864197530861</v>
      </c>
      <c r="Z22" s="56">
        <v>10.253187727694836</v>
      </c>
      <c r="AA22" s="36">
        <f t="shared" ref="AA22:AB25" si="22">(AF22/SUM(AF$6:AF$25))*0.98</f>
        <v>9.5060000000000006E-2</v>
      </c>
      <c r="AB22" s="36">
        <f t="shared" si="22"/>
        <v>9.9394161977198123E-2</v>
      </c>
      <c r="AD22" s="42"/>
      <c r="AE22" s="42"/>
      <c r="AF22" s="37">
        <v>9.7000000000000003E-2</v>
      </c>
      <c r="AG22" s="37">
        <v>0.09</v>
      </c>
      <c r="AH22" s="43"/>
      <c r="AI22" s="43">
        <f t="shared" si="11"/>
        <v>9.7000000000000003E-2</v>
      </c>
    </row>
    <row r="23" spans="1:35" x14ac:dyDescent="0.25">
      <c r="A23" s="32" t="s">
        <v>726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21.512225000000001</v>
      </c>
      <c r="M23" s="34">
        <f t="shared" si="21"/>
        <v>17.265258896052632</v>
      </c>
      <c r="N23" s="34">
        <f t="shared" si="21"/>
        <v>164.53791727938159</v>
      </c>
      <c r="O23" s="34">
        <f>M23*AG23</f>
        <v>0.93597049122807019</v>
      </c>
      <c r="Q23" s="53"/>
      <c r="R23" s="54"/>
      <c r="S23" s="55"/>
      <c r="T23" s="54"/>
      <c r="U23" s="54"/>
      <c r="V23" s="59"/>
      <c r="W23" s="60"/>
      <c r="X23" s="54"/>
      <c r="Y23" s="37">
        <v>0.80257894736842106</v>
      </c>
      <c r="Z23" s="56">
        <v>9.5299999999999994</v>
      </c>
      <c r="AA23" s="36">
        <f t="shared" si="22"/>
        <v>3.3320000000000002E-2</v>
      </c>
      <c r="AB23" s="36">
        <f t="shared" si="22"/>
        <v>5.9869747792436014E-2</v>
      </c>
      <c r="AD23" s="42"/>
      <c r="AE23" s="42"/>
      <c r="AF23" s="37">
        <v>3.4000000000000002E-2</v>
      </c>
      <c r="AG23" s="37">
        <v>5.4211205106345771E-2</v>
      </c>
      <c r="AH23" s="43"/>
      <c r="AI23" s="43">
        <f t="shared" si="11"/>
        <v>3.4000000000000002E-2</v>
      </c>
    </row>
    <row r="24" spans="1:35" x14ac:dyDescent="0.25">
      <c r="A24" s="32" t="s">
        <v>620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6.3271249999999997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10.179373194043121</v>
      </c>
      <c r="AA24" s="36">
        <f t="shared" si="22"/>
        <v>9.7999999999999997E-3</v>
      </c>
      <c r="AB24" s="36">
        <f t="shared" si="22"/>
        <v>6.6262774651465406E-2</v>
      </c>
      <c r="AD24" s="42"/>
      <c r="AE24" s="42"/>
      <c r="AF24" s="37">
        <v>0.01</v>
      </c>
      <c r="AG24" s="37">
        <v>0.06</v>
      </c>
      <c r="AH24" s="43"/>
      <c r="AI24" s="43">
        <f t="shared" si="11"/>
        <v>0.01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0.9800000000000002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1033</v>
      </c>
      <c r="E29" s="75">
        <v>0.625</v>
      </c>
      <c r="F29" s="76">
        <f>1-E29</f>
        <v>0.375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645.625</v>
      </c>
      <c r="E32" s="80">
        <f>SUM(E2:E4)</f>
        <v>439.82930458815196</v>
      </c>
      <c r="F32" s="80">
        <f>SUM(F2:F4)</f>
        <v>4747.7925519995752</v>
      </c>
      <c r="G32" s="80">
        <f>SUM(G2:G4)</f>
        <v>37.585021400821027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387.375</v>
      </c>
      <c r="E35" s="80">
        <f>D35*G29</f>
        <v>1626.9750000000001</v>
      </c>
      <c r="F35" s="80">
        <v>11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379.62749999999994</v>
      </c>
      <c r="E38" s="91">
        <f>SUM(J2:J4,J6:J11,J13:J20)</f>
        <v>1623.2196322387608</v>
      </c>
      <c r="F38" s="91">
        <f>SUM(K2:K4,K6:K11,K13:K20)</f>
        <v>10.995471284776206</v>
      </c>
      <c r="G38" s="91">
        <f>SUM(L6:L11,L13:L20,L22:L25)</f>
        <v>632.71250000000009</v>
      </c>
      <c r="H38" s="91">
        <f>SUM(M6:M11,M13:M20,M22:M25)</f>
        <v>439.75873714763122</v>
      </c>
      <c r="I38" s="91">
        <f>SUM(N6:N11,N13:N20,N22:N25)</f>
        <v>4747.2093063381017</v>
      </c>
      <c r="J38" s="91">
        <f>SUM(O6:O11,O13:O20,O22:O25)</f>
        <v>37.54603682240765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7.7475000000000591</v>
      </c>
      <c r="E39" s="92">
        <f>E35-E38</f>
        <v>3.755367761239313</v>
      </c>
      <c r="F39" s="92">
        <f>F35-F38</f>
        <v>4.5287152237936112E-3</v>
      </c>
      <c r="G39" s="92">
        <f>SUM(D2:D4)-G38</f>
        <v>12.912499999999909</v>
      </c>
      <c r="H39" s="92">
        <f>E32-H38</f>
        <v>7.0567440520733271E-2</v>
      </c>
      <c r="I39" s="92">
        <f>F32-I38</f>
        <v>0.58324566147348378</v>
      </c>
      <c r="J39" s="92">
        <f>G32-J38</f>
        <v>3.898457841337688E-2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51" priority="1" operator="lessThan">
      <formula>0</formula>
    </cfRule>
  </conditionalFormatting>
  <conditionalFormatting sqref="W28 AA28:AF28">
    <cfRule type="cellIs" dxfId="5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65D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59</v>
      </c>
    </row>
    <row r="2" spans="1:39" x14ac:dyDescent="0.25">
      <c r="A2" s="32" t="s">
        <v>518</v>
      </c>
      <c r="B2" s="33" t="s">
        <v>7</v>
      </c>
      <c r="C2" s="33">
        <f>VLOOKUP($AM$1,DST!C:D,2,FALSE)</f>
        <v>11</v>
      </c>
      <c r="D2" s="34">
        <f>D$32*Q2</f>
        <v>252.45</v>
      </c>
      <c r="E2" s="34">
        <f>D2*R2</f>
        <v>149.45039999999997</v>
      </c>
      <c r="F2" s="34">
        <f>E2*S2</f>
        <v>1652.9214239999999</v>
      </c>
      <c r="G2" s="34">
        <f>E2*T2</f>
        <v>8.9670239999999986</v>
      </c>
      <c r="H2" s="34">
        <f>D2*U2</f>
        <v>8.9204641658318629</v>
      </c>
      <c r="I2" s="34">
        <f>D$35*W2</f>
        <v>31.297476000000003</v>
      </c>
      <c r="J2" s="34">
        <f>I2*V2</f>
        <v>216.26555916000004</v>
      </c>
      <c r="K2" s="34">
        <f>I2*X2</f>
        <v>1.4664492175644104</v>
      </c>
      <c r="L2" s="35"/>
      <c r="M2" s="35"/>
      <c r="N2" s="35"/>
      <c r="O2" s="35"/>
      <c r="Q2" s="36">
        <f>(AD2/SUM(AD$2:AD$25))</f>
        <v>0.5</v>
      </c>
      <c r="R2" s="37">
        <v>0.59199999999999997</v>
      </c>
      <c r="S2" s="38">
        <v>11.06</v>
      </c>
      <c r="T2" s="37">
        <v>0.06</v>
      </c>
      <c r="U2" s="37">
        <v>3.5335568095986786E-2</v>
      </c>
      <c r="V2" s="38">
        <v>6.91</v>
      </c>
      <c r="W2" s="36">
        <f>(AE2/SUM(AE$2:AE$20))*0.98</f>
        <v>6.0760000000000002E-2</v>
      </c>
      <c r="X2" s="37">
        <v>4.6855191056442064E-2</v>
      </c>
      <c r="Y2" s="39"/>
      <c r="Z2" s="40"/>
      <c r="AA2" s="41"/>
      <c r="AB2" s="41"/>
      <c r="AD2" s="37">
        <v>0.5</v>
      </c>
      <c r="AE2" s="37">
        <v>6.2E-2</v>
      </c>
      <c r="AF2" s="42"/>
      <c r="AG2" s="42"/>
      <c r="AH2" s="43">
        <f>AE2/(SUM(AE$2:AE$25))</f>
        <v>6.2E-2</v>
      </c>
    </row>
    <row r="3" spans="1:39" x14ac:dyDescent="0.25">
      <c r="A3" s="32" t="s">
        <v>621</v>
      </c>
      <c r="B3" s="33" t="s">
        <v>7</v>
      </c>
      <c r="C3" s="33">
        <f>VLOOKUP($AM$1,DST!C:D,2,FALSE)</f>
        <v>11</v>
      </c>
      <c r="D3" s="34">
        <f>D$32*Q3</f>
        <v>242.35199999999998</v>
      </c>
      <c r="E3" s="34">
        <f t="shared" ref="E3:F4" si="0">D3*R3</f>
        <v>147.35001599999998</v>
      </c>
      <c r="F3" s="34">
        <f t="shared" si="0"/>
        <v>1611.9485293795922</v>
      </c>
      <c r="G3" s="34">
        <f t="shared" ref="G3:G4" si="1">E3*T3</f>
        <v>9.1357009919999985</v>
      </c>
      <c r="H3" s="34">
        <f>D3*U3</f>
        <v>6.0999914062062128</v>
      </c>
      <c r="I3" s="34">
        <f>D$35*W3</f>
        <v>32.811870000000006</v>
      </c>
      <c r="J3" s="34">
        <f>I3*V3</f>
        <v>145.09293616257241</v>
      </c>
      <c r="K3" s="34">
        <f>I3*X3</f>
        <v>0.95389752307357867</v>
      </c>
      <c r="L3" s="35"/>
      <c r="M3" s="35"/>
      <c r="N3" s="35"/>
      <c r="O3" s="35"/>
      <c r="Q3" s="36">
        <f>(AD3/SUM(AD$2:AD$25))</f>
        <v>0.48</v>
      </c>
      <c r="R3" s="37">
        <v>0.60799999999999998</v>
      </c>
      <c r="S3" s="38">
        <v>10.93958842447355</v>
      </c>
      <c r="T3" s="37">
        <v>6.2E-2</v>
      </c>
      <c r="U3" s="37">
        <v>2.51699652002303E-2</v>
      </c>
      <c r="V3" s="38">
        <v>4.4219648609656321</v>
      </c>
      <c r="W3" s="36">
        <f>(AE3/SUM(AE$2:AE$20))*0.98</f>
        <v>6.3700000000000007E-2</v>
      </c>
      <c r="X3" s="37">
        <v>2.9071720784995751E-2</v>
      </c>
      <c r="Y3" s="39"/>
      <c r="Z3" s="40"/>
      <c r="AA3" s="41"/>
      <c r="AB3" s="41"/>
      <c r="AD3" s="37">
        <v>0.48</v>
      </c>
      <c r="AE3" s="37">
        <v>6.5000000000000002E-2</v>
      </c>
      <c r="AF3" s="42"/>
      <c r="AG3" s="42"/>
      <c r="AH3" s="43">
        <f t="shared" ref="AH3:AH20" si="2">AE3/(SUM(AE$2:AE$25))</f>
        <v>6.5000000000000002E-2</v>
      </c>
    </row>
    <row r="4" spans="1:39" x14ac:dyDescent="0.25">
      <c r="A4" s="32" t="s">
        <v>650</v>
      </c>
      <c r="B4" s="33" t="s">
        <v>7</v>
      </c>
      <c r="C4" s="33">
        <f>VLOOKUP($AM$1,DST!C:D,2,FALSE)</f>
        <v>11</v>
      </c>
      <c r="D4" s="34">
        <f>D$32*Q4</f>
        <v>10.097999999999999</v>
      </c>
      <c r="E4" s="34">
        <f t="shared" si="0"/>
        <v>5.7154679999999987</v>
      </c>
      <c r="F4" s="34">
        <f t="shared" si="0"/>
        <v>63.041612039999983</v>
      </c>
      <c r="G4" s="34">
        <f t="shared" si="1"/>
        <v>0.3029198039999999</v>
      </c>
      <c r="H4" s="34">
        <f>D4*U4</f>
        <v>0.32313599999999998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0.02</v>
      </c>
      <c r="R4" s="37">
        <v>0.56599999999999995</v>
      </c>
      <c r="S4" s="38">
        <v>11.03</v>
      </c>
      <c r="T4" s="37">
        <v>5.2999999999999999E-2</v>
      </c>
      <c r="U4" s="37">
        <v>3.2000000000000001E-2</v>
      </c>
      <c r="V4" s="38">
        <v>5.86</v>
      </c>
      <c r="W4" s="36">
        <f>(AE4/SUM(AE$2:AE$20))*0.98</f>
        <v>0</v>
      </c>
      <c r="X4" s="37">
        <v>4.3999999999999997E-2</v>
      </c>
      <c r="Y4" s="39"/>
      <c r="Z4" s="40"/>
      <c r="AA4" s="41"/>
      <c r="AB4" s="41"/>
      <c r="AD4" s="37">
        <v>0.02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584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277.13410200000004</v>
      </c>
      <c r="J6" s="34">
        <f t="shared" ref="J6:J11" si="4">I6*V6</f>
        <v>1136.2498182000002</v>
      </c>
      <c r="K6" s="34">
        <f t="shared" ref="K6:K11" si="5">I6*X6</f>
        <v>7.8968420827102275</v>
      </c>
      <c r="L6" s="34">
        <f t="shared" ref="L6:L11" si="6">((D$2+D$3+D$4)*AA6)</f>
        <v>29.193317999999998</v>
      </c>
      <c r="M6" s="34">
        <f t="shared" ref="M6:N11" si="7">L6*Y6</f>
        <v>20.075148499443038</v>
      </c>
      <c r="N6" s="34">
        <f t="shared" si="7"/>
        <v>139.75715894354431</v>
      </c>
      <c r="O6" s="34">
        <f t="shared" ref="O6:O11" si="8">M6*AG6</f>
        <v>0.66247990048162031</v>
      </c>
      <c r="Q6" s="53"/>
      <c r="R6" s="54"/>
      <c r="S6" s="55"/>
      <c r="T6" s="54"/>
      <c r="U6" s="54"/>
      <c r="V6" s="38">
        <v>4.0999999999999996</v>
      </c>
      <c r="W6" s="36">
        <f t="shared" ref="W6:W11" si="9">(AE6/SUM(AE$2:AE$20))*0.98</f>
        <v>0.53802000000000005</v>
      </c>
      <c r="X6" s="37">
        <v>2.8494660259134136E-2</v>
      </c>
      <c r="Y6" s="37">
        <v>0.68766244725738401</v>
      </c>
      <c r="Z6" s="56">
        <v>6.961699882191243</v>
      </c>
      <c r="AA6" s="36">
        <f t="shared" ref="AA6:AA11" si="10">(AF6/SUM(AF$6:AF$25))*0.98</f>
        <v>5.7819999999999996E-2</v>
      </c>
      <c r="AB6" s="36">
        <f t="shared" ref="AB6:AB11" si="11">(AG6/SUM(AG$6:AG$25))*0.98</f>
        <v>4.7603516405197013E-2</v>
      </c>
      <c r="AD6" s="42"/>
      <c r="AE6" s="37">
        <v>0.54900000000000004</v>
      </c>
      <c r="AF6" s="37">
        <v>5.8999999999999997E-2</v>
      </c>
      <c r="AG6" s="37">
        <v>3.3000000000000002E-2</v>
      </c>
      <c r="AH6" s="43">
        <f t="shared" si="2"/>
        <v>0.54900000000000004</v>
      </c>
      <c r="AI6" s="43">
        <f>AF6/(SUM(AF$6:AF$25))</f>
        <v>5.8999999999999997E-2</v>
      </c>
    </row>
    <row r="7" spans="1:39" x14ac:dyDescent="0.25">
      <c r="A7" s="32" t="s">
        <v>519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99.950004000000007</v>
      </c>
      <c r="J7" s="34">
        <f t="shared" si="4"/>
        <v>376.81151508000005</v>
      </c>
      <c r="K7" s="34">
        <f t="shared" si="5"/>
        <v>1.5263641160310031</v>
      </c>
      <c r="L7" s="34">
        <f t="shared" si="6"/>
        <v>38.099753999999997</v>
      </c>
      <c r="M7" s="34">
        <f t="shared" si="7"/>
        <v>28.612915253999997</v>
      </c>
      <c r="N7" s="34">
        <f t="shared" si="7"/>
        <v>220.70434522354418</v>
      </c>
      <c r="O7" s="34">
        <f t="shared" si="8"/>
        <v>1.3161941016839998</v>
      </c>
      <c r="Q7" s="53"/>
      <c r="R7" s="54"/>
      <c r="S7" s="55"/>
      <c r="T7" s="54"/>
      <c r="U7" s="54"/>
      <c r="V7" s="38">
        <v>3.77</v>
      </c>
      <c r="W7" s="36">
        <f t="shared" si="9"/>
        <v>0.19404000000000002</v>
      </c>
      <c r="X7" s="37">
        <v>1.5271276187552758E-2</v>
      </c>
      <c r="Y7" s="37">
        <v>0.751</v>
      </c>
      <c r="Z7" s="56">
        <v>7.7134518892719397</v>
      </c>
      <c r="AA7" s="36">
        <f t="shared" si="10"/>
        <v>7.5459999999999999E-2</v>
      </c>
      <c r="AB7" s="36">
        <f t="shared" si="11"/>
        <v>6.6356416807244314E-2</v>
      </c>
      <c r="AD7" s="42"/>
      <c r="AE7" s="37">
        <v>0.19800000000000001</v>
      </c>
      <c r="AF7" s="37">
        <v>7.6999999999999999E-2</v>
      </c>
      <c r="AG7" s="37">
        <v>4.5999999999999999E-2</v>
      </c>
      <c r="AH7" s="43">
        <f t="shared" si="2"/>
        <v>0.19800000000000001</v>
      </c>
      <c r="AI7" s="43">
        <f t="shared" ref="AI7:AI25" si="12">AF7/(SUM(AF$6:AF$25))</f>
        <v>7.6999999999999999E-2</v>
      </c>
    </row>
    <row r="8" spans="1:39" x14ac:dyDescent="0.25">
      <c r="A8" s="32" t="s">
        <v>603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43.412627999999998</v>
      </c>
      <c r="J8" s="34">
        <f t="shared" si="4"/>
        <v>151.944198</v>
      </c>
      <c r="K8" s="34">
        <f t="shared" si="5"/>
        <v>0.65118941999999991</v>
      </c>
      <c r="L8" s="34">
        <f t="shared" si="6"/>
        <v>4.9480199999999996</v>
      </c>
      <c r="M8" s="34">
        <f t="shared" si="7"/>
        <v>3.35970558</v>
      </c>
      <c r="N8" s="34">
        <f t="shared" si="7"/>
        <v>29.378401673141351</v>
      </c>
      <c r="O8" s="34">
        <f t="shared" si="8"/>
        <v>0.11544478369386958</v>
      </c>
      <c r="Q8" s="53"/>
      <c r="R8" s="54"/>
      <c r="S8" s="55"/>
      <c r="T8" s="54"/>
      <c r="U8" s="54"/>
      <c r="V8" s="38">
        <v>3.5</v>
      </c>
      <c r="W8" s="36">
        <f t="shared" si="9"/>
        <v>8.4279999999999994E-2</v>
      </c>
      <c r="X8" s="37">
        <v>1.4999999999999999E-2</v>
      </c>
      <c r="Y8" s="37">
        <v>0.67900000000000005</v>
      </c>
      <c r="Z8" s="56">
        <v>8.7443381491604839</v>
      </c>
      <c r="AA8" s="36">
        <f t="shared" si="10"/>
        <v>9.7999999999999997E-3</v>
      </c>
      <c r="AB8" s="36">
        <f t="shared" si="11"/>
        <v>4.9567633898421982E-2</v>
      </c>
      <c r="AD8" s="42"/>
      <c r="AE8" s="37">
        <v>8.5999999999999993E-2</v>
      </c>
      <c r="AF8" s="37">
        <v>0.01</v>
      </c>
      <c r="AG8" s="37">
        <v>3.4361577508785629E-2</v>
      </c>
      <c r="AH8" s="43">
        <f t="shared" si="2"/>
        <v>8.5999999999999993E-2</v>
      </c>
      <c r="AI8" s="43">
        <f t="shared" si="12"/>
        <v>0.01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678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84.116339999999994</v>
      </c>
      <c r="M13" s="34">
        <f t="shared" ref="M13:N20" si="17">L13*Y13</f>
        <v>44.413427519999999</v>
      </c>
      <c r="N13" s="34">
        <f t="shared" si="17"/>
        <v>597.80473441920003</v>
      </c>
      <c r="O13" s="34">
        <f t="shared" ref="O13:O20" si="18">M13*AG13</f>
        <v>3.02011307136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0.52800000000000002</v>
      </c>
      <c r="Z13" s="56">
        <v>13.46</v>
      </c>
      <c r="AA13" s="36">
        <f t="shared" ref="AA13:AB20" si="20">(AF13/SUM(AF$6:AF$25))*0.98</f>
        <v>0.1666</v>
      </c>
      <c r="AB13" s="36">
        <f t="shared" si="20"/>
        <v>9.8092094410708999E-2</v>
      </c>
      <c r="AD13" s="42"/>
      <c r="AE13" s="37">
        <v>0</v>
      </c>
      <c r="AF13" s="37">
        <v>0.17</v>
      </c>
      <c r="AG13" s="37">
        <v>6.8000000000000005E-2</v>
      </c>
      <c r="AH13" s="43">
        <f t="shared" si="2"/>
        <v>0</v>
      </c>
      <c r="AI13" s="43">
        <f t="shared" si="12"/>
        <v>0.17</v>
      </c>
    </row>
    <row r="14" spans="1:39" x14ac:dyDescent="0.25">
      <c r="A14" s="32" t="s">
        <v>677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5.0479799999999999</v>
      </c>
      <c r="J14" s="34">
        <f t="shared" si="14"/>
        <v>27.958043076923079</v>
      </c>
      <c r="K14" s="34">
        <f t="shared" si="15"/>
        <v>7.7661230769230774E-2</v>
      </c>
      <c r="L14" s="34">
        <f t="shared" si="16"/>
        <v>80.157924000000008</v>
      </c>
      <c r="M14" s="34">
        <f t="shared" si="17"/>
        <v>44.167016124000007</v>
      </c>
      <c r="N14" s="34">
        <f t="shared" si="17"/>
        <v>571.46108318056611</v>
      </c>
      <c r="O14" s="34">
        <f t="shared" si="18"/>
        <v>2.9150230641840005</v>
      </c>
      <c r="Q14" s="53"/>
      <c r="R14" s="54"/>
      <c r="S14" s="55"/>
      <c r="T14" s="54"/>
      <c r="U14" s="54"/>
      <c r="V14" s="38">
        <v>5.5384615384615392</v>
      </c>
      <c r="W14" s="36">
        <f t="shared" si="19"/>
        <v>9.7999999999999997E-3</v>
      </c>
      <c r="X14" s="37">
        <v>1.5384615384615385E-2</v>
      </c>
      <c r="Y14" s="37">
        <v>0.55100000000000005</v>
      </c>
      <c r="Z14" s="56">
        <v>12.93863913233746</v>
      </c>
      <c r="AA14" s="36">
        <f t="shared" si="20"/>
        <v>0.15876000000000001</v>
      </c>
      <c r="AB14" s="36">
        <f t="shared" si="20"/>
        <v>9.5207032810394027E-2</v>
      </c>
      <c r="AD14" s="42"/>
      <c r="AE14" s="37">
        <v>0.01</v>
      </c>
      <c r="AF14" s="37">
        <v>0.16200000000000001</v>
      </c>
      <c r="AG14" s="37">
        <v>6.6000000000000003E-2</v>
      </c>
      <c r="AH14" s="43">
        <f t="shared" si="2"/>
        <v>0.01</v>
      </c>
      <c r="AI14" s="43">
        <f t="shared" si="12"/>
        <v>0.16200000000000001</v>
      </c>
    </row>
    <row r="15" spans="1:39" x14ac:dyDescent="0.25">
      <c r="A15" s="32" t="s">
        <v>107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83.126735999999994</v>
      </c>
      <c r="M15" s="34">
        <f t="shared" si="17"/>
        <v>45.054690911999998</v>
      </c>
      <c r="N15" s="34">
        <f t="shared" si="17"/>
        <v>554.17269821759999</v>
      </c>
      <c r="O15" s="34">
        <f t="shared" si="18"/>
        <v>2.8835002183679999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0.54200000000000004</v>
      </c>
      <c r="Z15" s="56">
        <v>12.3</v>
      </c>
      <c r="AA15" s="36">
        <f t="shared" si="20"/>
        <v>0.16464000000000001</v>
      </c>
      <c r="AB15" s="36">
        <f t="shared" si="20"/>
        <v>9.2321971210079054E-2</v>
      </c>
      <c r="AD15" s="42"/>
      <c r="AE15" s="37">
        <v>0</v>
      </c>
      <c r="AF15" s="37">
        <v>0.16800000000000001</v>
      </c>
      <c r="AG15" s="37">
        <v>6.4000000000000001E-2</v>
      </c>
      <c r="AH15" s="43">
        <f t="shared" si="2"/>
        <v>0</v>
      </c>
      <c r="AI15" s="43">
        <f t="shared" si="12"/>
        <v>0.16800000000000001</v>
      </c>
    </row>
    <row r="16" spans="1:39" x14ac:dyDescent="0.25">
      <c r="A16" s="32" t="s">
        <v>586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15.143940000000001</v>
      </c>
      <c r="J16" s="34">
        <f t="shared" si="14"/>
        <v>75.719700000000003</v>
      </c>
      <c r="K16" s="34">
        <f t="shared" si="15"/>
        <v>0.37859850000000006</v>
      </c>
      <c r="L16" s="34">
        <f t="shared" si="16"/>
        <v>36.120545999999997</v>
      </c>
      <c r="M16" s="34">
        <f t="shared" si="17"/>
        <v>22.105774151999999</v>
      </c>
      <c r="N16" s="34">
        <f t="shared" si="17"/>
        <v>274.11159948479997</v>
      </c>
      <c r="O16" s="34">
        <f t="shared" si="18"/>
        <v>1.348452223272</v>
      </c>
      <c r="Q16" s="53"/>
      <c r="R16" s="54"/>
      <c r="S16" s="55"/>
      <c r="T16" s="54"/>
      <c r="U16" s="54"/>
      <c r="V16" s="38">
        <v>5</v>
      </c>
      <c r="W16" s="36">
        <f t="shared" si="19"/>
        <v>2.9399999999999999E-2</v>
      </c>
      <c r="X16" s="37">
        <v>2.5000000000000001E-2</v>
      </c>
      <c r="Y16" s="37">
        <v>0.61199999999999999</v>
      </c>
      <c r="Z16" s="56">
        <v>12.4</v>
      </c>
      <c r="AA16" s="36">
        <f t="shared" si="20"/>
        <v>7.1539999999999992E-2</v>
      </c>
      <c r="AB16" s="36">
        <f t="shared" si="20"/>
        <v>8.7994378809606602E-2</v>
      </c>
      <c r="AD16" s="42"/>
      <c r="AE16" s="37">
        <v>0.03</v>
      </c>
      <c r="AF16" s="37">
        <v>7.2999999999999995E-2</v>
      </c>
      <c r="AG16" s="37">
        <v>6.0999999999999999E-2</v>
      </c>
      <c r="AH16" s="43">
        <f t="shared" si="2"/>
        <v>0.03</v>
      </c>
      <c r="AI16" s="43">
        <f t="shared" si="12"/>
        <v>7.2999999999999995E-2</v>
      </c>
    </row>
    <row r="17" spans="1:35" x14ac:dyDescent="0.25">
      <c r="A17" s="32" t="s">
        <v>373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7.4220299999999995</v>
      </c>
      <c r="M17" s="34">
        <f t="shared" si="17"/>
        <v>3.9336758999999999</v>
      </c>
      <c r="N17" s="34">
        <f t="shared" si="17"/>
        <v>51.033005100000011</v>
      </c>
      <c r="O17" s="34">
        <f t="shared" si="18"/>
        <v>0.26355628530000003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0.53</v>
      </c>
      <c r="Z17" s="56">
        <v>12.973362930077695</v>
      </c>
      <c r="AA17" s="36">
        <f t="shared" si="20"/>
        <v>1.47E-2</v>
      </c>
      <c r="AB17" s="36">
        <f t="shared" si="20"/>
        <v>9.6649563610551506E-2</v>
      </c>
      <c r="AD17" s="42"/>
      <c r="AE17" s="37">
        <v>0</v>
      </c>
      <c r="AF17" s="37">
        <v>1.4999999999999999E-2</v>
      </c>
      <c r="AG17" s="37">
        <v>6.7000000000000004E-2</v>
      </c>
      <c r="AH17" s="43">
        <f t="shared" si="2"/>
        <v>0</v>
      </c>
      <c r="AI17" s="43">
        <f t="shared" si="12"/>
        <v>1.4999999999999999E-2</v>
      </c>
    </row>
    <row r="18" spans="1:35" x14ac:dyDescent="0.25">
      <c r="A18" s="32" t="s">
        <v>509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4.9480199999999996</v>
      </c>
      <c r="M18" s="34">
        <f t="shared" si="17"/>
        <v>2.78078724</v>
      </c>
      <c r="N18" s="34">
        <f t="shared" si="17"/>
        <v>27.835680272399998</v>
      </c>
      <c r="O18" s="34">
        <f t="shared" si="18"/>
        <v>0.15294329819999999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0.56200000000000006</v>
      </c>
      <c r="Z18" s="56">
        <v>10.01</v>
      </c>
      <c r="AA18" s="36">
        <f t="shared" si="20"/>
        <v>9.7999999999999997E-3</v>
      </c>
      <c r="AB18" s="36">
        <f t="shared" si="20"/>
        <v>7.9339194008661684E-2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520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119.247282</v>
      </c>
      <c r="M22" s="34">
        <f t="shared" ref="M22:N25" si="21">L22*Y22</f>
        <v>77.987722427999998</v>
      </c>
      <c r="N22" s="34">
        <f t="shared" si="21"/>
        <v>822.62324703441573</v>
      </c>
      <c r="O22" s="34">
        <f>M22*AG22</f>
        <v>5.4591405699600006</v>
      </c>
      <c r="Q22" s="53"/>
      <c r="R22" s="54"/>
      <c r="S22" s="55"/>
      <c r="T22" s="54"/>
      <c r="U22" s="54"/>
      <c r="V22" s="59"/>
      <c r="W22" s="60"/>
      <c r="X22" s="54"/>
      <c r="Y22" s="37">
        <v>0.65400000000000003</v>
      </c>
      <c r="Z22" s="56">
        <v>10.548112208224568</v>
      </c>
      <c r="AA22" s="36">
        <f t="shared" ref="AA22:AB25" si="22">(AF22/SUM(AF$6:AF$25))*0.98</f>
        <v>0.23618</v>
      </c>
      <c r="AB22" s="36">
        <f t="shared" si="22"/>
        <v>0.10097715601102397</v>
      </c>
      <c r="AD22" s="42"/>
      <c r="AE22" s="42"/>
      <c r="AF22" s="37">
        <v>0.24099999999999999</v>
      </c>
      <c r="AG22" s="37">
        <v>7.0000000000000007E-2</v>
      </c>
      <c r="AH22" s="43"/>
      <c r="AI22" s="43">
        <f t="shared" si="12"/>
        <v>0.24099999999999999</v>
      </c>
    </row>
    <row r="23" spans="1:35" x14ac:dyDescent="0.25">
      <c r="A23" s="32" t="s">
        <v>718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4.9480199999999996</v>
      </c>
      <c r="M23" s="34">
        <f t="shared" si="21"/>
        <v>3.0677724</v>
      </c>
      <c r="N23" s="34">
        <f t="shared" si="21"/>
        <v>27.141529005660622</v>
      </c>
      <c r="O23" s="34">
        <f>M23*AG23</f>
        <v>0.17793079920000002</v>
      </c>
      <c r="Q23" s="53"/>
      <c r="R23" s="54"/>
      <c r="S23" s="55"/>
      <c r="T23" s="54"/>
      <c r="U23" s="54"/>
      <c r="V23" s="59"/>
      <c r="W23" s="60"/>
      <c r="X23" s="54"/>
      <c r="Y23" s="37">
        <v>0.62</v>
      </c>
      <c r="Z23" s="56">
        <v>8.8473085570691694</v>
      </c>
      <c r="AA23" s="36">
        <f t="shared" si="22"/>
        <v>9.7999999999999997E-3</v>
      </c>
      <c r="AB23" s="36">
        <f t="shared" si="22"/>
        <v>8.366678640913415E-2</v>
      </c>
      <c r="AD23" s="42"/>
      <c r="AE23" s="42"/>
      <c r="AF23" s="37">
        <v>0.01</v>
      </c>
      <c r="AG23" s="37">
        <v>5.8000000000000003E-2</v>
      </c>
      <c r="AH23" s="43"/>
      <c r="AI23" s="43">
        <f t="shared" si="12"/>
        <v>0.01</v>
      </c>
    </row>
    <row r="24" spans="1:35" x14ac:dyDescent="0.25">
      <c r="A24" s="32" t="s">
        <v>622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2.4740099999999998</v>
      </c>
      <c r="M24" s="34">
        <f t="shared" si="21"/>
        <v>1.5264641699999999</v>
      </c>
      <c r="N24" s="34">
        <f t="shared" si="21"/>
        <v>11.295834857999999</v>
      </c>
      <c r="O24" s="34">
        <f>M24*AG24</f>
        <v>8.7008457689999999E-2</v>
      </c>
      <c r="Q24" s="53"/>
      <c r="R24" s="54"/>
      <c r="S24" s="55"/>
      <c r="T24" s="54"/>
      <c r="U24" s="54"/>
      <c r="V24" s="59"/>
      <c r="W24" s="60"/>
      <c r="X24" s="54"/>
      <c r="Y24" s="37">
        <v>0.61699999999999999</v>
      </c>
      <c r="Z24" s="56">
        <v>7.4</v>
      </c>
      <c r="AA24" s="36">
        <f t="shared" si="22"/>
        <v>4.8999999999999998E-3</v>
      </c>
      <c r="AB24" s="36">
        <f t="shared" si="22"/>
        <v>8.2224255608976657E-2</v>
      </c>
      <c r="AD24" s="42"/>
      <c r="AE24" s="42"/>
      <c r="AF24" s="37">
        <v>5.0000000000000001E-3</v>
      </c>
      <c r="AG24" s="37">
        <v>5.7000000000000002E-2</v>
      </c>
      <c r="AH24" s="43"/>
      <c r="AI24" s="43">
        <f t="shared" si="12"/>
        <v>5.0000000000000001E-3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1020</v>
      </c>
      <c r="E29" s="75">
        <v>0.495</v>
      </c>
      <c r="F29" s="76">
        <f>1-E29</f>
        <v>0.505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504.9</v>
      </c>
      <c r="E32" s="80">
        <f>SUM(E2:E4)</f>
        <v>302.51588399999991</v>
      </c>
      <c r="F32" s="80">
        <f>SUM(F2:F4)</f>
        <v>3327.9115654195921</v>
      </c>
      <c r="G32" s="80">
        <f>SUM(G2:G4)</f>
        <v>18.405644795999997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515.1</v>
      </c>
      <c r="E35" s="80">
        <f>D35*G29</f>
        <v>2137.6650000000004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504.79800000000006</v>
      </c>
      <c r="E38" s="91">
        <f>SUM(J2:J4,J6:J11,J13:J20)</f>
        <v>2130.0417696794957</v>
      </c>
      <c r="F38" s="91">
        <f>SUM(K2:K4,K6:K11,K13:K20)</f>
        <v>12.951002090148449</v>
      </c>
      <c r="G38" s="91">
        <f>SUM(L6:L11,L13:L20,L22:L25)</f>
        <v>494.80199999999996</v>
      </c>
      <c r="H38" s="91">
        <f>SUM(M6:M11,M13:M20,M22:M25)</f>
        <v>297.08510017944303</v>
      </c>
      <c r="I38" s="91">
        <f>SUM(N6:N11,N13:N20,N22:N25)</f>
        <v>3327.3193174128728</v>
      </c>
      <c r="J38" s="91">
        <f>SUM(O6:O11,O13:O20,O22:O25)</f>
        <v>18.401786773393493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10.301999999999964</v>
      </c>
      <c r="E39" s="92">
        <f>E35-E38</f>
        <v>7.6232303205047174</v>
      </c>
      <c r="F39" s="92">
        <f>F35-F38</f>
        <v>4.8997909851550503E-2</v>
      </c>
      <c r="G39" s="92">
        <f>SUM(D2:D4)-G38</f>
        <v>10.098000000000013</v>
      </c>
      <c r="H39" s="92">
        <f>E32-H38</f>
        <v>5.4307838205568828</v>
      </c>
      <c r="I39" s="92">
        <f>F32-I38</f>
        <v>0.59224800671927369</v>
      </c>
      <c r="J39" s="92">
        <f>G32-J38</f>
        <v>3.8580226065043632E-3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9" priority="1" operator="lessThan">
      <formula>0</formula>
    </cfRule>
  </conditionalFormatting>
  <conditionalFormatting sqref="W28 AA28:AF28">
    <cfRule type="cellIs" dxfId="4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60</v>
      </c>
    </row>
    <row r="2" spans="1:39" x14ac:dyDescent="0.25">
      <c r="A2" s="32" t="s">
        <v>21</v>
      </c>
      <c r="B2" s="33" t="s">
        <v>7</v>
      </c>
      <c r="C2" s="33">
        <f>VLOOKUP($AM$1,DST!C:D,2,FALSE)</f>
        <v>14</v>
      </c>
      <c r="D2" s="34">
        <f>D$32*Q2</f>
        <v>602.76369999999997</v>
      </c>
      <c r="E2" s="34">
        <f t="shared" ref="E2:F4" si="0">D2*R2</f>
        <v>405.58246881758657</v>
      </c>
      <c r="F2" s="34">
        <f t="shared" si="0"/>
        <v>4542.5236507569689</v>
      </c>
      <c r="G2" s="34">
        <f>E2*T2</f>
        <v>31.229850098954167</v>
      </c>
      <c r="H2" s="34">
        <f>D2*U2</f>
        <v>12.267773740200933</v>
      </c>
      <c r="I2" s="34">
        <f>D$35*W2</f>
        <v>46.131584100000005</v>
      </c>
      <c r="J2" s="34">
        <f>I2*V2</f>
        <v>168.88968348237614</v>
      </c>
      <c r="K2" s="34">
        <f>I2*X2</f>
        <v>1.6670136111378264</v>
      </c>
      <c r="L2" s="35"/>
      <c r="M2" s="35"/>
      <c r="N2" s="35"/>
      <c r="O2" s="35"/>
      <c r="Q2" s="36">
        <f>(AD2/SUM(AD$2:AD$25))</f>
        <v>0.98</v>
      </c>
      <c r="R2" s="37">
        <v>0.67287142344103767</v>
      </c>
      <c r="S2" s="38">
        <v>11.2</v>
      </c>
      <c r="T2" s="37">
        <v>7.6999999999999999E-2</v>
      </c>
      <c r="U2" s="37">
        <v>2.035254236477899E-2</v>
      </c>
      <c r="V2" s="38">
        <v>3.6610423590976602</v>
      </c>
      <c r="W2" s="36">
        <f>(AE2/SUM(AE$2:AE$20))*0.98</f>
        <v>0.10485999999999999</v>
      </c>
      <c r="X2" s="37">
        <v>3.6136058270277917E-2</v>
      </c>
      <c r="Y2" s="39"/>
      <c r="Z2" s="40"/>
      <c r="AA2" s="41"/>
      <c r="AB2" s="41"/>
      <c r="AD2" s="37">
        <v>0.98</v>
      </c>
      <c r="AE2" s="37">
        <v>0.107</v>
      </c>
      <c r="AF2" s="42"/>
      <c r="AG2" s="42"/>
      <c r="AH2" s="43">
        <f>AE2/(SUM(AE$2:AE$25))</f>
        <v>0.107</v>
      </c>
    </row>
    <row r="3" spans="1:39" x14ac:dyDescent="0.25">
      <c r="A3" s="32" t="s">
        <v>623</v>
      </c>
      <c r="B3" s="33" t="s">
        <v>7</v>
      </c>
      <c r="C3" s="33">
        <f>VLOOKUP($AM$1,DST!C:D,2,FALSE)</f>
        <v>14</v>
      </c>
      <c r="D3" s="34">
        <f>D$32*Q3</f>
        <v>12.30130000000001</v>
      </c>
      <c r="E3" s="34">
        <f t="shared" si="0"/>
        <v>7.0581743298761186</v>
      </c>
      <c r="F3" s="34">
        <f t="shared" si="0"/>
        <v>75.577273295894912</v>
      </c>
      <c r="G3" s="34">
        <f t="shared" ref="G3:G4" si="1">E3*T3</f>
        <v>0.48056544124672268</v>
      </c>
      <c r="H3" s="34">
        <f>D3*U3</f>
        <v>0.29251809467191825</v>
      </c>
      <c r="I3" s="34">
        <f>D$35*W3</f>
        <v>1.2934089000000002</v>
      </c>
      <c r="J3" s="34">
        <f>I3*V3</f>
        <v>7.1856050000000007</v>
      </c>
      <c r="K3" s="34">
        <f>I3*X3</f>
        <v>9.5808066666666677E-2</v>
      </c>
      <c r="L3" s="35"/>
      <c r="M3" s="35"/>
      <c r="N3" s="35"/>
      <c r="O3" s="35"/>
      <c r="Q3" s="36">
        <f>(AD3/SUM(AD$2:AD$25))</f>
        <v>2.0000000000000018E-2</v>
      </c>
      <c r="R3" s="37">
        <v>0.5737746685208972</v>
      </c>
      <c r="S3" s="38">
        <v>10.70776517604396</v>
      </c>
      <c r="T3" s="37">
        <v>6.8086366075228028E-2</v>
      </c>
      <c r="U3" s="37">
        <v>2.3779445641673481E-2</v>
      </c>
      <c r="V3" s="38">
        <v>5.5555555555555554</v>
      </c>
      <c r="W3" s="36">
        <f>(AE3/SUM(AE$2:AE$20))*0.98</f>
        <v>2.9399999999999999E-3</v>
      </c>
      <c r="X3" s="37">
        <v>7.407407407407407E-2</v>
      </c>
      <c r="Y3" s="39"/>
      <c r="Z3" s="40"/>
      <c r="AA3" s="41"/>
      <c r="AB3" s="41"/>
      <c r="AD3" s="37">
        <v>2.0000000000000018E-2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B4" s="33" t="s">
        <v>7</v>
      </c>
      <c r="C4" s="33">
        <f>VLOOKUP($AM$1,DST!C:D,2,FALSE)</f>
        <v>14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132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262.13087039999999</v>
      </c>
      <c r="J6" s="34">
        <f t="shared" ref="J6:J11" si="4">I6*V6</f>
        <v>1195.3167690239998</v>
      </c>
      <c r="K6" s="34">
        <f t="shared" ref="K6:K11" si="5">I6*X6</f>
        <v>9.6988422048</v>
      </c>
      <c r="L6" s="34">
        <f t="shared" ref="L6:L11" si="6">((D$2+D$3+D$4)*AA6)</f>
        <v>53.043205599999993</v>
      </c>
      <c r="M6" s="34">
        <f t="shared" ref="M6:N11" si="7">L6*Y6</f>
        <v>37.638304011733325</v>
      </c>
      <c r="N6" s="34">
        <f t="shared" si="7"/>
        <v>191.03492454933334</v>
      </c>
      <c r="O6" s="34">
        <f t="shared" ref="O6:O11" si="8">M6*AG6</f>
        <v>1.9195535045983994</v>
      </c>
      <c r="Q6" s="53"/>
      <c r="R6" s="54"/>
      <c r="S6" s="55"/>
      <c r="T6" s="54"/>
      <c r="U6" s="54"/>
      <c r="V6" s="38">
        <v>4.5599999999999996</v>
      </c>
      <c r="W6" s="36">
        <f t="shared" ref="W6:W11" si="9">(AE6/SUM(AE$2:AE$20))*0.98</f>
        <v>0.59583999999999993</v>
      </c>
      <c r="X6" s="37">
        <v>3.6999999999999998E-2</v>
      </c>
      <c r="Y6" s="37">
        <v>0.70957823129251696</v>
      </c>
      <c r="Z6" s="56">
        <v>5.0755454998657834</v>
      </c>
      <c r="AA6" s="36">
        <f t="shared" ref="AA6:AA11" si="10">(AF6/SUM(AF$6:AF$25))*0.98</f>
        <v>8.6239999999999997E-2</v>
      </c>
      <c r="AB6" s="36">
        <f t="shared" ref="AB6:AB11" si="11">(AG6/SUM(AG$6:AG$25))*0.98</f>
        <v>6.9513212795549381E-2</v>
      </c>
      <c r="AD6" s="42"/>
      <c r="AE6" s="37">
        <v>0.60799999999999998</v>
      </c>
      <c r="AF6" s="37">
        <v>8.7999999999999995E-2</v>
      </c>
      <c r="AG6" s="37">
        <v>5.0999999999999997E-2</v>
      </c>
      <c r="AH6" s="43">
        <f t="shared" si="2"/>
        <v>0.60799999999999998</v>
      </c>
      <c r="AI6" s="43">
        <f>AF6/(SUM(AF$6:AF$25))</f>
        <v>8.7999999999999995E-2</v>
      </c>
    </row>
    <row r="7" spans="1:39" x14ac:dyDescent="0.25">
      <c r="A7" s="32" t="s">
        <v>521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49.580674500000008</v>
      </c>
      <c r="J7" s="34">
        <f t="shared" si="4"/>
        <v>203.77657219500006</v>
      </c>
      <c r="K7" s="34">
        <f t="shared" si="5"/>
        <v>1.4378395605000003</v>
      </c>
      <c r="L7" s="34">
        <f t="shared" si="6"/>
        <v>19.891202099999997</v>
      </c>
      <c r="M7" s="34">
        <f t="shared" si="7"/>
        <v>13.289416813547367</v>
      </c>
      <c r="N7" s="34">
        <f t="shared" si="7"/>
        <v>87.045680128735256</v>
      </c>
      <c r="O7" s="34">
        <f t="shared" si="8"/>
        <v>0.3189460035251368</v>
      </c>
      <c r="Q7" s="53"/>
      <c r="R7" s="54"/>
      <c r="S7" s="55"/>
      <c r="T7" s="54"/>
      <c r="U7" s="54"/>
      <c r="V7" s="38">
        <v>4.1100000000000003</v>
      </c>
      <c r="W7" s="36">
        <f t="shared" si="9"/>
        <v>0.11270000000000001</v>
      </c>
      <c r="X7" s="37">
        <v>2.9000000000000001E-2</v>
      </c>
      <c r="Y7" s="37">
        <v>0.66810526315789476</v>
      </c>
      <c r="Z7" s="56">
        <v>6.55</v>
      </c>
      <c r="AA7" s="36">
        <f t="shared" si="10"/>
        <v>3.2340000000000001E-2</v>
      </c>
      <c r="AB7" s="36">
        <f t="shared" si="11"/>
        <v>3.2712100139082066E-2</v>
      </c>
      <c r="AD7" s="42"/>
      <c r="AE7" s="37">
        <v>0.115</v>
      </c>
      <c r="AF7" s="37">
        <v>3.3000000000000002E-2</v>
      </c>
      <c r="AG7" s="37">
        <v>2.4E-2</v>
      </c>
      <c r="AH7" s="43">
        <f t="shared" si="2"/>
        <v>0.115</v>
      </c>
      <c r="AI7" s="43">
        <f t="shared" ref="AI7:AI25" si="12">AF7/(SUM(AF$6:AF$25))</f>
        <v>3.3000000000000002E-2</v>
      </c>
    </row>
    <row r="8" spans="1:39" x14ac:dyDescent="0.25">
      <c r="A8" s="32" t="s">
        <v>624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46.131584100000005</v>
      </c>
      <c r="J8" s="34">
        <f t="shared" si="4"/>
        <v>205.74686508600001</v>
      </c>
      <c r="K8" s="34">
        <f t="shared" si="5"/>
        <v>1.6146054435000003</v>
      </c>
      <c r="L8" s="34">
        <f t="shared" si="6"/>
        <v>6.0276369999999995</v>
      </c>
      <c r="M8" s="34">
        <f t="shared" si="7"/>
        <v>4.0385167900000001</v>
      </c>
      <c r="N8" s="34">
        <f t="shared" si="7"/>
        <v>25.429642123903989</v>
      </c>
      <c r="O8" s="34">
        <f t="shared" si="8"/>
        <v>0.1211555037</v>
      </c>
      <c r="Q8" s="53"/>
      <c r="R8" s="54"/>
      <c r="S8" s="55"/>
      <c r="T8" s="54"/>
      <c r="U8" s="54"/>
      <c r="V8" s="38">
        <v>4.46</v>
      </c>
      <c r="W8" s="36">
        <f t="shared" si="9"/>
        <v>0.10485999999999999</v>
      </c>
      <c r="X8" s="37">
        <v>3.5000000000000003E-2</v>
      </c>
      <c r="Y8" s="37">
        <v>0.67</v>
      </c>
      <c r="Z8" s="56">
        <v>6.2967776157008348</v>
      </c>
      <c r="AA8" s="36">
        <f t="shared" si="10"/>
        <v>9.7999999999999997E-3</v>
      </c>
      <c r="AB8" s="36">
        <f t="shared" si="11"/>
        <v>4.0890125173852578E-2</v>
      </c>
      <c r="AD8" s="42"/>
      <c r="AE8" s="37">
        <v>0.107</v>
      </c>
      <c r="AF8" s="37">
        <v>0.01</v>
      </c>
      <c r="AG8" s="37">
        <v>0.03</v>
      </c>
      <c r="AH8" s="43">
        <f t="shared" si="2"/>
        <v>0.107</v>
      </c>
      <c r="AI8" s="43">
        <f t="shared" si="12"/>
        <v>0.01</v>
      </c>
    </row>
    <row r="9" spans="1:39" x14ac:dyDescent="0.25">
      <c r="A9" s="32" t="s">
        <v>522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10.778407500000002</v>
      </c>
      <c r="J9" s="34">
        <f t="shared" si="4"/>
        <v>45.377095575000006</v>
      </c>
      <c r="K9" s="34">
        <f t="shared" si="5"/>
        <v>0.32335222500000005</v>
      </c>
      <c r="L9" s="34">
        <f t="shared" si="6"/>
        <v>3.0138184999999997</v>
      </c>
      <c r="M9" s="34">
        <f t="shared" si="7"/>
        <v>2.0554242170000001</v>
      </c>
      <c r="N9" s="34">
        <f t="shared" si="7"/>
        <v>12.68196741889</v>
      </c>
      <c r="O9" s="34">
        <f t="shared" si="8"/>
        <v>5.5496453859000004E-2</v>
      </c>
      <c r="Q9" s="53"/>
      <c r="R9" s="54"/>
      <c r="S9" s="55"/>
      <c r="T9" s="54"/>
      <c r="U9" s="54"/>
      <c r="V9" s="38">
        <v>4.21</v>
      </c>
      <c r="W9" s="36">
        <f t="shared" si="9"/>
        <v>2.4500000000000001E-2</v>
      </c>
      <c r="X9" s="37">
        <v>0.03</v>
      </c>
      <c r="Y9" s="37">
        <v>0.68200000000000005</v>
      </c>
      <c r="Z9" s="56">
        <v>6.17</v>
      </c>
      <c r="AA9" s="36">
        <f t="shared" si="10"/>
        <v>4.8999999999999998E-3</v>
      </c>
      <c r="AB9" s="36">
        <f t="shared" si="11"/>
        <v>3.6801112656467322E-2</v>
      </c>
      <c r="AD9" s="42"/>
      <c r="AE9" s="37">
        <v>2.5000000000000001E-2</v>
      </c>
      <c r="AF9" s="37">
        <v>5.0000000000000001E-3</v>
      </c>
      <c r="AG9" s="37">
        <v>2.7E-2</v>
      </c>
      <c r="AH9" s="43">
        <f t="shared" si="2"/>
        <v>2.5000000000000001E-2</v>
      </c>
      <c r="AI9" s="43">
        <f t="shared" si="12"/>
        <v>5.0000000000000001E-3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106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154.30750719999998</v>
      </c>
      <c r="M13" s="34">
        <f t="shared" ref="M13:N20" si="17">L13*Y13</f>
        <v>97.522344550399978</v>
      </c>
      <c r="N13" s="34">
        <f t="shared" si="17"/>
        <v>1311.8247996280857</v>
      </c>
      <c r="O13" s="34">
        <f t="shared" ref="O13:O20" si="18">M13*AG13</f>
        <v>7.2166534967295979</v>
      </c>
      <c r="Q13" s="53"/>
      <c r="R13" s="54"/>
      <c r="S13" s="55"/>
      <c r="T13" s="54"/>
      <c r="U13" s="54"/>
      <c r="V13" s="38">
        <v>6.2500000000000009</v>
      </c>
      <c r="W13" s="36">
        <f t="shared" ref="W13:W20" si="19">(AE13/SUM(AE$2:AE$20))*0.98</f>
        <v>0</v>
      </c>
      <c r="X13" s="37">
        <v>2.5000000000000001E-2</v>
      </c>
      <c r="Y13" s="37">
        <v>0.63200000000000001</v>
      </c>
      <c r="Z13" s="56">
        <v>13.451530576668292</v>
      </c>
      <c r="AA13" s="36">
        <f t="shared" ref="AA13:AA20" si="20">(AF13/SUM(AF$6:AF$25))*0.98</f>
        <v>0.25087999999999999</v>
      </c>
      <c r="AB13" s="36">
        <f t="shared" ref="AB13:AB20" si="21">(AG13/SUM(AG$6:AG$25))*0.98</f>
        <v>0.1008623087621697</v>
      </c>
      <c r="AD13" s="42"/>
      <c r="AE13" s="37">
        <v>0</v>
      </c>
      <c r="AF13" s="37">
        <v>0.25600000000000001</v>
      </c>
      <c r="AG13" s="37">
        <v>7.3999999999999996E-2</v>
      </c>
      <c r="AH13" s="43">
        <f t="shared" si="2"/>
        <v>0</v>
      </c>
      <c r="AI13" s="43">
        <f t="shared" si="12"/>
        <v>0.25600000000000001</v>
      </c>
    </row>
    <row r="14" spans="1:39" x14ac:dyDescent="0.25">
      <c r="A14" s="32" t="s">
        <v>330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139.23841469999999</v>
      </c>
      <c r="M14" s="34">
        <f t="shared" si="17"/>
        <v>91.758115287300001</v>
      </c>
      <c r="N14" s="34">
        <f t="shared" si="17"/>
        <v>1343.3095698179657</v>
      </c>
      <c r="O14" s="34">
        <f t="shared" si="18"/>
        <v>8.7170209522935007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0.65900000000000003</v>
      </c>
      <c r="Z14" s="56">
        <v>14.639681358013787</v>
      </c>
      <c r="AA14" s="36">
        <f t="shared" si="20"/>
        <v>0.22638</v>
      </c>
      <c r="AB14" s="36">
        <f t="shared" si="21"/>
        <v>0.12948539638386652</v>
      </c>
      <c r="AD14" s="42"/>
      <c r="AE14" s="37">
        <v>0</v>
      </c>
      <c r="AF14" s="37">
        <v>0.23100000000000001</v>
      </c>
      <c r="AG14" s="37">
        <v>9.5000000000000001E-2</v>
      </c>
      <c r="AH14" s="43">
        <f t="shared" si="2"/>
        <v>0</v>
      </c>
      <c r="AI14" s="43">
        <f t="shared" si="12"/>
        <v>0.23100000000000001</v>
      </c>
    </row>
    <row r="15" spans="1:39" x14ac:dyDescent="0.25">
      <c r="A15" s="32" t="s">
        <v>444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55.454260399999988</v>
      </c>
      <c r="M15" s="34">
        <f t="shared" si="17"/>
        <v>41.844770048630053</v>
      </c>
      <c r="N15" s="34">
        <f t="shared" si="17"/>
        <v>472.67761780374371</v>
      </c>
      <c r="O15" s="34">
        <f t="shared" si="18"/>
        <v>3.6823397642794444</v>
      </c>
      <c r="Q15" s="53"/>
      <c r="R15" s="54"/>
      <c r="S15" s="55"/>
      <c r="T15" s="54"/>
      <c r="U15" s="54"/>
      <c r="V15" s="38">
        <v>6.3777950612482996</v>
      </c>
      <c r="W15" s="36">
        <f t="shared" si="19"/>
        <v>0</v>
      </c>
      <c r="X15" s="37">
        <v>7.0000000000000001E-3</v>
      </c>
      <c r="Y15" s="37">
        <v>0.75458169934640518</v>
      </c>
      <c r="Z15" s="56">
        <v>11.295978380438456</v>
      </c>
      <c r="AA15" s="36">
        <f t="shared" si="20"/>
        <v>9.015999999999999E-2</v>
      </c>
      <c r="AB15" s="36">
        <f t="shared" si="21"/>
        <v>0.11994436717663423</v>
      </c>
      <c r="AD15" s="42"/>
      <c r="AE15" s="37">
        <v>0</v>
      </c>
      <c r="AF15" s="37">
        <v>9.1999999999999998E-2</v>
      </c>
      <c r="AG15" s="37">
        <v>8.7999999999999995E-2</v>
      </c>
      <c r="AH15" s="43">
        <f t="shared" si="2"/>
        <v>0</v>
      </c>
      <c r="AI15" s="43">
        <f t="shared" si="12"/>
        <v>9.1999999999999998E-2</v>
      </c>
    </row>
    <row r="16" spans="1:39" x14ac:dyDescent="0.25">
      <c r="A16" s="32" t="s">
        <v>365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3"/>
        <v>15.089770500000004</v>
      </c>
      <c r="J16" s="34">
        <f t="shared" si="14"/>
        <v>85.88473528786632</v>
      </c>
      <c r="K16" s="34">
        <f t="shared" si="15"/>
        <v>0.14827909616178298</v>
      </c>
      <c r="L16" s="34">
        <f t="shared" si="16"/>
        <v>33.754767199999996</v>
      </c>
      <c r="M16" s="34">
        <f t="shared" si="17"/>
        <v>24.100903780799996</v>
      </c>
      <c r="N16" s="34">
        <f t="shared" si="17"/>
        <v>303.37231656835706</v>
      </c>
      <c r="O16" s="34">
        <f t="shared" si="18"/>
        <v>2.0726777251487993</v>
      </c>
      <c r="Q16" s="53"/>
      <c r="R16" s="54"/>
      <c r="S16" s="55"/>
      <c r="T16" s="54"/>
      <c r="U16" s="54"/>
      <c r="V16" s="38">
        <v>5.6915865809798962</v>
      </c>
      <c r="W16" s="36">
        <f t="shared" si="19"/>
        <v>3.4300000000000004E-2</v>
      </c>
      <c r="X16" s="37">
        <v>9.8264646345537811E-3</v>
      </c>
      <c r="Y16" s="37">
        <v>0.71399999999999997</v>
      </c>
      <c r="Z16" s="56">
        <v>12.587590877402649</v>
      </c>
      <c r="AA16" s="36">
        <f t="shared" si="20"/>
        <v>5.4879999999999998E-2</v>
      </c>
      <c r="AB16" s="36">
        <f t="shared" si="21"/>
        <v>0.11721835883171071</v>
      </c>
      <c r="AD16" s="42"/>
      <c r="AE16" s="37">
        <v>3.5000000000000003E-2</v>
      </c>
      <c r="AF16" s="37">
        <v>5.6000000000000001E-2</v>
      </c>
      <c r="AG16" s="37">
        <v>8.5999999999999993E-2</v>
      </c>
      <c r="AH16" s="43">
        <f t="shared" si="2"/>
        <v>3.5000000000000003E-2</v>
      </c>
      <c r="AI16" s="43">
        <f t="shared" si="12"/>
        <v>5.6000000000000001E-2</v>
      </c>
    </row>
    <row r="17" spans="1:35" x14ac:dyDescent="0.25">
      <c r="A17" s="32" t="s">
        <v>625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6.0276369999999995</v>
      </c>
      <c r="M17" s="34">
        <f t="shared" si="17"/>
        <v>4.0083786049999999</v>
      </c>
      <c r="N17" s="34">
        <f t="shared" si="17"/>
        <v>45.200147555713933</v>
      </c>
      <c r="O17" s="34">
        <f t="shared" si="18"/>
        <v>0.35674569584499999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0.66500000000000004</v>
      </c>
      <c r="Z17" s="56">
        <v>11.276416728532542</v>
      </c>
      <c r="AA17" s="36">
        <f t="shared" si="20"/>
        <v>9.7999999999999997E-3</v>
      </c>
      <c r="AB17" s="36">
        <f t="shared" si="21"/>
        <v>0.12130737134909599</v>
      </c>
      <c r="AD17" s="42"/>
      <c r="AE17" s="37">
        <v>0</v>
      </c>
      <c r="AF17" s="37">
        <v>0.01</v>
      </c>
      <c r="AG17" s="37">
        <v>8.8999999999999996E-2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679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ref="I18:I19" si="22">D$35*W18</f>
        <v>0</v>
      </c>
      <c r="J18" s="34">
        <f t="shared" ref="J18:J19" si="23">I18*V18</f>
        <v>0</v>
      </c>
      <c r="K18" s="34">
        <f t="shared" ref="K18:K19" si="24">I18*X18</f>
        <v>0</v>
      </c>
      <c r="L18" s="34">
        <f t="shared" ref="L18:L19" si="25">((D$2+D$3+D$4)*AA18)</f>
        <v>6.0276369999999995</v>
      </c>
      <c r="M18" s="34">
        <f t="shared" ref="M18:M19" si="26">L18*Y18</f>
        <v>4.0385167900000001</v>
      </c>
      <c r="N18" s="34">
        <f t="shared" ref="N18:N19" si="27">M18*Z18</f>
        <v>55.327680022999999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:W19" si="28">(AE18/SUM(AE$2:AE$20))*0.98</f>
        <v>0</v>
      </c>
      <c r="X18" s="37">
        <v>0</v>
      </c>
      <c r="Y18" s="37">
        <v>0.67</v>
      </c>
      <c r="Z18" s="56">
        <v>13.7</v>
      </c>
      <c r="AA18" s="36">
        <f t="shared" ref="AA18:AA19" si="29">(AF18/SUM(AF$6:AF$25))*0.98</f>
        <v>9.7999999999999997E-3</v>
      </c>
      <c r="AB18" s="36">
        <f t="shared" ref="AB18:AB19" si="30">(AG18/SUM(AG$6:AG$25))*0.98</f>
        <v>0</v>
      </c>
      <c r="AD18" s="42"/>
      <c r="AE18" s="37">
        <v>0</v>
      </c>
      <c r="AF18" s="37">
        <v>0.01</v>
      </c>
      <c r="AG18" s="37">
        <v>0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0</v>
      </c>
      <c r="M19" s="34">
        <f t="shared" si="26"/>
        <v>0</v>
      </c>
      <c r="N19" s="34">
        <f t="shared" si="2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28"/>
        <v>0</v>
      </c>
      <c r="X19" s="37">
        <v>0</v>
      </c>
      <c r="Y19" s="37">
        <v>0</v>
      </c>
      <c r="Z19" s="56">
        <v>0</v>
      </c>
      <c r="AA19" s="36">
        <f t="shared" si="29"/>
        <v>0</v>
      </c>
      <c r="AB19" s="36">
        <f t="shared" si="3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326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100.0587742</v>
      </c>
      <c r="M22" s="34">
        <f t="shared" ref="M22:N25" si="31">L22*Y22</f>
        <v>74.564451091063063</v>
      </c>
      <c r="N22" s="34">
        <f t="shared" si="31"/>
        <v>606.75060624015089</v>
      </c>
      <c r="O22" s="34">
        <f>M22*AG22</f>
        <v>6.2634138916492974</v>
      </c>
      <c r="Q22" s="53"/>
      <c r="R22" s="54"/>
      <c r="S22" s="55"/>
      <c r="T22" s="54"/>
      <c r="U22" s="54"/>
      <c r="V22" s="59"/>
      <c r="W22" s="60"/>
      <c r="X22" s="54"/>
      <c r="Y22" s="37">
        <v>0.7452065217391306</v>
      </c>
      <c r="Z22" s="56">
        <v>8.1372637679468287</v>
      </c>
      <c r="AA22" s="36">
        <f t="shared" ref="AA22:AB25" si="32">(AF22/SUM(AF$6:AF$25))*0.98</f>
        <v>0.16268000000000002</v>
      </c>
      <c r="AB22" s="36">
        <f t="shared" si="32"/>
        <v>0.11449235048678723</v>
      </c>
      <c r="AD22" s="42"/>
      <c r="AE22" s="42"/>
      <c r="AF22" s="37">
        <v>0.16600000000000001</v>
      </c>
      <c r="AG22" s="37">
        <v>8.4000000000000005E-2</v>
      </c>
      <c r="AH22" s="43"/>
      <c r="AI22" s="43">
        <f t="shared" si="12"/>
        <v>0.16600000000000001</v>
      </c>
    </row>
    <row r="23" spans="1:35" x14ac:dyDescent="0.25">
      <c r="A23" s="61" t="s">
        <v>374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19.891202099999997</v>
      </c>
      <c r="M23" s="34">
        <f t="shared" si="31"/>
        <v>13.670811043286484</v>
      </c>
      <c r="N23" s="34">
        <f t="shared" si="31"/>
        <v>127.5560070666378</v>
      </c>
      <c r="O23" s="34">
        <f>M23*AG23</f>
        <v>0.97062758407334027</v>
      </c>
      <c r="Q23" s="53"/>
      <c r="R23" s="54"/>
      <c r="S23" s="55"/>
      <c r="T23" s="54"/>
      <c r="U23" s="54"/>
      <c r="V23" s="59"/>
      <c r="W23" s="60"/>
      <c r="X23" s="54"/>
      <c r="Y23" s="37">
        <v>0.68727927927927923</v>
      </c>
      <c r="Z23" s="56">
        <v>9.3305369127516773</v>
      </c>
      <c r="AA23" s="36">
        <f t="shared" si="32"/>
        <v>3.2340000000000001E-2</v>
      </c>
      <c r="AB23" s="36">
        <f t="shared" si="32"/>
        <v>9.6773296244784437E-2</v>
      </c>
      <c r="AD23" s="42"/>
      <c r="AE23" s="42"/>
      <c r="AF23" s="37">
        <v>3.3000000000000002E-2</v>
      </c>
      <c r="AG23" s="37">
        <v>7.0999999999999994E-2</v>
      </c>
      <c r="AH23" s="43"/>
      <c r="AI23" s="43">
        <f t="shared" si="12"/>
        <v>3.3000000000000002E-2</v>
      </c>
    </row>
    <row r="24" spans="1:35" x14ac:dyDescent="0.25">
      <c r="A24" s="61" t="s">
        <v>717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6.0276369999999995</v>
      </c>
      <c r="M24" s="34">
        <f t="shared" si="31"/>
        <v>4.0565997009999997</v>
      </c>
      <c r="N24" s="34">
        <f t="shared" si="31"/>
        <v>34.075437488399999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0.67300000000000004</v>
      </c>
      <c r="Z24" s="56">
        <v>8.4</v>
      </c>
      <c r="AA24" s="36">
        <f t="shared" si="32"/>
        <v>9.7999999999999997E-3</v>
      </c>
      <c r="AB24" s="36">
        <f t="shared" si="32"/>
        <v>0</v>
      </c>
      <c r="AD24" s="42"/>
      <c r="AE24" s="42"/>
      <c r="AF24" s="37">
        <v>0.01</v>
      </c>
      <c r="AG24" s="37">
        <v>0</v>
      </c>
      <c r="AH24" s="43"/>
      <c r="AI24" s="43">
        <f t="shared" si="12"/>
        <v>0.01</v>
      </c>
    </row>
    <row r="25" spans="1:35" x14ac:dyDescent="0.25">
      <c r="A25" s="61"/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1"/>
        <v>0</v>
      </c>
      <c r="N25" s="34">
        <f t="shared" si="3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2"/>
        <v>0</v>
      </c>
      <c r="AB25" s="36">
        <f t="shared" si="3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P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4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0.9800000000000002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1055</v>
      </c>
      <c r="E29" s="75">
        <v>0.58299999999999996</v>
      </c>
      <c r="F29" s="76">
        <f>1-E29</f>
        <v>0.41700000000000004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4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4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615.06499999999994</v>
      </c>
      <c r="E32" s="80">
        <f>SUM(E2:E4)</f>
        <v>412.6406431474627</v>
      </c>
      <c r="F32" s="80">
        <f>SUM(F2:F4)</f>
        <v>4618.1009240528638</v>
      </c>
      <c r="G32" s="80">
        <f>SUM(G2:G4)</f>
        <v>31.710415540200888</v>
      </c>
      <c r="H32" s="64"/>
      <c r="I32" s="64"/>
      <c r="J32" s="64"/>
      <c r="K32" s="64"/>
      <c r="L32" s="64"/>
      <c r="M32" s="64"/>
      <c r="N32" s="64"/>
      <c r="O32" s="64"/>
      <c r="P32" s="64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439.93500000000006</v>
      </c>
      <c r="E35" s="80">
        <f>D35*G29</f>
        <v>1913.7172500000001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431.13630000000001</v>
      </c>
      <c r="E38" s="91">
        <f>SUM(J2:J4,J6:J11,J13:J20)</f>
        <v>1912.1773256502424</v>
      </c>
      <c r="F38" s="91">
        <f>SUM(K2:K4,K6:K11,K13:K20)</f>
        <v>14.985740207766279</v>
      </c>
      <c r="G38" s="91">
        <f>SUM(L6:L11,L13:L20,L22:L25)</f>
        <v>602.76370000000009</v>
      </c>
      <c r="H38" s="91">
        <f>SUM(M6:M11,M13:M20,M22:M25)</f>
        <v>412.58655272976029</v>
      </c>
      <c r="I38" s="91">
        <f>SUM(N6:N11,N13:N20,N22:N25)</f>
        <v>4616.2863964129174</v>
      </c>
      <c r="J38" s="91">
        <f>SUM(O6:O11,O13:O20,O22:O25)</f>
        <v>31.694630575701517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8.7987000000000535</v>
      </c>
      <c r="E39" s="92">
        <f>E35-E38</f>
        <v>1.5399243497577118</v>
      </c>
      <c r="F39" s="92">
        <f>F35-F38</f>
        <v>1.4259792233721313E-2</v>
      </c>
      <c r="G39" s="92">
        <f>SUM(D2:D4)-G38</f>
        <v>12.301299999999856</v>
      </c>
      <c r="H39" s="92">
        <f>E32-H38</f>
        <v>5.4090417702411742E-2</v>
      </c>
      <c r="I39" s="92">
        <f>F32-I38</f>
        <v>1.814527639946391</v>
      </c>
      <c r="J39" s="92">
        <f>G32-J38</f>
        <v>1.5784964499371057E-2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7" priority="1" operator="lessThan">
      <formula>0</formula>
    </cfRule>
  </conditionalFormatting>
  <conditionalFormatting sqref="W28 AA28:AF28">
    <cfRule type="cellIs" dxfId="4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61</v>
      </c>
    </row>
    <row r="2" spans="1:39" x14ac:dyDescent="0.25">
      <c r="A2" s="32" t="s">
        <v>429</v>
      </c>
      <c r="B2" s="33" t="s">
        <v>7</v>
      </c>
      <c r="C2" s="33">
        <f>VLOOKUP($AM$1,DST!C:D,2,FALSE)</f>
        <v>10</v>
      </c>
      <c r="D2" s="34">
        <f>D$32*Q2</f>
        <v>570.67164000000014</v>
      </c>
      <c r="E2" s="34">
        <f>D2*R2</f>
        <v>369.92991785531984</v>
      </c>
      <c r="F2" s="34">
        <f>E2*S2</f>
        <v>3913.8585309092841</v>
      </c>
      <c r="G2" s="34">
        <f>E2*T2</f>
        <v>26.265024167727706</v>
      </c>
      <c r="H2" s="34">
        <f>D2*U2</f>
        <v>11.445045289519861</v>
      </c>
      <c r="I2" s="34">
        <f>D$35*W2</f>
        <v>81.722009879999987</v>
      </c>
      <c r="J2" s="34">
        <f>I2*V2</f>
        <v>353.06822370358316</v>
      </c>
      <c r="K2" s="34">
        <f>I2*X2</f>
        <v>4.273902009493125</v>
      </c>
      <c r="L2" s="35"/>
      <c r="M2" s="35"/>
      <c r="N2" s="35"/>
      <c r="O2" s="35"/>
      <c r="Q2" s="36">
        <f>(AD2/SUM(AD$2:AD$25))</f>
        <v>0.98</v>
      </c>
      <c r="R2" s="37">
        <v>0.64823602913808676</v>
      </c>
      <c r="S2" s="38">
        <v>10.58</v>
      </c>
      <c r="T2" s="37">
        <v>7.0999999999999994E-2</v>
      </c>
      <c r="U2" s="37">
        <v>2.0055395234849692E-2</v>
      </c>
      <c r="V2" s="38">
        <v>4.3203565871914558</v>
      </c>
      <c r="W2" s="36">
        <f>(AE2/SUM(AE$2:AE$20))*0.98</f>
        <v>0.17934</v>
      </c>
      <c r="X2" s="37">
        <v>5.2298053067574964E-2</v>
      </c>
      <c r="Y2" s="39"/>
      <c r="Z2" s="40"/>
      <c r="AA2" s="41"/>
      <c r="AB2" s="41"/>
      <c r="AD2" s="37">
        <v>0.98</v>
      </c>
      <c r="AE2" s="37">
        <v>0.183</v>
      </c>
      <c r="AF2" s="42"/>
      <c r="AG2" s="42"/>
      <c r="AH2" s="43">
        <f>AE2/(SUM(AE$2:AE$25))</f>
        <v>0.183</v>
      </c>
    </row>
    <row r="3" spans="1:39" x14ac:dyDescent="0.25">
      <c r="A3" s="32" t="s">
        <v>343</v>
      </c>
      <c r="B3" s="33" t="s">
        <v>7</v>
      </c>
      <c r="C3" s="33">
        <f>VLOOKUP($AM$1,DST!C:D,2,FALSE)</f>
        <v>10</v>
      </c>
      <c r="D3" s="34">
        <f>D$32*Q3</f>
        <v>11.646360000000001</v>
      </c>
      <c r="E3" s="34">
        <f t="shared" ref="E3:F3" si="0">D3*R3</f>
        <v>6.9001058890030844</v>
      </c>
      <c r="F3" s="34">
        <f t="shared" si="0"/>
        <v>74.156161370332313</v>
      </c>
      <c r="G3" s="34">
        <f t="shared" ref="G3:G4" si="1">E3*T3</f>
        <v>0.47612160328879771</v>
      </c>
      <c r="H3" s="34">
        <f>D3*U3</f>
        <v>0.34445669064748208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0.59246888203722736</v>
      </c>
      <c r="S3" s="38">
        <v>10.747104836248575</v>
      </c>
      <c r="T3" s="37">
        <v>6.9002071989591879E-2</v>
      </c>
      <c r="U3" s="37">
        <v>2.9576338928856916E-2</v>
      </c>
      <c r="V3" s="38">
        <v>3.6382978723404258</v>
      </c>
      <c r="W3" s="36">
        <f>(AE3/SUM(AE$2:AE$20))*0.98</f>
        <v>0</v>
      </c>
      <c r="X3" s="37">
        <v>2.1276595744680851E-2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154.06608419999998</v>
      </c>
      <c r="J6" s="34">
        <f t="shared" ref="J6:J11" si="4">I6*V6</f>
        <v>735.81051523953079</v>
      </c>
      <c r="K6" s="34">
        <f t="shared" ref="K6:K11" si="5">I6*X6</f>
        <v>4.7760486101999993</v>
      </c>
      <c r="L6" s="34">
        <f t="shared" ref="L6:L11" si="6">((D$2+D$3+D$4)*AA6)</f>
        <v>21.68552232</v>
      </c>
      <c r="M6" s="34">
        <f t="shared" ref="M6:N11" si="7">L6*Y6</f>
        <v>15.256422089159999</v>
      </c>
      <c r="N6" s="34">
        <f t="shared" si="7"/>
        <v>74.466112235760008</v>
      </c>
      <c r="O6" s="34">
        <f t="shared" ref="O6:O11" si="8">M6*AG6</f>
        <v>0.50303840412000012</v>
      </c>
      <c r="Q6" s="53"/>
      <c r="R6" s="54"/>
      <c r="S6" s="55"/>
      <c r="T6" s="54"/>
      <c r="U6" s="54"/>
      <c r="V6" s="38">
        <v>4.7759409156160721</v>
      </c>
      <c r="W6" s="36">
        <f t="shared" ref="W6:W11" si="9">(AE6/SUM(AE$2:AE$20))*0.98</f>
        <v>0.33809999999999996</v>
      </c>
      <c r="X6" s="37">
        <v>3.1E-2</v>
      </c>
      <c r="Y6" s="37">
        <v>0.70353030303030295</v>
      </c>
      <c r="Z6" s="56">
        <v>4.8809682768720526</v>
      </c>
      <c r="AA6" s="36">
        <f t="shared" ref="AA6:AB11" si="10">(AF6/SUM(AF$6:AF$25))*0.98</f>
        <v>3.7239999999999995E-2</v>
      </c>
      <c r="AB6" s="36">
        <f t="shared" si="10"/>
        <v>4.6893871909930808E-2</v>
      </c>
      <c r="AD6" s="42"/>
      <c r="AE6" s="37">
        <v>0.34499999999999997</v>
      </c>
      <c r="AF6" s="37">
        <v>3.7999999999999999E-2</v>
      </c>
      <c r="AG6" s="37">
        <v>3.2972239570994773E-2</v>
      </c>
      <c r="AH6" s="43">
        <f t="shared" si="2"/>
        <v>0.34499999999999997</v>
      </c>
      <c r="AI6" s="43">
        <f>AF6/(SUM(AF$6:AF$25))</f>
        <v>3.7999999999999999E-2</v>
      </c>
    </row>
    <row r="7" spans="1:39" x14ac:dyDescent="0.25">
      <c r="A7" s="32" t="s">
        <v>523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142.00873847999998</v>
      </c>
      <c r="J7" s="34">
        <f t="shared" si="4"/>
        <v>576.55547822879987</v>
      </c>
      <c r="K7" s="34">
        <f t="shared" si="5"/>
        <v>5.1123145852799992</v>
      </c>
      <c r="L7" s="34">
        <f t="shared" si="6"/>
        <v>60.491193840000008</v>
      </c>
      <c r="M7" s="34">
        <f t="shared" si="7"/>
        <v>47.630766029615998</v>
      </c>
      <c r="N7" s="34">
        <f t="shared" si="7"/>
        <v>339.28814059593606</v>
      </c>
      <c r="O7" s="34">
        <f t="shared" si="8"/>
        <v>3.3341536220731203</v>
      </c>
      <c r="Q7" s="53"/>
      <c r="R7" s="54"/>
      <c r="S7" s="55"/>
      <c r="T7" s="54"/>
      <c r="U7" s="54"/>
      <c r="V7" s="38">
        <v>4.0599999999999996</v>
      </c>
      <c r="W7" s="36">
        <f t="shared" si="9"/>
        <v>0.31163999999999997</v>
      </c>
      <c r="X7" s="37">
        <v>3.5999999999999997E-2</v>
      </c>
      <c r="Y7" s="37">
        <v>0.78739999999999988</v>
      </c>
      <c r="Z7" s="56">
        <v>7.1232980041717671</v>
      </c>
      <c r="AA7" s="36">
        <f t="shared" si="10"/>
        <v>0.10388</v>
      </c>
      <c r="AB7" s="36">
        <f t="shared" si="10"/>
        <v>9.9555598176072638E-2</v>
      </c>
      <c r="AD7" s="42"/>
      <c r="AE7" s="37">
        <v>0.318</v>
      </c>
      <c r="AF7" s="37">
        <v>0.106</v>
      </c>
      <c r="AG7" s="37">
        <v>7.0000000000000007E-2</v>
      </c>
      <c r="AH7" s="43">
        <f t="shared" si="2"/>
        <v>0.318</v>
      </c>
      <c r="AI7" s="43">
        <f t="shared" ref="AI7:AI25" si="11">AF7/(SUM(AF$6:AF$25))</f>
        <v>0.106</v>
      </c>
    </row>
    <row r="8" spans="1:39" x14ac:dyDescent="0.25">
      <c r="A8" s="32" t="s">
        <v>665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55.374476639999997</v>
      </c>
      <c r="J8" s="34">
        <f t="shared" si="4"/>
        <v>240.87897338399998</v>
      </c>
      <c r="K8" s="34">
        <f t="shared" si="5"/>
        <v>2.32572801888</v>
      </c>
      <c r="L8" s="34">
        <f t="shared" si="6"/>
        <v>9.7014178800000028</v>
      </c>
      <c r="M8" s="34">
        <f t="shared" si="7"/>
        <v>7.2566605742400023</v>
      </c>
      <c r="N8" s="34">
        <f t="shared" si="7"/>
        <v>50.562817902940751</v>
      </c>
      <c r="O8" s="34">
        <f t="shared" si="8"/>
        <v>0.14307076282588149</v>
      </c>
      <c r="Q8" s="53"/>
      <c r="R8" s="54"/>
      <c r="S8" s="55"/>
      <c r="T8" s="54"/>
      <c r="U8" s="54"/>
      <c r="V8" s="38">
        <v>4.3499999999999996</v>
      </c>
      <c r="W8" s="36">
        <f t="shared" si="9"/>
        <v>0.12152</v>
      </c>
      <c r="X8" s="37">
        <v>4.2000000000000003E-2</v>
      </c>
      <c r="Y8" s="37">
        <v>0.748</v>
      </c>
      <c r="Z8" s="56">
        <v>6.9677804805189263</v>
      </c>
      <c r="AA8" s="36">
        <f t="shared" si="10"/>
        <v>1.6660000000000001E-2</v>
      </c>
      <c r="AB8" s="36">
        <f t="shared" si="10"/>
        <v>2.8040240172495165E-2</v>
      </c>
      <c r="AD8" s="42"/>
      <c r="AE8" s="37">
        <v>0.124</v>
      </c>
      <c r="AF8" s="37">
        <v>1.7000000000000001E-2</v>
      </c>
      <c r="AG8" s="37">
        <v>1.9715785430802713E-2</v>
      </c>
      <c r="AH8" s="43">
        <f t="shared" si="2"/>
        <v>0.124</v>
      </c>
      <c r="AI8" s="43">
        <f t="shared" si="11"/>
        <v>1.7000000000000001E-2</v>
      </c>
    </row>
    <row r="9" spans="1:39" x14ac:dyDescent="0.25">
      <c r="A9" s="32" t="s">
        <v>409</v>
      </c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4.4656835999999993</v>
      </c>
      <c r="J9" s="34">
        <f t="shared" si="4"/>
        <v>21.926506475999997</v>
      </c>
      <c r="K9" s="34">
        <f t="shared" si="5"/>
        <v>0.12503914079999998</v>
      </c>
      <c r="L9" s="34">
        <f t="shared" si="6"/>
        <v>5.7067164000000004</v>
      </c>
      <c r="M9" s="34">
        <f t="shared" si="7"/>
        <v>4.1430761064000006</v>
      </c>
      <c r="N9" s="34">
        <f t="shared" si="7"/>
        <v>30.688224578722757</v>
      </c>
      <c r="O9" s="34">
        <f t="shared" si="8"/>
        <v>0.1424148438568355</v>
      </c>
      <c r="Q9" s="53"/>
      <c r="R9" s="54"/>
      <c r="S9" s="55"/>
      <c r="T9" s="54"/>
      <c r="U9" s="54"/>
      <c r="V9" s="38">
        <v>4.91</v>
      </c>
      <c r="W9" s="36">
        <f t="shared" si="9"/>
        <v>9.7999999999999997E-3</v>
      </c>
      <c r="X9" s="37">
        <v>2.8000000000000001E-2</v>
      </c>
      <c r="Y9" s="37">
        <v>0.72599999999999998</v>
      </c>
      <c r="Z9" s="56">
        <v>7.4071109944896358</v>
      </c>
      <c r="AA9" s="36">
        <f t="shared" si="10"/>
        <v>9.7999999999999997E-3</v>
      </c>
      <c r="AB9" s="36">
        <f t="shared" si="10"/>
        <v>4.8887743603349375E-2</v>
      </c>
      <c r="AD9" s="42"/>
      <c r="AE9" s="37">
        <v>0.01</v>
      </c>
      <c r="AF9" s="37">
        <v>0.01</v>
      </c>
      <c r="AG9" s="37">
        <v>3.4374180005247966E-2</v>
      </c>
      <c r="AH9" s="43">
        <f t="shared" si="2"/>
        <v>0.01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142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2">D$35*W13</f>
        <v>2.2328417999999997</v>
      </c>
      <c r="J13" s="34">
        <f t="shared" ref="J13:J20" si="13">I13*V13</f>
        <v>12.280629899999997</v>
      </c>
      <c r="K13" s="34">
        <f t="shared" ref="K13:K20" si="14">I13*X13</f>
        <v>3.7214029999999995E-2</v>
      </c>
      <c r="L13" s="34">
        <f t="shared" ref="L13:L20" si="15">((D$2+D$3+D$4)*AA13)</f>
        <v>133.53716376000003</v>
      </c>
      <c r="M13" s="34">
        <f t="shared" ref="M13:N20" si="16">L13*Y13</f>
        <v>89.036569720560024</v>
      </c>
      <c r="N13" s="34">
        <f t="shared" si="16"/>
        <v>1131.654801148318</v>
      </c>
      <c r="O13" s="34">
        <f t="shared" ref="O13:O20" si="17">M13*AG13</f>
        <v>6.9448524382036823</v>
      </c>
      <c r="Q13" s="53"/>
      <c r="R13" s="54"/>
      <c r="S13" s="55"/>
      <c r="T13" s="54"/>
      <c r="U13" s="54"/>
      <c r="V13" s="38">
        <v>5.5</v>
      </c>
      <c r="W13" s="36">
        <f t="shared" ref="W13:W20" si="18">(AE13/SUM(AE$2:AE$20))*0.98</f>
        <v>4.8999999999999998E-3</v>
      </c>
      <c r="X13" s="37">
        <v>1.6666666666666666E-2</v>
      </c>
      <c r="Y13" s="37">
        <v>0.66675498575498582</v>
      </c>
      <c r="Z13" s="56">
        <v>12.71</v>
      </c>
      <c r="AA13" s="36">
        <f t="shared" ref="AA13:AB20" si="19">(AF13/SUM(AF$6:AF$25))*0.98</f>
        <v>0.22932</v>
      </c>
      <c r="AB13" s="36">
        <f t="shared" si="19"/>
        <v>0.11093338082476664</v>
      </c>
      <c r="AD13" s="42"/>
      <c r="AE13" s="37">
        <v>5.0000000000000001E-3</v>
      </c>
      <c r="AF13" s="37">
        <v>0.23400000000000001</v>
      </c>
      <c r="AG13" s="37">
        <v>7.8E-2</v>
      </c>
      <c r="AH13" s="43">
        <f t="shared" si="2"/>
        <v>5.0000000000000001E-3</v>
      </c>
      <c r="AI13" s="43">
        <f t="shared" si="11"/>
        <v>0.23400000000000001</v>
      </c>
    </row>
    <row r="14" spans="1:39" x14ac:dyDescent="0.25">
      <c r="A14" s="32" t="s">
        <v>22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123.26507424000002</v>
      </c>
      <c r="M14" s="34">
        <f t="shared" si="16"/>
        <v>69.962432445293402</v>
      </c>
      <c r="N14" s="34">
        <f t="shared" si="16"/>
        <v>930.5003515224023</v>
      </c>
      <c r="O14" s="34">
        <f t="shared" si="17"/>
        <v>7.0662056769746338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0.56757709251101318</v>
      </c>
      <c r="Z14" s="56">
        <v>13.3</v>
      </c>
      <c r="AA14" s="36">
        <f t="shared" si="19"/>
        <v>0.21168000000000001</v>
      </c>
      <c r="AB14" s="36">
        <f t="shared" si="19"/>
        <v>0.14364450593976194</v>
      </c>
      <c r="AD14" s="42"/>
      <c r="AE14" s="37">
        <v>0</v>
      </c>
      <c r="AF14" s="37">
        <v>0.216</v>
      </c>
      <c r="AG14" s="37">
        <v>0.10100000000000001</v>
      </c>
      <c r="AH14" s="43">
        <f t="shared" si="2"/>
        <v>0</v>
      </c>
      <c r="AI14" s="43">
        <f t="shared" si="11"/>
        <v>0.216</v>
      </c>
    </row>
    <row r="15" spans="1:39" x14ac:dyDescent="0.25">
      <c r="A15" s="32" t="s">
        <v>445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46.22440284000001</v>
      </c>
      <c r="M15" s="34">
        <f t="shared" si="16"/>
        <v>28.890251775000007</v>
      </c>
      <c r="N15" s="34">
        <f t="shared" si="16"/>
        <v>332.44445441089141</v>
      </c>
      <c r="O15" s="34">
        <f t="shared" si="17"/>
        <v>2.5423421562000006</v>
      </c>
      <c r="Q15" s="53"/>
      <c r="R15" s="54"/>
      <c r="S15" s="55"/>
      <c r="T15" s="54"/>
      <c r="U15" s="54"/>
      <c r="V15" s="38">
        <v>5.5</v>
      </c>
      <c r="W15" s="36">
        <f t="shared" si="18"/>
        <v>0</v>
      </c>
      <c r="X15" s="37">
        <v>7.0000000000000001E-3</v>
      </c>
      <c r="Y15" s="37">
        <v>0.625</v>
      </c>
      <c r="Z15" s="56">
        <v>11.507149781871062</v>
      </c>
      <c r="AA15" s="36">
        <f t="shared" si="19"/>
        <v>7.9380000000000006E-2</v>
      </c>
      <c r="AB15" s="36">
        <f t="shared" si="19"/>
        <v>0.12515560913563414</v>
      </c>
      <c r="AD15" s="42"/>
      <c r="AE15" s="37">
        <v>0</v>
      </c>
      <c r="AF15" s="37">
        <v>8.1000000000000003E-2</v>
      </c>
      <c r="AG15" s="37">
        <v>8.7999999999999995E-2</v>
      </c>
      <c r="AH15" s="43">
        <f t="shared" si="2"/>
        <v>0</v>
      </c>
      <c r="AI15" s="43">
        <f t="shared" si="11"/>
        <v>8.1000000000000003E-2</v>
      </c>
    </row>
    <row r="16" spans="1:39" x14ac:dyDescent="0.25">
      <c r="A16" s="32" t="s">
        <v>524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43.941716280000009</v>
      </c>
      <c r="M16" s="34">
        <f t="shared" si="16"/>
        <v>25.235181978160007</v>
      </c>
      <c r="N16" s="34">
        <f t="shared" si="16"/>
        <v>296.52501987416008</v>
      </c>
      <c r="O16" s="34">
        <f t="shared" si="17"/>
        <v>1.5141109186896005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0.57428758169934646</v>
      </c>
      <c r="Z16" s="56">
        <v>11.750460929142102</v>
      </c>
      <c r="AA16" s="36">
        <f t="shared" si="19"/>
        <v>7.5459999999999999E-2</v>
      </c>
      <c r="AB16" s="36">
        <f t="shared" si="19"/>
        <v>8.5333369865205094E-2</v>
      </c>
      <c r="AD16" s="42"/>
      <c r="AE16" s="37">
        <v>0</v>
      </c>
      <c r="AF16" s="37">
        <v>7.6999999999999999E-2</v>
      </c>
      <c r="AG16" s="37">
        <v>0.06</v>
      </c>
      <c r="AH16" s="43">
        <f t="shared" si="2"/>
        <v>0</v>
      </c>
      <c r="AI16" s="43">
        <f t="shared" si="11"/>
        <v>7.6999999999999999E-2</v>
      </c>
    </row>
    <row r="17" spans="1:35" x14ac:dyDescent="0.25">
      <c r="A17" s="32" t="s">
        <v>375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2"/>
        <v>6.6985253999999994</v>
      </c>
      <c r="J17" s="34">
        <f t="shared" si="13"/>
        <v>40.606619846057285</v>
      </c>
      <c r="K17" s="34">
        <f t="shared" si="14"/>
        <v>0.3122830212152084</v>
      </c>
      <c r="L17" s="34">
        <f t="shared" si="15"/>
        <v>22.256193960000001</v>
      </c>
      <c r="M17" s="34">
        <f t="shared" si="16"/>
        <v>15.089699504880002</v>
      </c>
      <c r="N17" s="34">
        <f t="shared" si="16"/>
        <v>154.7447262544562</v>
      </c>
      <c r="O17" s="34">
        <f t="shared" si="17"/>
        <v>0.78466437425376012</v>
      </c>
      <c r="Q17" s="53"/>
      <c r="R17" s="54"/>
      <c r="S17" s="55"/>
      <c r="T17" s="54"/>
      <c r="U17" s="54"/>
      <c r="V17" s="38">
        <v>6.0620237173478939</v>
      </c>
      <c r="W17" s="36">
        <f t="shared" si="18"/>
        <v>1.47E-2</v>
      </c>
      <c r="X17" s="37">
        <v>4.6619666653082842E-2</v>
      </c>
      <c r="Y17" s="37">
        <v>0.67800000000000005</v>
      </c>
      <c r="Z17" s="56">
        <v>10.254990578467902</v>
      </c>
      <c r="AA17" s="36">
        <f t="shared" si="19"/>
        <v>3.8219999999999997E-2</v>
      </c>
      <c r="AB17" s="36">
        <f t="shared" si="19"/>
        <v>7.3955587216511076E-2</v>
      </c>
      <c r="AD17" s="42"/>
      <c r="AE17" s="37">
        <v>1.4999999999999999E-2</v>
      </c>
      <c r="AF17" s="37">
        <v>3.9E-2</v>
      </c>
      <c r="AG17" s="37">
        <v>5.1999999999999998E-2</v>
      </c>
      <c r="AH17" s="43">
        <f t="shared" si="2"/>
        <v>1.4999999999999999E-2</v>
      </c>
      <c r="AI17" s="43">
        <f t="shared" si="11"/>
        <v>3.9E-2</v>
      </c>
    </row>
    <row r="18" spans="1:35" x14ac:dyDescent="0.25"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42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61.632537120000009</v>
      </c>
      <c r="M22" s="34">
        <f t="shared" ref="M22:N25" si="20">L22*Y22</f>
        <v>42.013152766337917</v>
      </c>
      <c r="N22" s="34">
        <f t="shared" si="20"/>
        <v>375.23544398160726</v>
      </c>
      <c r="O22" s="34">
        <f>M22*AG22</f>
        <v>2.1006576383168958</v>
      </c>
      <c r="Q22" s="53"/>
      <c r="R22" s="54"/>
      <c r="S22" s="55"/>
      <c r="T22" s="54"/>
      <c r="U22" s="54"/>
      <c r="V22" s="59"/>
      <c r="W22" s="60"/>
      <c r="X22" s="54"/>
      <c r="Y22" s="37">
        <v>0.68167164179104478</v>
      </c>
      <c r="Z22" s="56">
        <v>8.9313802767560002</v>
      </c>
      <c r="AA22" s="36">
        <f t="shared" ref="AA22:AB25" si="21">(AF22/SUM(AF$6:AF$25))*0.98</f>
        <v>0.10584</v>
      </c>
      <c r="AB22" s="36">
        <f t="shared" si="21"/>
        <v>7.1111141554337592E-2</v>
      </c>
      <c r="AD22" s="42"/>
      <c r="AE22" s="42"/>
      <c r="AF22" s="37">
        <v>0.108</v>
      </c>
      <c r="AG22" s="37">
        <v>0.05</v>
      </c>
      <c r="AH22" s="43"/>
      <c r="AI22" s="43">
        <f t="shared" si="11"/>
        <v>0.108</v>
      </c>
    </row>
    <row r="23" spans="1:35" x14ac:dyDescent="0.25">
      <c r="A23" s="32" t="s">
        <v>113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14.837462640000002</v>
      </c>
      <c r="M23" s="34">
        <f t="shared" si="20"/>
        <v>11.373692313984002</v>
      </c>
      <c r="N23" s="34">
        <f t="shared" si="20"/>
        <v>108.73260026428802</v>
      </c>
      <c r="O23" s="34">
        <f>M23*AG23</f>
        <v>0.60280569264115202</v>
      </c>
      <c r="Q23" s="53"/>
      <c r="R23" s="54"/>
      <c r="S23" s="55"/>
      <c r="T23" s="54"/>
      <c r="U23" s="54"/>
      <c r="V23" s="59"/>
      <c r="W23" s="60"/>
      <c r="X23" s="54"/>
      <c r="Y23" s="37">
        <v>0.76655238095238099</v>
      </c>
      <c r="Z23" s="56">
        <v>9.5600089454328607</v>
      </c>
      <c r="AA23" s="36">
        <f t="shared" si="21"/>
        <v>2.5479999999999999E-2</v>
      </c>
      <c r="AB23" s="36">
        <f t="shared" si="21"/>
        <v>7.5377810047597832E-2</v>
      </c>
      <c r="AD23" s="42"/>
      <c r="AE23" s="42"/>
      <c r="AF23" s="37">
        <v>2.5999999999999999E-2</v>
      </c>
      <c r="AG23" s="37">
        <v>5.2999999999999999E-2</v>
      </c>
      <c r="AH23" s="43"/>
      <c r="AI23" s="43">
        <f t="shared" si="11"/>
        <v>2.5999999999999999E-2</v>
      </c>
    </row>
    <row r="24" spans="1:35" x14ac:dyDescent="0.25">
      <c r="A24" s="32" t="s">
        <v>716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27.392238720000005</v>
      </c>
      <c r="M24" s="34">
        <f t="shared" si="20"/>
        <v>20.270256652800004</v>
      </c>
      <c r="N24" s="34">
        <f t="shared" si="20"/>
        <v>161.75627420081466</v>
      </c>
      <c r="O24" s="34">
        <f>M24*AG24</f>
        <v>1.0135128326400002</v>
      </c>
      <c r="Q24" s="53"/>
      <c r="R24" s="54"/>
      <c r="S24" s="55"/>
      <c r="T24" s="54"/>
      <c r="U24" s="54"/>
      <c r="V24" s="59"/>
      <c r="W24" s="60"/>
      <c r="X24" s="54"/>
      <c r="Y24" s="37">
        <v>0.74</v>
      </c>
      <c r="Z24" s="56">
        <v>7.9799815548201591</v>
      </c>
      <c r="AA24" s="36">
        <f t="shared" si="21"/>
        <v>4.7039999999999998E-2</v>
      </c>
      <c r="AB24" s="36">
        <f t="shared" si="21"/>
        <v>7.1111141554337592E-2</v>
      </c>
      <c r="AD24" s="42"/>
      <c r="AE24" s="42"/>
      <c r="AF24" s="37">
        <v>4.8000000000000001E-2</v>
      </c>
      <c r="AG24" s="37">
        <v>0.05</v>
      </c>
      <c r="AH24" s="43"/>
      <c r="AI24" s="43">
        <f t="shared" si="11"/>
        <v>4.8000000000000001E-2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1038</v>
      </c>
      <c r="E29" s="75">
        <v>0.56100000000000005</v>
      </c>
      <c r="F29" s="76">
        <f>1-E29</f>
        <v>0.43899999999999995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582.3180000000001</v>
      </c>
      <c r="E32" s="80">
        <f>SUM(E2:E4)</f>
        <v>376.83002374432294</v>
      </c>
      <c r="F32" s="80">
        <f>SUM(F2:F4)</f>
        <v>3988.0146922796166</v>
      </c>
      <c r="G32" s="80">
        <f>SUM(G2:G4)</f>
        <v>26.741145771016505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455.68199999999996</v>
      </c>
      <c r="E35" s="80">
        <f>D35*G29</f>
        <v>1982.2166999999997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446.56835999999993</v>
      </c>
      <c r="E38" s="91">
        <f>SUM(J2:J4,J6:J11,J13:J20)</f>
        <v>1981.1269467779712</v>
      </c>
      <c r="F38" s="91">
        <f>SUM(K2:K4,K6:K11,K13:K20)</f>
        <v>16.962529415868332</v>
      </c>
      <c r="G38" s="91">
        <f>SUM(L6:L11,L13:L20,L22:L25)</f>
        <v>570.67164000000025</v>
      </c>
      <c r="H38" s="91">
        <f>SUM(M6:M11,M13:M20,M22:M25)</f>
        <v>376.1581619564314</v>
      </c>
      <c r="I38" s="91">
        <f>SUM(N6:N11,N13:N20,N22:N25)</f>
        <v>3986.5989669702972</v>
      </c>
      <c r="J38" s="91">
        <f>SUM(O6:O11,O13:O20,O22:O25)</f>
        <v>26.691829360795563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9.1136400000000322</v>
      </c>
      <c r="E39" s="92">
        <f>E35-E38</f>
        <v>1.0897532220285484</v>
      </c>
      <c r="F39" s="92">
        <f>F35-F38</f>
        <v>3.7470584131668261E-2</v>
      </c>
      <c r="G39" s="92">
        <f>SUM(D2:D4)-G38</f>
        <v>11.646359999999845</v>
      </c>
      <c r="H39" s="92">
        <f>E32-H38</f>
        <v>0.67186178789154383</v>
      </c>
      <c r="I39" s="92">
        <f>F32-I38</f>
        <v>1.4157253093194413</v>
      </c>
      <c r="J39" s="92">
        <f>G32-J38</f>
        <v>4.9316410220942686E-2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D42" s="132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5" priority="1" operator="lessThan">
      <formula>0</formula>
    </cfRule>
  </conditionalFormatting>
  <conditionalFormatting sqref="W28 AA28:AF28">
    <cfRule type="cellIs" dxfId="4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71A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62</v>
      </c>
    </row>
    <row r="2" spans="1:39" x14ac:dyDescent="0.25">
      <c r="A2" s="32" t="s">
        <v>32</v>
      </c>
      <c r="B2" s="33" t="s">
        <v>7</v>
      </c>
      <c r="C2" s="33">
        <f>VLOOKUP($AM$1,DST!C:D,2,FALSE)</f>
        <v>6</v>
      </c>
      <c r="D2" s="34">
        <f>D$32*Q2</f>
        <v>585.41279999999995</v>
      </c>
      <c r="E2" s="34">
        <f>D2*R2</f>
        <v>402.75215997183261</v>
      </c>
      <c r="F2" s="34">
        <f>E2*S2</f>
        <v>4642.5269653189362</v>
      </c>
      <c r="G2" s="34">
        <f>E2*T2</f>
        <v>32.220172797746606</v>
      </c>
      <c r="H2" s="34">
        <f>D2*U2</f>
        <v>10.980004422275686</v>
      </c>
      <c r="I2" s="34">
        <f>D$35*W2</f>
        <v>19.431596800000001</v>
      </c>
      <c r="J2" s="34">
        <f>I2*V2</f>
        <v>38.992333759437948</v>
      </c>
      <c r="K2" s="34">
        <f>I2*X2</f>
        <v>0.49196251214456382</v>
      </c>
      <c r="L2" s="35"/>
      <c r="M2" s="35"/>
      <c r="N2" s="35"/>
      <c r="O2" s="35"/>
      <c r="Q2" s="36">
        <f>(AD2/SUM(AD$2:AD$25))</f>
        <v>0.98</v>
      </c>
      <c r="R2" s="37">
        <v>0.68797976397480998</v>
      </c>
      <c r="S2" s="38">
        <v>11.527006995179422</v>
      </c>
      <c r="T2" s="37">
        <v>0.08</v>
      </c>
      <c r="U2" s="37">
        <v>1.8756003323254441E-2</v>
      </c>
      <c r="V2" s="38">
        <v>2.0066458850894819</v>
      </c>
      <c r="W2" s="36">
        <f>(AE2/SUM(AE$2:AE$20))*0.98</f>
        <v>4.3119999999999999E-2</v>
      </c>
      <c r="X2" s="37">
        <v>2.5317657483741315E-2</v>
      </c>
      <c r="Y2" s="39"/>
      <c r="Z2" s="40"/>
      <c r="AA2" s="41"/>
      <c r="AB2" s="41"/>
      <c r="AD2" s="37">
        <v>0.98</v>
      </c>
      <c r="AE2" s="37">
        <v>4.3999999999999997E-2</v>
      </c>
      <c r="AF2" s="42"/>
      <c r="AG2" s="42"/>
      <c r="AH2" s="43">
        <f>AE2/(SUM(AE$2:AE$25))</f>
        <v>4.3999999999999997E-2</v>
      </c>
    </row>
    <row r="3" spans="1:39" x14ac:dyDescent="0.25">
      <c r="A3" s="32" t="s">
        <v>626</v>
      </c>
      <c r="B3" s="33" t="s">
        <v>7</v>
      </c>
      <c r="C3" s="33">
        <f>VLOOKUP($AM$1,DST!C:D,2,FALSE)</f>
        <v>6</v>
      </c>
      <c r="D3" s="34">
        <f>D$32*Q3</f>
        <v>11.947200000000009</v>
      </c>
      <c r="E3" s="34">
        <f t="shared" ref="E3:F4" si="0">D3*R3</f>
        <v>7.6796676764691911</v>
      </c>
      <c r="F3" s="34">
        <f t="shared" si="0"/>
        <v>80.713307279691193</v>
      </c>
      <c r="G3" s="34">
        <f t="shared" ref="G3:G4" si="1">E3*T3</f>
        <v>0.40270053095657998</v>
      </c>
      <c r="H3" s="34">
        <f>D3*U3</f>
        <v>0.19770591678185043</v>
      </c>
      <c r="I3" s="34">
        <f>D$35*W3</f>
        <v>2.2081360000000001</v>
      </c>
      <c r="J3" s="34">
        <f>I3*V3</f>
        <v>7.8353212903225806</v>
      </c>
      <c r="K3" s="34">
        <f>I3*X3</f>
        <v>7.1230193548387097E-2</v>
      </c>
      <c r="L3" s="35"/>
      <c r="M3" s="35"/>
      <c r="N3" s="35"/>
      <c r="O3" s="35"/>
      <c r="Q3" s="36">
        <f>(AD3/SUM(AD$2:AD$25))</f>
        <v>2.0000000000000018E-2</v>
      </c>
      <c r="R3" s="37">
        <v>0.64280062914065095</v>
      </c>
      <c r="S3" s="38">
        <v>10.51</v>
      </c>
      <c r="T3" s="37">
        <v>5.2437233995224888E-2</v>
      </c>
      <c r="U3" s="37">
        <v>1.6548305609837475E-2</v>
      </c>
      <c r="V3" s="38">
        <v>3.5483870967741935</v>
      </c>
      <c r="W3" s="36">
        <f>(AE3/SUM(AE$2:AE$20))*0.98</f>
        <v>4.8999999999999998E-3</v>
      </c>
      <c r="X3" s="37">
        <v>3.2258064516129031E-2</v>
      </c>
      <c r="Y3" s="39"/>
      <c r="Z3" s="40"/>
      <c r="AA3" s="41"/>
      <c r="AB3" s="41"/>
      <c r="AD3" s="37">
        <v>2.0000000000000018E-2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260.11842080000002</v>
      </c>
      <c r="J6" s="34">
        <f>I6*V6</f>
        <v>1279.782630336</v>
      </c>
      <c r="K6" s="34">
        <f>I6*X6</f>
        <v>13.526157881600001</v>
      </c>
      <c r="L6" s="34">
        <f>((D$2+D$3+D$4)*AA6)</f>
        <v>93.666047999999975</v>
      </c>
      <c r="M6" s="34">
        <f t="shared" ref="M6:N11" si="4">L6*Y6</f>
        <v>72.778519295999985</v>
      </c>
      <c r="N6" s="34">
        <f t="shared" si="4"/>
        <v>575.01351531904493</v>
      </c>
      <c r="O6" s="34">
        <f t="shared" ref="O6:O11" si="5">M6*AG6</f>
        <v>3.5207265372926151</v>
      </c>
      <c r="Q6" s="53"/>
      <c r="R6" s="54"/>
      <c r="S6" s="55"/>
      <c r="T6" s="54"/>
      <c r="U6" s="54"/>
      <c r="V6" s="38">
        <v>4.92</v>
      </c>
      <c r="W6" s="36">
        <f t="shared" ref="W6:W11" si="6">(AE6/SUM(AE$2:AE$20))*0.98</f>
        <v>0.57721999999999996</v>
      </c>
      <c r="X6" s="37">
        <v>5.1999999999999998E-2</v>
      </c>
      <c r="Y6" s="37">
        <v>0.77700000000000002</v>
      </c>
      <c r="Z6" s="56">
        <v>7.9008685650828916</v>
      </c>
      <c r="AA6" s="36">
        <f t="shared" ref="AA6:AA11" si="7">(AF6/SUM(AF$6:AF$25))*0.98</f>
        <v>0.15679999999999999</v>
      </c>
      <c r="AB6" s="36">
        <f t="shared" ref="AB6:AB11" si="8">(AG6/SUM(AG$6:AG$25))*0.98</f>
        <v>6.1067675412924613E-2</v>
      </c>
      <c r="AD6" s="42"/>
      <c r="AE6" s="37">
        <v>0.58899999999999997</v>
      </c>
      <c r="AF6" s="37">
        <v>0.16</v>
      </c>
      <c r="AG6" s="37">
        <v>4.8375902276513054E-2</v>
      </c>
      <c r="AH6" s="43">
        <f t="shared" si="2"/>
        <v>0.58899999999999997</v>
      </c>
      <c r="AI6" s="43">
        <f>AF6/(SUM(AF$6:AF$25))</f>
        <v>0.16</v>
      </c>
    </row>
    <row r="7" spans="1:39" x14ac:dyDescent="0.25">
      <c r="A7" s="32" t="s">
        <v>357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127.1886336</v>
      </c>
      <c r="J7" s="34">
        <f>I7*V7</f>
        <v>530.376602112</v>
      </c>
      <c r="K7" s="34">
        <f>I7*X7</f>
        <v>5.3419226112000002</v>
      </c>
      <c r="L7" s="34">
        <f>((D$2+D$3+D$4)*AA7)</f>
        <v>21.660273599999996</v>
      </c>
      <c r="M7" s="34">
        <f t="shared" si="4"/>
        <v>14.241722457271793</v>
      </c>
      <c r="N7" s="34">
        <f t="shared" si="4"/>
        <v>95.731004090256391</v>
      </c>
      <c r="O7" s="34">
        <f t="shared" si="5"/>
        <v>0.77458619437948706</v>
      </c>
      <c r="Q7" s="53"/>
      <c r="R7" s="54"/>
      <c r="S7" s="55"/>
      <c r="T7" s="54"/>
      <c r="U7" s="54"/>
      <c r="V7" s="38">
        <v>4.17</v>
      </c>
      <c r="W7" s="36">
        <f t="shared" si="6"/>
        <v>0.28223999999999999</v>
      </c>
      <c r="X7" s="37">
        <v>4.2000000000000003E-2</v>
      </c>
      <c r="Y7" s="37">
        <v>0.65750427350427354</v>
      </c>
      <c r="Z7" s="56">
        <v>6.7218698003327786</v>
      </c>
      <c r="AA7" s="36">
        <f t="shared" si="7"/>
        <v>3.6260000000000001E-2</v>
      </c>
      <c r="AB7" s="36">
        <f t="shared" si="8"/>
        <v>6.8657746448372969E-2</v>
      </c>
      <c r="AD7" s="42"/>
      <c r="AE7" s="37">
        <v>0.28799999999999998</v>
      </c>
      <c r="AF7" s="37">
        <v>3.6999999999999998E-2</v>
      </c>
      <c r="AG7" s="37">
        <v>5.4388519134775375E-2</v>
      </c>
      <c r="AH7" s="43">
        <f t="shared" si="2"/>
        <v>0.28799999999999998</v>
      </c>
      <c r="AI7" s="43">
        <f t="shared" ref="AI7:AI25" si="9">AF7/(SUM(AF$6:AF$25))</f>
        <v>3.6999999999999998E-2</v>
      </c>
    </row>
    <row r="8" spans="1:39" x14ac:dyDescent="0.25">
      <c r="A8" s="32" t="s">
        <v>627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19.431596800000001</v>
      </c>
      <c r="J8" s="34">
        <f>I8*V8</f>
        <v>77.726387200000005</v>
      </c>
      <c r="K8" s="34">
        <f>I8*X8</f>
        <v>0.93271664640000007</v>
      </c>
      <c r="L8" s="34">
        <f>((D$2+D$3+D$4)*AA8)</f>
        <v>2.9270639999999992</v>
      </c>
      <c r="M8" s="34">
        <f t="shared" si="4"/>
        <v>1.8733209599999996</v>
      </c>
      <c r="N8" s="34">
        <f t="shared" si="4"/>
        <v>10.557349928166349</v>
      </c>
      <c r="O8" s="34">
        <f t="shared" si="5"/>
        <v>5.6199628799999984E-2</v>
      </c>
      <c r="Q8" s="53"/>
      <c r="R8" s="54"/>
      <c r="S8" s="55"/>
      <c r="T8" s="54"/>
      <c r="U8" s="54"/>
      <c r="V8" s="38">
        <v>4</v>
      </c>
      <c r="W8" s="36">
        <f t="shared" si="6"/>
        <v>4.3119999999999999E-2</v>
      </c>
      <c r="X8" s="37">
        <v>4.8000000000000001E-2</v>
      </c>
      <c r="Y8" s="37">
        <v>0.64</v>
      </c>
      <c r="Z8" s="56">
        <v>5.6356332703213612</v>
      </c>
      <c r="AA8" s="36">
        <f t="shared" si="7"/>
        <v>4.8999999999999998E-3</v>
      </c>
      <c r="AB8" s="36">
        <f t="shared" si="8"/>
        <v>3.7870720258941934E-2</v>
      </c>
      <c r="AD8" s="42"/>
      <c r="AE8" s="37">
        <v>4.3999999999999997E-2</v>
      </c>
      <c r="AF8" s="37">
        <v>5.0000000000000001E-3</v>
      </c>
      <c r="AG8" s="37">
        <v>0.03</v>
      </c>
      <c r="AH8" s="43">
        <f t="shared" si="2"/>
        <v>4.3999999999999997E-2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139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2.2081360000000001</v>
      </c>
      <c r="J13" s="34">
        <f t="shared" ref="J13:J20" si="14">I13*V13</f>
        <v>10.987722675575707</v>
      </c>
      <c r="K13" s="34">
        <f t="shared" ref="K13:K20" si="15">I13*X13</f>
        <v>2.6346927574275147E-2</v>
      </c>
      <c r="L13" s="34">
        <f t="shared" ref="L13:L20" si="16">((D$2+D$3+D$4)*AA13)</f>
        <v>172.69677599999994</v>
      </c>
      <c r="M13" s="34">
        <f t="shared" ref="M13:N20" si="17">L13*Y13</f>
        <v>120.54234964799996</v>
      </c>
      <c r="N13" s="34">
        <f t="shared" si="17"/>
        <v>1423.6051493428795</v>
      </c>
      <c r="O13" s="34">
        <f t="shared" ref="O13:O20" si="18">M13*AG13</f>
        <v>9.8844726711359971</v>
      </c>
      <c r="Q13" s="53"/>
      <c r="R13" s="54"/>
      <c r="S13" s="55"/>
      <c r="T13" s="54"/>
      <c r="U13" s="54"/>
      <c r="V13" s="38">
        <v>4.9760171817205583</v>
      </c>
      <c r="W13" s="36">
        <f t="shared" ref="W13:W20" si="19">(AE13/SUM(AE$2:AE$20))*0.98</f>
        <v>4.8999999999999998E-3</v>
      </c>
      <c r="X13" s="37">
        <v>1.1931750387781888E-2</v>
      </c>
      <c r="Y13" s="37">
        <v>0.69799999999999995</v>
      </c>
      <c r="Z13" s="56">
        <v>11.81</v>
      </c>
      <c r="AA13" s="36">
        <f t="shared" ref="AA13:AA20" si="20">(AF13/SUM(AF$6:AF$25))*0.98</f>
        <v>0.28909999999999997</v>
      </c>
      <c r="AB13" s="36">
        <f t="shared" ref="AB13:AB20" si="21">(AG13/SUM(AG$6:AG$25))*0.98</f>
        <v>0.10351330204110797</v>
      </c>
      <c r="AD13" s="42"/>
      <c r="AE13" s="37">
        <v>5.0000000000000001E-3</v>
      </c>
      <c r="AF13" s="37">
        <v>0.29499999999999998</v>
      </c>
      <c r="AG13" s="37">
        <v>8.2000000000000003E-2</v>
      </c>
      <c r="AH13" s="43">
        <f t="shared" si="2"/>
        <v>5.0000000000000001E-3</v>
      </c>
      <c r="AI13" s="43">
        <f t="shared" si="9"/>
        <v>0.29499999999999998</v>
      </c>
    </row>
    <row r="14" spans="1:39" x14ac:dyDescent="0.25">
      <c r="A14" s="32" t="s">
        <v>315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6.6244080000000007</v>
      </c>
      <c r="J14" s="34">
        <f t="shared" si="14"/>
        <v>37.578100758581314</v>
      </c>
      <c r="K14" s="34">
        <f t="shared" si="15"/>
        <v>0.46233416661379362</v>
      </c>
      <c r="L14" s="34">
        <f t="shared" si="16"/>
        <v>104.78889119999998</v>
      </c>
      <c r="M14" s="34">
        <f t="shared" si="17"/>
        <v>65.691819008519786</v>
      </c>
      <c r="N14" s="34">
        <f t="shared" si="17"/>
        <v>1079.9735045000655</v>
      </c>
      <c r="O14" s="34">
        <f t="shared" si="18"/>
        <v>6.1093391677923403</v>
      </c>
      <c r="Q14" s="53"/>
      <c r="R14" s="54"/>
      <c r="S14" s="55"/>
      <c r="T14" s="54"/>
      <c r="U14" s="54"/>
      <c r="V14" s="38">
        <v>5.6726730537402448</v>
      </c>
      <c r="W14" s="36">
        <f t="shared" si="19"/>
        <v>1.47E-2</v>
      </c>
      <c r="X14" s="37">
        <v>6.9792525854958445E-2</v>
      </c>
      <c r="Y14" s="37">
        <v>0.62689678510998303</v>
      </c>
      <c r="Z14" s="56">
        <v>16.440000000000001</v>
      </c>
      <c r="AA14" s="36">
        <f t="shared" si="20"/>
        <v>0.17541999999999999</v>
      </c>
      <c r="AB14" s="36">
        <f t="shared" si="21"/>
        <v>0.11739923280272001</v>
      </c>
      <c r="AD14" s="42"/>
      <c r="AE14" s="37">
        <v>1.4999999999999999E-2</v>
      </c>
      <c r="AF14" s="37">
        <v>0.17899999999999999</v>
      </c>
      <c r="AG14" s="37">
        <v>9.2999999999999999E-2</v>
      </c>
      <c r="AH14" s="43">
        <f t="shared" si="2"/>
        <v>1.4999999999999999E-2</v>
      </c>
      <c r="AI14" s="43">
        <f t="shared" si="9"/>
        <v>0.17899999999999999</v>
      </c>
    </row>
    <row r="15" spans="1:39" x14ac:dyDescent="0.25">
      <c r="A15" s="32" t="s">
        <v>525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48.589262399999996</v>
      </c>
      <c r="M15" s="34">
        <f t="shared" si="17"/>
        <v>32.726917171199993</v>
      </c>
      <c r="N15" s="34">
        <f t="shared" si="17"/>
        <v>451.63145696255992</v>
      </c>
      <c r="O15" s="34">
        <f t="shared" si="18"/>
        <v>4.5490414867967992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0.67354216867469874</v>
      </c>
      <c r="Z15" s="56">
        <v>13.8</v>
      </c>
      <c r="AA15" s="36">
        <f t="shared" si="20"/>
        <v>8.134000000000001E-2</v>
      </c>
      <c r="AB15" s="36">
        <f t="shared" si="21"/>
        <v>0.17546767053309767</v>
      </c>
      <c r="AD15" s="42"/>
      <c r="AE15" s="37">
        <v>0</v>
      </c>
      <c r="AF15" s="37">
        <v>8.3000000000000004E-2</v>
      </c>
      <c r="AG15" s="37">
        <v>0.13900000000000001</v>
      </c>
      <c r="AH15" s="43">
        <f t="shared" si="2"/>
        <v>0</v>
      </c>
      <c r="AI15" s="43">
        <f t="shared" si="9"/>
        <v>8.3000000000000004E-2</v>
      </c>
    </row>
    <row r="16" spans="1:39" x14ac:dyDescent="0.25">
      <c r="A16" s="32" t="s">
        <v>360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4.4162720000000002</v>
      </c>
      <c r="J16" s="34">
        <f t="shared" si="14"/>
        <v>18.003401359944398</v>
      </c>
      <c r="K16" s="34">
        <f t="shared" si="15"/>
        <v>0.1096284380895641</v>
      </c>
      <c r="L16" s="34">
        <f t="shared" si="16"/>
        <v>15.806145599999997</v>
      </c>
      <c r="M16" s="34">
        <f t="shared" si="17"/>
        <v>10.827209735999999</v>
      </c>
      <c r="N16" s="34">
        <f t="shared" si="17"/>
        <v>105.56529492599999</v>
      </c>
      <c r="O16" s="34">
        <f t="shared" si="18"/>
        <v>0.64963258415999992</v>
      </c>
      <c r="Q16" s="53"/>
      <c r="R16" s="54"/>
      <c r="S16" s="55"/>
      <c r="T16" s="54"/>
      <c r="U16" s="54"/>
      <c r="V16" s="38">
        <v>4.076606096713336</v>
      </c>
      <c r="W16" s="36">
        <f t="shared" si="19"/>
        <v>9.7999999999999997E-3</v>
      </c>
      <c r="X16" s="37">
        <v>2.4823751365306325E-2</v>
      </c>
      <c r="Y16" s="37">
        <v>0.68500000000000005</v>
      </c>
      <c r="Z16" s="56">
        <v>9.75</v>
      </c>
      <c r="AA16" s="36">
        <f t="shared" si="20"/>
        <v>2.6460000000000001E-2</v>
      </c>
      <c r="AB16" s="36">
        <f t="shared" si="21"/>
        <v>7.5741440517883868E-2</v>
      </c>
      <c r="AD16" s="42"/>
      <c r="AE16" s="37">
        <v>0.01</v>
      </c>
      <c r="AF16" s="37">
        <v>2.7E-2</v>
      </c>
      <c r="AG16" s="37">
        <v>0.06</v>
      </c>
      <c r="AH16" s="43">
        <f t="shared" si="2"/>
        <v>0.01</v>
      </c>
      <c r="AI16" s="43">
        <f t="shared" si="9"/>
        <v>2.7E-2</v>
      </c>
    </row>
    <row r="17" spans="1:35" x14ac:dyDescent="0.25">
      <c r="A17" s="32" t="s">
        <v>680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5.8541279999999984</v>
      </c>
      <c r="M17" s="34">
        <f t="shared" si="17"/>
        <v>3.8637244799999992</v>
      </c>
      <c r="N17" s="34">
        <f t="shared" si="17"/>
        <v>46.75106620799999</v>
      </c>
      <c r="O17" s="34">
        <f t="shared" si="18"/>
        <v>0.23182346879999993</v>
      </c>
      <c r="Q17" s="53"/>
      <c r="R17" s="54"/>
      <c r="S17" s="55"/>
      <c r="T17" s="54"/>
      <c r="U17" s="54"/>
      <c r="V17" s="38">
        <v>0</v>
      </c>
      <c r="W17" s="36">
        <f t="shared" si="19"/>
        <v>0</v>
      </c>
      <c r="X17" s="37">
        <v>0</v>
      </c>
      <c r="Y17" s="37">
        <v>0.66</v>
      </c>
      <c r="Z17" s="56">
        <v>12.1</v>
      </c>
      <c r="AA17" s="36">
        <f t="shared" si="20"/>
        <v>9.7999999999999997E-3</v>
      </c>
      <c r="AB17" s="36">
        <f t="shared" si="21"/>
        <v>7.5741440517883868E-2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" si="22">(AE18/SUM(AE$2:AE$20))*0.98</f>
        <v>0</v>
      </c>
      <c r="X18" s="37">
        <v>0</v>
      </c>
      <c r="Y18" s="37">
        <v>0</v>
      </c>
      <c r="Z18" s="56">
        <v>0</v>
      </c>
      <c r="AA18" s="36">
        <f t="shared" ref="AA18" si="23">(AF18/SUM(AF$6:AF$25))*0.98</f>
        <v>0</v>
      </c>
      <c r="AB18" s="36">
        <f t="shared" ref="AB18" si="24">(AG18/SUM(AG$6:AG$25))*0.98</f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377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101.86182719999996</v>
      </c>
      <c r="M22" s="34">
        <f t="shared" ref="M22:N25" si="25">L22*Y22</f>
        <v>75.275890300799972</v>
      </c>
      <c r="N22" s="34">
        <f t="shared" si="25"/>
        <v>825.77651659977573</v>
      </c>
      <c r="O22" s="34">
        <f>M22*AG22</f>
        <v>5.9467953337631982</v>
      </c>
      <c r="Q22" s="53"/>
      <c r="R22" s="54"/>
      <c r="S22" s="55"/>
      <c r="T22" s="54"/>
      <c r="U22" s="54"/>
      <c r="V22" s="59"/>
      <c r="W22" s="60"/>
      <c r="X22" s="54"/>
      <c r="Y22" s="37">
        <v>0.73899999999999999</v>
      </c>
      <c r="Z22" s="56">
        <v>10.97</v>
      </c>
      <c r="AA22" s="36">
        <f t="shared" ref="AA22:AB25" si="26">(AF22/SUM(AF$6:AF$25))*0.98</f>
        <v>0.17051999999999998</v>
      </c>
      <c r="AB22" s="36">
        <f t="shared" si="26"/>
        <v>9.9726230015213774E-2</v>
      </c>
      <c r="AD22" s="42"/>
      <c r="AE22" s="42"/>
      <c r="AF22" s="37">
        <v>0.17399999999999999</v>
      </c>
      <c r="AG22" s="37">
        <v>7.9000000000000001E-2</v>
      </c>
      <c r="AH22" s="43"/>
      <c r="AI22" s="43">
        <f t="shared" si="9"/>
        <v>0.17399999999999999</v>
      </c>
    </row>
    <row r="23" spans="1:35" x14ac:dyDescent="0.25">
      <c r="A23" s="32" t="s">
        <v>316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14.635319999999998</v>
      </c>
      <c r="M23" s="34">
        <f t="shared" si="25"/>
        <v>10.478889119999998</v>
      </c>
      <c r="N23" s="34">
        <f t="shared" si="25"/>
        <v>84.662462233766234</v>
      </c>
      <c r="O23" s="34">
        <f>M23*AG23</f>
        <v>0.75448001663999975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8.0793356303560397</v>
      </c>
      <c r="AA23" s="36">
        <f t="shared" si="26"/>
        <v>2.4500000000000001E-2</v>
      </c>
      <c r="AB23" s="36">
        <f t="shared" si="26"/>
        <v>9.088972862146065E-2</v>
      </c>
      <c r="AD23" s="42"/>
      <c r="AE23" s="42"/>
      <c r="AF23" s="37">
        <v>2.5000000000000001E-2</v>
      </c>
      <c r="AG23" s="37">
        <v>7.1999999999999995E-2</v>
      </c>
      <c r="AH23" s="43"/>
      <c r="AI23" s="43">
        <f t="shared" si="9"/>
        <v>2.5000000000000001E-2</v>
      </c>
    </row>
    <row r="24" spans="1:35" x14ac:dyDescent="0.25">
      <c r="A24" s="32" t="s">
        <v>628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2.9270639999999992</v>
      </c>
      <c r="M24" s="34">
        <f t="shared" si="25"/>
        <v>1.9815572821333325</v>
      </c>
      <c r="N24" s="34">
        <f t="shared" si="25"/>
        <v>20.112806413653324</v>
      </c>
      <c r="O24" s="34">
        <f>M24*AG24</f>
        <v>0.11604182613333328</v>
      </c>
      <c r="Q24" s="53"/>
      <c r="R24" s="54"/>
      <c r="S24" s="55"/>
      <c r="T24" s="54"/>
      <c r="U24" s="54"/>
      <c r="V24" s="59"/>
      <c r="W24" s="60"/>
      <c r="X24" s="54"/>
      <c r="Y24" s="37">
        <v>0.67697777777777768</v>
      </c>
      <c r="Z24" s="56">
        <v>10.15</v>
      </c>
      <c r="AA24" s="36">
        <f t="shared" si="26"/>
        <v>4.8999999999999998E-3</v>
      </c>
      <c r="AB24" s="36">
        <f t="shared" si="26"/>
        <v>7.3924812830392608E-2</v>
      </c>
      <c r="AD24" s="42"/>
      <c r="AE24" s="42"/>
      <c r="AF24" s="37">
        <v>5.0000000000000001E-3</v>
      </c>
      <c r="AG24" s="37">
        <v>5.8560924369747892E-2</v>
      </c>
      <c r="AH24" s="43"/>
      <c r="AI24" s="43">
        <f t="shared" si="9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1048</v>
      </c>
      <c r="E29" s="75">
        <v>0.56999999999999995</v>
      </c>
      <c r="F29" s="76">
        <f>1-E29</f>
        <v>0.43000000000000005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597.3599999999999</v>
      </c>
      <c r="E32" s="80">
        <f>SUM(E2:E4)</f>
        <v>410.43182764830181</v>
      </c>
      <c r="F32" s="80">
        <f>SUM(F2:F4)</f>
        <v>4723.2402725986276</v>
      </c>
      <c r="G32" s="80">
        <f>SUM(G2:G4)</f>
        <v>32.622873328703186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450.64000000000004</v>
      </c>
      <c r="E35" s="80">
        <f>D35*G29</f>
        <v>2005.3480000000002</v>
      </c>
      <c r="F35" s="80">
        <v>21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9"/>
      <c r="Q37" s="89"/>
      <c r="R37" s="89"/>
      <c r="S37" s="88"/>
      <c r="T37" s="90"/>
      <c r="U37" s="90"/>
      <c r="V37" s="82"/>
      <c r="W37" s="88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441.62720000000007</v>
      </c>
      <c r="E38" s="91">
        <f>SUM(J2:J4,J6:J11,J13:J20)</f>
        <v>2001.2824994918619</v>
      </c>
      <c r="F38" s="91">
        <f>SUM(K2:K4,K6:K11,K13:K20)</f>
        <v>20.962299377170584</v>
      </c>
      <c r="G38" s="91">
        <f>SUM(L6:L11,L13:L20,L22:L25)</f>
        <v>585.41279999999972</v>
      </c>
      <c r="H38" s="91">
        <f>SUM(M6:M11,M13:M20,M22:M25)</f>
        <v>410.28191945992478</v>
      </c>
      <c r="I38" s="91">
        <f>SUM(N6:N11,N13:N20,N22:N25)</f>
        <v>4719.3801265241682</v>
      </c>
      <c r="J38" s="91">
        <f>SUM(O6:O11,O13:O20,O22:O25)</f>
        <v>32.593138915693764</v>
      </c>
      <c r="P38" s="47"/>
      <c r="Q38" s="47"/>
      <c r="R38" s="47"/>
      <c r="S38" s="46"/>
      <c r="T38" s="48"/>
      <c r="U38" s="48"/>
      <c r="V38" s="82"/>
      <c r="W38" s="46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9.0127999999999702</v>
      </c>
      <c r="E39" s="92">
        <f>E35-E38</f>
        <v>4.0655005081382569</v>
      </c>
      <c r="F39" s="92">
        <f>F35-F38</f>
        <v>3.7700622829415664E-2</v>
      </c>
      <c r="G39" s="92">
        <f>SUM(D2:D4)-G38</f>
        <v>11.94720000000018</v>
      </c>
      <c r="H39" s="92">
        <f>E32-H38</f>
        <v>0.14990818837702591</v>
      </c>
      <c r="I39" s="92">
        <f>F32-I38</f>
        <v>3.8601460744594078</v>
      </c>
      <c r="J39" s="92">
        <f>G32-J38</f>
        <v>2.9734413009421701E-2</v>
      </c>
      <c r="P39" s="47"/>
      <c r="Q39" s="47"/>
      <c r="R39" s="47"/>
      <c r="S39" s="46"/>
      <c r="T39" s="48"/>
      <c r="U39" s="48"/>
      <c r="V39" s="82"/>
      <c r="W39" s="46"/>
      <c r="X39" s="65"/>
      <c r="Y39" s="65"/>
      <c r="Z39" s="82"/>
      <c r="AB39" s="33"/>
      <c r="AG39" s="65"/>
    </row>
    <row r="40" spans="1:33" x14ac:dyDescent="0.25">
      <c r="N40" s="47"/>
      <c r="O40" s="47"/>
      <c r="P40" s="47"/>
      <c r="Q40" s="47"/>
      <c r="R40" s="47"/>
      <c r="T40" s="47"/>
      <c r="U40" s="47"/>
      <c r="V40" s="82"/>
      <c r="W40" s="47"/>
      <c r="X40" s="65"/>
      <c r="Y40" s="65"/>
      <c r="Z40" s="82"/>
      <c r="AG40" s="65"/>
    </row>
    <row r="41" spans="1:33" x14ac:dyDescent="0.25">
      <c r="N41" s="47"/>
      <c r="O41" s="47"/>
      <c r="P41" s="47"/>
      <c r="Q41" s="47"/>
      <c r="R41" s="47"/>
      <c r="T41" s="47"/>
      <c r="U41" s="47"/>
      <c r="V41" s="82"/>
      <c r="W41" s="47"/>
      <c r="X41" s="65"/>
      <c r="Y41" s="65"/>
      <c r="Z41" s="82"/>
      <c r="AG41" s="65"/>
    </row>
    <row r="42" spans="1:33" x14ac:dyDescent="0.25">
      <c r="N42" s="47"/>
      <c r="O42" s="47"/>
      <c r="P42" s="47"/>
      <c r="Q42" s="47"/>
      <c r="R42" s="47"/>
      <c r="T42" s="47"/>
      <c r="U42" s="47"/>
      <c r="V42" s="82"/>
      <c r="W42" s="47"/>
      <c r="X42" s="65"/>
      <c r="Y42" s="65"/>
      <c r="Z42" s="82"/>
      <c r="AG42" s="65"/>
    </row>
    <row r="43" spans="1:33" x14ac:dyDescent="0.25">
      <c r="N43" s="47"/>
      <c r="O43" s="47"/>
      <c r="P43" s="47"/>
      <c r="Q43" s="47"/>
      <c r="R43" s="47"/>
      <c r="T43" s="47"/>
      <c r="U43" s="47"/>
      <c r="V43" s="82"/>
      <c r="W43" s="47"/>
      <c r="X43" s="65"/>
      <c r="Y43" s="65"/>
      <c r="Z43" s="82"/>
      <c r="AG43" s="65"/>
    </row>
    <row r="44" spans="1:33" x14ac:dyDescent="0.25">
      <c r="N44" s="47"/>
      <c r="O44" s="47"/>
      <c r="P44" s="47"/>
      <c r="Q44" s="47"/>
      <c r="R44" s="47"/>
      <c r="T44" s="47"/>
      <c r="U44" s="47"/>
      <c r="V44" s="82"/>
      <c r="W44" s="47"/>
      <c r="X44" s="65"/>
      <c r="Y44" s="65"/>
      <c r="Z44" s="82"/>
      <c r="AG44" s="65"/>
    </row>
    <row r="45" spans="1:33" x14ac:dyDescent="0.25">
      <c r="N45" s="47"/>
      <c r="O45" s="47"/>
      <c r="P45" s="47"/>
      <c r="Q45" s="47"/>
      <c r="R45" s="47"/>
      <c r="T45" s="47"/>
      <c r="U45" s="47"/>
      <c r="V45" s="82"/>
      <c r="W45" s="47"/>
      <c r="X45" s="65"/>
      <c r="Y45" s="65"/>
      <c r="Z45" s="82"/>
      <c r="AG45" s="65"/>
    </row>
    <row r="46" spans="1:33" x14ac:dyDescent="0.25">
      <c r="N46" s="47"/>
      <c r="O46" s="47"/>
      <c r="P46" s="47"/>
      <c r="Q46" s="47"/>
      <c r="R46" s="47"/>
      <c r="T46" s="47"/>
      <c r="U46" s="47"/>
      <c r="V46" s="82"/>
      <c r="W46" s="47"/>
      <c r="X46" s="65"/>
      <c r="Y46" s="65"/>
      <c r="Z46" s="82"/>
      <c r="AG46" s="65"/>
    </row>
    <row r="47" spans="1:33" x14ac:dyDescent="0.25">
      <c r="N47" s="47"/>
      <c r="O47" s="47"/>
      <c r="P47" s="47"/>
      <c r="Q47" s="47"/>
      <c r="R47" s="47"/>
      <c r="T47" s="47"/>
      <c r="U47" s="47"/>
      <c r="V47" s="82"/>
      <c r="W47" s="47"/>
      <c r="X47" s="65"/>
      <c r="Y47" s="65"/>
      <c r="Z47" s="82"/>
      <c r="AG47" s="65"/>
    </row>
    <row r="48" spans="1:33" x14ac:dyDescent="0.25">
      <c r="N48" s="47"/>
      <c r="O48" s="47"/>
      <c r="P48" s="47"/>
      <c r="Q48" s="47"/>
      <c r="R48" s="47"/>
      <c r="T48" s="47"/>
      <c r="U48" s="47"/>
      <c r="V48" s="82"/>
      <c r="W48" s="47"/>
      <c r="X48" s="65"/>
      <c r="Y48" s="65"/>
      <c r="Z48" s="82"/>
      <c r="AG48" s="65"/>
    </row>
    <row r="49" spans="14:33" x14ac:dyDescent="0.25">
      <c r="N49" s="47"/>
      <c r="O49" s="47"/>
      <c r="P49" s="47"/>
      <c r="Q49" s="47"/>
      <c r="R49" s="47"/>
      <c r="T49" s="47"/>
      <c r="U49" s="47"/>
      <c r="V49" s="82"/>
      <c r="W49" s="47"/>
      <c r="X49" s="65"/>
      <c r="Y49" s="65"/>
      <c r="Z49" s="82"/>
      <c r="AG49" s="65"/>
    </row>
    <row r="50" spans="14:33" x14ac:dyDescent="0.25">
      <c r="N50" s="47"/>
      <c r="O50" s="47"/>
      <c r="P50" s="47"/>
      <c r="Q50" s="47"/>
      <c r="R50" s="47"/>
      <c r="T50" s="47"/>
      <c r="U50" s="47"/>
      <c r="V50" s="82"/>
      <c r="W50" s="47"/>
      <c r="X50" s="65"/>
      <c r="Y50" s="65"/>
      <c r="Z50" s="82"/>
      <c r="AG50" s="65"/>
    </row>
    <row r="51" spans="14:33" x14ac:dyDescent="0.25">
      <c r="N51" s="47"/>
      <c r="O51" s="47"/>
      <c r="P51" s="47"/>
      <c r="Q51" s="47"/>
      <c r="R51" s="47"/>
      <c r="T51" s="47"/>
      <c r="U51" s="47"/>
      <c r="W51" s="47"/>
      <c r="X51" s="48"/>
      <c r="Y51" s="65"/>
      <c r="Z51" s="82"/>
      <c r="AG51" s="65"/>
    </row>
    <row r="52" spans="14:33" x14ac:dyDescent="0.25">
      <c r="N52" s="47"/>
      <c r="O52" s="47"/>
      <c r="P52" s="47"/>
      <c r="Q52" s="47"/>
      <c r="R52" s="47"/>
      <c r="T52" s="47"/>
      <c r="U52" s="47"/>
      <c r="W52" s="47"/>
      <c r="X52" s="48"/>
      <c r="Y52" s="65"/>
      <c r="Z52" s="82"/>
      <c r="AG52" s="65"/>
    </row>
    <row r="53" spans="14:33" x14ac:dyDescent="0.25">
      <c r="N53" s="47"/>
      <c r="O53" s="47"/>
      <c r="P53" s="47"/>
      <c r="Q53" s="47"/>
      <c r="R53" s="47"/>
      <c r="T53" s="47"/>
      <c r="U53" s="47"/>
      <c r="W53" s="47"/>
      <c r="X53" s="48"/>
      <c r="Y53" s="65"/>
      <c r="Z53" s="82"/>
      <c r="AG53" s="65"/>
    </row>
    <row r="54" spans="14:33" x14ac:dyDescent="0.25">
      <c r="N54" s="47"/>
      <c r="O54" s="47"/>
      <c r="P54" s="47"/>
      <c r="Q54" s="47"/>
      <c r="R54" s="47"/>
      <c r="T54" s="47"/>
      <c r="U54" s="47"/>
      <c r="W54" s="47"/>
      <c r="X54" s="48"/>
      <c r="Y54" s="65"/>
      <c r="Z54" s="82"/>
      <c r="AG54" s="65"/>
    </row>
    <row r="55" spans="14:33" x14ac:dyDescent="0.25">
      <c r="N55" s="47"/>
      <c r="O55" s="47"/>
      <c r="P55" s="47"/>
      <c r="Q55" s="47"/>
      <c r="R55" s="47"/>
      <c r="T55" s="47"/>
      <c r="U55" s="47"/>
      <c r="W55" s="47"/>
      <c r="X55" s="48"/>
      <c r="Y55" s="65"/>
      <c r="Z55" s="82"/>
      <c r="AG55" s="65"/>
    </row>
    <row r="56" spans="14:33" x14ac:dyDescent="0.25">
      <c r="N56" s="47"/>
      <c r="O56" s="47"/>
      <c r="P56" s="47"/>
      <c r="Q56" s="47"/>
      <c r="R56" s="47"/>
      <c r="T56" s="47"/>
      <c r="U56" s="47"/>
      <c r="W56" s="47"/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3" priority="1" operator="lessThan">
      <formula>0</formula>
    </cfRule>
  </conditionalFormatting>
  <conditionalFormatting sqref="W28 AA28:AF28">
    <cfRule type="cellIs" dxfId="4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63</v>
      </c>
    </row>
    <row r="2" spans="1:39" x14ac:dyDescent="0.25">
      <c r="A2" s="32" t="s">
        <v>108</v>
      </c>
      <c r="B2" s="33" t="s">
        <v>7</v>
      </c>
      <c r="C2" s="33">
        <f>VLOOKUP($AM$1,DST!C:D,2,FALSE)</f>
        <v>11</v>
      </c>
      <c r="D2" s="34">
        <f>D$32*Q2</f>
        <v>524.46636000000001</v>
      </c>
      <c r="E2" s="34">
        <f>D2*R2</f>
        <v>340.93206060728272</v>
      </c>
      <c r="F2" s="34">
        <f>E2*S2</f>
        <v>4036.6355975902275</v>
      </c>
      <c r="G2" s="34">
        <f>E2*T2</f>
        <v>27.274564848582617</v>
      </c>
      <c r="H2" s="34">
        <f>D2*U2</f>
        <v>10.353645370885355</v>
      </c>
      <c r="I2" s="34">
        <f>D$35*W2</f>
        <v>44.803071600000003</v>
      </c>
      <c r="J2" s="34">
        <f>I2*V2</f>
        <v>192.6377548323905</v>
      </c>
      <c r="K2" s="34">
        <f>I2*X2</f>
        <v>1.1200767900000002</v>
      </c>
      <c r="L2" s="35"/>
      <c r="M2" s="35"/>
      <c r="N2" s="35"/>
      <c r="O2" s="35"/>
      <c r="Q2" s="36">
        <f>(AD2/SUM(AD$2:AD$25))</f>
        <v>0.99</v>
      </c>
      <c r="R2" s="37">
        <v>0.65005515436163097</v>
      </c>
      <c r="S2" s="38">
        <v>11.84</v>
      </c>
      <c r="T2" s="37">
        <v>0.08</v>
      </c>
      <c r="U2" s="37">
        <v>1.9741295458655068E-2</v>
      </c>
      <c r="V2" s="38">
        <v>4.2996550895494963</v>
      </c>
      <c r="W2" s="36">
        <f>(AE2/SUM(AE$2:AE$20))*0.98</f>
        <v>9.3100000000000002E-2</v>
      </c>
      <c r="X2" s="37">
        <v>2.5000000000000001E-2</v>
      </c>
      <c r="Y2" s="39"/>
      <c r="Z2" s="40"/>
      <c r="AA2" s="41"/>
      <c r="AB2" s="41"/>
      <c r="AD2" s="37">
        <v>0.99</v>
      </c>
      <c r="AE2" s="37">
        <v>9.5000000000000001E-2</v>
      </c>
      <c r="AF2" s="42"/>
      <c r="AG2" s="42"/>
      <c r="AH2" s="43">
        <f>AE2/(SUM(AE$2:AE$25))</f>
        <v>9.5000000000000001E-2</v>
      </c>
    </row>
    <row r="3" spans="1:39" x14ac:dyDescent="0.25">
      <c r="A3" s="32" t="s">
        <v>342</v>
      </c>
      <c r="B3" s="33" t="s">
        <v>7</v>
      </c>
      <c r="C3" s="33">
        <f>VLOOKUP($AM$1,DST!C:D,2,FALSE)</f>
        <v>11</v>
      </c>
      <c r="D3" s="34">
        <f>D$32*Q3</f>
        <v>5.2976400000000048</v>
      </c>
      <c r="E3" s="34">
        <f t="shared" ref="E3:F4" si="0">D3*R3</f>
        <v>3.1190413527540626</v>
      </c>
      <c r="F3" s="34">
        <f t="shared" si="0"/>
        <v>32.004419264467913</v>
      </c>
      <c r="G3" s="34">
        <f t="shared" ref="G3:G4" si="1">E3*T3</f>
        <v>0.21601701880685328</v>
      </c>
      <c r="H3" s="34">
        <f>D3*U3</f>
        <v>8.1991861152966194E-2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0.58876053351191471</v>
      </c>
      <c r="S3" s="38">
        <v>10.260979462875198</v>
      </c>
      <c r="T3" s="37">
        <v>6.9257503949447088E-2</v>
      </c>
      <c r="U3" s="37">
        <v>1.5477054151087299E-2</v>
      </c>
      <c r="V3" s="38">
        <v>5.5</v>
      </c>
      <c r="W3" s="36">
        <f>(AE3/SUM(AE$2:AE$20))*0.98</f>
        <v>0</v>
      </c>
      <c r="X3" s="37">
        <v>0.02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244.29464303999998</v>
      </c>
      <c r="J6" s="34">
        <f t="shared" ref="J6:J11" si="4">I6*V6</f>
        <v>992.89385363042413</v>
      </c>
      <c r="K6" s="34">
        <f t="shared" ref="K6:K11" si="5">I6*X6</f>
        <v>11.237553579839998</v>
      </c>
      <c r="L6" s="34">
        <f t="shared" ref="L6:L11" si="6">((D$2+D$3+D$4)*AA6)</f>
        <v>45.916429507537686</v>
      </c>
      <c r="M6" s="34">
        <f t="shared" ref="M6:N11" si="7">L6*Y6</f>
        <v>34.693487474221634</v>
      </c>
      <c r="N6" s="34">
        <f t="shared" si="7"/>
        <v>264.40452323508913</v>
      </c>
      <c r="O6" s="34">
        <f t="shared" ref="O6:O11" si="8">M6*AG6</f>
        <v>1.1790050215303887</v>
      </c>
      <c r="Q6" s="53"/>
      <c r="R6" s="54"/>
      <c r="S6" s="55"/>
      <c r="T6" s="54"/>
      <c r="U6" s="54"/>
      <c r="V6" s="38">
        <v>4.0643292103128559</v>
      </c>
      <c r="W6" s="36">
        <f t="shared" ref="W6:W11" si="9">(AE6/SUM(AE$2:AE$20))*0.98</f>
        <v>0.50763999999999998</v>
      </c>
      <c r="X6" s="37">
        <v>4.5999999999999999E-2</v>
      </c>
      <c r="Y6" s="37">
        <v>0.75557894736842102</v>
      </c>
      <c r="Z6" s="56">
        <v>7.6211572397139404</v>
      </c>
      <c r="AA6" s="36">
        <f t="shared" ref="AA6:AB11" si="10">(AF6/SUM(AF$6:AF$25))*0.98</f>
        <v>8.6673366834170845E-2</v>
      </c>
      <c r="AB6" s="36">
        <f t="shared" si="10"/>
        <v>4.4130485742490448E-2</v>
      </c>
      <c r="AD6" s="42"/>
      <c r="AE6" s="37">
        <v>0.51800000000000002</v>
      </c>
      <c r="AF6" s="37">
        <v>8.7999999999999995E-2</v>
      </c>
      <c r="AG6" s="37">
        <v>3.398346800408656E-2</v>
      </c>
      <c r="AH6" s="43">
        <f t="shared" si="2"/>
        <v>0.51800000000000002</v>
      </c>
      <c r="AI6" s="43">
        <f>AF6/(SUM(AF$6:AF$25))</f>
        <v>8.8442211055276373E-2</v>
      </c>
    </row>
    <row r="7" spans="1:39" x14ac:dyDescent="0.25">
      <c r="A7" s="122" t="s">
        <v>446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101.3964252</v>
      </c>
      <c r="J7" s="34">
        <f t="shared" si="4"/>
        <v>415.49452903946116</v>
      </c>
      <c r="K7" s="34">
        <f t="shared" si="5"/>
        <v>3.2446856064</v>
      </c>
      <c r="L7" s="34">
        <f t="shared" si="6"/>
        <v>10.95732976884422</v>
      </c>
      <c r="M7" s="34">
        <f t="shared" si="7"/>
        <v>7.0160391250452259</v>
      </c>
      <c r="N7" s="34">
        <f t="shared" si="7"/>
        <v>49.793454542613063</v>
      </c>
      <c r="O7" s="34">
        <f t="shared" si="8"/>
        <v>0.26660948675171858</v>
      </c>
      <c r="Q7" s="53"/>
      <c r="R7" s="54"/>
      <c r="S7" s="55"/>
      <c r="T7" s="54"/>
      <c r="U7" s="54"/>
      <c r="V7" s="38">
        <v>4.0977236447923726</v>
      </c>
      <c r="W7" s="36">
        <f t="shared" si="9"/>
        <v>0.2107</v>
      </c>
      <c r="X7" s="37">
        <v>3.2000000000000001E-2</v>
      </c>
      <c r="Y7" s="37">
        <v>0.64030555555555557</v>
      </c>
      <c r="Z7" s="56">
        <v>7.0970890633811976</v>
      </c>
      <c r="AA7" s="36">
        <f t="shared" si="10"/>
        <v>2.0683417085427133E-2</v>
      </c>
      <c r="AB7" s="36">
        <f t="shared" si="10"/>
        <v>4.9346301502041529E-2</v>
      </c>
      <c r="AD7" s="42"/>
      <c r="AE7" s="37">
        <v>0.215</v>
      </c>
      <c r="AF7" s="37">
        <v>2.1000000000000001E-2</v>
      </c>
      <c r="AG7" s="37">
        <v>3.7999999999999999E-2</v>
      </c>
      <c r="AH7" s="43">
        <f t="shared" si="2"/>
        <v>0.215</v>
      </c>
      <c r="AI7" s="43">
        <f t="shared" ref="AI7:AI25" si="11">AF7/(SUM(AF$6:AF$25))</f>
        <v>2.1105527638190954E-2</v>
      </c>
    </row>
    <row r="8" spans="1:39" x14ac:dyDescent="0.25">
      <c r="A8" s="32" t="s">
        <v>587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41.973403919999996</v>
      </c>
      <c r="J8" s="34">
        <f t="shared" si="4"/>
        <v>173.76610074907819</v>
      </c>
      <c r="K8" s="34">
        <f t="shared" si="5"/>
        <v>1.1752553097599998</v>
      </c>
      <c r="L8" s="34">
        <f t="shared" si="6"/>
        <v>12.000884984924623</v>
      </c>
      <c r="M8" s="34">
        <f t="shared" si="7"/>
        <v>10.15849271057235</v>
      </c>
      <c r="N8" s="34">
        <f t="shared" si="7"/>
        <v>67.242907432196887</v>
      </c>
      <c r="O8" s="34">
        <f t="shared" si="8"/>
        <v>0.30238127295348538</v>
      </c>
      <c r="Q8" s="53"/>
      <c r="R8" s="54"/>
      <c r="S8" s="55"/>
      <c r="T8" s="54"/>
      <c r="U8" s="54"/>
      <c r="V8" s="38">
        <v>4.1399096694723871</v>
      </c>
      <c r="W8" s="36">
        <f t="shared" si="9"/>
        <v>8.7219999999999992E-2</v>
      </c>
      <c r="X8" s="37">
        <v>2.8000000000000001E-2</v>
      </c>
      <c r="Y8" s="37">
        <v>0.84647863247863253</v>
      </c>
      <c r="Z8" s="56">
        <v>6.6193784204042885</v>
      </c>
      <c r="AA8" s="36">
        <f t="shared" si="10"/>
        <v>2.2653266331658289E-2</v>
      </c>
      <c r="AB8" s="36">
        <f t="shared" si="10"/>
        <v>3.8654194622802528E-2</v>
      </c>
      <c r="AD8" s="42"/>
      <c r="AE8" s="37">
        <v>8.8999999999999996E-2</v>
      </c>
      <c r="AF8" s="37">
        <v>2.3E-2</v>
      </c>
      <c r="AG8" s="37">
        <v>2.9766352309214643E-2</v>
      </c>
      <c r="AH8" s="43">
        <f t="shared" si="2"/>
        <v>8.8999999999999996E-2</v>
      </c>
      <c r="AI8" s="43">
        <f t="shared" si="11"/>
        <v>2.3115577889447233E-2</v>
      </c>
    </row>
    <row r="9" spans="1:39" x14ac:dyDescent="0.25">
      <c r="A9" s="32" t="s">
        <v>629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6.1309466399999994</v>
      </c>
      <c r="J9" s="34">
        <f t="shared" si="4"/>
        <v>23.537363195570531</v>
      </c>
      <c r="K9" s="34">
        <f t="shared" si="5"/>
        <v>0.153273666</v>
      </c>
      <c r="L9" s="34">
        <f t="shared" si="6"/>
        <v>5.2177760804020092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3.8391074947555786</v>
      </c>
      <c r="W9" s="36">
        <f t="shared" si="9"/>
        <v>1.274E-2</v>
      </c>
      <c r="X9" s="37">
        <v>2.5000000000000001E-2</v>
      </c>
      <c r="Y9" s="37">
        <v>0</v>
      </c>
      <c r="Z9" s="56">
        <v>6.0285120285120284</v>
      </c>
      <c r="AA9" s="36">
        <f t="shared" si="10"/>
        <v>9.8492462311557775E-3</v>
      </c>
      <c r="AB9" s="36">
        <f t="shared" si="10"/>
        <v>3.8957606448980157E-2</v>
      </c>
      <c r="AD9" s="42"/>
      <c r="AE9" s="37">
        <v>1.2999999999999999E-2</v>
      </c>
      <c r="AF9" s="37">
        <v>0.01</v>
      </c>
      <c r="AG9" s="37">
        <v>0.03</v>
      </c>
      <c r="AH9" s="43">
        <f t="shared" si="2"/>
        <v>1.2999999999999999E-2</v>
      </c>
      <c r="AI9" s="43">
        <f t="shared" si="11"/>
        <v>1.0050251256281405E-2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607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2.3580563999999997</v>
      </c>
      <c r="J13" s="34">
        <f t="shared" ref="J13:J20" si="13">I13*V13</f>
        <v>11.407058163795424</v>
      </c>
      <c r="K13" s="34">
        <f t="shared" ref="K13:K20" si="14">I13*X13</f>
        <v>2.3580563999999998E-2</v>
      </c>
      <c r="L13" s="34">
        <f t="shared" ref="L13:L20" si="15">((D$2+D$3+D$4)*AA13)</f>
        <v>109.051520080402</v>
      </c>
      <c r="M13" s="34">
        <f t="shared" ref="M13:N20" si="16">L13*Y13</f>
        <v>63.540685700180887</v>
      </c>
      <c r="N13" s="34">
        <f t="shared" si="16"/>
        <v>1032.5361426279394</v>
      </c>
      <c r="O13" s="34">
        <f t="shared" ref="O13:O20" si="17">M13*AG13</f>
        <v>7.3707195412209829</v>
      </c>
      <c r="Q13" s="53"/>
      <c r="R13" s="54"/>
      <c r="S13" s="55"/>
      <c r="T13" s="54"/>
      <c r="U13" s="54"/>
      <c r="V13" s="38">
        <v>4.8374831763122481</v>
      </c>
      <c r="W13" s="36">
        <f t="shared" ref="W13:W20" si="18">(AE13/SUM(AE$2:AE$20))*0.98</f>
        <v>4.8999999999999998E-3</v>
      </c>
      <c r="X13" s="37">
        <v>0.01</v>
      </c>
      <c r="Y13" s="37">
        <v>0.58266666666666656</v>
      </c>
      <c r="Z13" s="56">
        <v>16.25</v>
      </c>
      <c r="AA13" s="36">
        <f t="shared" ref="AA13:AB20" si="19">(AF13/SUM(AF$6:AF$25))*0.98</f>
        <v>0.20584924623115575</v>
      </c>
      <c r="AB13" s="36">
        <f t="shared" si="19"/>
        <v>0.15063607826938993</v>
      </c>
      <c r="AD13" s="42"/>
      <c r="AE13" s="37">
        <v>5.0000000000000001E-3</v>
      </c>
      <c r="AF13" s="37">
        <v>0.20899999999999999</v>
      </c>
      <c r="AG13" s="37">
        <v>0.11600000000000001</v>
      </c>
      <c r="AH13" s="43">
        <f t="shared" si="2"/>
        <v>5.0000000000000001E-3</v>
      </c>
      <c r="AI13" s="43">
        <f t="shared" si="11"/>
        <v>0.21005025125628138</v>
      </c>
    </row>
    <row r="14" spans="1:39" x14ac:dyDescent="0.25">
      <c r="A14" s="32" t="s">
        <v>378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14.1483384</v>
      </c>
      <c r="J14" s="34">
        <f t="shared" si="13"/>
        <v>103.7772294035012</v>
      </c>
      <c r="K14" s="34">
        <f t="shared" si="14"/>
        <v>0.56593353600000007</v>
      </c>
      <c r="L14" s="34">
        <f t="shared" si="15"/>
        <v>89.223970974874362</v>
      </c>
      <c r="M14" s="34">
        <f t="shared" si="16"/>
        <v>61.022436755073535</v>
      </c>
      <c r="N14" s="34">
        <f t="shared" si="16"/>
        <v>746.91462588210004</v>
      </c>
      <c r="O14" s="34">
        <f t="shared" si="17"/>
        <v>5.0038398139160298</v>
      </c>
      <c r="Q14" s="53"/>
      <c r="R14" s="54"/>
      <c r="S14" s="55"/>
      <c r="T14" s="54"/>
      <c r="U14" s="54"/>
      <c r="V14" s="38">
        <v>7.3349411407562313</v>
      </c>
      <c r="W14" s="36">
        <f t="shared" si="18"/>
        <v>2.9399999999999999E-2</v>
      </c>
      <c r="X14" s="37">
        <v>0.04</v>
      </c>
      <c r="Y14" s="37">
        <v>0.68392424242424232</v>
      </c>
      <c r="Z14" s="56">
        <v>12.24</v>
      </c>
      <c r="AA14" s="36">
        <f t="shared" si="19"/>
        <v>0.16842211055276379</v>
      </c>
      <c r="AB14" s="36">
        <f t="shared" si="19"/>
        <v>0.10648412429387909</v>
      </c>
      <c r="AD14" s="42"/>
      <c r="AE14" s="37">
        <v>0.03</v>
      </c>
      <c r="AF14" s="37">
        <v>0.17100000000000001</v>
      </c>
      <c r="AG14" s="37">
        <v>8.2000000000000003E-2</v>
      </c>
      <c r="AH14" s="43">
        <f t="shared" si="2"/>
        <v>0.03</v>
      </c>
      <c r="AI14" s="43">
        <f t="shared" si="11"/>
        <v>0.17185929648241205</v>
      </c>
    </row>
    <row r="15" spans="1:39" x14ac:dyDescent="0.25">
      <c r="A15" s="32" t="s">
        <v>572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4.7161127999999994</v>
      </c>
      <c r="J15" s="34">
        <f t="shared" si="13"/>
        <v>24.99271009319855</v>
      </c>
      <c r="K15" s="34">
        <f t="shared" si="14"/>
        <v>0.11790281999999999</v>
      </c>
      <c r="L15" s="34">
        <f t="shared" si="15"/>
        <v>85.049750110552765</v>
      </c>
      <c r="M15" s="34">
        <f t="shared" si="16"/>
        <v>53.587897463683738</v>
      </c>
      <c r="N15" s="34">
        <f t="shared" si="16"/>
        <v>676.53815153162077</v>
      </c>
      <c r="O15" s="34">
        <f t="shared" si="17"/>
        <v>4.0190923097762798</v>
      </c>
      <c r="Q15" s="53"/>
      <c r="R15" s="54"/>
      <c r="S15" s="55"/>
      <c r="T15" s="54"/>
      <c r="U15" s="54"/>
      <c r="V15" s="38">
        <v>5.2994300927659221</v>
      </c>
      <c r="W15" s="36">
        <f t="shared" si="18"/>
        <v>9.7999999999999997E-3</v>
      </c>
      <c r="X15" s="37">
        <v>2.5000000000000001E-2</v>
      </c>
      <c r="Y15" s="37">
        <v>0.63007707129094415</v>
      </c>
      <c r="Z15" s="56">
        <v>12.624831044922175</v>
      </c>
      <c r="AA15" s="36">
        <f t="shared" si="19"/>
        <v>0.1605427135678392</v>
      </c>
      <c r="AB15" s="36">
        <f t="shared" si="19"/>
        <v>9.7394016122450383E-2</v>
      </c>
      <c r="AD15" s="42"/>
      <c r="AE15" s="37">
        <v>0.01</v>
      </c>
      <c r="AF15" s="37">
        <v>0.16300000000000001</v>
      </c>
      <c r="AG15" s="37">
        <v>7.4999999999999997E-2</v>
      </c>
      <c r="AH15" s="43">
        <f t="shared" si="2"/>
        <v>0.01</v>
      </c>
      <c r="AI15" s="43">
        <f t="shared" si="11"/>
        <v>0.16381909547738693</v>
      </c>
    </row>
    <row r="16" spans="1:39" x14ac:dyDescent="0.25">
      <c r="A16" s="32" t="s">
        <v>526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11.790281999999999</v>
      </c>
      <c r="J16" s="34">
        <f t="shared" si="13"/>
        <v>53.064177325634297</v>
      </c>
      <c r="K16" s="34">
        <f t="shared" si="14"/>
        <v>0.35370845999999995</v>
      </c>
      <c r="L16" s="34">
        <f t="shared" si="15"/>
        <v>38.089765386934666</v>
      </c>
      <c r="M16" s="34">
        <f t="shared" si="16"/>
        <v>23.176769482008243</v>
      </c>
      <c r="N16" s="34">
        <f t="shared" si="16"/>
        <v>211.022985283228</v>
      </c>
      <c r="O16" s="34">
        <f t="shared" si="17"/>
        <v>1.6899727747297675</v>
      </c>
      <c r="Q16" s="53"/>
      <c r="R16" s="54"/>
      <c r="S16" s="55"/>
      <c r="T16" s="54"/>
      <c r="U16" s="54"/>
      <c r="V16" s="38">
        <v>4.5006707494896476</v>
      </c>
      <c r="W16" s="36">
        <f t="shared" si="18"/>
        <v>2.4500000000000001E-2</v>
      </c>
      <c r="X16" s="37">
        <v>0.03</v>
      </c>
      <c r="Y16" s="37">
        <v>0.60847761194029848</v>
      </c>
      <c r="Z16" s="56">
        <v>9.1049352433281001</v>
      </c>
      <c r="AA16" s="36">
        <f t="shared" si="19"/>
        <v>7.1899497487437167E-2</v>
      </c>
      <c r="AB16" s="36">
        <f t="shared" si="19"/>
        <v>9.4688626785715643E-2</v>
      </c>
      <c r="AD16" s="42"/>
      <c r="AE16" s="37">
        <v>2.5000000000000001E-2</v>
      </c>
      <c r="AF16" s="37">
        <v>7.2999999999999995E-2</v>
      </c>
      <c r="AG16" s="37">
        <v>7.2916666666666657E-2</v>
      </c>
      <c r="AH16" s="43">
        <f t="shared" si="2"/>
        <v>2.5000000000000001E-2</v>
      </c>
      <c r="AI16" s="43">
        <f t="shared" si="11"/>
        <v>7.3366834170854253E-2</v>
      </c>
    </row>
    <row r="17" spans="1:35" x14ac:dyDescent="0.25">
      <c r="A17" s="32" t="s">
        <v>681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5.2177760804020092</v>
      </c>
      <c r="M17" s="34">
        <f t="shared" si="16"/>
        <v>3.7828876582914566</v>
      </c>
      <c r="N17" s="34">
        <f t="shared" si="16"/>
        <v>46.320359563566747</v>
      </c>
      <c r="O17" s="34">
        <f t="shared" si="17"/>
        <v>0.2269732594974874</v>
      </c>
      <c r="Q17" s="53"/>
      <c r="R17" s="54"/>
      <c r="S17" s="55"/>
      <c r="T17" s="54"/>
      <c r="U17" s="54"/>
      <c r="V17" s="38">
        <v>6.5</v>
      </c>
      <c r="W17" s="36">
        <f t="shared" si="18"/>
        <v>0</v>
      </c>
      <c r="X17" s="37">
        <v>0</v>
      </c>
      <c r="Y17" s="37">
        <v>0.72499999999999998</v>
      </c>
      <c r="Z17" s="56">
        <v>12.244709266488597</v>
      </c>
      <c r="AA17" s="36">
        <f t="shared" si="19"/>
        <v>9.8492462311557775E-3</v>
      </c>
      <c r="AB17" s="36">
        <f t="shared" si="19"/>
        <v>7.7915212897960315E-2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11"/>
        <v>1.0050251256281405E-2</v>
      </c>
    </row>
    <row r="18" spans="1:35" x14ac:dyDescent="0.25">
      <c r="A18" s="32" t="s">
        <v>630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5.2177760804020092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0</v>
      </c>
      <c r="Y18" s="37">
        <v>0</v>
      </c>
      <c r="Z18" s="56">
        <v>12.053444180522565</v>
      </c>
      <c r="AA18" s="36">
        <f t="shared" si="19"/>
        <v>9.8492462311557775E-3</v>
      </c>
      <c r="AB18" s="36">
        <f t="shared" si="19"/>
        <v>7.7915212897960315E-2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1"/>
        <v>1.0050251256281405E-2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380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92.354636623115567</v>
      </c>
      <c r="M22" s="34">
        <f t="shared" ref="M22:N25" si="20">L22*Y22</f>
        <v>66.144135726810134</v>
      </c>
      <c r="N22" s="34">
        <f t="shared" si="20"/>
        <v>815.55719351156893</v>
      </c>
      <c r="O22" s="34">
        <f>M22*AG22</f>
        <v>6.4159811655005834</v>
      </c>
      <c r="Q22" s="53"/>
      <c r="R22" s="54"/>
      <c r="S22" s="55"/>
      <c r="T22" s="54"/>
      <c r="U22" s="54"/>
      <c r="V22" s="59"/>
      <c r="W22" s="60"/>
      <c r="X22" s="54"/>
      <c r="Y22" s="37">
        <v>0.71619723865877705</v>
      </c>
      <c r="Z22" s="56">
        <v>12.33</v>
      </c>
      <c r="AA22" s="36">
        <f t="shared" ref="AA22:AB25" si="21">(AF22/SUM(AF$6:AF$25))*0.98</f>
        <v>0.17433165829145728</v>
      </c>
      <c r="AB22" s="36">
        <f t="shared" si="21"/>
        <v>0.12596292751836918</v>
      </c>
      <c r="AD22" s="42"/>
      <c r="AE22" s="42"/>
      <c r="AF22" s="37">
        <v>0.17699999999999999</v>
      </c>
      <c r="AG22" s="37">
        <v>9.7000000000000003E-2</v>
      </c>
      <c r="AH22" s="43"/>
      <c r="AI22" s="43">
        <f t="shared" si="11"/>
        <v>0.17788944723618089</v>
      </c>
    </row>
    <row r="23" spans="1:35" x14ac:dyDescent="0.25">
      <c r="A23" s="32" t="s">
        <v>379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20.871104321608037</v>
      </c>
      <c r="M23" s="34">
        <f t="shared" si="20"/>
        <v>16.279461370854268</v>
      </c>
      <c r="N23" s="34">
        <f t="shared" si="20"/>
        <v>157.70550039039088</v>
      </c>
      <c r="O23" s="34">
        <f>M23*AG23</f>
        <v>0.97676768225125599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9.6873905590474241</v>
      </c>
      <c r="AA23" s="36">
        <f t="shared" si="21"/>
        <v>3.939698492462311E-2</v>
      </c>
      <c r="AB23" s="36">
        <f t="shared" si="21"/>
        <v>7.7915212897960315E-2</v>
      </c>
      <c r="AD23" s="42"/>
      <c r="AE23" s="42"/>
      <c r="AF23" s="37">
        <v>0.04</v>
      </c>
      <c r="AG23" s="37">
        <v>0.06</v>
      </c>
      <c r="AH23" s="43"/>
      <c r="AI23" s="43">
        <f t="shared" si="11"/>
        <v>4.0201005025125622E-2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0.97999999999999987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0.99500000000000011</v>
      </c>
    </row>
    <row r="29" spans="1:35" s="69" customFormat="1" x14ac:dyDescent="0.25">
      <c r="A29" s="62"/>
      <c r="B29" s="63"/>
      <c r="C29" s="63"/>
      <c r="D29" s="74">
        <v>1011</v>
      </c>
      <c r="E29" s="75">
        <v>0.52400000000000002</v>
      </c>
      <c r="F29" s="76">
        <f>1-E29</f>
        <v>0.47599999999999998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529.76400000000001</v>
      </c>
      <c r="E32" s="80">
        <f>SUM(E2:E4)</f>
        <v>344.05110196003676</v>
      </c>
      <c r="F32" s="80">
        <f>SUM(F2:F4)</f>
        <v>4068.6400168546952</v>
      </c>
      <c r="G32" s="80">
        <f>SUM(G2:G4)</f>
        <v>27.490581867389469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481.23599999999999</v>
      </c>
      <c r="E35" s="80">
        <f>D35*G29</f>
        <v>1997.1294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471.61128000000002</v>
      </c>
      <c r="E38" s="91">
        <f>SUM(J2:J4,J6:J11,J13:J20)</f>
        <v>1991.5707764330541</v>
      </c>
      <c r="F38" s="91">
        <f>SUM(K2:K4,K6:K11,K13:K20)</f>
        <v>17.991970332000001</v>
      </c>
      <c r="G38" s="91">
        <f>SUM(L6:L11,L13:L20,L22:L25)</f>
        <v>519.16872000000001</v>
      </c>
      <c r="H38" s="91">
        <f>SUM(M6:M11,M13:M20,M22:M25)</f>
        <v>339.40229346674147</v>
      </c>
      <c r="I38" s="91">
        <f>SUM(N6:N11,N13:N20,N22:N25)</f>
        <v>4068.0358440003142</v>
      </c>
      <c r="J38" s="91">
        <f>SUM(O6:O11,O13:O20,O22:O25)</f>
        <v>27.451342328127978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9.624719999999968</v>
      </c>
      <c r="E39" s="92">
        <f>E35-E38</f>
        <v>5.5586235669459256</v>
      </c>
      <c r="F39" s="92">
        <f>F35-F38</f>
        <v>8.0296679999989351E-3</v>
      </c>
      <c r="G39" s="92">
        <f>SUM(D2:D4)-G38</f>
        <v>10.595280000000002</v>
      </c>
      <c r="H39" s="92">
        <f>E32-H38</f>
        <v>4.6488084932952916</v>
      </c>
      <c r="I39" s="92">
        <f>F32-I38</f>
        <v>0.60417285438097679</v>
      </c>
      <c r="J39" s="92">
        <f>G32-J38</f>
        <v>3.9239539261490819E-2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41" priority="1" operator="lessThan">
      <formula>0</formula>
    </cfRule>
  </conditionalFormatting>
  <conditionalFormatting sqref="W28 AA28:AF28">
    <cfRule type="cellIs" dxfId="4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64</v>
      </c>
    </row>
    <row r="2" spans="1:39" x14ac:dyDescent="0.25">
      <c r="A2" s="32" t="s">
        <v>381</v>
      </c>
      <c r="B2" s="33" t="s">
        <v>7</v>
      </c>
      <c r="C2" s="33">
        <f>VLOOKUP($AM$1,DST!C:D,2,FALSE)</f>
        <v>8</v>
      </c>
      <c r="D2" s="34">
        <f>D$32*Q2</f>
        <v>578.73122999999998</v>
      </c>
      <c r="E2" s="34">
        <f t="shared" ref="E2" si="0">D2*R2</f>
        <v>370.89967563996294</v>
      </c>
      <c r="F2" s="34">
        <f>E2*S2</f>
        <v>4147.9956605545549</v>
      </c>
      <c r="G2" s="34">
        <f>E2*T2</f>
        <v>24.479378592237556</v>
      </c>
      <c r="H2" s="34">
        <f>D2*U2</f>
        <v>12.140101997351696</v>
      </c>
      <c r="I2" s="34">
        <f>D$35*W2</f>
        <v>53.374333880000009</v>
      </c>
      <c r="J2" s="34">
        <f>I2*V2</f>
        <v>225.1106944470877</v>
      </c>
      <c r="K2" s="34">
        <f>I2*X2</f>
        <v>1.0674866776000003</v>
      </c>
      <c r="L2" s="35"/>
      <c r="M2" s="35"/>
      <c r="N2" s="35"/>
      <c r="O2" s="35"/>
      <c r="Q2" s="36">
        <f>(AD2/SUM(AD$2:AD$25))</f>
        <v>0.99</v>
      </c>
      <c r="R2" s="37">
        <v>0.64088415556900735</v>
      </c>
      <c r="S2" s="38">
        <v>11.183605521890689</v>
      </c>
      <c r="T2" s="37">
        <v>6.6000000000000003E-2</v>
      </c>
      <c r="U2" s="37">
        <v>2.0977098466505247E-2</v>
      </c>
      <c r="V2" s="38">
        <v>4.2175832105595479</v>
      </c>
      <c r="W2" s="36">
        <f>(AE2/SUM(AE$2:AE$20))*0.98</f>
        <v>0.11956</v>
      </c>
      <c r="X2" s="37">
        <v>0.02</v>
      </c>
      <c r="Y2" s="39"/>
      <c r="Z2" s="40"/>
      <c r="AA2" s="41"/>
      <c r="AB2" s="41"/>
      <c r="AD2" s="37">
        <v>0.99</v>
      </c>
      <c r="AE2" s="37">
        <v>0.122</v>
      </c>
      <c r="AF2" s="42"/>
      <c r="AG2" s="42"/>
      <c r="AH2" s="43">
        <f>AE2/(SUM(AE$2:AE$25))</f>
        <v>0.122</v>
      </c>
    </row>
    <row r="3" spans="1:39" x14ac:dyDescent="0.25">
      <c r="A3" s="32" t="s">
        <v>502</v>
      </c>
      <c r="B3" s="33" t="s">
        <v>7</v>
      </c>
      <c r="C3" s="33">
        <f>VLOOKUP($AM$1,DST!C:D,2,FALSE)</f>
        <v>8</v>
      </c>
      <c r="D3" s="34">
        <f>D$32*Q3</f>
        <v>5.8457699999999999</v>
      </c>
      <c r="E3" s="34">
        <f>D3*R3</f>
        <v>3.3520408239830131</v>
      </c>
      <c r="F3" s="34">
        <f>E3*S3</f>
        <v>34.323580975413506</v>
      </c>
      <c r="G3" s="34">
        <f t="shared" ref="G3:G4" si="1">E3*T3</f>
        <v>0.20095651005811357</v>
      </c>
      <c r="H3" s="34">
        <f>D3*U3</f>
        <v>0.10661931873044257</v>
      </c>
      <c r="I3" s="34">
        <f>D$35*W3</f>
        <v>2.1874727000000003</v>
      </c>
      <c r="J3" s="34">
        <f>I3*V3</f>
        <v>9.4107618162823758</v>
      </c>
      <c r="K3" s="34">
        <f>I3*X3</f>
        <v>8.7056715161086554E-2</v>
      </c>
      <c r="L3" s="35"/>
      <c r="M3" s="35"/>
      <c r="N3" s="35"/>
      <c r="O3" s="35"/>
      <c r="Q3" s="36">
        <f>(AD3/SUM(AD$2:AD$25))</f>
        <v>0.01</v>
      </c>
      <c r="R3" s="37">
        <v>0.57341305319624503</v>
      </c>
      <c r="S3" s="38">
        <v>10.239607086476058</v>
      </c>
      <c r="T3" s="37">
        <v>5.9950496014344469E-2</v>
      </c>
      <c r="U3" s="37">
        <v>1.8238712561466253E-2</v>
      </c>
      <c r="V3" s="38">
        <v>4.3021162349968414</v>
      </c>
      <c r="W3" s="36">
        <f>(AE3/SUM(AE$2:AE$20))*0.98</f>
        <v>4.8999999999999998E-3</v>
      </c>
      <c r="X3" s="37">
        <v>3.9797852179406193E-2</v>
      </c>
      <c r="Y3" s="39"/>
      <c r="Z3" s="40"/>
      <c r="AA3" s="41"/>
      <c r="AB3" s="41"/>
      <c r="AD3" s="37">
        <v>0.01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247.18441510000002</v>
      </c>
      <c r="J6" s="34">
        <f t="shared" ref="J6:J11" si="4">I6*V6</f>
        <v>1060.4211407790001</v>
      </c>
      <c r="K6" s="34">
        <f t="shared" ref="K6:K11" si="5">I6*X6</f>
        <v>8.6514545285000022</v>
      </c>
      <c r="L6" s="34">
        <f t="shared" ref="L6:L11" si="6">((D$2+D$3+D$4)*AA6)</f>
        <v>34.946013059999999</v>
      </c>
      <c r="M6" s="34">
        <f t="shared" ref="M6:N11" si="7">L6*Y6</f>
        <v>27.397674239040001</v>
      </c>
      <c r="N6" s="34">
        <f t="shared" si="7"/>
        <v>192.6056499004512</v>
      </c>
      <c r="O6" s="34">
        <f t="shared" ref="O6:O11" si="8">M6*AG6</f>
        <v>0.74105833665154963</v>
      </c>
      <c r="Q6" s="53"/>
      <c r="R6" s="54"/>
      <c r="S6" s="55"/>
      <c r="T6" s="54"/>
      <c r="U6" s="54"/>
      <c r="V6" s="38">
        <v>4.29</v>
      </c>
      <c r="W6" s="36">
        <f t="shared" ref="W6:W11" si="9">(AE6/SUM(AE$2:AE$20))*0.98</f>
        <v>0.55369999999999997</v>
      </c>
      <c r="X6" s="37">
        <v>3.5000000000000003E-2</v>
      </c>
      <c r="Y6" s="37">
        <v>0.78400000000000003</v>
      </c>
      <c r="Z6" s="56">
        <v>7.03</v>
      </c>
      <c r="AA6" s="36">
        <f t="shared" ref="AA6:AA11" si="10">(AF6/SUM(AF$6:AF$25))*0.98</f>
        <v>5.978E-2</v>
      </c>
      <c r="AB6" s="36">
        <f t="shared" ref="AB6:AB11" si="11">(AG6/SUM(AG$6:AG$25))*0.98</f>
        <v>3.869400049180536E-2</v>
      </c>
      <c r="AD6" s="42"/>
      <c r="AE6" s="37">
        <v>0.56499999999999995</v>
      </c>
      <c r="AF6" s="37">
        <v>6.0999999999999999E-2</v>
      </c>
      <c r="AG6" s="37">
        <v>2.7048220596607688E-2</v>
      </c>
      <c r="AH6" s="43">
        <f t="shared" si="2"/>
        <v>0.56499999999999995</v>
      </c>
      <c r="AI6" s="43">
        <f>AF6/(SUM(AF$6:AF$25))</f>
        <v>6.0999999999999999E-2</v>
      </c>
    </row>
    <row r="7" spans="1:39" x14ac:dyDescent="0.25">
      <c r="A7" s="32" t="s">
        <v>527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111.99860224000001</v>
      </c>
      <c r="J7" s="34">
        <f t="shared" si="4"/>
        <v>434.55457669120005</v>
      </c>
      <c r="K7" s="34">
        <f t="shared" si="5"/>
        <v>3.2479594649600005</v>
      </c>
      <c r="L7" s="34">
        <f t="shared" si="6"/>
        <v>32.081585759999996</v>
      </c>
      <c r="M7" s="34">
        <f t="shared" si="7"/>
        <v>22.427235116159999</v>
      </c>
      <c r="N7" s="34">
        <f t="shared" si="7"/>
        <v>165.96153985958401</v>
      </c>
      <c r="O7" s="34">
        <f t="shared" si="8"/>
        <v>0.71767152371711995</v>
      </c>
      <c r="Q7" s="53"/>
      <c r="R7" s="54"/>
      <c r="S7" s="55"/>
      <c r="T7" s="54"/>
      <c r="U7" s="54"/>
      <c r="V7" s="38">
        <v>3.88</v>
      </c>
      <c r="W7" s="36">
        <f t="shared" si="9"/>
        <v>0.25087999999999999</v>
      </c>
      <c r="X7" s="37">
        <v>2.9000000000000001E-2</v>
      </c>
      <c r="Y7" s="37">
        <v>0.69906878306878306</v>
      </c>
      <c r="Z7" s="56">
        <v>7.4</v>
      </c>
      <c r="AA7" s="36">
        <f t="shared" si="10"/>
        <v>5.4879999999999998E-2</v>
      </c>
      <c r="AB7" s="36">
        <f t="shared" si="11"/>
        <v>4.5777799368179668E-2</v>
      </c>
      <c r="AD7" s="42"/>
      <c r="AE7" s="37">
        <v>0.25600000000000001</v>
      </c>
      <c r="AF7" s="37">
        <v>5.6000000000000001E-2</v>
      </c>
      <c r="AG7" s="37">
        <v>3.2000000000000001E-2</v>
      </c>
      <c r="AH7" s="43">
        <f t="shared" si="2"/>
        <v>0.25600000000000001</v>
      </c>
      <c r="AI7" s="43">
        <f t="shared" ref="AI7:AI25" si="12">AF7/(SUM(AF$6:AF$25))</f>
        <v>5.6000000000000001E-2</v>
      </c>
    </row>
    <row r="8" spans="1:39" x14ac:dyDescent="0.25">
      <c r="A8" s="32" t="s">
        <v>608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18.374770680000005</v>
      </c>
      <c r="J8" s="34">
        <f t="shared" si="4"/>
        <v>75.336559788000017</v>
      </c>
      <c r="K8" s="34">
        <f t="shared" si="5"/>
        <v>0.38587018428000014</v>
      </c>
      <c r="L8" s="34">
        <f t="shared" si="6"/>
        <v>5.7288546</v>
      </c>
      <c r="M8" s="34">
        <f t="shared" si="7"/>
        <v>4.1820638580000002</v>
      </c>
      <c r="N8" s="34">
        <f t="shared" si="7"/>
        <v>25.385127618060004</v>
      </c>
      <c r="O8" s="34">
        <f t="shared" si="8"/>
        <v>8.3641277160000013E-2</v>
      </c>
      <c r="Q8" s="53"/>
      <c r="R8" s="54"/>
      <c r="S8" s="55"/>
      <c r="T8" s="54"/>
      <c r="U8" s="54"/>
      <c r="V8" s="38">
        <v>4.0999999999999996</v>
      </c>
      <c r="W8" s="36">
        <f t="shared" si="9"/>
        <v>4.1160000000000002E-2</v>
      </c>
      <c r="X8" s="37">
        <v>2.1000000000000001E-2</v>
      </c>
      <c r="Y8" s="37">
        <v>0.73</v>
      </c>
      <c r="Z8" s="56">
        <v>6.07</v>
      </c>
      <c r="AA8" s="36">
        <f t="shared" si="10"/>
        <v>9.7999999999999997E-3</v>
      </c>
      <c r="AB8" s="36">
        <f t="shared" si="11"/>
        <v>2.8611124605112292E-2</v>
      </c>
      <c r="AD8" s="42"/>
      <c r="AE8" s="37">
        <v>4.2000000000000003E-2</v>
      </c>
      <c r="AF8" s="37">
        <v>0.01</v>
      </c>
      <c r="AG8" s="37">
        <v>0.02</v>
      </c>
      <c r="AH8" s="43">
        <f t="shared" si="2"/>
        <v>4.2000000000000003E-2</v>
      </c>
      <c r="AI8" s="43">
        <f t="shared" si="12"/>
        <v>0.01</v>
      </c>
    </row>
    <row r="9" spans="1:39" x14ac:dyDescent="0.25"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140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144.36713591999998</v>
      </c>
      <c r="M13" s="34">
        <f t="shared" ref="M13:N20" si="17">L13*Y13</f>
        <v>86.447767364422631</v>
      </c>
      <c r="N13" s="34">
        <f t="shared" si="17"/>
        <v>1272.5111356043012</v>
      </c>
      <c r="O13" s="34">
        <f t="shared" ref="O13:O20" si="18">M13*AG13</f>
        <v>7.0022691565182331</v>
      </c>
      <c r="Q13" s="53"/>
      <c r="R13" s="54"/>
      <c r="S13" s="55"/>
      <c r="T13" s="54"/>
      <c r="U13" s="54"/>
      <c r="V13" s="38">
        <v>6.4074629664354017</v>
      </c>
      <c r="W13" s="36">
        <f t="shared" ref="W13:W20" si="19">(AE13/SUM(AE$2:AE$20))*0.98</f>
        <v>0</v>
      </c>
      <c r="X13" s="37">
        <v>9.0005625351584476E-2</v>
      </c>
      <c r="Y13" s="37">
        <v>0.59880503144654085</v>
      </c>
      <c r="Z13" s="56">
        <v>14.72</v>
      </c>
      <c r="AA13" s="36">
        <f t="shared" ref="AA13:AB18" si="20">(AF13/SUM(AF$6:AF$25))*0.98</f>
        <v>0.24695999999999999</v>
      </c>
      <c r="AB13" s="36">
        <f t="shared" si="20"/>
        <v>0.11587505465070477</v>
      </c>
      <c r="AD13" s="42"/>
      <c r="AE13" s="37">
        <v>0</v>
      </c>
      <c r="AF13" s="37">
        <v>0.252</v>
      </c>
      <c r="AG13" s="37">
        <v>8.1000000000000003E-2</v>
      </c>
      <c r="AH13" s="43">
        <f t="shared" si="2"/>
        <v>0</v>
      </c>
      <c r="AI13" s="43">
        <f t="shared" si="12"/>
        <v>0.252</v>
      </c>
    </row>
    <row r="14" spans="1:39" x14ac:dyDescent="0.25">
      <c r="A14" s="32" t="s">
        <v>528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111.71266469999999</v>
      </c>
      <c r="M14" s="34">
        <f t="shared" si="17"/>
        <v>67.474449478799997</v>
      </c>
      <c r="N14" s="34">
        <f t="shared" si="17"/>
        <v>843.43061848499997</v>
      </c>
      <c r="O14" s="34">
        <f t="shared" si="18"/>
        <v>5.7353282056979999</v>
      </c>
      <c r="Q14" s="53"/>
      <c r="R14" s="54"/>
      <c r="S14" s="55"/>
      <c r="T14" s="54"/>
      <c r="U14" s="54"/>
      <c r="V14" s="38">
        <v>5.0000000000000009</v>
      </c>
      <c r="W14" s="36">
        <f t="shared" si="19"/>
        <v>0</v>
      </c>
      <c r="X14" s="37">
        <v>0.05</v>
      </c>
      <c r="Y14" s="37">
        <v>0.60399999999999998</v>
      </c>
      <c r="Z14" s="56">
        <v>12.5</v>
      </c>
      <c r="AA14" s="36">
        <f t="shared" si="20"/>
        <v>0.19109999999999999</v>
      </c>
      <c r="AB14" s="36">
        <f t="shared" si="20"/>
        <v>0.12159727957172725</v>
      </c>
      <c r="AD14" s="42"/>
      <c r="AE14" s="37">
        <v>0</v>
      </c>
      <c r="AF14" s="37">
        <v>0.19500000000000001</v>
      </c>
      <c r="AG14" s="37">
        <v>8.5000000000000006E-2</v>
      </c>
      <c r="AH14" s="43">
        <f t="shared" si="2"/>
        <v>0</v>
      </c>
      <c r="AI14" s="43">
        <f t="shared" si="12"/>
        <v>0.19500000000000001</v>
      </c>
    </row>
    <row r="15" spans="1:39" x14ac:dyDescent="0.25">
      <c r="A15" s="32" t="s">
        <v>529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3"/>
        <v>4.3749454000000005</v>
      </c>
      <c r="J15" s="34">
        <f t="shared" si="14"/>
        <v>24.062199700000004</v>
      </c>
      <c r="K15" s="34">
        <f t="shared" si="15"/>
        <v>5.4686817500000012E-2</v>
      </c>
      <c r="L15" s="34">
        <f t="shared" si="16"/>
        <v>60.152973299999992</v>
      </c>
      <c r="M15" s="34">
        <f t="shared" si="17"/>
        <v>36.548155833769009</v>
      </c>
      <c r="N15" s="34">
        <f t="shared" si="17"/>
        <v>398.3748985880822</v>
      </c>
      <c r="O15" s="34">
        <f t="shared" si="18"/>
        <v>2.3025338175274475</v>
      </c>
      <c r="Q15" s="53"/>
      <c r="R15" s="54"/>
      <c r="S15" s="55"/>
      <c r="T15" s="54"/>
      <c r="U15" s="54"/>
      <c r="V15" s="38">
        <v>5.5</v>
      </c>
      <c r="W15" s="36">
        <f t="shared" si="19"/>
        <v>9.7999999999999997E-3</v>
      </c>
      <c r="X15" s="37">
        <v>1.2500000000000001E-2</v>
      </c>
      <c r="Y15" s="37">
        <v>0.60758685446009386</v>
      </c>
      <c r="Z15" s="56">
        <v>10.9</v>
      </c>
      <c r="AA15" s="36">
        <f t="shared" si="20"/>
        <v>0.10289999999999999</v>
      </c>
      <c r="AB15" s="36">
        <f t="shared" si="20"/>
        <v>9.0125042506103717E-2</v>
      </c>
      <c r="AD15" s="42"/>
      <c r="AE15" s="37">
        <v>0.01</v>
      </c>
      <c r="AF15" s="37">
        <v>0.105</v>
      </c>
      <c r="AG15" s="37">
        <v>6.3E-2</v>
      </c>
      <c r="AH15" s="43">
        <f t="shared" si="2"/>
        <v>0.01</v>
      </c>
      <c r="AI15" s="43">
        <f t="shared" si="12"/>
        <v>0.105</v>
      </c>
    </row>
    <row r="16" spans="1:39" x14ac:dyDescent="0.25">
      <c r="A16" s="32" t="s">
        <v>631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51.559691399999998</v>
      </c>
      <c r="M16" s="34">
        <f t="shared" si="17"/>
        <v>32.482605581999998</v>
      </c>
      <c r="N16" s="34">
        <f t="shared" si="17"/>
        <v>367.37826913241997</v>
      </c>
      <c r="O16" s="34">
        <f t="shared" si="18"/>
        <v>2.6960562633060001</v>
      </c>
      <c r="Q16" s="53"/>
      <c r="R16" s="54"/>
      <c r="S16" s="55"/>
      <c r="T16" s="54"/>
      <c r="U16" s="54"/>
      <c r="V16" s="38">
        <v>5.625</v>
      </c>
      <c r="W16" s="36">
        <f t="shared" si="19"/>
        <v>0</v>
      </c>
      <c r="X16" s="37">
        <v>7.0000000000000001E-3</v>
      </c>
      <c r="Y16" s="37">
        <v>0.63</v>
      </c>
      <c r="Z16" s="56">
        <v>11.31</v>
      </c>
      <c r="AA16" s="36">
        <f t="shared" si="20"/>
        <v>8.8200000000000001E-2</v>
      </c>
      <c r="AB16" s="36">
        <f t="shared" si="20"/>
        <v>0.11873616711121601</v>
      </c>
      <c r="AD16" s="42"/>
      <c r="AE16" s="37">
        <v>0</v>
      </c>
      <c r="AF16" s="37">
        <v>0.09</v>
      </c>
      <c r="AG16" s="37">
        <v>8.3000000000000004E-2</v>
      </c>
      <c r="AH16" s="43">
        <f t="shared" si="2"/>
        <v>0</v>
      </c>
      <c r="AI16" s="43">
        <f t="shared" si="12"/>
        <v>0.09</v>
      </c>
    </row>
    <row r="17" spans="1:35" x14ac:dyDescent="0.25">
      <c r="A17" s="32" t="s">
        <v>382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14.322136500000001</v>
      </c>
      <c r="M17" s="34">
        <f t="shared" si="17"/>
        <v>9.4812543630000015</v>
      </c>
      <c r="N17" s="34">
        <f t="shared" si="17"/>
        <v>109.03442517450002</v>
      </c>
      <c r="O17" s="34">
        <f t="shared" si="18"/>
        <v>0.61628153359500015</v>
      </c>
      <c r="Q17" s="53"/>
      <c r="R17" s="54"/>
      <c r="S17" s="55"/>
      <c r="T17" s="54"/>
      <c r="U17" s="54"/>
      <c r="V17" s="38">
        <v>6.4200169276343635</v>
      </c>
      <c r="W17" s="36">
        <f t="shared" si="19"/>
        <v>0</v>
      </c>
      <c r="X17" s="37">
        <v>7.0000000000000001E-3</v>
      </c>
      <c r="Y17" s="37">
        <v>0.66200000000000003</v>
      </c>
      <c r="Z17" s="56">
        <v>11.5</v>
      </c>
      <c r="AA17" s="36">
        <f t="shared" si="20"/>
        <v>2.4500000000000001E-2</v>
      </c>
      <c r="AB17" s="36">
        <f t="shared" si="20"/>
        <v>9.2986154966614942E-2</v>
      </c>
      <c r="AD17" s="42"/>
      <c r="AE17" s="37">
        <v>0</v>
      </c>
      <c r="AF17" s="37">
        <v>2.5000000000000001E-2</v>
      </c>
      <c r="AG17" s="37">
        <v>6.5000000000000002E-2</v>
      </c>
      <c r="AH17" s="43">
        <f t="shared" si="2"/>
        <v>0</v>
      </c>
      <c r="AI17" s="43">
        <f t="shared" si="12"/>
        <v>2.5000000000000001E-2</v>
      </c>
    </row>
    <row r="18" spans="1:35" x14ac:dyDescent="0.25">
      <c r="A18" s="32" t="s">
        <v>632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5.7288546</v>
      </c>
      <c r="M18" s="34">
        <f t="shared" si="17"/>
        <v>3.5977206888</v>
      </c>
      <c r="N18" s="34">
        <f t="shared" si="17"/>
        <v>32.030789458884456</v>
      </c>
      <c r="O18" s="34">
        <f t="shared" si="18"/>
        <v>0.215863241328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0.628</v>
      </c>
      <c r="Z18" s="56">
        <v>8.9030784292396401</v>
      </c>
      <c r="AA18" s="36">
        <f t="shared" si="20"/>
        <v>9.7999999999999997E-3</v>
      </c>
      <c r="AB18" s="36">
        <f t="shared" si="20"/>
        <v>8.5833373815336872E-2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v>0</v>
      </c>
      <c r="AB19" s="36"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v>0</v>
      </c>
      <c r="AB20" s="36"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97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92.234559059999995</v>
      </c>
      <c r="M22" s="34">
        <f t="shared" ref="M22:N25" si="21">L22*Y22</f>
        <v>67.679544802282692</v>
      </c>
      <c r="N22" s="34">
        <f t="shared" si="21"/>
        <v>642.78639146145952</v>
      </c>
      <c r="O22" s="34">
        <f>M22*AG22</f>
        <v>3.7223749641255481</v>
      </c>
      <c r="Q22" s="53"/>
      <c r="R22" s="54"/>
      <c r="S22" s="55"/>
      <c r="T22" s="54"/>
      <c r="U22" s="54"/>
      <c r="V22" s="59"/>
      <c r="W22" s="60"/>
      <c r="X22" s="54"/>
      <c r="Y22" s="37">
        <v>0.73377642276422772</v>
      </c>
      <c r="Z22" s="56">
        <v>9.497498739675029</v>
      </c>
      <c r="AA22" s="36">
        <f t="shared" ref="AA22:AB25" si="22">(AF22/SUM(AF$6:AF$25))*0.98</f>
        <v>0.15778</v>
      </c>
      <c r="AB22" s="36">
        <f t="shared" si="22"/>
        <v>7.8680592664058802E-2</v>
      </c>
      <c r="AD22" s="42"/>
      <c r="AE22" s="42"/>
      <c r="AF22" s="37">
        <v>0.161</v>
      </c>
      <c r="AG22" s="37">
        <v>5.5E-2</v>
      </c>
      <c r="AH22" s="43"/>
      <c r="AI22" s="43">
        <f t="shared" si="12"/>
        <v>0.161</v>
      </c>
    </row>
    <row r="23" spans="1:35" x14ac:dyDescent="0.25">
      <c r="A23" s="32" t="s">
        <v>715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14.322136500000001</v>
      </c>
      <c r="M23" s="34">
        <f t="shared" si="21"/>
        <v>10.31193828</v>
      </c>
      <c r="N23" s="34">
        <f t="shared" si="21"/>
        <v>92.80744451999999</v>
      </c>
      <c r="O23" s="34">
        <f>M23*AG23</f>
        <v>0.59809242023999998</v>
      </c>
      <c r="Q23" s="53"/>
      <c r="R23" s="54"/>
      <c r="S23" s="55"/>
      <c r="T23" s="54"/>
      <c r="U23" s="54"/>
      <c r="V23" s="59"/>
      <c r="W23" s="60"/>
      <c r="X23" s="54"/>
      <c r="Y23" s="37">
        <v>0.72</v>
      </c>
      <c r="Z23" s="56">
        <v>9</v>
      </c>
      <c r="AA23" s="36">
        <f t="shared" si="22"/>
        <v>2.4500000000000001E-2</v>
      </c>
      <c r="AB23" s="36">
        <f t="shared" si="22"/>
        <v>8.2972261354825647E-2</v>
      </c>
      <c r="AD23" s="42"/>
      <c r="AE23" s="42"/>
      <c r="AF23" s="37">
        <v>2.5000000000000001E-2</v>
      </c>
      <c r="AG23" s="37">
        <v>5.8000000000000003E-2</v>
      </c>
      <c r="AH23" s="43"/>
      <c r="AI23" s="43">
        <f t="shared" si="12"/>
        <v>2.5000000000000001E-2</v>
      </c>
    </row>
    <row r="24" spans="1:35" x14ac:dyDescent="0.25">
      <c r="A24" s="32" t="s">
        <v>714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5.7288546</v>
      </c>
      <c r="M24" s="34">
        <f t="shared" si="21"/>
        <v>4.0159270745999995</v>
      </c>
      <c r="N24" s="34">
        <f t="shared" si="21"/>
        <v>40.009124450142352</v>
      </c>
      <c r="O24" s="34">
        <f>M24*AG24</f>
        <v>0.22489191617759999</v>
      </c>
      <c r="Q24" s="53"/>
      <c r="R24" s="54"/>
      <c r="S24" s="55"/>
      <c r="T24" s="54"/>
      <c r="U24" s="54"/>
      <c r="V24" s="59"/>
      <c r="W24" s="60"/>
      <c r="X24" s="54"/>
      <c r="Y24" s="37">
        <v>0.70099999999999996</v>
      </c>
      <c r="Z24" s="56">
        <v>9.9626122952263518</v>
      </c>
      <c r="AA24" s="36">
        <f t="shared" si="22"/>
        <v>9.7999999999999997E-3</v>
      </c>
      <c r="AB24" s="36">
        <f t="shared" si="22"/>
        <v>8.0111148894314407E-2</v>
      </c>
      <c r="AD24" s="42"/>
      <c r="AE24" s="42"/>
      <c r="AF24" s="37">
        <v>0.01</v>
      </c>
      <c r="AG24" s="37">
        <v>5.6000000000000001E-2</v>
      </c>
      <c r="AH24" s="43"/>
      <c r="AI24" s="43">
        <f t="shared" si="12"/>
        <v>0.01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Y26" s="48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0.97999999999999954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1031</v>
      </c>
      <c r="E29" s="75">
        <v>0.56699999999999995</v>
      </c>
      <c r="F29" s="76">
        <f>1-E29</f>
        <v>0.43300000000000005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584.577</v>
      </c>
      <c r="E32" s="80">
        <f>SUM(E2:E4)</f>
        <v>374.25171646394597</v>
      </c>
      <c r="F32" s="80">
        <f>SUM(F2:F4)</f>
        <v>4182.3192415299682</v>
      </c>
      <c r="G32" s="80">
        <f>SUM(G2:G4)</f>
        <v>24.680335102295668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446.42300000000006</v>
      </c>
      <c r="E35" s="80">
        <f>D35*G29</f>
        <v>1830.3343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437.49454000000003</v>
      </c>
      <c r="E38" s="91">
        <f>SUM(J2:J4,J6:J11,J13:J20)</f>
        <v>1828.8959332215702</v>
      </c>
      <c r="F38" s="91">
        <f>SUM(K2:K4,K6:K11,K13:K20)</f>
        <v>13.49451438800109</v>
      </c>
      <c r="G38" s="91">
        <f>SUM(L6:L11,L13:L20,L22:L25)</f>
        <v>572.88545999999997</v>
      </c>
      <c r="H38" s="91">
        <f>SUM(M6:M11,M13:M20,M22:M25)</f>
        <v>372.04633668087428</v>
      </c>
      <c r="I38" s="91">
        <f>SUM(N6:N11,N13:N20,N22:N25)</f>
        <v>4182.3154142528847</v>
      </c>
      <c r="J38" s="91">
        <f>SUM(O6:O11,O13:O20,O22:O25)</f>
        <v>24.656062656044504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8.9284600000000296</v>
      </c>
      <c r="E39" s="92">
        <f>E35-E38</f>
        <v>1.4383667784297813</v>
      </c>
      <c r="F39" s="92">
        <f>F35-F38</f>
        <v>5.4856119989104002E-3</v>
      </c>
      <c r="G39" s="92">
        <f>SUM(D2:D4)-G38</f>
        <v>11.691540000000032</v>
      </c>
      <c r="H39" s="92">
        <f>E32-H38</f>
        <v>2.2053797830716917</v>
      </c>
      <c r="I39" s="92">
        <f>F32-I38</f>
        <v>3.8272770834737457E-3</v>
      </c>
      <c r="J39" s="92">
        <f>G32-J38</f>
        <v>2.4272446251163871E-2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14:33" x14ac:dyDescent="0.25"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9" priority="1" operator="lessThan">
      <formula>0</formula>
    </cfRule>
  </conditionalFormatting>
  <conditionalFormatting sqref="W28 AA28:AF28">
    <cfRule type="cellIs" dxfId="3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65</v>
      </c>
    </row>
    <row r="2" spans="1:39" x14ac:dyDescent="0.25">
      <c r="A2" s="32" t="s">
        <v>45</v>
      </c>
      <c r="B2" s="33" t="s">
        <v>7</v>
      </c>
      <c r="C2" s="33">
        <f>VLOOKUP($AM$1,DST!C:D,2,FALSE)</f>
        <v>13</v>
      </c>
      <c r="D2" s="34">
        <f>D$32*Q2</f>
        <v>479.952</v>
      </c>
      <c r="E2" s="34">
        <f>D2*R2</f>
        <v>318.89592338176658</v>
      </c>
      <c r="F2" s="34">
        <f>E2*S2</f>
        <v>3479.1545240950736</v>
      </c>
      <c r="G2" s="34">
        <f>E2*T2</f>
        <v>21.366026866578363</v>
      </c>
      <c r="H2" s="34">
        <f>D2*U2</f>
        <v>10.651129947513136</v>
      </c>
      <c r="I2" s="34">
        <f>D$35*W2</f>
        <v>72.413768000000005</v>
      </c>
      <c r="J2" s="34">
        <f>I2*V2</f>
        <v>284.72435575494887</v>
      </c>
      <c r="K2" s="34">
        <f>I2*X2</f>
        <v>5.0689637600000008</v>
      </c>
      <c r="L2" s="35"/>
      <c r="M2" s="35"/>
      <c r="N2" s="35"/>
      <c r="O2" s="35"/>
      <c r="Q2" s="36">
        <f>(AD2/SUM(AD$2:AD$25))</f>
        <v>0.9</v>
      </c>
      <c r="R2" s="37">
        <v>0.66443295034038108</v>
      </c>
      <c r="S2" s="38">
        <v>10.91</v>
      </c>
      <c r="T2" s="37">
        <v>6.7000000000000004E-2</v>
      </c>
      <c r="U2" s="37">
        <v>2.2192073264645496E-2</v>
      </c>
      <c r="V2" s="38">
        <v>3.9319091330111267</v>
      </c>
      <c r="W2" s="36">
        <f>(AE2/SUM(AE$2:AE$20))*0.98</f>
        <v>0.15190000000000001</v>
      </c>
      <c r="X2" s="37">
        <v>7.0000000000000007E-2</v>
      </c>
      <c r="Y2" s="39"/>
      <c r="Z2" s="40"/>
      <c r="AA2" s="41"/>
      <c r="AB2" s="41"/>
      <c r="AD2" s="37">
        <v>0.9</v>
      </c>
      <c r="AE2" s="37">
        <v>0.155</v>
      </c>
      <c r="AF2" s="42"/>
      <c r="AG2" s="42"/>
      <c r="AH2" s="43">
        <f>AE2/(SUM(AE$2:AE$25))</f>
        <v>0.155</v>
      </c>
    </row>
    <row r="3" spans="1:39" x14ac:dyDescent="0.25">
      <c r="A3" s="32" t="s">
        <v>383</v>
      </c>
      <c r="B3" s="33" t="s">
        <v>7</v>
      </c>
      <c r="C3" s="33">
        <f>VLOOKUP($AM$1,DST!C:D,2,FALSE)</f>
        <v>13</v>
      </c>
      <c r="D3" s="34">
        <f>D$32*Q3</f>
        <v>26.664000000000001</v>
      </c>
      <c r="E3" s="34">
        <f t="shared" ref="E3:F4" si="0">D3*R3</f>
        <v>14.66897010976982</v>
      </c>
      <c r="F3" s="34">
        <f t="shared" si="0"/>
        <v>196.27082006872021</v>
      </c>
      <c r="G3" s="34">
        <f t="shared" ref="G3:G4" si="1">E3*T3</f>
        <v>0.79212438592757028</v>
      </c>
      <c r="H3" s="34">
        <f>D3*U3</f>
        <v>0.38917262140055342</v>
      </c>
      <c r="I3" s="34">
        <f>D$35*W3</f>
        <v>23.359279999999998</v>
      </c>
      <c r="J3" s="34">
        <f>I3*V3</f>
        <v>119.13232799999999</v>
      </c>
      <c r="K3" s="34">
        <f>I3*X3</f>
        <v>1.4249160799999998</v>
      </c>
      <c r="L3" s="35"/>
      <c r="M3" s="35"/>
      <c r="N3" s="35"/>
      <c r="O3" s="35"/>
      <c r="Q3" s="36">
        <f>(AD3/SUM(AD$2:AD$25))</f>
        <v>0.05</v>
      </c>
      <c r="R3" s="37">
        <v>0.55014139325569378</v>
      </c>
      <c r="S3" s="38">
        <v>13.38</v>
      </c>
      <c r="T3" s="37">
        <v>5.3999999999999999E-2</v>
      </c>
      <c r="U3" s="37">
        <v>1.4595432845805332E-2</v>
      </c>
      <c r="V3" s="38">
        <v>5.0999999999999996</v>
      </c>
      <c r="W3" s="36">
        <f>(AE3/SUM(AE$2:AE$20))*0.98</f>
        <v>4.9000000000000002E-2</v>
      </c>
      <c r="X3" s="37">
        <v>6.0999999999999999E-2</v>
      </c>
      <c r="Y3" s="39"/>
      <c r="Z3" s="40"/>
      <c r="AA3" s="41"/>
      <c r="AB3" s="41"/>
      <c r="AD3" s="37">
        <v>0.05</v>
      </c>
      <c r="AE3" s="37">
        <v>0.05</v>
      </c>
      <c r="AF3" s="42"/>
      <c r="AG3" s="42"/>
      <c r="AH3" s="43">
        <f t="shared" ref="AH3:AH20" si="2">AE3/(SUM(AE$2:AE$25))</f>
        <v>0.05</v>
      </c>
    </row>
    <row r="4" spans="1:39" x14ac:dyDescent="0.25">
      <c r="A4" s="32" t="s">
        <v>633</v>
      </c>
      <c r="B4" s="33" t="s">
        <v>7</v>
      </c>
      <c r="C4" s="33">
        <f>VLOOKUP($AM$1,DST!C:D,2,FALSE)</f>
        <v>13</v>
      </c>
      <c r="D4" s="34">
        <f>D$32*Q4</f>
        <v>26.664000000000001</v>
      </c>
      <c r="E4" s="34">
        <f t="shared" si="0"/>
        <v>16.788444444444448</v>
      </c>
      <c r="F4" s="34">
        <f t="shared" si="0"/>
        <v>173.80977777777781</v>
      </c>
      <c r="G4" s="34">
        <f t="shared" si="1"/>
        <v>1.0369333333333335</v>
      </c>
      <c r="H4" s="34">
        <f>D4*U4</f>
        <v>1.0369333333333335</v>
      </c>
      <c r="I4" s="34">
        <f>D$35*W4</f>
        <v>2.3359279999999996</v>
      </c>
      <c r="J4" s="34">
        <f>I4*V4</f>
        <v>9.8342568799999981</v>
      </c>
      <c r="K4" s="34">
        <f>I4*X4</f>
        <v>7.2413767999999989E-2</v>
      </c>
      <c r="L4" s="35"/>
      <c r="M4" s="35"/>
      <c r="N4" s="35"/>
      <c r="O4" s="35"/>
      <c r="Q4" s="36">
        <f>(AD4/SUM(AD$2:AD$25))</f>
        <v>0.05</v>
      </c>
      <c r="R4" s="37">
        <v>0.62962962962962965</v>
      </c>
      <c r="S4" s="38">
        <v>10.352941176470589</v>
      </c>
      <c r="T4" s="37">
        <v>6.1764705882352944E-2</v>
      </c>
      <c r="U4" s="37">
        <v>3.888888888888889E-2</v>
      </c>
      <c r="V4" s="38">
        <v>4.21</v>
      </c>
      <c r="W4" s="36">
        <f>(AE4/SUM(AE$2:AE$20))*0.98</f>
        <v>4.8999999999999998E-3</v>
      </c>
      <c r="X4" s="37">
        <v>3.1E-2</v>
      </c>
      <c r="Y4" s="39"/>
      <c r="Z4" s="40"/>
      <c r="AA4" s="41"/>
      <c r="AB4" s="41"/>
      <c r="AD4" s="37">
        <v>0.05</v>
      </c>
      <c r="AE4" s="37">
        <v>5.0000000000000001E-3</v>
      </c>
      <c r="AF4" s="42"/>
      <c r="AG4" s="42"/>
      <c r="AH4" s="43">
        <f t="shared" si="2"/>
        <v>5.0000000000000001E-3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109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303.2034544</v>
      </c>
      <c r="J6" s="34">
        <f t="shared" ref="J6:J11" si="4">I6*V6</f>
        <v>1452.6606494689795</v>
      </c>
      <c r="K6" s="34">
        <f t="shared" ref="K6:K11" si="5">I6*X6</f>
        <v>13.251572502380769</v>
      </c>
      <c r="L6" s="34">
        <f t="shared" ref="L6:L11" si="6">((D$2+D$3+D$4)*AA6)</f>
        <v>56.964969599999996</v>
      </c>
      <c r="M6" s="34">
        <f t="shared" ref="M6:N11" si="7">L6*Y6</f>
        <v>43.655331304608843</v>
      </c>
      <c r="N6" s="34">
        <f t="shared" si="7"/>
        <v>331.16475852092032</v>
      </c>
      <c r="O6" s="34">
        <f t="shared" ref="O6:O11" si="8">M6*AG6</f>
        <v>1.3533152704428741</v>
      </c>
      <c r="Q6" s="53"/>
      <c r="R6" s="54"/>
      <c r="S6" s="55"/>
      <c r="T6" s="54"/>
      <c r="U6" s="54"/>
      <c r="V6" s="38">
        <v>4.7910425438377837</v>
      </c>
      <c r="W6" s="36">
        <f t="shared" ref="W6:W11" si="9">(AE6/SUM(AE$2:AE$20))*0.98</f>
        <v>0.63602000000000003</v>
      </c>
      <c r="X6" s="37">
        <v>4.3705216118345019E-2</v>
      </c>
      <c r="Y6" s="37">
        <v>0.76635398230088492</v>
      </c>
      <c r="Z6" s="56">
        <v>7.5858949783289837</v>
      </c>
      <c r="AA6" s="36">
        <f t="shared" ref="AA6:AB11" si="10">(AF6/SUM(AF$6:AF$25))*0.98</f>
        <v>0.10682</v>
      </c>
      <c r="AB6" s="36">
        <f t="shared" si="10"/>
        <v>4.4610866372980902E-2</v>
      </c>
      <c r="AD6" s="42"/>
      <c r="AE6" s="37">
        <v>0.64900000000000002</v>
      </c>
      <c r="AF6" s="37">
        <v>0.109</v>
      </c>
      <c r="AG6" s="37">
        <v>3.1E-2</v>
      </c>
      <c r="AH6" s="43">
        <f t="shared" si="2"/>
        <v>0.64900000000000002</v>
      </c>
      <c r="AI6" s="43">
        <f>AF6/(SUM(AF$6:AF$25))</f>
        <v>0.109</v>
      </c>
    </row>
    <row r="7" spans="1:39" x14ac:dyDescent="0.25">
      <c r="A7" s="32" t="s">
        <v>664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41.112332799999997</v>
      </c>
      <c r="J7" s="34">
        <f t="shared" si="4"/>
        <v>167.73831782399998</v>
      </c>
      <c r="K7" s="34">
        <f t="shared" si="5"/>
        <v>1.5211563135999999</v>
      </c>
      <c r="L7" s="34">
        <f t="shared" si="6"/>
        <v>2.6130719999999998</v>
      </c>
      <c r="M7" s="34">
        <f t="shared" si="7"/>
        <v>1.9598039999999999</v>
      </c>
      <c r="N7" s="34">
        <f t="shared" si="7"/>
        <v>12.043963424675757</v>
      </c>
      <c r="O7" s="34">
        <f t="shared" si="8"/>
        <v>3.9196080000000001E-2</v>
      </c>
      <c r="Q7" s="53"/>
      <c r="R7" s="54"/>
      <c r="S7" s="55"/>
      <c r="T7" s="54"/>
      <c r="U7" s="54"/>
      <c r="V7" s="38">
        <v>4.08</v>
      </c>
      <c r="W7" s="36">
        <f t="shared" si="9"/>
        <v>8.6239999999999997E-2</v>
      </c>
      <c r="X7" s="37">
        <v>3.6999999999999998E-2</v>
      </c>
      <c r="Y7" s="37">
        <v>0.75</v>
      </c>
      <c r="Z7" s="56">
        <v>6.1454938476887273</v>
      </c>
      <c r="AA7" s="36">
        <f t="shared" si="10"/>
        <v>4.8999999999999998E-3</v>
      </c>
      <c r="AB7" s="36">
        <f t="shared" si="10"/>
        <v>2.8781204111600588E-2</v>
      </c>
      <c r="AD7" s="42"/>
      <c r="AE7" s="37">
        <v>8.7999999999999995E-2</v>
      </c>
      <c r="AF7" s="37">
        <v>5.0000000000000001E-3</v>
      </c>
      <c r="AG7" s="37">
        <v>0.02</v>
      </c>
      <c r="AH7" s="43">
        <f t="shared" si="2"/>
        <v>8.7999999999999995E-2</v>
      </c>
      <c r="AI7" s="43">
        <f t="shared" ref="AI7:AI25" si="11">AF7/(SUM(AF$6:AF$25))</f>
        <v>5.0000000000000001E-3</v>
      </c>
    </row>
    <row r="8" spans="1:39" x14ac:dyDescent="0.25">
      <c r="A8" s="32" t="s">
        <v>530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20.088980799999998</v>
      </c>
      <c r="J8" s="34">
        <f t="shared" si="4"/>
        <v>79.644023865033247</v>
      </c>
      <c r="K8" s="34">
        <f t="shared" si="5"/>
        <v>0.6026694239999999</v>
      </c>
      <c r="L8" s="34">
        <f t="shared" si="6"/>
        <v>7.8392159999999995</v>
      </c>
      <c r="M8" s="34">
        <f t="shared" si="7"/>
        <v>5.8794119999999994</v>
      </c>
      <c r="N8" s="34">
        <f t="shared" si="7"/>
        <v>35.857945005048599</v>
      </c>
      <c r="O8" s="34">
        <f t="shared" si="8"/>
        <v>0.11758824</v>
      </c>
      <c r="Q8" s="53"/>
      <c r="R8" s="54"/>
      <c r="S8" s="55"/>
      <c r="T8" s="54"/>
      <c r="U8" s="54"/>
      <c r="V8" s="38">
        <v>3.9645626952380408</v>
      </c>
      <c r="W8" s="36">
        <f t="shared" si="9"/>
        <v>4.2139999999999997E-2</v>
      </c>
      <c r="X8" s="37">
        <v>0.03</v>
      </c>
      <c r="Y8" s="37">
        <v>0.75</v>
      </c>
      <c r="Z8" s="56">
        <v>6.098899856830684</v>
      </c>
      <c r="AA8" s="36">
        <f t="shared" si="10"/>
        <v>1.47E-2</v>
      </c>
      <c r="AB8" s="36">
        <f t="shared" si="10"/>
        <v>2.8781204111600588E-2</v>
      </c>
      <c r="AD8" s="42"/>
      <c r="AE8" s="37">
        <v>4.2999999999999997E-2</v>
      </c>
      <c r="AF8" s="37">
        <v>1.4999999999999999E-2</v>
      </c>
      <c r="AG8" s="37">
        <v>0.02</v>
      </c>
      <c r="AH8" s="43">
        <f t="shared" si="2"/>
        <v>4.2999999999999997E-2</v>
      </c>
      <c r="AI8" s="43">
        <f t="shared" si="11"/>
        <v>1.4999999999999999E-2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336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117.06562559999999</v>
      </c>
      <c r="M13" s="34">
        <f t="shared" ref="M13:N20" si="16">L13*Y13</f>
        <v>62.957348956398128</v>
      </c>
      <c r="N13" s="34">
        <f t="shared" si="16"/>
        <v>1044.6940058485879</v>
      </c>
      <c r="O13" s="34">
        <f t="shared" ref="O13:O20" si="17">M13*AG13</f>
        <v>6.1068628487706187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0.53779534883720925</v>
      </c>
      <c r="Z13" s="56">
        <v>16.593678469087116</v>
      </c>
      <c r="AA13" s="36">
        <f t="shared" ref="AA13:AB20" si="19">(AF13/SUM(AF$6:AF$25))*0.98</f>
        <v>0.21951999999999999</v>
      </c>
      <c r="AB13" s="36">
        <f t="shared" si="19"/>
        <v>0.13958883994126284</v>
      </c>
      <c r="AD13" s="42"/>
      <c r="AE13" s="37">
        <v>0</v>
      </c>
      <c r="AF13" s="37">
        <v>0.224</v>
      </c>
      <c r="AG13" s="37">
        <v>9.7000000000000003E-2</v>
      </c>
      <c r="AH13" s="43">
        <f t="shared" si="2"/>
        <v>0</v>
      </c>
      <c r="AI13" s="43">
        <f t="shared" si="11"/>
        <v>0.224</v>
      </c>
    </row>
    <row r="14" spans="1:39" x14ac:dyDescent="0.25">
      <c r="A14" s="32" t="s">
        <v>384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2"/>
        <v>2.3359279999999996</v>
      </c>
      <c r="J14" s="34">
        <f t="shared" si="13"/>
        <v>9.8198247133757945</v>
      </c>
      <c r="K14" s="34">
        <f t="shared" si="14"/>
        <v>3.5425053078556257E-2</v>
      </c>
      <c r="L14" s="34">
        <f t="shared" si="15"/>
        <v>111.31686719999999</v>
      </c>
      <c r="M14" s="34">
        <f t="shared" si="16"/>
        <v>79.066049385931024</v>
      </c>
      <c r="N14" s="34">
        <f t="shared" si="16"/>
        <v>781.39030299409649</v>
      </c>
      <c r="O14" s="34">
        <f t="shared" si="17"/>
        <v>4.9811611113136545</v>
      </c>
      <c r="Q14" s="53"/>
      <c r="R14" s="54"/>
      <c r="S14" s="55"/>
      <c r="T14" s="54"/>
      <c r="U14" s="54"/>
      <c r="V14" s="38">
        <v>4.2038216560509554</v>
      </c>
      <c r="W14" s="36">
        <f t="shared" si="18"/>
        <v>4.8999999999999998E-3</v>
      </c>
      <c r="X14" s="37">
        <v>1.5165301789505611E-2</v>
      </c>
      <c r="Y14" s="37">
        <v>0.71027914614121512</v>
      </c>
      <c r="Z14" s="56">
        <v>9.8827538376179032</v>
      </c>
      <c r="AA14" s="36">
        <f t="shared" si="19"/>
        <v>0.20873999999999998</v>
      </c>
      <c r="AB14" s="36">
        <f t="shared" si="19"/>
        <v>9.0660792951541849E-2</v>
      </c>
      <c r="AD14" s="42"/>
      <c r="AE14" s="37">
        <v>5.0000000000000001E-3</v>
      </c>
      <c r="AF14" s="37">
        <v>0.21299999999999999</v>
      </c>
      <c r="AG14" s="37">
        <v>6.3E-2</v>
      </c>
      <c r="AH14" s="43">
        <f t="shared" si="2"/>
        <v>5.0000000000000001E-3</v>
      </c>
      <c r="AI14" s="43">
        <f t="shared" si="11"/>
        <v>0.21299999999999999</v>
      </c>
    </row>
    <row r="15" spans="1:39" x14ac:dyDescent="0.25">
      <c r="A15" s="32" t="s">
        <v>144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53.306668799999997</v>
      </c>
      <c r="M15" s="34">
        <f t="shared" si="16"/>
        <v>31.077787910399998</v>
      </c>
      <c r="N15" s="34">
        <f t="shared" si="16"/>
        <v>366.09634158451195</v>
      </c>
      <c r="O15" s="34">
        <f t="shared" si="17"/>
        <v>2.7659231240255995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0.58299999999999996</v>
      </c>
      <c r="Z15" s="56">
        <v>11.78</v>
      </c>
      <c r="AA15" s="36">
        <f t="shared" si="19"/>
        <v>9.9959999999999993E-2</v>
      </c>
      <c r="AB15" s="36">
        <f t="shared" si="19"/>
        <v>0.12807635829662259</v>
      </c>
      <c r="AD15" s="42"/>
      <c r="AE15" s="37">
        <v>0</v>
      </c>
      <c r="AF15" s="37">
        <v>0.10199999999999999</v>
      </c>
      <c r="AG15" s="37">
        <v>8.8999999999999996E-2</v>
      </c>
      <c r="AH15" s="43">
        <f t="shared" si="2"/>
        <v>0</v>
      </c>
      <c r="AI15" s="43">
        <f t="shared" si="11"/>
        <v>0.10199999999999999</v>
      </c>
    </row>
    <row r="16" spans="1:39" x14ac:dyDescent="0.25">
      <c r="A16" s="32" t="s">
        <v>682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18.291504</v>
      </c>
      <c r="M16" s="34">
        <f t="shared" si="16"/>
        <v>10.279825248000002</v>
      </c>
      <c r="N16" s="34">
        <f t="shared" si="16"/>
        <v>115.64803404000001</v>
      </c>
      <c r="O16" s="34">
        <f t="shared" si="17"/>
        <v>0.63734916537600006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0.56200000000000006</v>
      </c>
      <c r="Z16" s="56">
        <v>11.25</v>
      </c>
      <c r="AA16" s="36">
        <f t="shared" si="19"/>
        <v>3.4300000000000004E-2</v>
      </c>
      <c r="AB16" s="36">
        <f t="shared" si="19"/>
        <v>8.9221732745961804E-2</v>
      </c>
      <c r="AD16" s="42"/>
      <c r="AE16" s="37">
        <v>0</v>
      </c>
      <c r="AF16" s="37">
        <v>3.5000000000000003E-2</v>
      </c>
      <c r="AG16" s="37">
        <v>6.2E-2</v>
      </c>
      <c r="AH16" s="43">
        <f t="shared" si="2"/>
        <v>0</v>
      </c>
      <c r="AI16" s="43">
        <f t="shared" si="11"/>
        <v>3.5000000000000003E-2</v>
      </c>
    </row>
    <row r="17" spans="1:35" x14ac:dyDescent="0.25">
      <c r="A17" s="32" t="s">
        <v>634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2"/>
        <v>2.3359279999999996</v>
      </c>
      <c r="J17" s="34">
        <f t="shared" si="13"/>
        <v>18.683084143056195</v>
      </c>
      <c r="K17" s="34">
        <f t="shared" si="14"/>
        <v>1.8082737265830619E-2</v>
      </c>
      <c r="L17" s="34">
        <f t="shared" si="15"/>
        <v>10.452287999999999</v>
      </c>
      <c r="M17" s="34">
        <f t="shared" si="16"/>
        <v>7.1598172800000004</v>
      </c>
      <c r="N17" s="34">
        <f t="shared" si="16"/>
        <v>77.606120878894956</v>
      </c>
      <c r="O17" s="34">
        <f t="shared" si="17"/>
        <v>0.42958903679999999</v>
      </c>
      <c r="Q17" s="53"/>
      <c r="R17" s="54"/>
      <c r="S17" s="55"/>
      <c r="T17" s="54"/>
      <c r="U17" s="54"/>
      <c r="V17" s="38">
        <v>7.9981421272642814</v>
      </c>
      <c r="W17" s="36">
        <f t="shared" si="18"/>
        <v>4.8999999999999998E-3</v>
      </c>
      <c r="X17" s="37">
        <v>7.7411363988233468E-3</v>
      </c>
      <c r="Y17" s="37">
        <v>0.68500000000000005</v>
      </c>
      <c r="Z17" s="56">
        <v>10.839120307675639</v>
      </c>
      <c r="AA17" s="36">
        <f t="shared" si="19"/>
        <v>1.9599999999999999E-2</v>
      </c>
      <c r="AB17" s="36">
        <f t="shared" si="19"/>
        <v>8.6343612334801756E-2</v>
      </c>
      <c r="AD17" s="42"/>
      <c r="AE17" s="37">
        <v>5.0000000000000001E-3</v>
      </c>
      <c r="AF17" s="37">
        <v>0.02</v>
      </c>
      <c r="AG17" s="37">
        <v>0.06</v>
      </c>
      <c r="AH17" s="43">
        <f t="shared" si="2"/>
        <v>5.0000000000000001E-3</v>
      </c>
      <c r="AI17" s="43">
        <f t="shared" si="11"/>
        <v>0.02</v>
      </c>
    </row>
    <row r="18" spans="1:35" x14ac:dyDescent="0.25">
      <c r="A18" s="32" t="s">
        <v>447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5.2261439999999997</v>
      </c>
      <c r="M18" s="34">
        <f t="shared" si="16"/>
        <v>2.8768180671999999</v>
      </c>
      <c r="N18" s="34">
        <f t="shared" si="16"/>
        <v>30.471555206400001</v>
      </c>
      <c r="O18" s="34">
        <f t="shared" si="17"/>
        <v>0.15822499369599999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0.55046666666666666</v>
      </c>
      <c r="Z18" s="56">
        <v>10.592103669613662</v>
      </c>
      <c r="AA18" s="36">
        <f t="shared" si="19"/>
        <v>9.7999999999999997E-3</v>
      </c>
      <c r="AB18" s="36">
        <f t="shared" si="19"/>
        <v>7.91483113069016E-2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531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118.63346879999999</v>
      </c>
      <c r="M22" s="34">
        <f t="shared" ref="M22:N25" si="20">L22*Y22</f>
        <v>87.076966099199993</v>
      </c>
      <c r="N22" s="34">
        <f t="shared" si="20"/>
        <v>902.98813844870381</v>
      </c>
      <c r="O22" s="34">
        <f>M22*AG22</f>
        <v>5.7470797625471999</v>
      </c>
      <c r="Q22" s="53"/>
      <c r="R22" s="54"/>
      <c r="S22" s="55"/>
      <c r="T22" s="54"/>
      <c r="U22" s="54"/>
      <c r="V22" s="59"/>
      <c r="W22" s="60"/>
      <c r="X22" s="54"/>
      <c r="Y22" s="37">
        <v>0.73399999999999999</v>
      </c>
      <c r="Z22" s="56">
        <v>10.37</v>
      </c>
      <c r="AA22" s="36">
        <f t="shared" ref="AA22:AB25" si="21">(AF22/SUM(AF$6:AF$25))*0.98</f>
        <v>0.22245999999999999</v>
      </c>
      <c r="AB22" s="36">
        <f t="shared" si="21"/>
        <v>9.4977973568281943E-2</v>
      </c>
      <c r="AD22" s="42"/>
      <c r="AE22" s="42"/>
      <c r="AF22" s="37">
        <v>0.22700000000000001</v>
      </c>
      <c r="AG22" s="37">
        <v>6.6000000000000003E-2</v>
      </c>
      <c r="AH22" s="43"/>
      <c r="AI22" s="43">
        <f t="shared" si="11"/>
        <v>0.22700000000000001</v>
      </c>
    </row>
    <row r="23" spans="1:35" x14ac:dyDescent="0.25">
      <c r="A23" s="32" t="s">
        <v>498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13.06536</v>
      </c>
      <c r="M23" s="34">
        <f t="shared" si="20"/>
        <v>9.2226070588235309</v>
      </c>
      <c r="N23" s="34">
        <f t="shared" si="20"/>
        <v>98.374475294117659</v>
      </c>
      <c r="O23" s="34">
        <f>M23*AG23</f>
        <v>0.46113035294117655</v>
      </c>
      <c r="Q23" s="53"/>
      <c r="R23" s="54"/>
      <c r="S23" s="55"/>
      <c r="T23" s="54"/>
      <c r="U23" s="54"/>
      <c r="V23" s="59"/>
      <c r="W23" s="60"/>
      <c r="X23" s="54"/>
      <c r="Y23" s="37">
        <v>0.70588235294117652</v>
      </c>
      <c r="Z23" s="56">
        <v>10.666666666666666</v>
      </c>
      <c r="AA23" s="36">
        <f t="shared" si="21"/>
        <v>2.4500000000000001E-2</v>
      </c>
      <c r="AB23" s="36">
        <f t="shared" si="21"/>
        <v>7.1953010279001473E-2</v>
      </c>
      <c r="AD23" s="42"/>
      <c r="AE23" s="42"/>
      <c r="AF23" s="37">
        <v>2.5000000000000001E-2</v>
      </c>
      <c r="AG23" s="37">
        <v>0.05</v>
      </c>
      <c r="AH23" s="43"/>
      <c r="AI23" s="43">
        <f t="shared" si="11"/>
        <v>2.5000000000000001E-2</v>
      </c>
    </row>
    <row r="24" spans="1:35" x14ac:dyDescent="0.25">
      <c r="A24" s="32" t="s">
        <v>66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7.8392159999999995</v>
      </c>
      <c r="M24" s="34">
        <f t="shared" si="20"/>
        <v>5.431864032</v>
      </c>
      <c r="N24" s="34">
        <f t="shared" si="20"/>
        <v>52.545710560000003</v>
      </c>
      <c r="O24" s="34">
        <f>M24*AG24</f>
        <v>0.36936675417600001</v>
      </c>
      <c r="Q24" s="53"/>
      <c r="R24" s="54"/>
      <c r="S24" s="55"/>
      <c r="T24" s="54"/>
      <c r="U24" s="54"/>
      <c r="V24" s="59"/>
      <c r="W24" s="60"/>
      <c r="X24" s="54"/>
      <c r="Y24" s="37">
        <v>0.69290909090909092</v>
      </c>
      <c r="Z24" s="56">
        <v>9.6736056444794318</v>
      </c>
      <c r="AA24" s="36">
        <f t="shared" si="21"/>
        <v>1.47E-2</v>
      </c>
      <c r="AB24" s="36">
        <f t="shared" si="21"/>
        <v>9.7856093979441991E-2</v>
      </c>
      <c r="AD24" s="42"/>
      <c r="AE24" s="42"/>
      <c r="AF24" s="37">
        <v>1.4999999999999999E-2</v>
      </c>
      <c r="AG24" s="37">
        <v>6.8000000000000005E-2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1010</v>
      </c>
      <c r="E29" s="75">
        <v>0.52800000000000002</v>
      </c>
      <c r="F29" s="76">
        <f>1-E29</f>
        <v>0.47199999999999998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533.28</v>
      </c>
      <c r="E32" s="80">
        <f>SUM(E2:E4)</f>
        <v>350.35333793598085</v>
      </c>
      <c r="F32" s="80">
        <f>SUM(F2:F4)</f>
        <v>3849.2351219415718</v>
      </c>
      <c r="G32" s="80">
        <f>SUM(G2:G4)</f>
        <v>23.195084585839268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476.71999999999997</v>
      </c>
      <c r="E35" s="80">
        <f>D35*G29</f>
        <v>2145.2399999999998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467.18560000000002</v>
      </c>
      <c r="E38" s="91">
        <f>SUM(J2:J4,J6:J11,J13:J20)</f>
        <v>2142.2368406493938</v>
      </c>
      <c r="F38" s="91">
        <f>SUM(K2:K4,K6:K11,K13:K20)</f>
        <v>21.995199638325154</v>
      </c>
      <c r="G38" s="91">
        <f>SUM(L6:L11,L13:L20,L22:L25)</f>
        <v>522.61439999999993</v>
      </c>
      <c r="H38" s="91">
        <f>SUM(M6:M11,M13:M20,M22:M25)</f>
        <v>346.64363134256155</v>
      </c>
      <c r="I38" s="91">
        <f>SUM(N6:N11,N13:N20,N22:N25)</f>
        <v>3848.8813518059569</v>
      </c>
      <c r="J38" s="91">
        <f>SUM(O6:O11,O13:O20,O22:O25)</f>
        <v>23.166786740089123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9.5343999999999482</v>
      </c>
      <c r="E39" s="92">
        <f>E35-E38</f>
        <v>3.0031593506059835</v>
      </c>
      <c r="F39" s="92">
        <f>F35-F38</f>
        <v>4.8003616748459876E-3</v>
      </c>
      <c r="G39" s="92">
        <f>SUM(D2:D4)-G38</f>
        <v>10.66560000000004</v>
      </c>
      <c r="H39" s="92">
        <f>E32-H38</f>
        <v>3.7097065934192983</v>
      </c>
      <c r="I39" s="92">
        <f>F32-I38</f>
        <v>0.35377013561492276</v>
      </c>
      <c r="J39" s="92">
        <f>G32-J38</f>
        <v>2.8297845750145711E-2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N48" s="47"/>
      <c r="O48" s="47"/>
      <c r="V48" s="82"/>
      <c r="X48" s="65"/>
      <c r="Y48" s="65"/>
      <c r="Z48" s="82"/>
      <c r="AG48" s="65"/>
    </row>
    <row r="49" spans="14:33" x14ac:dyDescent="0.25">
      <c r="N49" s="47"/>
      <c r="O49" s="47"/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N51" s="47"/>
      <c r="O51" s="47"/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7" priority="1" operator="lessThan">
      <formula>0</formula>
    </cfRule>
  </conditionalFormatting>
  <conditionalFormatting sqref="W28 AA28:AF28">
    <cfRule type="cellIs" dxfId="3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36C0B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83</v>
      </c>
    </row>
    <row r="2" spans="1:39" x14ac:dyDescent="0.25">
      <c r="A2" s="32" t="s">
        <v>120</v>
      </c>
      <c r="B2" s="33" t="s">
        <v>7</v>
      </c>
      <c r="C2" s="33">
        <f>VLOOKUP($AM$1,DST!C:D,2,FALSE)</f>
        <v>7</v>
      </c>
      <c r="D2" s="34">
        <f>D$32*Q2</f>
        <v>565.38405</v>
      </c>
      <c r="E2" s="34">
        <f>D2*R2</f>
        <v>348.84195884999997</v>
      </c>
      <c r="F2" s="34">
        <f>E2*S2</f>
        <v>4018.6593659519995</v>
      </c>
      <c r="G2" s="34">
        <f>E2*T2</f>
        <v>26.17068504618894</v>
      </c>
      <c r="H2" s="34">
        <f>D2*U2</f>
        <v>13.253447540661002</v>
      </c>
      <c r="I2" s="34">
        <f>D$35*W2</f>
        <v>74.940732299999993</v>
      </c>
      <c r="J2" s="34">
        <f>I2*V2</f>
        <v>337.36719955313924</v>
      </c>
      <c r="K2" s="34">
        <f>I2*X2</f>
        <v>6.0402230233800003</v>
      </c>
      <c r="L2" s="35"/>
      <c r="M2" s="35"/>
      <c r="N2" s="35"/>
      <c r="O2" s="35"/>
      <c r="Q2" s="36">
        <f>(AD2/SUM(AD$2:AD$25))</f>
        <v>0.99</v>
      </c>
      <c r="R2" s="37">
        <v>0.61699999999999999</v>
      </c>
      <c r="S2" s="38">
        <v>11.52</v>
      </c>
      <c r="T2" s="37">
        <v>7.5021609018776844E-2</v>
      </c>
      <c r="U2" s="37">
        <v>2.3441495282120185E-2</v>
      </c>
      <c r="V2" s="38">
        <v>4.501786801369958</v>
      </c>
      <c r="W2" s="36">
        <f>(AE2/SUM(AE$2:AE$20))*0.98</f>
        <v>0.16366</v>
      </c>
      <c r="X2" s="37">
        <v>8.0600000000000005E-2</v>
      </c>
      <c r="Y2" s="39"/>
      <c r="Z2" s="40"/>
      <c r="AA2" s="41"/>
      <c r="AB2" s="41"/>
      <c r="AD2" s="37">
        <v>0.99</v>
      </c>
      <c r="AE2" s="37">
        <v>0.16700000000000001</v>
      </c>
      <c r="AF2" s="42"/>
      <c r="AG2" s="42"/>
      <c r="AH2" s="43">
        <f>AE2/(SUM(AE$2:AE$25))</f>
        <v>0.16700000000000001</v>
      </c>
    </row>
    <row r="3" spans="1:39" x14ac:dyDescent="0.25">
      <c r="A3" s="32" t="s">
        <v>318</v>
      </c>
      <c r="B3" s="33" t="s">
        <v>7</v>
      </c>
      <c r="C3" s="33">
        <f>VLOOKUP($AM$1,DST!C:D,2,FALSE)</f>
        <v>7</v>
      </c>
      <c r="D3" s="34">
        <f>D$32*Q3</f>
        <v>5.7109500000000057</v>
      </c>
      <c r="E3" s="34">
        <f t="shared" ref="E3:F4" si="0">D3*R3</f>
        <v>3.9862431000000038</v>
      </c>
      <c r="F3" s="34">
        <f t="shared" si="0"/>
        <v>42.453489015000045</v>
      </c>
      <c r="G3" s="34">
        <f t="shared" ref="G3:G4" si="1">E3*T3</f>
        <v>0.23598103231579806</v>
      </c>
      <c r="H3" s="34">
        <f>D3*U3</f>
        <v>0.17418006440389402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0.69799999999999995</v>
      </c>
      <c r="S3" s="38">
        <v>10.65</v>
      </c>
      <c r="T3" s="37">
        <v>5.9198856265388788E-2</v>
      </c>
      <c r="U3" s="37">
        <v>3.0499315245956251E-2</v>
      </c>
      <c r="V3" s="38">
        <v>2.6350213061143597</v>
      </c>
      <c r="W3" s="36">
        <f>(AE3/SUM(AE$2:AE$20))*0.98</f>
        <v>0</v>
      </c>
      <c r="X3" s="37">
        <v>9.9098206322465569E-3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532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213.60352439999997</v>
      </c>
      <c r="J6" s="34">
        <f t="shared" ref="J6:J11" si="4">I6*V6</f>
        <v>918.49515491999978</v>
      </c>
      <c r="K6" s="34">
        <f t="shared" ref="K6:K11" si="5">I6*X6</f>
        <v>7.6897268783999984</v>
      </c>
      <c r="L6" s="34">
        <f t="shared" ref="L6:L11" si="6">((D$2+D$3+D$4)*AA6)</f>
        <v>52.609271399999997</v>
      </c>
      <c r="M6" s="34">
        <f t="shared" ref="M6:N11" si="7">L6*Y6</f>
        <v>37.510410508199996</v>
      </c>
      <c r="N6" s="34">
        <f t="shared" si="7"/>
        <v>293.33141017412396</v>
      </c>
      <c r="O6" s="34">
        <f t="shared" ref="O6:O11" si="8">M6*AG6</f>
        <v>2.1756038094756001</v>
      </c>
      <c r="Q6" s="53"/>
      <c r="R6" s="54"/>
      <c r="S6" s="55"/>
      <c r="T6" s="54"/>
      <c r="U6" s="54"/>
      <c r="V6" s="38">
        <v>4.3</v>
      </c>
      <c r="W6" s="36">
        <f t="shared" ref="W6:W11" si="9">(AE6/SUM(AE$2:AE$20))*0.98</f>
        <v>0.46647999999999995</v>
      </c>
      <c r="X6" s="37">
        <v>3.5999999999999997E-2</v>
      </c>
      <c r="Y6" s="37">
        <v>0.71299999999999997</v>
      </c>
      <c r="Z6" s="56">
        <v>7.82</v>
      </c>
      <c r="AA6" s="36">
        <f t="shared" ref="AA6:AB11" si="10">(AF6/SUM(AF$6:AF$25))*0.98</f>
        <v>9.2119999999999994E-2</v>
      </c>
      <c r="AB6" s="36">
        <f t="shared" si="10"/>
        <v>7.0696517412935325E-2</v>
      </c>
      <c r="AD6" s="42"/>
      <c r="AE6" s="37">
        <v>0.47599999999999998</v>
      </c>
      <c r="AF6" s="37">
        <v>9.4E-2</v>
      </c>
      <c r="AG6" s="37">
        <v>5.8000000000000003E-2</v>
      </c>
      <c r="AH6" s="43">
        <f t="shared" si="2"/>
        <v>0.47599999999999998</v>
      </c>
      <c r="AI6" s="43">
        <f>AF6/(SUM(AF$6:AF$25))</f>
        <v>9.4E-2</v>
      </c>
    </row>
    <row r="7" spans="1:39" x14ac:dyDescent="0.25">
      <c r="A7" s="32" t="s">
        <v>588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134.17532309999999</v>
      </c>
      <c r="J7" s="34">
        <f t="shared" si="4"/>
        <v>554.14408440299997</v>
      </c>
      <c r="K7" s="34">
        <f t="shared" si="5"/>
        <v>4.964486954699999</v>
      </c>
      <c r="L7" s="34">
        <f t="shared" si="6"/>
        <v>14.551500600000001</v>
      </c>
      <c r="M7" s="34">
        <f t="shared" si="7"/>
        <v>10.098741416399999</v>
      </c>
      <c r="N7" s="34">
        <f t="shared" si="7"/>
        <v>68.62928965127324</v>
      </c>
      <c r="O7" s="34">
        <f t="shared" si="8"/>
        <v>0.30296224249199999</v>
      </c>
      <c r="Q7" s="53"/>
      <c r="R7" s="54"/>
      <c r="S7" s="55"/>
      <c r="T7" s="54"/>
      <c r="U7" s="54"/>
      <c r="V7" s="38">
        <v>4.13</v>
      </c>
      <c r="W7" s="36">
        <f t="shared" si="9"/>
        <v>0.29302</v>
      </c>
      <c r="X7" s="37">
        <v>3.6999999999999998E-2</v>
      </c>
      <c r="Y7" s="37">
        <v>0.69399999999999995</v>
      </c>
      <c r="Z7" s="56">
        <v>6.7958260164798059</v>
      </c>
      <c r="AA7" s="36">
        <f t="shared" si="10"/>
        <v>2.5479999999999999E-2</v>
      </c>
      <c r="AB7" s="36">
        <f t="shared" si="10"/>
        <v>3.6567164179104474E-2</v>
      </c>
      <c r="AD7" s="42"/>
      <c r="AE7" s="37">
        <v>0.29899999999999999</v>
      </c>
      <c r="AF7" s="37">
        <v>2.5999999999999999E-2</v>
      </c>
      <c r="AG7" s="37">
        <v>0.03</v>
      </c>
      <c r="AH7" s="43">
        <f t="shared" si="2"/>
        <v>0.29899999999999999</v>
      </c>
      <c r="AI7" s="43">
        <f t="shared" ref="AI7:AI25" si="11">AF7/(SUM(AF$6:AF$25))</f>
        <v>2.5999999999999999E-2</v>
      </c>
    </row>
    <row r="8" spans="1:39" x14ac:dyDescent="0.25">
      <c r="A8" s="32" t="s">
        <v>533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19.296116699999999</v>
      </c>
      <c r="J8" s="34">
        <f t="shared" si="4"/>
        <v>78.921117302999988</v>
      </c>
      <c r="K8" s="34">
        <f t="shared" si="5"/>
        <v>0.57888350099999997</v>
      </c>
      <c r="L8" s="34">
        <f t="shared" si="6"/>
        <v>15.111173700000002</v>
      </c>
      <c r="M8" s="34">
        <f t="shared" si="7"/>
        <v>10.675567740600004</v>
      </c>
      <c r="N8" s="34">
        <f t="shared" si="7"/>
        <v>74.408707151982028</v>
      </c>
      <c r="O8" s="34">
        <f t="shared" si="8"/>
        <v>0.38432043866160009</v>
      </c>
      <c r="Q8" s="53"/>
      <c r="R8" s="54"/>
      <c r="S8" s="55"/>
      <c r="T8" s="54"/>
      <c r="U8" s="54"/>
      <c r="V8" s="38">
        <v>4.09</v>
      </c>
      <c r="W8" s="36">
        <f t="shared" si="9"/>
        <v>4.2139999999999997E-2</v>
      </c>
      <c r="X8" s="37">
        <v>0.03</v>
      </c>
      <c r="Y8" s="37">
        <v>0.70646846846846856</v>
      </c>
      <c r="Z8" s="56">
        <v>6.97</v>
      </c>
      <c r="AA8" s="36">
        <f t="shared" si="10"/>
        <v>2.6460000000000001E-2</v>
      </c>
      <c r="AB8" s="36">
        <f t="shared" si="10"/>
        <v>4.3880597014925367E-2</v>
      </c>
      <c r="AD8" s="42"/>
      <c r="AE8" s="37">
        <v>4.2999999999999997E-2</v>
      </c>
      <c r="AF8" s="37">
        <v>2.7E-2</v>
      </c>
      <c r="AG8" s="37">
        <v>3.5999999999999997E-2</v>
      </c>
      <c r="AH8" s="43">
        <f t="shared" si="2"/>
        <v>4.2999999999999997E-2</v>
      </c>
      <c r="AI8" s="43">
        <f t="shared" si="11"/>
        <v>2.7E-2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4.4874689999999999</v>
      </c>
      <c r="J13" s="34">
        <f t="shared" ref="J13:J20" si="13">I13*V13</f>
        <v>22.757878499999997</v>
      </c>
      <c r="K13" s="34">
        <f t="shared" ref="K13:K20" si="14">I13*X13</f>
        <v>0.17949876000000001</v>
      </c>
      <c r="L13" s="34">
        <f t="shared" ref="L13:L20" si="15">((D$2+D$3+D$4)*AA13)</f>
        <v>125.92644750000001</v>
      </c>
      <c r="M13" s="34">
        <f t="shared" ref="M13:N20" si="16">L13*Y13</f>
        <v>78.578103240000004</v>
      </c>
      <c r="N13" s="34">
        <f t="shared" si="16"/>
        <v>1057.6612696104</v>
      </c>
      <c r="O13" s="34">
        <f t="shared" ref="O13:O20" si="17">M13*AG13</f>
        <v>6.6005606721600012</v>
      </c>
      <c r="Q13" s="53"/>
      <c r="R13" s="54"/>
      <c r="S13" s="55"/>
      <c r="T13" s="54"/>
      <c r="U13" s="54"/>
      <c r="V13" s="38">
        <v>5.0714285714285712</v>
      </c>
      <c r="W13" s="36">
        <f t="shared" ref="W13:W20" si="18">(AE13/SUM(AE$2:AE$20))*0.98</f>
        <v>9.7999999999999997E-3</v>
      </c>
      <c r="X13" s="37">
        <v>0.04</v>
      </c>
      <c r="Y13" s="37">
        <v>0.624</v>
      </c>
      <c r="Z13" s="56">
        <v>13.46</v>
      </c>
      <c r="AA13" s="36">
        <f t="shared" ref="AA13:AB20" si="19">(AF13/SUM(AF$6:AF$25))*0.98</f>
        <v>0.2205</v>
      </c>
      <c r="AB13" s="36">
        <f t="shared" si="19"/>
        <v>0.10238805970149253</v>
      </c>
      <c r="AD13" s="42"/>
      <c r="AE13" s="37">
        <v>0.01</v>
      </c>
      <c r="AF13" s="37">
        <v>0.22500000000000001</v>
      </c>
      <c r="AG13" s="37">
        <v>8.4000000000000005E-2</v>
      </c>
      <c r="AH13" s="43">
        <f t="shared" si="2"/>
        <v>0.01</v>
      </c>
      <c r="AI13" s="43">
        <f t="shared" si="11"/>
        <v>0.22500000000000001</v>
      </c>
    </row>
    <row r="14" spans="1:39" x14ac:dyDescent="0.25">
      <c r="A14" s="32" t="s">
        <v>431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104.0991966</v>
      </c>
      <c r="M14" s="34">
        <f t="shared" si="16"/>
        <v>56.525863753800003</v>
      </c>
      <c r="N14" s="34">
        <f t="shared" si="16"/>
        <v>842.80062856915811</v>
      </c>
      <c r="O14" s="34">
        <f t="shared" si="17"/>
        <v>5.4830087841186002</v>
      </c>
      <c r="Q14" s="53"/>
      <c r="R14" s="54"/>
      <c r="S14" s="55"/>
      <c r="T14" s="54"/>
      <c r="U14" s="54"/>
      <c r="V14" s="38">
        <v>6.0461880912632164</v>
      </c>
      <c r="W14" s="36">
        <f t="shared" si="18"/>
        <v>0</v>
      </c>
      <c r="X14" s="37">
        <v>8.069003895381191E-2</v>
      </c>
      <c r="Y14" s="37">
        <v>0.54300000000000004</v>
      </c>
      <c r="Z14" s="56">
        <v>14.91</v>
      </c>
      <c r="AA14" s="36">
        <f t="shared" si="19"/>
        <v>0.18228</v>
      </c>
      <c r="AB14" s="36">
        <f t="shared" si="19"/>
        <v>0.11823383084577113</v>
      </c>
      <c r="AD14" s="42"/>
      <c r="AE14" s="37">
        <v>0</v>
      </c>
      <c r="AF14" s="37">
        <v>0.186</v>
      </c>
      <c r="AG14" s="37">
        <v>9.7000000000000003E-2</v>
      </c>
      <c r="AH14" s="43">
        <f t="shared" si="2"/>
        <v>0</v>
      </c>
      <c r="AI14" s="43">
        <f t="shared" si="11"/>
        <v>0.186</v>
      </c>
    </row>
    <row r="15" spans="1:39" x14ac:dyDescent="0.25">
      <c r="A15" s="32" t="s">
        <v>96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2.2437345</v>
      </c>
      <c r="J15" s="34">
        <f t="shared" si="13"/>
        <v>10.894215331920902</v>
      </c>
      <c r="K15" s="34">
        <f t="shared" si="14"/>
        <v>3.018206214689265E-2</v>
      </c>
      <c r="L15" s="34">
        <f t="shared" si="15"/>
        <v>102.97985039999999</v>
      </c>
      <c r="M15" s="34">
        <f t="shared" si="16"/>
        <v>65.495184854399994</v>
      </c>
      <c r="N15" s="34">
        <f t="shared" si="16"/>
        <v>740.75054070326394</v>
      </c>
      <c r="O15" s="34">
        <f t="shared" si="17"/>
        <v>4.9121388640799992</v>
      </c>
      <c r="Q15" s="53"/>
      <c r="R15" s="54"/>
      <c r="S15" s="55"/>
      <c r="T15" s="54"/>
      <c r="U15" s="54"/>
      <c r="V15" s="38">
        <v>4.8553941350551515</v>
      </c>
      <c r="W15" s="36">
        <f t="shared" si="18"/>
        <v>4.8999999999999998E-3</v>
      </c>
      <c r="X15" s="37">
        <v>1.3451708366962602E-2</v>
      </c>
      <c r="Y15" s="37">
        <v>0.63600000000000001</v>
      </c>
      <c r="Z15" s="56">
        <v>11.31</v>
      </c>
      <c r="AA15" s="36">
        <f t="shared" si="19"/>
        <v>0.18031999999999998</v>
      </c>
      <c r="AB15" s="36">
        <f t="shared" si="19"/>
        <v>9.141791044776118E-2</v>
      </c>
      <c r="AD15" s="42"/>
      <c r="AE15" s="37">
        <v>5.0000000000000001E-3</v>
      </c>
      <c r="AF15" s="37">
        <v>0.184</v>
      </c>
      <c r="AG15" s="37">
        <v>7.4999999999999997E-2</v>
      </c>
      <c r="AH15" s="43">
        <f t="shared" si="2"/>
        <v>5.0000000000000001E-3</v>
      </c>
      <c r="AI15" s="43">
        <f t="shared" si="11"/>
        <v>0.184</v>
      </c>
    </row>
    <row r="16" spans="1:39" x14ac:dyDescent="0.25">
      <c r="A16" s="32" t="s">
        <v>534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35.819078400000002</v>
      </c>
      <c r="M16" s="34">
        <f t="shared" si="16"/>
        <v>22.351104921600001</v>
      </c>
      <c r="N16" s="34">
        <f t="shared" si="16"/>
        <v>244.29757679308801</v>
      </c>
      <c r="O16" s="34">
        <f t="shared" si="17"/>
        <v>1.6316306592768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0.624</v>
      </c>
      <c r="Z16" s="56">
        <v>10.93</v>
      </c>
      <c r="AA16" s="36">
        <f t="shared" si="19"/>
        <v>6.2719999999999998E-2</v>
      </c>
      <c r="AB16" s="36">
        <f t="shared" si="19"/>
        <v>8.8980099502487545E-2</v>
      </c>
      <c r="AD16" s="42"/>
      <c r="AE16" s="37">
        <v>0</v>
      </c>
      <c r="AF16" s="37">
        <v>6.4000000000000001E-2</v>
      </c>
      <c r="AG16" s="37">
        <v>7.2999999999999995E-2</v>
      </c>
      <c r="AH16" s="43">
        <f t="shared" si="2"/>
        <v>0</v>
      </c>
      <c r="AI16" s="43">
        <f t="shared" si="11"/>
        <v>6.4000000000000001E-2</v>
      </c>
    </row>
    <row r="17" spans="1:35" x14ac:dyDescent="0.25">
      <c r="A17" s="32" t="s">
        <v>684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5.5967310000000001</v>
      </c>
      <c r="M17" s="34">
        <f t="shared" si="16"/>
        <v>3.3580386</v>
      </c>
      <c r="N17" s="34">
        <f t="shared" si="16"/>
        <v>30.558151259999999</v>
      </c>
      <c r="O17" s="34">
        <f t="shared" si="17"/>
        <v>0.2081983932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</v>
      </c>
      <c r="Z17" s="56">
        <v>9.1</v>
      </c>
      <c r="AA17" s="36">
        <f t="shared" si="19"/>
        <v>9.7999999999999997E-3</v>
      </c>
      <c r="AB17" s="36">
        <f t="shared" si="19"/>
        <v>7.5572139303482583E-2</v>
      </c>
      <c r="AD17" s="42"/>
      <c r="AE17" s="37">
        <v>0</v>
      </c>
      <c r="AF17" s="37">
        <v>0.01</v>
      </c>
      <c r="AG17" s="37">
        <v>6.2E-2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683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2.7983655000000001</v>
      </c>
      <c r="M18" s="34">
        <f t="shared" si="16"/>
        <v>1.6650274725</v>
      </c>
      <c r="N18" s="34">
        <f t="shared" si="16"/>
        <v>17.715892307400001</v>
      </c>
      <c r="O18" s="34">
        <f t="shared" si="17"/>
        <v>0.1348672252725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0.59499999999999997</v>
      </c>
      <c r="Z18" s="56">
        <v>10.64</v>
      </c>
      <c r="AA18" s="36">
        <f t="shared" si="19"/>
        <v>4.8999999999999998E-3</v>
      </c>
      <c r="AB18" s="36">
        <f t="shared" si="19"/>
        <v>9.8731343283582088E-2</v>
      </c>
      <c r="AD18" s="42"/>
      <c r="AE18" s="37">
        <v>0</v>
      </c>
      <c r="AF18" s="37">
        <v>5.0000000000000001E-3</v>
      </c>
      <c r="AG18" s="37">
        <v>8.1000000000000003E-2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9"/>
      <c r="AD21" s="51"/>
      <c r="AE21" s="51"/>
      <c r="AF21" s="46"/>
      <c r="AG21" s="46"/>
      <c r="AH21" s="43"/>
      <c r="AI21" s="43"/>
    </row>
    <row r="22" spans="1:35" x14ac:dyDescent="0.25">
      <c r="A22" s="32" t="s">
        <v>387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74.996195400000005</v>
      </c>
      <c r="M22" s="34">
        <f t="shared" ref="M22:N25" si="20">L22*Y22</f>
        <v>49.572485159400003</v>
      </c>
      <c r="N22" s="34">
        <f t="shared" si="20"/>
        <v>532.90421546355003</v>
      </c>
      <c r="O22" s="34">
        <f>M22*AG22</f>
        <v>3.5196464463173998</v>
      </c>
      <c r="Q22" s="53"/>
      <c r="R22" s="54"/>
      <c r="S22" s="55"/>
      <c r="T22" s="54"/>
      <c r="U22" s="54"/>
      <c r="V22" s="59"/>
      <c r="W22" s="60"/>
      <c r="X22" s="54"/>
      <c r="Y22" s="37">
        <v>0.66100000000000003</v>
      </c>
      <c r="Z22" s="56">
        <v>10.75</v>
      </c>
      <c r="AA22" s="36">
        <f t="shared" ref="AA22:AB25" si="21">(AF22/SUM(AF$6:AF$25))*0.98</f>
        <v>0.13131999999999999</v>
      </c>
      <c r="AB22" s="36">
        <f t="shared" si="21"/>
        <v>8.6542288557213909E-2</v>
      </c>
      <c r="AD22" s="42"/>
      <c r="AE22" s="42"/>
      <c r="AF22" s="37">
        <v>0.13400000000000001</v>
      </c>
      <c r="AG22" s="37">
        <v>7.0999999999999994E-2</v>
      </c>
      <c r="AH22" s="43"/>
      <c r="AI22" s="43">
        <f t="shared" si="11"/>
        <v>0.13400000000000001</v>
      </c>
    </row>
    <row r="23" spans="1:35" x14ac:dyDescent="0.25">
      <c r="A23" s="32" t="s">
        <v>713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16.790192999999999</v>
      </c>
      <c r="M23" s="34">
        <f t="shared" si="20"/>
        <v>10.611401976</v>
      </c>
      <c r="N23" s="34">
        <f t="shared" si="20"/>
        <v>106.22013377975999</v>
      </c>
      <c r="O23" s="34">
        <f>M23*AG23</f>
        <v>0.63668411855999996</v>
      </c>
      <c r="Q23" s="53"/>
      <c r="R23" s="54"/>
      <c r="S23" s="55"/>
      <c r="T23" s="54"/>
      <c r="U23" s="54"/>
      <c r="V23" s="59"/>
      <c r="W23" s="60"/>
      <c r="X23" s="54"/>
      <c r="Y23" s="37">
        <v>0.63200000000000001</v>
      </c>
      <c r="Z23" s="56">
        <v>10.01</v>
      </c>
      <c r="AA23" s="36">
        <f t="shared" si="21"/>
        <v>2.9399999999999999E-2</v>
      </c>
      <c r="AB23" s="36">
        <f t="shared" si="21"/>
        <v>7.3134328358208947E-2</v>
      </c>
      <c r="AD23" s="42"/>
      <c r="AE23" s="42"/>
      <c r="AF23" s="37">
        <v>0.03</v>
      </c>
      <c r="AG23" s="37">
        <v>0.06</v>
      </c>
      <c r="AH23" s="43"/>
      <c r="AI23" s="43">
        <f t="shared" si="11"/>
        <v>0.03</v>
      </c>
    </row>
    <row r="24" spans="1:35" x14ac:dyDescent="0.25">
      <c r="A24" s="32" t="s">
        <v>712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8.3950964999999993</v>
      </c>
      <c r="M24" s="34">
        <f t="shared" si="20"/>
        <v>5.2130051308125003</v>
      </c>
      <c r="N24" s="34">
        <f t="shared" si="20"/>
        <v>50.983190179346252</v>
      </c>
      <c r="O24" s="34">
        <f>M24*AG24</f>
        <v>0.40140139507256251</v>
      </c>
      <c r="Q24" s="53"/>
      <c r="R24" s="54"/>
      <c r="S24" s="55"/>
      <c r="T24" s="54"/>
      <c r="U24" s="54"/>
      <c r="V24" s="59"/>
      <c r="W24" s="60"/>
      <c r="X24" s="54"/>
      <c r="Y24" s="37">
        <v>0.62095833333333339</v>
      </c>
      <c r="Z24" s="56">
        <v>9.7799999999999994</v>
      </c>
      <c r="AA24" s="36">
        <f t="shared" si="21"/>
        <v>1.47E-2</v>
      </c>
      <c r="AB24" s="36">
        <f t="shared" si="21"/>
        <v>9.3855721393034816E-2</v>
      </c>
      <c r="AD24" s="42"/>
      <c r="AE24" s="42"/>
      <c r="AF24" s="37">
        <v>1.4999999999999999E-2</v>
      </c>
      <c r="AG24" s="37">
        <v>7.6999999999999999E-2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1029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571.09500000000003</v>
      </c>
      <c r="E32" s="80">
        <f>SUM(E2:E4)</f>
        <v>352.82820194999999</v>
      </c>
      <c r="F32" s="80">
        <f>SUM(F2:F4)</f>
        <v>4061.1128549669993</v>
      </c>
      <c r="G32" s="80">
        <f>SUM(G2:G4)</f>
        <v>26.406666078504738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457.90499999999997</v>
      </c>
      <c r="E35" s="80">
        <f>D35*G29</f>
        <v>1923.201</v>
      </c>
      <c r="F35" s="80">
        <v>19.5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448.74689999999987</v>
      </c>
      <c r="E38" s="91">
        <f>SUM(J2:J4,J6:J11,J13:J20)</f>
        <v>1922.5796500110598</v>
      </c>
      <c r="F38" s="91">
        <f>SUM(K2:K4,K6:K11,K13:K20)</f>
        <v>19.483001179626893</v>
      </c>
      <c r="G38" s="91">
        <f>SUM(L6:L11,L13:L20,L22:L25)</f>
        <v>559.67309999999998</v>
      </c>
      <c r="H38" s="91">
        <f>SUM(M6:M11,M13:M20,M22:M25)</f>
        <v>351.65493477371251</v>
      </c>
      <c r="I38" s="91">
        <f>SUM(N6:N11,N13:N20,N22:N25)</f>
        <v>4060.2610056433459</v>
      </c>
      <c r="J38" s="91">
        <f>SUM(O6:O11,O13:O20,O22:O25)</f>
        <v>26.391023048687064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9.158100000000104</v>
      </c>
      <c r="E39" s="92">
        <f>E35-E38</f>
        <v>0.6213499889402101</v>
      </c>
      <c r="F39" s="92">
        <f>F35-F38</f>
        <v>1.6998820373107293E-2</v>
      </c>
      <c r="G39" s="92">
        <f>SUM(D2:D4)-G38</f>
        <v>11.421900000000051</v>
      </c>
      <c r="H39" s="92">
        <f>E32-H38</f>
        <v>1.1732671762874816</v>
      </c>
      <c r="I39" s="92">
        <f>F32-I38</f>
        <v>0.85184932365336863</v>
      </c>
      <c r="J39" s="92">
        <f>G32-J38</f>
        <v>1.5643029817674403E-2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A41" s="131"/>
      <c r="B41" s="46"/>
      <c r="C41" s="48"/>
      <c r="D41" s="46"/>
      <c r="E41" s="46"/>
      <c r="F41" s="48"/>
      <c r="G41" s="46"/>
      <c r="H41" s="33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6"/>
      <c r="C42" s="48"/>
      <c r="D42" s="46"/>
      <c r="E42" s="46"/>
      <c r="F42" s="48"/>
      <c r="G42" s="46"/>
      <c r="H42" s="33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6"/>
      <c r="C43" s="48"/>
      <c r="D43" s="46"/>
      <c r="E43" s="46"/>
      <c r="F43" s="48"/>
      <c r="G43" s="46"/>
      <c r="H43" s="33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6"/>
      <c r="C44" s="48"/>
      <c r="D44" s="46"/>
      <c r="E44" s="46"/>
      <c r="F44" s="48"/>
      <c r="G44" s="46"/>
      <c r="H44" s="33"/>
      <c r="I44" s="33"/>
      <c r="J44" s="33"/>
      <c r="K44" s="33"/>
      <c r="L44" s="33"/>
      <c r="M44" s="33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5" priority="1" operator="lessThan">
      <formula>0</formula>
    </cfRule>
  </conditionalFormatting>
  <conditionalFormatting sqref="W28 AA28:AF28">
    <cfRule type="cellIs" dxfId="3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33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67</v>
      </c>
    </row>
    <row r="2" spans="1:39" x14ac:dyDescent="0.25">
      <c r="A2" s="32" t="s">
        <v>28</v>
      </c>
      <c r="B2" s="33" t="s">
        <v>7</v>
      </c>
      <c r="C2" s="33">
        <f>VLOOKUP($AM$1,DST!C:D,2,FALSE)</f>
        <v>5</v>
      </c>
      <c r="D2" s="34">
        <f>D$32*Q2</f>
        <v>567.55374999999992</v>
      </c>
      <c r="E2" s="34">
        <f>D2*R2</f>
        <v>369.37652327206109</v>
      </c>
      <c r="F2" s="34">
        <f>E2*S2</f>
        <v>4051.9940332102506</v>
      </c>
      <c r="G2" s="34">
        <f>E2*T2</f>
        <v>30.288874908309012</v>
      </c>
      <c r="H2" s="34">
        <f>D2*U2</f>
        <v>12.108582487817603</v>
      </c>
      <c r="I2" s="34">
        <f>D$35*W2</f>
        <v>56.256655000000009</v>
      </c>
      <c r="J2" s="34">
        <f>I2*V2</f>
        <v>327.35795325263115</v>
      </c>
      <c r="K2" s="34">
        <f>I2*X2</f>
        <v>2.6440627850000005</v>
      </c>
      <c r="L2" s="35"/>
      <c r="M2" s="35"/>
      <c r="N2" s="35"/>
      <c r="O2" s="35"/>
      <c r="Q2" s="36">
        <f>(AD2/SUM(AD$2:AD$25))</f>
        <v>0.95</v>
      </c>
      <c r="R2" s="37">
        <v>0.65082209970784466</v>
      </c>
      <c r="S2" s="38">
        <v>10.9698201643037</v>
      </c>
      <c r="T2" s="37">
        <v>8.2000000000000003E-2</v>
      </c>
      <c r="U2" s="37">
        <v>2.1334688543274721E-2</v>
      </c>
      <c r="V2" s="38">
        <v>5.8190084933530279</v>
      </c>
      <c r="W2" s="36">
        <f>(AE2/SUM(AE$2:AE$20))*0.98</f>
        <v>0.12740000000000001</v>
      </c>
      <c r="X2" s="37">
        <v>4.7E-2</v>
      </c>
      <c r="Y2" s="39"/>
      <c r="Z2" s="40"/>
      <c r="AA2" s="41"/>
      <c r="AB2" s="41"/>
      <c r="AD2" s="37">
        <v>0.95</v>
      </c>
      <c r="AE2" s="37">
        <v>0.13</v>
      </c>
      <c r="AF2" s="42"/>
      <c r="AG2" s="42"/>
      <c r="AH2" s="43">
        <f>AE2/(SUM(AE$2:AE$25))</f>
        <v>0.13</v>
      </c>
    </row>
    <row r="3" spans="1:39" x14ac:dyDescent="0.25">
      <c r="A3" s="32" t="s">
        <v>119</v>
      </c>
      <c r="B3" s="33" t="s">
        <v>7</v>
      </c>
      <c r="C3" s="33">
        <f>VLOOKUP($AM$1,DST!C:D,2,FALSE)</f>
        <v>5</v>
      </c>
      <c r="D3" s="34">
        <f>D$32*Q3</f>
        <v>29.87125</v>
      </c>
      <c r="E3" s="34">
        <f t="shared" ref="E3:F4" si="0">D3*R3</f>
        <v>18.916116027884559</v>
      </c>
      <c r="F3" s="34">
        <f t="shared" si="0"/>
        <v>187.64787099661481</v>
      </c>
      <c r="G3" s="34">
        <f t="shared" ref="G3:G4" si="1">E3*T3</f>
        <v>1.1605429784513495</v>
      </c>
      <c r="H3" s="34">
        <f>D3*U3</f>
        <v>0.46715527487029007</v>
      </c>
      <c r="I3" s="34">
        <f>D$35*W3</f>
        <v>6.4911525000000001</v>
      </c>
      <c r="J3" s="34">
        <f>I3*V3</f>
        <v>32.823096448834477</v>
      </c>
      <c r="K3" s="34">
        <f>I3*X3</f>
        <v>0.25551597218149824</v>
      </c>
      <c r="L3" s="35"/>
      <c r="M3" s="35"/>
      <c r="N3" s="35"/>
      <c r="O3" s="35"/>
      <c r="Q3" s="36">
        <f>(AD3/SUM(AD$2:AD$25))</f>
        <v>0.05</v>
      </c>
      <c r="R3" s="37">
        <v>0.63325491996098449</v>
      </c>
      <c r="S3" s="38">
        <v>9.92</v>
      </c>
      <c r="T3" s="37">
        <v>6.1352075486351104E-2</v>
      </c>
      <c r="U3" s="37">
        <v>1.5638959697712351E-2</v>
      </c>
      <c r="V3" s="38">
        <v>5.0565899428236323</v>
      </c>
      <c r="W3" s="36">
        <f>(AE3/SUM(AE$2:AE$20))*0.98</f>
        <v>1.47E-2</v>
      </c>
      <c r="X3" s="37">
        <v>3.9363729658407849E-2</v>
      </c>
      <c r="Y3" s="39"/>
      <c r="Z3" s="40"/>
      <c r="AA3" s="41"/>
      <c r="AB3" s="41"/>
      <c r="AD3" s="37">
        <v>0.05</v>
      </c>
      <c r="AE3" s="37">
        <v>1.4999999999999999E-2</v>
      </c>
      <c r="AF3" s="42"/>
      <c r="AG3" s="42"/>
      <c r="AH3" s="43">
        <f t="shared" ref="AH3:AH20" si="2">AE3/(SUM(AE$2:AE$25))</f>
        <v>1.4999999999999999E-2</v>
      </c>
    </row>
    <row r="4" spans="1:39" x14ac:dyDescent="0.25">
      <c r="A4" s="32" t="s">
        <v>651</v>
      </c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0.60399999999999998</v>
      </c>
      <c r="S4" s="38">
        <v>10.33</v>
      </c>
      <c r="T4" s="37">
        <v>5.8999999999999997E-2</v>
      </c>
      <c r="U4" s="37">
        <v>2.8000000000000001E-2</v>
      </c>
      <c r="V4" s="38">
        <v>3.38</v>
      </c>
      <c r="W4" s="36">
        <f>(AE4/SUM(AE$2:AE$20))*0.98</f>
        <v>0</v>
      </c>
      <c r="X4" s="37">
        <v>3.1E-2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403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263.54079150000001</v>
      </c>
      <c r="J6" s="34">
        <f t="shared" ref="J6:J11" si="4">I6*V6</f>
        <v>1131.4315892972611</v>
      </c>
      <c r="K6" s="34">
        <f t="shared" ref="K6:K11" si="5">I6*X6</f>
        <v>9.223927702500001</v>
      </c>
      <c r="L6" s="34">
        <f t="shared" ref="L6:L11" si="6">((D$2+D$3+D$4)*AA6)</f>
        <v>53.278361499999995</v>
      </c>
      <c r="M6" s="34">
        <f t="shared" ref="M6:N11" si="7">L6*Y6</f>
        <v>40.118606209499994</v>
      </c>
      <c r="N6" s="34">
        <f t="shared" si="7"/>
        <v>323.7802601893066</v>
      </c>
      <c r="O6" s="34">
        <f t="shared" ref="O6:O11" si="8">M6*AG6</f>
        <v>2.0460489166844997</v>
      </c>
      <c r="Q6" s="53"/>
      <c r="R6" s="54"/>
      <c r="S6" s="55"/>
      <c r="T6" s="54"/>
      <c r="U6" s="54"/>
      <c r="V6" s="38">
        <v>4.2931934098606552</v>
      </c>
      <c r="W6" s="36">
        <f t="shared" ref="W6:W11" si="9">(AE6/SUM(AE$2:AE$20))*0.98</f>
        <v>0.59682000000000002</v>
      </c>
      <c r="X6" s="37">
        <v>3.5000000000000003E-2</v>
      </c>
      <c r="Y6" s="37">
        <v>0.753</v>
      </c>
      <c r="Z6" s="56">
        <v>8.0705759940542539</v>
      </c>
      <c r="AA6" s="36">
        <f t="shared" ref="AA6:AB11" si="10">(AF6/SUM(AF$6:AF$25))*0.98</f>
        <v>8.9179999999999995E-2</v>
      </c>
      <c r="AB6" s="36">
        <f t="shared" si="10"/>
        <v>5.3915857605177996E-2</v>
      </c>
      <c r="AD6" s="42"/>
      <c r="AE6" s="37">
        <v>0.60899999999999999</v>
      </c>
      <c r="AF6" s="37">
        <v>9.0999999999999998E-2</v>
      </c>
      <c r="AG6" s="37">
        <v>5.0999999999999997E-2</v>
      </c>
      <c r="AH6" s="43">
        <f t="shared" si="2"/>
        <v>0.60899999999999999</v>
      </c>
      <c r="AI6" s="43">
        <f>AF6/(SUM(AF$6:AF$25))</f>
        <v>9.0999999999999998E-2</v>
      </c>
    </row>
    <row r="7" spans="1:39" x14ac:dyDescent="0.25">
      <c r="A7" s="32" t="s">
        <v>609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42.841606500000012</v>
      </c>
      <c r="J7" s="34">
        <f t="shared" si="4"/>
        <v>170.08117780500007</v>
      </c>
      <c r="K7" s="34">
        <f t="shared" si="5"/>
        <v>1.3709314080000004</v>
      </c>
      <c r="L7" s="34">
        <f t="shared" si="6"/>
        <v>28.102871999999998</v>
      </c>
      <c r="M7" s="34">
        <f t="shared" si="7"/>
        <v>20.571302304</v>
      </c>
      <c r="N7" s="34">
        <f t="shared" si="7"/>
        <v>144.41054217407998</v>
      </c>
      <c r="O7" s="34">
        <f t="shared" si="8"/>
        <v>0.82285209215999999</v>
      </c>
      <c r="Q7" s="53"/>
      <c r="R7" s="54"/>
      <c r="S7" s="55"/>
      <c r="T7" s="54"/>
      <c r="U7" s="54"/>
      <c r="V7" s="38">
        <v>3.97</v>
      </c>
      <c r="W7" s="36">
        <f t="shared" si="9"/>
        <v>9.7020000000000009E-2</v>
      </c>
      <c r="X7" s="37">
        <v>3.2000000000000001E-2</v>
      </c>
      <c r="Y7" s="37">
        <v>0.73199999999999998</v>
      </c>
      <c r="Z7" s="56">
        <v>7.02</v>
      </c>
      <c r="AA7" s="36">
        <f t="shared" si="10"/>
        <v>4.7039999999999998E-2</v>
      </c>
      <c r="AB7" s="36">
        <f t="shared" si="10"/>
        <v>4.2286947141316082E-2</v>
      </c>
      <c r="AD7" s="42"/>
      <c r="AE7" s="37">
        <v>9.9000000000000005E-2</v>
      </c>
      <c r="AF7" s="37">
        <v>4.8000000000000001E-2</v>
      </c>
      <c r="AG7" s="37">
        <v>0.04</v>
      </c>
      <c r="AH7" s="43">
        <f t="shared" si="2"/>
        <v>9.9000000000000005E-2</v>
      </c>
      <c r="AI7" s="43">
        <f t="shared" ref="AI7:AI25" si="11">AF7/(SUM(AF$6:AF$25))</f>
        <v>4.8000000000000001E-2</v>
      </c>
    </row>
    <row r="8" spans="1:39" x14ac:dyDescent="0.25">
      <c r="A8" s="32" t="s">
        <v>663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39.812401999999999</v>
      </c>
      <c r="J8" s="34">
        <f t="shared" si="4"/>
        <v>164.82334427999999</v>
      </c>
      <c r="K8" s="34">
        <f t="shared" si="5"/>
        <v>1.3934340700000001</v>
      </c>
      <c r="L8" s="34">
        <f t="shared" si="6"/>
        <v>21.077153999999997</v>
      </c>
      <c r="M8" s="34">
        <f t="shared" si="7"/>
        <v>15.618171113999997</v>
      </c>
      <c r="N8" s="34">
        <f t="shared" si="7"/>
        <v>112.93139113199999</v>
      </c>
      <c r="O8" s="34">
        <f t="shared" si="8"/>
        <v>0.70281770012999989</v>
      </c>
      <c r="Q8" s="53"/>
      <c r="R8" s="54"/>
      <c r="S8" s="55"/>
      <c r="T8" s="54"/>
      <c r="U8" s="54"/>
      <c r="V8" s="38">
        <v>4.1399999999999997</v>
      </c>
      <c r="W8" s="36">
        <f t="shared" si="9"/>
        <v>9.015999999999999E-2</v>
      </c>
      <c r="X8" s="37">
        <v>3.5000000000000003E-2</v>
      </c>
      <c r="Y8" s="37">
        <v>0.74099999999999999</v>
      </c>
      <c r="Z8" s="56">
        <v>7.2307692307692308</v>
      </c>
      <c r="AA8" s="36">
        <f t="shared" si="10"/>
        <v>3.5279999999999999E-2</v>
      </c>
      <c r="AB8" s="36">
        <f t="shared" si="10"/>
        <v>4.7572815533980586E-2</v>
      </c>
      <c r="AD8" s="42"/>
      <c r="AE8" s="37">
        <v>9.1999999999999998E-2</v>
      </c>
      <c r="AF8" s="37">
        <v>3.5999999999999997E-2</v>
      </c>
      <c r="AG8" s="37">
        <v>4.4999999999999998E-2</v>
      </c>
      <c r="AH8" s="43">
        <f t="shared" si="2"/>
        <v>9.1999999999999998E-2</v>
      </c>
      <c r="AI8" s="43">
        <f t="shared" si="11"/>
        <v>3.5999999999999997E-2</v>
      </c>
    </row>
    <row r="9" spans="1:39" x14ac:dyDescent="0.25">
      <c r="A9" s="32" t="s">
        <v>535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8.6548700000000007</v>
      </c>
      <c r="J9" s="34">
        <f t="shared" si="4"/>
        <v>33.927090400000004</v>
      </c>
      <c r="K9" s="34">
        <f t="shared" si="5"/>
        <v>0.26830097000000003</v>
      </c>
      <c r="L9" s="34">
        <f t="shared" si="6"/>
        <v>5.8547649999999996</v>
      </c>
      <c r="M9" s="34">
        <f t="shared" si="7"/>
        <v>4.2447046249999998</v>
      </c>
      <c r="N9" s="34">
        <f t="shared" si="7"/>
        <v>30.610117723046152</v>
      </c>
      <c r="O9" s="34">
        <f t="shared" si="8"/>
        <v>0.17827759425</v>
      </c>
      <c r="Q9" s="53"/>
      <c r="R9" s="54"/>
      <c r="S9" s="55"/>
      <c r="T9" s="54"/>
      <c r="U9" s="54"/>
      <c r="V9" s="38">
        <v>3.92</v>
      </c>
      <c r="W9" s="36">
        <f t="shared" si="9"/>
        <v>1.9599999999999999E-2</v>
      </c>
      <c r="X9" s="37">
        <v>3.1E-2</v>
      </c>
      <c r="Y9" s="37">
        <v>0.72499999999999998</v>
      </c>
      <c r="Z9" s="56">
        <v>7.211365790392577</v>
      </c>
      <c r="AA9" s="36">
        <f t="shared" si="10"/>
        <v>9.7999999999999997E-3</v>
      </c>
      <c r="AB9" s="36">
        <f t="shared" si="10"/>
        <v>4.4401294498381885E-2</v>
      </c>
      <c r="AD9" s="42"/>
      <c r="AE9" s="37">
        <v>0.02</v>
      </c>
      <c r="AF9" s="37">
        <v>0.01</v>
      </c>
      <c r="AG9" s="37">
        <v>4.2000000000000003E-2</v>
      </c>
      <c r="AH9" s="43">
        <f t="shared" si="2"/>
        <v>0.02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S12" s="46"/>
      <c r="V12" s="130"/>
      <c r="W12" s="45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388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6.4911525000000001</v>
      </c>
      <c r="J13" s="34">
        <f t="shared" ref="J13:J20" si="13">I13*V13</f>
        <v>27.306853604231787</v>
      </c>
      <c r="K13" s="34">
        <f t="shared" ref="K13:K20" si="14">I13*X13</f>
        <v>0.41619956720365475</v>
      </c>
      <c r="L13" s="34">
        <f t="shared" ref="L13:L20" si="15">((D$2+D$3+D$4)*AA13)</f>
        <v>128.80482999999998</v>
      </c>
      <c r="M13" s="34">
        <f t="shared" ref="M13:N20" si="16">L13*Y13</f>
        <v>87.587284399999987</v>
      </c>
      <c r="N13" s="34">
        <f t="shared" si="16"/>
        <v>975.90036041213159</v>
      </c>
      <c r="O13" s="34">
        <f t="shared" ref="O13:O20" si="17">M13*AG13</f>
        <v>8.4083793023999984</v>
      </c>
      <c r="Q13" s="53"/>
      <c r="R13" s="54"/>
      <c r="S13" s="55"/>
      <c r="T13" s="54"/>
      <c r="U13" s="54"/>
      <c r="V13" s="38">
        <v>4.2067804760759797</v>
      </c>
      <c r="W13" s="36">
        <f t="shared" ref="W13:W20" si="18">(AE13/SUM(AE$2:AE$20))*0.98</f>
        <v>1.47E-2</v>
      </c>
      <c r="X13" s="37">
        <v>6.4117977077823199E-2</v>
      </c>
      <c r="Y13" s="37">
        <v>0.68</v>
      </c>
      <c r="Z13" s="56">
        <v>11.142032397708768</v>
      </c>
      <c r="AA13" s="36">
        <f t="shared" ref="AA13:AB20" si="19">(AF13/SUM(AF$6:AF$25))*0.98</f>
        <v>0.21559999999999999</v>
      </c>
      <c r="AB13" s="36">
        <f t="shared" si="19"/>
        <v>0.10148867313915859</v>
      </c>
      <c r="AD13" s="42"/>
      <c r="AE13" s="37">
        <v>1.4999999999999999E-2</v>
      </c>
      <c r="AF13" s="37">
        <v>0.22</v>
      </c>
      <c r="AG13" s="37">
        <v>9.6000000000000002E-2</v>
      </c>
      <c r="AH13" s="43">
        <f t="shared" si="2"/>
        <v>1.4999999999999999E-2</v>
      </c>
      <c r="AI13" s="43">
        <f t="shared" si="11"/>
        <v>0.22</v>
      </c>
    </row>
    <row r="14" spans="1:39" x14ac:dyDescent="0.25">
      <c r="A14" s="32" t="s">
        <v>432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8.6548700000000007</v>
      </c>
      <c r="J14" s="34">
        <f t="shared" si="13"/>
        <v>54.82748582903664</v>
      </c>
      <c r="K14" s="34">
        <f t="shared" si="14"/>
        <v>0.42276162822252378</v>
      </c>
      <c r="L14" s="34">
        <f t="shared" si="15"/>
        <v>97.774575499999997</v>
      </c>
      <c r="M14" s="34">
        <f t="shared" si="16"/>
        <v>57.323544316701565</v>
      </c>
      <c r="N14" s="34">
        <f t="shared" si="16"/>
        <v>736.86230440193879</v>
      </c>
      <c r="O14" s="34">
        <f t="shared" si="17"/>
        <v>5.2737660771365436</v>
      </c>
      <c r="Q14" s="53"/>
      <c r="R14" s="54"/>
      <c r="S14" s="55"/>
      <c r="T14" s="54"/>
      <c r="U14" s="54"/>
      <c r="V14" s="38">
        <v>6.3348710990502033</v>
      </c>
      <c r="W14" s="36">
        <f t="shared" si="18"/>
        <v>1.9599999999999999E-2</v>
      </c>
      <c r="X14" s="37">
        <v>4.8846675712347354E-2</v>
      </c>
      <c r="Y14" s="37">
        <v>0.58628272251308899</v>
      </c>
      <c r="Z14" s="56">
        <v>12.854444245996309</v>
      </c>
      <c r="AA14" s="36">
        <f t="shared" si="19"/>
        <v>0.16366</v>
      </c>
      <c r="AB14" s="36">
        <f t="shared" si="19"/>
        <v>9.7259978425026983E-2</v>
      </c>
      <c r="AD14" s="42"/>
      <c r="AE14" s="37">
        <v>0.02</v>
      </c>
      <c r="AF14" s="37">
        <v>0.16700000000000001</v>
      </c>
      <c r="AG14" s="37">
        <v>9.1999999999999998E-2</v>
      </c>
      <c r="AH14" s="43">
        <f t="shared" si="2"/>
        <v>0.02</v>
      </c>
      <c r="AI14" s="43">
        <f t="shared" si="11"/>
        <v>0.16700000000000001</v>
      </c>
    </row>
    <row r="15" spans="1:39" x14ac:dyDescent="0.25">
      <c r="A15" s="32" t="s">
        <v>583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63.231462000000001</v>
      </c>
      <c r="M15" s="34">
        <f t="shared" si="16"/>
        <v>35.599313105999997</v>
      </c>
      <c r="N15" s="34">
        <f t="shared" si="16"/>
        <v>594.29453017048206</v>
      </c>
      <c r="O15" s="34">
        <f t="shared" si="17"/>
        <v>4.6991093299919999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0.56299999999999994</v>
      </c>
      <c r="Z15" s="56">
        <v>16.693988684582742</v>
      </c>
      <c r="AA15" s="36">
        <f t="shared" si="19"/>
        <v>0.10584</v>
      </c>
      <c r="AB15" s="36">
        <f t="shared" si="19"/>
        <v>0.13954692556634307</v>
      </c>
      <c r="AD15" s="42"/>
      <c r="AE15" s="37">
        <v>0</v>
      </c>
      <c r="AF15" s="37">
        <v>0.108</v>
      </c>
      <c r="AG15" s="37">
        <v>0.13200000000000001</v>
      </c>
      <c r="AH15" s="43">
        <f t="shared" si="2"/>
        <v>0</v>
      </c>
      <c r="AI15" s="43">
        <f t="shared" si="11"/>
        <v>0.108</v>
      </c>
    </row>
    <row r="16" spans="1:39" x14ac:dyDescent="0.25">
      <c r="A16" s="32" t="s">
        <v>536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26.346442499999998</v>
      </c>
      <c r="M16" s="34">
        <f t="shared" si="16"/>
        <v>16.545565889999999</v>
      </c>
      <c r="N16" s="34">
        <f t="shared" si="16"/>
        <v>173.51816124730254</v>
      </c>
      <c r="O16" s="34">
        <f t="shared" si="17"/>
        <v>1.24091744175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0.628</v>
      </c>
      <c r="Z16" s="56">
        <v>10.487290818634101</v>
      </c>
      <c r="AA16" s="36">
        <f t="shared" si="19"/>
        <v>4.41E-2</v>
      </c>
      <c r="AB16" s="36">
        <f t="shared" si="19"/>
        <v>7.9288025889967639E-2</v>
      </c>
      <c r="AD16" s="42"/>
      <c r="AE16" s="37">
        <v>0</v>
      </c>
      <c r="AF16" s="37">
        <v>4.4999999999999998E-2</v>
      </c>
      <c r="AG16" s="37">
        <v>7.4999999999999997E-2</v>
      </c>
      <c r="AH16" s="43">
        <f t="shared" si="2"/>
        <v>0</v>
      </c>
      <c r="AI16" s="43">
        <f t="shared" si="11"/>
        <v>4.4999999999999998E-2</v>
      </c>
    </row>
    <row r="17" spans="1:35" x14ac:dyDescent="0.25">
      <c r="A17" s="32" t="s">
        <v>685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8.7821474999999989</v>
      </c>
      <c r="M17" s="34">
        <f t="shared" si="16"/>
        <v>4.6272159383333324</v>
      </c>
      <c r="N17" s="34">
        <f t="shared" si="16"/>
        <v>55.322455120333316</v>
      </c>
      <c r="O17" s="34">
        <f t="shared" si="17"/>
        <v>0.33778676349833325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0.52688888888888885</v>
      </c>
      <c r="Z17" s="56">
        <v>11.955883593420497</v>
      </c>
      <c r="AA17" s="36">
        <f t="shared" si="19"/>
        <v>1.47E-2</v>
      </c>
      <c r="AB17" s="36">
        <f t="shared" si="19"/>
        <v>7.7173678532901829E-2</v>
      </c>
      <c r="AD17" s="42"/>
      <c r="AE17" s="37">
        <v>0</v>
      </c>
      <c r="AF17" s="37">
        <v>1.4999999999999999E-2</v>
      </c>
      <c r="AG17" s="37">
        <v>7.2999999999999995E-2</v>
      </c>
      <c r="AH17" s="43">
        <f t="shared" si="2"/>
        <v>0</v>
      </c>
      <c r="AI17" s="43">
        <f t="shared" si="11"/>
        <v>1.4999999999999999E-2</v>
      </c>
    </row>
    <row r="18" spans="1:35" x14ac:dyDescent="0.25">
      <c r="A18" s="32" t="s">
        <v>686</v>
      </c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2.9273824999999998</v>
      </c>
      <c r="M18" s="34">
        <f t="shared" si="16"/>
        <v>1.6334794349999999</v>
      </c>
      <c r="N18" s="34">
        <f t="shared" si="16"/>
        <v>18.098952139799998</v>
      </c>
      <c r="O18" s="34">
        <f t="shared" si="17"/>
        <v>0.11434356045000001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0.55800000000000005</v>
      </c>
      <c r="Z18" s="56">
        <v>11.08</v>
      </c>
      <c r="AA18" s="36">
        <f t="shared" si="19"/>
        <v>4.8999999999999998E-3</v>
      </c>
      <c r="AB18" s="36">
        <f t="shared" si="19"/>
        <v>7.4002157497303156E-2</v>
      </c>
      <c r="AD18" s="42"/>
      <c r="AE18" s="37">
        <v>0</v>
      </c>
      <c r="AF18" s="37">
        <v>5.0000000000000001E-3</v>
      </c>
      <c r="AG18" s="37">
        <v>7.0000000000000007E-2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29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106.55672299999999</v>
      </c>
      <c r="M22" s="34">
        <f t="shared" ref="M22:N25" si="20">L22*Y22</f>
        <v>73.630695592999984</v>
      </c>
      <c r="N22" s="34">
        <f t="shared" si="20"/>
        <v>781.9579871976598</v>
      </c>
      <c r="O22" s="34">
        <f>M22*AG22</f>
        <v>5.4486714738819986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10.62</v>
      </c>
      <c r="AA22" s="36">
        <f t="shared" ref="AA22:AB25" si="21">(AF22/SUM(AF$6:AF$25))*0.98</f>
        <v>0.17835999999999999</v>
      </c>
      <c r="AB22" s="36">
        <f t="shared" si="21"/>
        <v>7.8230852211434748E-2</v>
      </c>
      <c r="AD22" s="42"/>
      <c r="AE22" s="42"/>
      <c r="AF22" s="37">
        <v>0.182</v>
      </c>
      <c r="AG22" s="37">
        <v>7.3999999999999996E-2</v>
      </c>
      <c r="AH22" s="43"/>
      <c r="AI22" s="43">
        <f t="shared" si="11"/>
        <v>0.182</v>
      </c>
    </row>
    <row r="23" spans="1:35" x14ac:dyDescent="0.25">
      <c r="A23" s="61" t="s">
        <v>537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36.885019499999999</v>
      </c>
      <c r="M23" s="34">
        <f t="shared" si="20"/>
        <v>25.967053727999996</v>
      </c>
      <c r="N23" s="34">
        <f t="shared" si="20"/>
        <v>251.90379618495987</v>
      </c>
      <c r="O23" s="34">
        <f>M23*AG23</f>
        <v>1.8696278684159995</v>
      </c>
      <c r="Q23" s="53"/>
      <c r="R23" s="54"/>
      <c r="S23" s="55"/>
      <c r="T23" s="54"/>
      <c r="U23" s="54"/>
      <c r="V23" s="59"/>
      <c r="W23" s="60"/>
      <c r="X23" s="54"/>
      <c r="Y23" s="37">
        <v>0.70399999999999996</v>
      </c>
      <c r="Z23" s="56">
        <v>9.7009001800360082</v>
      </c>
      <c r="AA23" s="36">
        <f t="shared" si="21"/>
        <v>6.1739999999999996E-2</v>
      </c>
      <c r="AB23" s="36">
        <f t="shared" si="21"/>
        <v>7.6116504854368938E-2</v>
      </c>
      <c r="AD23" s="42"/>
      <c r="AE23" s="42"/>
      <c r="AF23" s="37">
        <v>6.3E-2</v>
      </c>
      <c r="AG23" s="37">
        <v>7.1999999999999995E-2</v>
      </c>
      <c r="AH23" s="43"/>
      <c r="AI23" s="43">
        <f t="shared" si="11"/>
        <v>6.3E-2</v>
      </c>
    </row>
    <row r="24" spans="1:35" x14ac:dyDescent="0.25">
      <c r="A24" s="61" t="s">
        <v>711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5.8547649999999996</v>
      </c>
      <c r="M24" s="34">
        <f t="shared" si="20"/>
        <v>4.2154307999999991</v>
      </c>
      <c r="N24" s="34">
        <f t="shared" si="20"/>
        <v>39.809532268358844</v>
      </c>
      <c r="O24" s="34">
        <f>M24*AG24</f>
        <v>0.27400300199999994</v>
      </c>
      <c r="Q24" s="53"/>
      <c r="R24" s="54"/>
      <c r="S24" s="55"/>
      <c r="T24" s="54"/>
      <c r="U24" s="54"/>
      <c r="V24" s="59"/>
      <c r="W24" s="60"/>
      <c r="X24" s="54"/>
      <c r="Y24" s="37">
        <v>0.72</v>
      </c>
      <c r="Z24" s="56">
        <v>9.4437636761487944</v>
      </c>
      <c r="AA24" s="36">
        <f t="shared" si="21"/>
        <v>9.7999999999999997E-3</v>
      </c>
      <c r="AB24" s="36">
        <f t="shared" si="21"/>
        <v>6.8716289104638631E-2</v>
      </c>
      <c r="AD24" s="42"/>
      <c r="AE24" s="42"/>
      <c r="AF24" s="37">
        <v>0.01</v>
      </c>
      <c r="AG24" s="37">
        <v>6.5000000000000002E-2</v>
      </c>
      <c r="AH24" s="43"/>
      <c r="AI24" s="43">
        <f t="shared" si="11"/>
        <v>0.01</v>
      </c>
    </row>
    <row r="25" spans="1:35" x14ac:dyDescent="0.25">
      <c r="A25" s="61"/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0.98000000000000032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1039</v>
      </c>
      <c r="E29" s="75">
        <v>0.57499999999999996</v>
      </c>
      <c r="F29" s="76">
        <f>1-E29</f>
        <v>0.42500000000000004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597.42499999999995</v>
      </c>
      <c r="E32" s="80">
        <f>SUM(E2:E4)</f>
        <v>388.29263929994568</v>
      </c>
      <c r="F32" s="80">
        <f>SUM(F2:F4)</f>
        <v>4239.6419042068655</v>
      </c>
      <c r="G32" s="80">
        <f>SUM(G2:G4)</f>
        <v>31.449417886760362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441.57500000000005</v>
      </c>
      <c r="E35" s="80">
        <f>D35*G29</f>
        <v>1942.9300000000003</v>
      </c>
      <c r="F35" s="80">
        <v>16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432.7435000000001</v>
      </c>
      <c r="E38" s="91">
        <f>SUM(J2:J4,J6:J11,J13:J20)</f>
        <v>1942.5785909169952</v>
      </c>
      <c r="F38" s="91">
        <f>SUM(K2:K4,K6:K11,K13:K20)</f>
        <v>15.995134103107681</v>
      </c>
      <c r="G38" s="91">
        <f>SUM(L6:L11,L13:L20,L22:L25)</f>
        <v>585.4765000000001</v>
      </c>
      <c r="H38" s="91">
        <f>SUM(M6:M11,M13:M20,M22:M25)</f>
        <v>387.68236745953482</v>
      </c>
      <c r="I38" s="91">
        <f>SUM(N6:N11,N13:N20,N22:N25)</f>
        <v>4239.4003903613993</v>
      </c>
      <c r="J38" s="91">
        <f>SUM(O6:O11,O13:O20,O22:O25)</f>
        <v>31.41660112274937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8.8314999999999486</v>
      </c>
      <c r="E39" s="92">
        <f>E35-E38</f>
        <v>0.35140908300513729</v>
      </c>
      <c r="F39" s="92">
        <f>F35-F38</f>
        <v>4.8658968923191992E-3</v>
      </c>
      <c r="G39" s="92">
        <f>SUM(D2:D4)-G38</f>
        <v>11.948499999999854</v>
      </c>
      <c r="H39" s="92">
        <f>E32-H38</f>
        <v>0.61027184041086002</v>
      </c>
      <c r="I39" s="92">
        <f>F32-I38</f>
        <v>0.24151384546621557</v>
      </c>
      <c r="J39" s="92">
        <f>G32-J38</f>
        <v>3.2816764010991761E-2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33" priority="1" operator="lessThan">
      <formula>0</formula>
    </cfRule>
  </conditionalFormatting>
  <conditionalFormatting sqref="W28 AA28:AF28">
    <cfRule type="cellIs" dxfId="3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9">
    <tabColor rgb="FF80808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115</v>
      </c>
    </row>
    <row r="2" spans="1:39" x14ac:dyDescent="0.25">
      <c r="A2" s="32" t="s">
        <v>47</v>
      </c>
      <c r="B2" s="33" t="s">
        <v>7</v>
      </c>
      <c r="C2" s="33">
        <f>VLOOKUP($AM$1,DST!C:D,2,FALSE)</f>
        <v>13</v>
      </c>
      <c r="D2" s="34">
        <f>D$32*Q2</f>
        <v>361.01520000000005</v>
      </c>
      <c r="E2" s="34">
        <f>D2*R2</f>
        <v>231.41074320000004</v>
      </c>
      <c r="F2" s="34">
        <f>E2*S2</f>
        <v>2420.5563738720007</v>
      </c>
      <c r="G2" s="34">
        <f>E2*T2</f>
        <v>13.421823105600003</v>
      </c>
      <c r="H2" s="34">
        <f>D2*U2</f>
        <v>9.2329876300190143</v>
      </c>
      <c r="I2" s="34">
        <f>D$35*W2</f>
        <v>2.2177007999999994</v>
      </c>
      <c r="J2" s="34">
        <f>I2*V2</f>
        <v>3.4338593032258053</v>
      </c>
      <c r="K2" s="34">
        <f>I2*X2</f>
        <v>2.3846245161290313E-2</v>
      </c>
      <c r="L2" s="35"/>
      <c r="M2" s="35"/>
      <c r="N2" s="35"/>
      <c r="O2" s="35"/>
      <c r="Q2" s="36">
        <f>(AD2/SUM(AD$2:AD$25))</f>
        <v>0.65</v>
      </c>
      <c r="R2" s="37">
        <v>0.64100000000000001</v>
      </c>
      <c r="S2" s="38">
        <v>10.46</v>
      </c>
      <c r="T2" s="37">
        <v>5.8000000000000003E-2</v>
      </c>
      <c r="U2" s="37">
        <v>2.557506617455169E-2</v>
      </c>
      <c r="V2" s="38">
        <v>1.5483870967741935</v>
      </c>
      <c r="W2" s="36">
        <f>(AE2/SUM(AE$2:AE$20))*0.98</f>
        <v>4.8999999999999998E-3</v>
      </c>
      <c r="X2" s="37">
        <v>1.075268817204301E-2</v>
      </c>
      <c r="Y2" s="39"/>
      <c r="Z2" s="40"/>
      <c r="AA2" s="41"/>
      <c r="AB2" s="41"/>
      <c r="AD2" s="37">
        <v>0.65</v>
      </c>
      <c r="AE2" s="37">
        <v>5.0000000000000001E-3</v>
      </c>
      <c r="AF2" s="42"/>
      <c r="AG2" s="42"/>
      <c r="AH2" s="43">
        <f>AE2/(SUM(AE$2:AE$25))</f>
        <v>5.0000000000000001E-3</v>
      </c>
    </row>
    <row r="3" spans="1:39" x14ac:dyDescent="0.25">
      <c r="A3" s="32" t="s">
        <v>635</v>
      </c>
      <c r="B3" s="33" t="s">
        <v>7</v>
      </c>
      <c r="C3" s="33">
        <f>VLOOKUP($AM$1,DST!C:D,2,FALSE)</f>
        <v>13</v>
      </c>
      <c r="D3" s="34">
        <f>D$32*Q3</f>
        <v>194.39279999999999</v>
      </c>
      <c r="E3" s="34">
        <f t="shared" ref="E3:F4" si="0">D3*R3</f>
        <v>121.4572833129313</v>
      </c>
      <c r="F3" s="34">
        <f t="shared" si="0"/>
        <v>1332.3863979428563</v>
      </c>
      <c r="G3" s="34">
        <f t="shared" ref="G3:G4" si="1">E3*T3</f>
        <v>7.6518088487146718</v>
      </c>
      <c r="H3" s="34">
        <f>D3*U3</f>
        <v>4.7474164219327459</v>
      </c>
      <c r="I3" s="34">
        <f>D$35*W3</f>
        <v>38.587993919999988</v>
      </c>
      <c r="J3" s="34">
        <f>I3*V3</f>
        <v>176.02969565291352</v>
      </c>
      <c r="K3" s="34">
        <f>I3*X3</f>
        <v>1.6783488461494951</v>
      </c>
      <c r="L3" s="35"/>
      <c r="M3" s="35"/>
      <c r="N3" s="35"/>
      <c r="O3" s="35"/>
      <c r="Q3" s="36">
        <f>(AD3/SUM(AD$2:AD$25))</f>
        <v>0.35</v>
      </c>
      <c r="R3" s="37">
        <v>0.62480340482225316</v>
      </c>
      <c r="S3" s="38">
        <v>10.97</v>
      </c>
      <c r="T3" s="37">
        <v>6.3E-2</v>
      </c>
      <c r="U3" s="37">
        <v>2.4421770877999318E-2</v>
      </c>
      <c r="V3" s="38">
        <v>4.5617736961878732</v>
      </c>
      <c r="W3" s="36">
        <f>(AE3/SUM(AE$2:AE$20))*0.98</f>
        <v>8.5259999999999989E-2</v>
      </c>
      <c r="X3" s="37">
        <v>4.3494068378600377E-2</v>
      </c>
      <c r="Y3" s="39"/>
      <c r="Z3" s="40"/>
      <c r="AA3" s="41"/>
      <c r="AB3" s="41"/>
      <c r="AD3" s="37">
        <v>0.35</v>
      </c>
      <c r="AE3" s="37">
        <v>8.6999999999999994E-2</v>
      </c>
      <c r="AF3" s="42"/>
      <c r="AG3" s="42"/>
      <c r="AH3" s="43">
        <f t="shared" ref="AH3:AH20" si="2">AE3/(SUM(AE$2:AE$25))</f>
        <v>8.6999999999999994E-2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506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275.88197951999996</v>
      </c>
      <c r="J6" s="34">
        <f>I6*V6</f>
        <v>1144.910215008</v>
      </c>
      <c r="K6" s="34">
        <f>I6*X6</f>
        <v>7.772515406074942</v>
      </c>
      <c r="L6" s="34">
        <f>((D$2+D$3+D$4)*AA6)</f>
        <v>71.303279039999993</v>
      </c>
      <c r="M6" s="34">
        <f t="shared" ref="M6:N11" si="4">L6*Y6</f>
        <v>50.482721560319995</v>
      </c>
      <c r="N6" s="34">
        <f t="shared" si="4"/>
        <v>351.86456927543037</v>
      </c>
      <c r="O6" s="34">
        <f t="shared" ref="O6:O11" si="5">M6*AG6</f>
        <v>1.9183434192921598</v>
      </c>
      <c r="Q6" s="53"/>
      <c r="R6" s="54"/>
      <c r="S6" s="55"/>
      <c r="T6" s="54"/>
      <c r="U6" s="54"/>
      <c r="V6" s="38">
        <v>4.1500000000000004</v>
      </c>
      <c r="W6" s="36">
        <f t="shared" ref="W6:W11" si="6">(AE6/SUM(AE$2:AE$20))*0.98</f>
        <v>0.60955999999999999</v>
      </c>
      <c r="X6" s="37">
        <v>2.8173334915162433E-2</v>
      </c>
      <c r="Y6" s="37">
        <v>0.70799999999999996</v>
      </c>
      <c r="Z6" s="56">
        <v>6.97</v>
      </c>
      <c r="AA6" s="36">
        <f t="shared" ref="AA6:AA11" si="7">(AF6/SUM(AF$6:AF$25))*0.98</f>
        <v>0.12837999999999999</v>
      </c>
      <c r="AB6" s="36">
        <f t="shared" ref="AB6:AB11" si="8">(AG6/SUM(AG$6:AG$25))*0.98</f>
        <v>6.7073306709801675E-2</v>
      </c>
      <c r="AD6" s="42"/>
      <c r="AE6" s="37">
        <v>0.622</v>
      </c>
      <c r="AF6" s="37">
        <v>0.13100000000000001</v>
      </c>
      <c r="AG6" s="37">
        <v>3.7999999999999999E-2</v>
      </c>
      <c r="AH6" s="43">
        <f t="shared" si="2"/>
        <v>0.622</v>
      </c>
      <c r="AI6" s="43">
        <f>AF6/(SUM(AF$6:AF$25))</f>
        <v>0.13100000000000001</v>
      </c>
    </row>
    <row r="7" spans="1:39" x14ac:dyDescent="0.25">
      <c r="A7" s="32" t="s">
        <v>662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107.78025887999998</v>
      </c>
      <c r="J7" s="34">
        <f>I7*V7</f>
        <v>439.74345623039989</v>
      </c>
      <c r="K7" s="34">
        <f>I7*X7</f>
        <v>2.2652911711162633</v>
      </c>
      <c r="L7" s="34">
        <f>((D$2+D$3+D$4)*AA7)</f>
        <v>8.1644976000000007</v>
      </c>
      <c r="M7" s="34">
        <f t="shared" si="4"/>
        <v>5.4457198992000011</v>
      </c>
      <c r="N7" s="34">
        <f t="shared" si="4"/>
        <v>35.996208533712007</v>
      </c>
      <c r="O7" s="34">
        <f t="shared" si="5"/>
        <v>8.8304198138479006E-2</v>
      </c>
      <c r="Q7" s="53"/>
      <c r="R7" s="54"/>
      <c r="S7" s="55"/>
      <c r="T7" s="54"/>
      <c r="U7" s="54"/>
      <c r="V7" s="38">
        <v>4.08</v>
      </c>
      <c r="W7" s="36">
        <f t="shared" si="6"/>
        <v>0.23813999999999999</v>
      </c>
      <c r="X7" s="37">
        <v>2.1017681666903265E-2</v>
      </c>
      <c r="Y7" s="37">
        <v>0.66700000000000004</v>
      </c>
      <c r="Z7" s="56">
        <v>6.61</v>
      </c>
      <c r="AA7" s="36">
        <f t="shared" si="7"/>
        <v>1.47E-2</v>
      </c>
      <c r="AB7" s="36">
        <f t="shared" si="8"/>
        <v>2.8621485628003748E-2</v>
      </c>
      <c r="AD7" s="42"/>
      <c r="AE7" s="37">
        <v>0.24299999999999999</v>
      </c>
      <c r="AF7" s="37">
        <v>1.4999999999999999E-2</v>
      </c>
      <c r="AG7" s="37">
        <v>1.621533971136695E-2</v>
      </c>
      <c r="AH7" s="43">
        <f t="shared" si="2"/>
        <v>0.24299999999999999</v>
      </c>
      <c r="AI7" s="43">
        <f t="shared" ref="AI7:AI25" si="9">AF7/(SUM(AF$6:AF$25))</f>
        <v>1.4999999999999999E-2</v>
      </c>
    </row>
    <row r="8" spans="1:39" x14ac:dyDescent="0.25">
      <c r="A8" s="32" t="s">
        <v>636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5.7660220799999991</v>
      </c>
      <c r="J8" s="34">
        <f>I8*V8</f>
        <v>21.737903241599998</v>
      </c>
      <c r="K8" s="34">
        <f>I8*X8</f>
        <v>0.11532044159999999</v>
      </c>
      <c r="L8" s="34">
        <f>((D$2+D$3+D$4)*AA8)</f>
        <v>5.4429983999999996</v>
      </c>
      <c r="M8" s="34">
        <f t="shared" si="4"/>
        <v>3.7611118943999995</v>
      </c>
      <c r="N8" s="34">
        <f t="shared" si="4"/>
        <v>23.896193281555075</v>
      </c>
      <c r="O8" s="34">
        <f t="shared" si="5"/>
        <v>9.0259464708423331E-2</v>
      </c>
      <c r="Q8" s="53"/>
      <c r="R8" s="54"/>
      <c r="S8" s="55"/>
      <c r="T8" s="54"/>
      <c r="U8" s="54"/>
      <c r="V8" s="38">
        <v>3.77</v>
      </c>
      <c r="W8" s="36">
        <f t="shared" si="6"/>
        <v>1.274E-2</v>
      </c>
      <c r="X8" s="37">
        <v>0.02</v>
      </c>
      <c r="Y8" s="37">
        <v>0.69099999999999995</v>
      </c>
      <c r="Z8" s="56">
        <v>6.3534917206623476</v>
      </c>
      <c r="AA8" s="36">
        <f t="shared" si="7"/>
        <v>9.7999999999999997E-3</v>
      </c>
      <c r="AB8" s="36">
        <f t="shared" si="8"/>
        <v>4.2358699752315619E-2</v>
      </c>
      <c r="AD8" s="42"/>
      <c r="AE8" s="37">
        <v>1.2999999999999999E-2</v>
      </c>
      <c r="AF8" s="37">
        <v>0.01</v>
      </c>
      <c r="AG8" s="37">
        <v>2.3998080153587717E-2</v>
      </c>
      <c r="AH8" s="43">
        <f t="shared" si="2"/>
        <v>1.2999999999999999E-2</v>
      </c>
      <c r="AI8" s="43">
        <f t="shared" si="9"/>
        <v>0.01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347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78.379176959999995</v>
      </c>
      <c r="M13" s="34">
        <f t="shared" ref="M13:N20" si="17">L13*Y13</f>
        <v>47.654539591679999</v>
      </c>
      <c r="N13" s="34">
        <f t="shared" si="17"/>
        <v>608.07192518983675</v>
      </c>
      <c r="O13" s="34">
        <f t="shared" ref="O13:O20" si="18">M13*AG13</f>
        <v>3.0975450734591998</v>
      </c>
      <c r="Q13" s="53"/>
      <c r="R13" s="54"/>
      <c r="S13" s="55"/>
      <c r="T13" s="54"/>
      <c r="U13" s="54"/>
      <c r="V13" s="38">
        <v>4.5</v>
      </c>
      <c r="W13" s="36">
        <f t="shared" ref="W13:W20" si="19">(AE13/SUM(AE$2:AE$20))*0.98</f>
        <v>0</v>
      </c>
      <c r="X13" s="37">
        <v>2.5000000000000001E-2</v>
      </c>
      <c r="Y13" s="37">
        <v>0.60799999999999998</v>
      </c>
      <c r="Z13" s="56">
        <v>12.76</v>
      </c>
      <c r="AA13" s="36">
        <f t="shared" ref="AA13:AB20" si="20">(AF13/SUM(AF$6:AF$25))*0.98</f>
        <v>0.14112</v>
      </c>
      <c r="AB13" s="36">
        <f t="shared" si="20"/>
        <v>0.11473065621413446</v>
      </c>
      <c r="AD13" s="42"/>
      <c r="AE13" s="37">
        <v>0</v>
      </c>
      <c r="AF13" s="37">
        <v>0.14399999999999999</v>
      </c>
      <c r="AG13" s="37">
        <v>6.5000000000000002E-2</v>
      </c>
      <c r="AH13" s="43">
        <f t="shared" si="2"/>
        <v>0</v>
      </c>
      <c r="AI13" s="43">
        <f t="shared" si="9"/>
        <v>0.14399999999999999</v>
      </c>
    </row>
    <row r="14" spans="1:39" x14ac:dyDescent="0.25">
      <c r="A14" s="32" t="s">
        <v>543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81.100676159999992</v>
      </c>
      <c r="M14" s="34">
        <f t="shared" si="17"/>
        <v>51.661130713919995</v>
      </c>
      <c r="N14" s="34">
        <f t="shared" si="17"/>
        <v>568.78904916025908</v>
      </c>
      <c r="O14" s="34">
        <f t="shared" si="18"/>
        <v>3.0996678428351996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0.63700000000000001</v>
      </c>
      <c r="Z14" s="56">
        <v>11.01</v>
      </c>
      <c r="AA14" s="36">
        <f t="shared" si="20"/>
        <v>0.14601999999999998</v>
      </c>
      <c r="AB14" s="36">
        <f t="shared" si="20"/>
        <v>0.1059052211207395</v>
      </c>
      <c r="AD14" s="42"/>
      <c r="AE14" s="37">
        <v>0</v>
      </c>
      <c r="AF14" s="37">
        <v>0.14899999999999999</v>
      </c>
      <c r="AG14" s="37">
        <v>0.06</v>
      </c>
      <c r="AH14" s="43">
        <f t="shared" si="2"/>
        <v>0</v>
      </c>
      <c r="AI14" s="43">
        <f t="shared" si="9"/>
        <v>0.14899999999999999</v>
      </c>
    </row>
    <row r="15" spans="1:39" x14ac:dyDescent="0.25">
      <c r="A15" s="32" t="s">
        <v>389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13.306204799999998</v>
      </c>
      <c r="J15" s="34">
        <f t="shared" si="14"/>
        <v>67.796032603549392</v>
      </c>
      <c r="K15" s="34">
        <f t="shared" si="15"/>
        <v>0.10898982799104459</v>
      </c>
      <c r="L15" s="34">
        <f t="shared" si="16"/>
        <v>70.758979200000013</v>
      </c>
      <c r="M15" s="34">
        <f t="shared" si="17"/>
        <v>40.615654060800004</v>
      </c>
      <c r="N15" s="34">
        <f t="shared" si="17"/>
        <v>482.92012678291206</v>
      </c>
      <c r="O15" s="34">
        <f t="shared" si="18"/>
        <v>2.7212488220736004</v>
      </c>
      <c r="Q15" s="53"/>
      <c r="R15" s="54"/>
      <c r="S15" s="55"/>
      <c r="T15" s="54"/>
      <c r="U15" s="54"/>
      <c r="V15" s="38">
        <v>5.0950690766122433</v>
      </c>
      <c r="W15" s="36">
        <f t="shared" si="19"/>
        <v>2.9399999999999999E-2</v>
      </c>
      <c r="X15" s="37">
        <v>8.1909026374706491E-3</v>
      </c>
      <c r="Y15" s="37">
        <v>0.57399999999999995</v>
      </c>
      <c r="Z15" s="56">
        <v>11.89</v>
      </c>
      <c r="AA15" s="36">
        <f t="shared" si="20"/>
        <v>0.12740000000000001</v>
      </c>
      <c r="AB15" s="36">
        <f t="shared" si="20"/>
        <v>0.11826083025149244</v>
      </c>
      <c r="AD15" s="42"/>
      <c r="AE15" s="37">
        <v>0.03</v>
      </c>
      <c r="AF15" s="37">
        <v>0.13</v>
      </c>
      <c r="AG15" s="37">
        <v>6.7000000000000004E-2</v>
      </c>
      <c r="AH15" s="43">
        <f t="shared" si="2"/>
        <v>0.03</v>
      </c>
      <c r="AI15" s="43">
        <f t="shared" si="9"/>
        <v>0.13</v>
      </c>
    </row>
    <row r="16" spans="1:39" x14ac:dyDescent="0.25">
      <c r="A16" s="32" t="s">
        <v>580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47.354086079999995</v>
      </c>
      <c r="M16" s="34">
        <f t="shared" si="17"/>
        <v>26.56564229088</v>
      </c>
      <c r="N16" s="34">
        <f t="shared" si="17"/>
        <v>364.74626865378241</v>
      </c>
      <c r="O16" s="34">
        <f t="shared" si="18"/>
        <v>1.5939385374527999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0.56100000000000005</v>
      </c>
      <c r="Z16" s="56">
        <v>13.73</v>
      </c>
      <c r="AA16" s="36">
        <f t="shared" si="20"/>
        <v>8.5259999999999989E-2</v>
      </c>
      <c r="AB16" s="36">
        <f t="shared" si="20"/>
        <v>0.1059052211207395</v>
      </c>
      <c r="AD16" s="42"/>
      <c r="AE16" s="37">
        <v>0</v>
      </c>
      <c r="AF16" s="37">
        <v>8.6999999999999994E-2</v>
      </c>
      <c r="AG16" s="37">
        <v>0.06</v>
      </c>
      <c r="AH16" s="43">
        <f t="shared" si="2"/>
        <v>0</v>
      </c>
      <c r="AI16" s="43">
        <f t="shared" si="9"/>
        <v>8.6999999999999994E-2</v>
      </c>
    </row>
    <row r="17" spans="1:35" x14ac:dyDescent="0.25">
      <c r="A17" s="32" t="s">
        <v>637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5.4429983999999996</v>
      </c>
      <c r="M17" s="34">
        <f t="shared" si="17"/>
        <v>3.1514960735999997</v>
      </c>
      <c r="N17" s="34">
        <f t="shared" si="17"/>
        <v>30.569511913919996</v>
      </c>
      <c r="O17" s="34">
        <f t="shared" si="18"/>
        <v>0.15127181153279998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0.57899999999999996</v>
      </c>
      <c r="Z17" s="56">
        <v>9.6999999999999993</v>
      </c>
      <c r="AA17" s="36">
        <f t="shared" si="20"/>
        <v>9.7999999999999997E-3</v>
      </c>
      <c r="AB17" s="36">
        <f t="shared" si="20"/>
        <v>8.4724176896591605E-2</v>
      </c>
      <c r="AD17" s="42"/>
      <c r="AE17" s="37">
        <v>0</v>
      </c>
      <c r="AF17" s="37">
        <v>0.01</v>
      </c>
      <c r="AG17" s="37">
        <v>4.8000000000000001E-2</v>
      </c>
      <c r="AH17" s="43">
        <f t="shared" si="2"/>
        <v>0</v>
      </c>
      <c r="AI17" s="43">
        <f t="shared" si="9"/>
        <v>0.01</v>
      </c>
    </row>
    <row r="18" spans="1:35" x14ac:dyDescent="0.25">
      <c r="A18" s="32" t="s">
        <v>687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2.7214991999999998</v>
      </c>
      <c r="M18" s="34">
        <f t="shared" si="17"/>
        <v>1.7009369999999999</v>
      </c>
      <c r="N18" s="34">
        <f t="shared" si="17"/>
        <v>18.642269519999999</v>
      </c>
      <c r="O18" s="34">
        <f t="shared" si="18"/>
        <v>7.9944038999999995E-2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0.625</v>
      </c>
      <c r="Z18" s="56">
        <v>10.96</v>
      </c>
      <c r="AA18" s="36">
        <f t="shared" si="20"/>
        <v>4.8999999999999998E-3</v>
      </c>
      <c r="AB18" s="36">
        <f t="shared" si="20"/>
        <v>8.2959089877912603E-2</v>
      </c>
      <c r="AD18" s="42"/>
      <c r="AE18" s="37">
        <v>0</v>
      </c>
      <c r="AF18" s="37">
        <v>5.0000000000000001E-3</v>
      </c>
      <c r="AG18" s="37">
        <v>4.7E-2</v>
      </c>
      <c r="AH18" s="43">
        <f t="shared" si="2"/>
        <v>0</v>
      </c>
      <c r="AI18" s="43">
        <f t="shared" si="9"/>
        <v>5.0000000000000001E-3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430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136.61925984000001</v>
      </c>
      <c r="M22" s="34">
        <f t="shared" ref="M22:N25" si="21">L22*Y22</f>
        <v>94.540527809280007</v>
      </c>
      <c r="N22" s="34">
        <f t="shared" si="21"/>
        <v>1016.8526900232712</v>
      </c>
      <c r="O22" s="34">
        <f>M22*AG22</f>
        <v>6.7123774744588802</v>
      </c>
      <c r="Q22" s="53"/>
      <c r="R22" s="54"/>
      <c r="S22" s="55"/>
      <c r="T22" s="54"/>
      <c r="U22" s="54"/>
      <c r="V22" s="59"/>
      <c r="W22" s="60"/>
      <c r="X22" s="54"/>
      <c r="Y22" s="37">
        <v>0.69199999999999995</v>
      </c>
      <c r="Z22" s="56">
        <v>10.75573316106934</v>
      </c>
      <c r="AA22" s="36">
        <f t="shared" ref="AA22:AB25" si="22">(AF22/SUM(AF$6:AF$25))*0.98</f>
        <v>0.24598</v>
      </c>
      <c r="AB22" s="36">
        <f t="shared" si="22"/>
        <v>0.12532117832620837</v>
      </c>
      <c r="AD22" s="42"/>
      <c r="AE22" s="42"/>
      <c r="AF22" s="37">
        <v>0.251</v>
      </c>
      <c r="AG22" s="37">
        <v>7.0999999999999994E-2</v>
      </c>
      <c r="AH22" s="43"/>
      <c r="AI22" s="43">
        <f t="shared" si="9"/>
        <v>0.251</v>
      </c>
    </row>
    <row r="23" spans="1:35" x14ac:dyDescent="0.25">
      <c r="A23" s="32" t="s">
        <v>390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37.012389120000002</v>
      </c>
      <c r="M23" s="34">
        <f t="shared" ref="M23:M24" si="23">L23*Y23</f>
        <v>25.463831894202613</v>
      </c>
      <c r="N23" s="34">
        <f t="shared" ref="N23:N24" si="24">M23*Z23</f>
        <v>245.35985491558876</v>
      </c>
      <c r="O23" s="34">
        <f>M23*AG23</f>
        <v>1.5023660817579541</v>
      </c>
      <c r="Q23" s="53"/>
      <c r="R23" s="54"/>
      <c r="S23" s="55"/>
      <c r="T23" s="54"/>
      <c r="U23" s="54"/>
      <c r="V23" s="59"/>
      <c r="W23" s="60"/>
      <c r="X23" s="54"/>
      <c r="Y23" s="37">
        <v>0.68798130841121485</v>
      </c>
      <c r="Z23" s="56">
        <v>9.6356218472935407</v>
      </c>
      <c r="AA23" s="36">
        <f t="shared" si="22"/>
        <v>6.6640000000000005E-2</v>
      </c>
      <c r="AB23" s="36">
        <f t="shared" si="22"/>
        <v>0.10414013410206049</v>
      </c>
      <c r="AD23" s="42"/>
      <c r="AE23" s="42"/>
      <c r="AF23" s="37">
        <v>6.8000000000000005E-2</v>
      </c>
      <c r="AG23" s="37">
        <v>5.8999999999999997E-2</v>
      </c>
      <c r="AH23" s="43"/>
      <c r="AI23" s="43">
        <f t="shared" si="9"/>
        <v>6.8000000000000005E-2</v>
      </c>
    </row>
    <row r="24" spans="1:35" x14ac:dyDescent="0.25"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3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0.55100000000000005</v>
      </c>
      <c r="F29" s="76">
        <f>1-E29</f>
        <v>0.44899999999999995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555.40800000000002</v>
      </c>
      <c r="E32" s="80">
        <f>SUM(E2:E4)</f>
        <v>352.86802651293135</v>
      </c>
      <c r="F32" s="80">
        <f>SUM(F2:F4)</f>
        <v>3752.9427718148572</v>
      </c>
      <c r="G32" s="80">
        <f>SUM(G2:G4)</f>
        <v>21.073631954314674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452.59199999999993</v>
      </c>
      <c r="E35" s="80">
        <f>D35*G29</f>
        <v>1855.6271999999994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443.54015999999996</v>
      </c>
      <c r="E38" s="91">
        <f>SUM(J2:J4,J6:J11,J13:J20)</f>
        <v>1853.6511620396884</v>
      </c>
      <c r="F38" s="91">
        <f>SUM(K2:K4,K6:K11,K13:K20)</f>
        <v>11.964311938093035</v>
      </c>
      <c r="G38" s="91">
        <f>SUM(L6:L11,L13:L20,L22:L25)</f>
        <v>544.2998399999999</v>
      </c>
      <c r="H38" s="91">
        <f>SUM(M6:M11,M13:M20,M22:M25)</f>
        <v>351.04331278828261</v>
      </c>
      <c r="I38" s="91">
        <f>SUM(N6:N11,N13:N20,N22:N25)</f>
        <v>3747.7086672502674</v>
      </c>
      <c r="J38" s="91">
        <f>SUM(O6:O11,O13:O20,O22:O25)</f>
        <v>21.055266764709497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9.0518399999999701</v>
      </c>
      <c r="E39" s="92">
        <f>E35-E38</f>
        <v>1.9760379603110323</v>
      </c>
      <c r="F39" s="92">
        <f>F35-F38</f>
        <v>3.5688061906965274E-2</v>
      </c>
      <c r="G39" s="92">
        <f>SUM(D2:D4)-G38</f>
        <v>11.108160000000112</v>
      </c>
      <c r="H39" s="92">
        <f>E32-H38</f>
        <v>1.8247137246487455</v>
      </c>
      <c r="I39" s="92">
        <f>F32-I38</f>
        <v>5.2341045645898703</v>
      </c>
      <c r="J39" s="92">
        <f>G32-J38</f>
        <v>1.8365189605177079E-2</v>
      </c>
      <c r="V39" s="82"/>
      <c r="X39" s="65"/>
      <c r="Y39" s="65"/>
      <c r="Z39" s="82"/>
      <c r="AG39" s="65"/>
    </row>
    <row r="40" spans="1:33" x14ac:dyDescent="0.25">
      <c r="A40" s="43"/>
      <c r="B40" s="47"/>
      <c r="C40" s="46"/>
      <c r="D40" s="48"/>
      <c r="E40" s="46"/>
      <c r="F40" s="46"/>
      <c r="G40" s="48"/>
      <c r="H40" s="46"/>
      <c r="I40" s="33"/>
      <c r="J40" s="33"/>
      <c r="K40" s="33"/>
      <c r="L40" s="33"/>
      <c r="M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43"/>
      <c r="B41" s="47"/>
      <c r="C41" s="46"/>
      <c r="D41" s="48"/>
      <c r="E41" s="46"/>
      <c r="F41" s="46"/>
      <c r="G41" s="48"/>
      <c r="H41" s="46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43"/>
      <c r="B42" s="47"/>
      <c r="C42" s="46"/>
      <c r="D42" s="48"/>
      <c r="E42" s="46"/>
      <c r="F42" s="46"/>
      <c r="G42" s="48"/>
      <c r="H42" s="46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43"/>
      <c r="B43" s="47"/>
      <c r="C43" s="46"/>
      <c r="D43" s="48"/>
      <c r="E43" s="46"/>
      <c r="F43" s="46"/>
      <c r="G43" s="48"/>
      <c r="H43" s="46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1" priority="1" operator="lessThan">
      <formula>0</formula>
    </cfRule>
  </conditionalFormatting>
  <conditionalFormatting sqref="W28 AA28:AF28">
    <cfRule type="cellIs" dxfId="3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AE4F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68</v>
      </c>
    </row>
    <row r="2" spans="1:39" x14ac:dyDescent="0.25">
      <c r="A2" s="32" t="s">
        <v>110</v>
      </c>
      <c r="B2" s="33" t="s">
        <v>7</v>
      </c>
      <c r="C2" s="33">
        <f>VLOOKUP($AM$1,DST!C:D,2,FALSE)</f>
        <v>7</v>
      </c>
      <c r="D2" s="34">
        <f>D$32*Q2</f>
        <v>531.69115999999997</v>
      </c>
      <c r="E2" s="34">
        <f>D2*R2</f>
        <v>352.22829470099089</v>
      </c>
      <c r="F2" s="34">
        <f>E2*S2</f>
        <v>4029.1470687418719</v>
      </c>
      <c r="G2" s="34">
        <f>E2*T2</f>
        <v>26.430355388976508</v>
      </c>
      <c r="H2" s="34">
        <f>D2*U2</f>
        <v>10.075406373377627</v>
      </c>
      <c r="I2" s="34">
        <f>D$35*W2</f>
        <v>71.8862144</v>
      </c>
      <c r="J2" s="34">
        <f>I2*V2</f>
        <v>384.4700904988764</v>
      </c>
      <c r="K2" s="34">
        <f>I2*X2</f>
        <v>2.0128140031999999</v>
      </c>
      <c r="L2" s="35"/>
      <c r="M2" s="35"/>
      <c r="N2" s="35"/>
      <c r="O2" s="35"/>
      <c r="Q2" s="36">
        <f>(AD2/SUM(AD$2:AD$25))</f>
        <v>0.98</v>
      </c>
      <c r="R2" s="37">
        <v>0.66246784073105691</v>
      </c>
      <c r="S2" s="38">
        <v>11.439021592976349</v>
      </c>
      <c r="T2" s="37">
        <v>7.5037570196946915E-2</v>
      </c>
      <c r="U2" s="37">
        <v>1.8949734604159354E-2</v>
      </c>
      <c r="V2" s="38">
        <v>5.3483146067415728</v>
      </c>
      <c r="W2" s="36">
        <f>(AE2/SUM(AE$2:AE$20))*0.98</f>
        <v>0.15679999999999999</v>
      </c>
      <c r="X2" s="37">
        <v>2.8000000000000001E-2</v>
      </c>
      <c r="Y2" s="39"/>
      <c r="Z2" s="40"/>
      <c r="AA2" s="41"/>
      <c r="AB2" s="41"/>
      <c r="AD2" s="37">
        <v>0.98</v>
      </c>
      <c r="AE2" s="37">
        <v>0.16</v>
      </c>
      <c r="AF2" s="42"/>
      <c r="AG2" s="42"/>
      <c r="AH2" s="43">
        <f>AE2/(SUM(AE$2:AE$25))</f>
        <v>0.16</v>
      </c>
    </row>
    <row r="3" spans="1:39" x14ac:dyDescent="0.25">
      <c r="A3" s="32" t="s">
        <v>601</v>
      </c>
      <c r="B3" s="33" t="s">
        <v>7</v>
      </c>
      <c r="C3" s="33">
        <f>VLOOKUP($AM$1,DST!C:D,2,FALSE)</f>
        <v>7</v>
      </c>
      <c r="D3" s="34">
        <f>D$32*Q3</f>
        <v>10.850840000000002</v>
      </c>
      <c r="E3" s="34">
        <f t="shared" ref="E3:F4" si="0">D3*R3</f>
        <v>6.333093047158405</v>
      </c>
      <c r="F3" s="34">
        <f t="shared" si="0"/>
        <v>62.536189383313193</v>
      </c>
      <c r="G3" s="34">
        <f t="shared" ref="G3:G4" si="1">E3*T3</f>
        <v>0.34020166868198309</v>
      </c>
      <c r="H3" s="34">
        <f>D3*U3</f>
        <v>0.17197522370012097</v>
      </c>
      <c r="I3" s="34">
        <f>D$35*W3</f>
        <v>2.2464442</v>
      </c>
      <c r="J3" s="34">
        <f>I3*V3</f>
        <v>11.257870663898693</v>
      </c>
      <c r="K3" s="34">
        <f>I3*X3</f>
        <v>7.1886214399999995E-2</v>
      </c>
      <c r="L3" s="35"/>
      <c r="M3" s="35"/>
      <c r="N3" s="35"/>
      <c r="O3" s="35"/>
      <c r="Q3" s="36">
        <f>(AD3/SUM(AD$2:AD$25))</f>
        <v>0.02</v>
      </c>
      <c r="R3" s="37">
        <v>0.58365002591121096</v>
      </c>
      <c r="S3" s="38">
        <v>9.8745098039215691</v>
      </c>
      <c r="T3" s="37">
        <v>5.3718091009988894E-2</v>
      </c>
      <c r="U3" s="37">
        <v>1.5849024011055451E-2</v>
      </c>
      <c r="V3" s="38">
        <v>5.0114178949553665</v>
      </c>
      <c r="W3" s="36">
        <f>(AE3/SUM(AE$2:AE$20))*0.98</f>
        <v>4.8999999999999998E-3</v>
      </c>
      <c r="X3" s="37">
        <v>3.2000000000000001E-2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507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245.76099547999996</v>
      </c>
      <c r="J6" s="34">
        <f t="shared" ref="J6:J11" si="4">I6*V6</f>
        <v>1059.2298905187997</v>
      </c>
      <c r="K6" s="34">
        <f t="shared" ref="K6:K11" si="5">I6*X6</f>
        <v>9.3401261782654164</v>
      </c>
      <c r="L6" s="34">
        <f t="shared" ref="L6:L11" si="6">((D$2+D$3+D$4)*AA6)</f>
        <v>60.081101079999996</v>
      </c>
      <c r="M6" s="34">
        <f t="shared" ref="M6:N11" si="7">L6*Y6</f>
        <v>50.502220518281199</v>
      </c>
      <c r="N6" s="34">
        <f t="shared" si="7"/>
        <v>354.52558803833398</v>
      </c>
      <c r="O6" s="34">
        <f t="shared" ref="O6:O11" si="8">M6*AG6</f>
        <v>1.7349038609381815</v>
      </c>
      <c r="Q6" s="53"/>
      <c r="R6" s="54"/>
      <c r="S6" s="55"/>
      <c r="T6" s="54"/>
      <c r="U6" s="54"/>
      <c r="V6" s="38">
        <v>4.3099999999999996</v>
      </c>
      <c r="W6" s="36">
        <f t="shared" ref="W6:W11" si="9">(AE6/SUM(AE$2:AE$20))*0.98</f>
        <v>0.53605999999999998</v>
      </c>
      <c r="X6" s="37">
        <v>3.8004916768924452E-2</v>
      </c>
      <c r="Y6" s="37">
        <v>0.84056749311294754</v>
      </c>
      <c r="Z6" s="56">
        <v>7.02</v>
      </c>
      <c r="AA6" s="36">
        <f t="shared" ref="AA6:AB11" si="10">(AF6/SUM(AF$6:AF$25))*0.98</f>
        <v>0.11074000000000001</v>
      </c>
      <c r="AB6" s="36">
        <f t="shared" si="10"/>
        <v>4.3005072930923205E-2</v>
      </c>
      <c r="AD6" s="42"/>
      <c r="AE6" s="37">
        <v>0.54700000000000004</v>
      </c>
      <c r="AF6" s="37">
        <v>0.113</v>
      </c>
      <c r="AG6" s="37">
        <v>3.4353021374776326E-2</v>
      </c>
      <c r="AH6" s="43">
        <f t="shared" si="2"/>
        <v>0.54700000000000004</v>
      </c>
      <c r="AI6" s="43">
        <f>AF6/(SUM(AF$6:AF$25))</f>
        <v>0.113</v>
      </c>
    </row>
    <row r="7" spans="1:39" x14ac:dyDescent="0.25">
      <c r="A7" s="32" t="s">
        <v>407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93.00278987999998</v>
      </c>
      <c r="J7" s="34">
        <f t="shared" si="4"/>
        <v>408.28224757319987</v>
      </c>
      <c r="K7" s="34">
        <f t="shared" si="5"/>
        <v>2.6970809065199997</v>
      </c>
      <c r="L7" s="34">
        <f t="shared" si="6"/>
        <v>21.799337559999998</v>
      </c>
      <c r="M7" s="34">
        <f t="shared" si="7"/>
        <v>14.987258291495687</v>
      </c>
      <c r="N7" s="34">
        <f t="shared" si="7"/>
        <v>111.65507427164287</v>
      </c>
      <c r="O7" s="34">
        <f t="shared" si="8"/>
        <v>0.4945795236193577</v>
      </c>
      <c r="Q7" s="53"/>
      <c r="R7" s="54"/>
      <c r="S7" s="55"/>
      <c r="T7" s="54"/>
      <c r="U7" s="54"/>
      <c r="V7" s="38">
        <v>4.3899999999999997</v>
      </c>
      <c r="W7" s="36">
        <f t="shared" si="9"/>
        <v>0.20285999999999998</v>
      </c>
      <c r="X7" s="37">
        <v>2.9000000000000001E-2</v>
      </c>
      <c r="Y7" s="37">
        <v>0.68750980392156869</v>
      </c>
      <c r="Z7" s="56">
        <v>7.45</v>
      </c>
      <c r="AA7" s="36">
        <f t="shared" si="10"/>
        <v>4.018E-2</v>
      </c>
      <c r="AB7" s="36">
        <f t="shared" si="10"/>
        <v>4.1311283547318139E-2</v>
      </c>
      <c r="AD7" s="42"/>
      <c r="AE7" s="37">
        <v>0.20699999999999999</v>
      </c>
      <c r="AF7" s="37">
        <v>4.1000000000000002E-2</v>
      </c>
      <c r="AG7" s="37">
        <v>3.3000000000000002E-2</v>
      </c>
      <c r="AH7" s="43">
        <f t="shared" si="2"/>
        <v>0.20699999999999999</v>
      </c>
      <c r="AI7" s="43">
        <f t="shared" ref="AI7:AI25" si="11">AF7/(SUM(AF$6:AF$25))</f>
        <v>4.1000000000000002E-2</v>
      </c>
    </row>
    <row r="8" spans="1:39" x14ac:dyDescent="0.25">
      <c r="A8" s="32" t="s">
        <v>638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36.392396040000001</v>
      </c>
      <c r="J8" s="34">
        <f t="shared" si="4"/>
        <v>153.2119873284</v>
      </c>
      <c r="K8" s="34">
        <f t="shared" si="5"/>
        <v>0.83702510892000004</v>
      </c>
      <c r="L8" s="34">
        <f t="shared" si="6"/>
        <v>11.697205519999997</v>
      </c>
      <c r="M8" s="34">
        <f t="shared" si="7"/>
        <v>8.7729041399999979</v>
      </c>
      <c r="N8" s="34">
        <f t="shared" si="7"/>
        <v>69.393671747399978</v>
      </c>
      <c r="O8" s="34">
        <f t="shared" si="8"/>
        <v>0.30705164489999998</v>
      </c>
      <c r="Q8" s="53"/>
      <c r="R8" s="54"/>
      <c r="S8" s="55"/>
      <c r="T8" s="54"/>
      <c r="U8" s="54"/>
      <c r="V8" s="38">
        <v>4.21</v>
      </c>
      <c r="W8" s="36">
        <f t="shared" si="9"/>
        <v>7.9380000000000006E-2</v>
      </c>
      <c r="X8" s="37">
        <v>2.3E-2</v>
      </c>
      <c r="Y8" s="37">
        <v>0.75</v>
      </c>
      <c r="Z8" s="56">
        <v>7.91</v>
      </c>
      <c r="AA8" s="36">
        <f t="shared" si="10"/>
        <v>2.1559999999999999E-2</v>
      </c>
      <c r="AB8" s="36">
        <f t="shared" si="10"/>
        <v>4.3814997701701067E-2</v>
      </c>
      <c r="AD8" s="42"/>
      <c r="AE8" s="37">
        <v>8.1000000000000003E-2</v>
      </c>
      <c r="AF8" s="37">
        <v>2.1999999999999999E-2</v>
      </c>
      <c r="AG8" s="37">
        <v>3.5000000000000003E-2</v>
      </c>
      <c r="AH8" s="43">
        <f t="shared" si="2"/>
        <v>8.1000000000000003E-2</v>
      </c>
      <c r="AI8" s="43">
        <f t="shared" si="11"/>
        <v>2.1999999999999999E-2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435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128.13756955999997</v>
      </c>
      <c r="M13" s="34">
        <f t="shared" ref="M13:N20" si="16">L13*Y13</f>
        <v>85.17099006658664</v>
      </c>
      <c r="N13" s="34">
        <f t="shared" si="16"/>
        <v>1129.3673282829388</v>
      </c>
      <c r="O13" s="34">
        <f t="shared" ref="O13:O20" si="17">M13*AG13</f>
        <v>6.8136792053269311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8">(AE13/SUM(AE$2:AE$20))*0.98</f>
        <v>0</v>
      </c>
      <c r="X13" s="37">
        <v>0.05</v>
      </c>
      <c r="Y13" s="37">
        <v>0.66468398268398265</v>
      </c>
      <c r="Z13" s="56">
        <v>13.26</v>
      </c>
      <c r="AA13" s="36">
        <f t="shared" ref="AA13:AB20" si="19">(AF13/SUM(AF$6:AF$25))*0.98</f>
        <v>0.23618</v>
      </c>
      <c r="AB13" s="36">
        <f t="shared" si="19"/>
        <v>0.10014856617531671</v>
      </c>
      <c r="AD13" s="42"/>
      <c r="AE13" s="37">
        <v>0</v>
      </c>
      <c r="AF13" s="37">
        <v>0.24099999999999999</v>
      </c>
      <c r="AG13" s="37">
        <v>0.08</v>
      </c>
      <c r="AH13" s="43">
        <f t="shared" si="2"/>
        <v>0</v>
      </c>
      <c r="AI13" s="43">
        <f t="shared" si="11"/>
        <v>0.24099999999999999</v>
      </c>
    </row>
    <row r="14" spans="1:39" x14ac:dyDescent="0.25">
      <c r="A14" s="32" t="s">
        <v>391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108.46499663999998</v>
      </c>
      <c r="M14" s="34">
        <f t="shared" si="16"/>
        <v>61.233610819884383</v>
      </c>
      <c r="N14" s="34">
        <f t="shared" si="16"/>
        <v>879.68748673771267</v>
      </c>
      <c r="O14" s="34">
        <f t="shared" si="17"/>
        <v>7.6542013524855479</v>
      </c>
      <c r="Q14" s="53"/>
      <c r="R14" s="54"/>
      <c r="S14" s="55"/>
      <c r="T14" s="54"/>
      <c r="U14" s="54"/>
      <c r="V14" s="38">
        <v>4.2500000000000009</v>
      </c>
      <c r="W14" s="36">
        <f t="shared" si="18"/>
        <v>0</v>
      </c>
      <c r="X14" s="37">
        <v>2.5000000000000001E-2</v>
      </c>
      <c r="Y14" s="37">
        <v>0.56454720616570331</v>
      </c>
      <c r="Z14" s="56">
        <v>14.366088737201364</v>
      </c>
      <c r="AA14" s="36">
        <f t="shared" si="19"/>
        <v>0.19991999999999999</v>
      </c>
      <c r="AB14" s="36">
        <f t="shared" si="19"/>
        <v>0.15648213464893235</v>
      </c>
      <c r="AD14" s="42"/>
      <c r="AE14" s="37">
        <v>0</v>
      </c>
      <c r="AF14" s="37">
        <v>0.20399999999999999</v>
      </c>
      <c r="AG14" s="37">
        <v>0.125</v>
      </c>
      <c r="AH14" s="43">
        <f t="shared" si="2"/>
        <v>0</v>
      </c>
      <c r="AI14" s="43">
        <f t="shared" si="11"/>
        <v>0.20399999999999999</v>
      </c>
    </row>
    <row r="15" spans="1:39" x14ac:dyDescent="0.25">
      <c r="A15" s="32" t="s">
        <v>582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44.130366279999997</v>
      </c>
      <c r="M15" s="34">
        <f t="shared" si="16"/>
        <v>26.64474945207547</v>
      </c>
      <c r="N15" s="34">
        <f t="shared" si="16"/>
        <v>319.2915265200038</v>
      </c>
      <c r="O15" s="34">
        <f t="shared" si="17"/>
        <v>1.5720402176724526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0.60377358490566035</v>
      </c>
      <c r="Z15" s="56">
        <v>11.983281250000001</v>
      </c>
      <c r="AA15" s="36">
        <f t="shared" si="19"/>
        <v>8.134000000000001E-2</v>
      </c>
      <c r="AB15" s="36">
        <f t="shared" si="19"/>
        <v>7.3859567554296068E-2</v>
      </c>
      <c r="AD15" s="42"/>
      <c r="AE15" s="37">
        <v>0</v>
      </c>
      <c r="AF15" s="37">
        <v>8.3000000000000004E-2</v>
      </c>
      <c r="AG15" s="37">
        <v>5.8999999999999997E-2</v>
      </c>
      <c r="AH15" s="43">
        <f t="shared" si="2"/>
        <v>0</v>
      </c>
      <c r="AI15" s="43">
        <f t="shared" si="11"/>
        <v>8.3000000000000004E-2</v>
      </c>
    </row>
    <row r="16" spans="1:39" x14ac:dyDescent="0.25">
      <c r="A16" s="32" t="s">
        <v>688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18.609190599999998</v>
      </c>
      <c r="M16" s="34">
        <f t="shared" si="16"/>
        <v>12.375111749</v>
      </c>
      <c r="N16" s="34">
        <f t="shared" si="16"/>
        <v>150.11010551537001</v>
      </c>
      <c r="O16" s="34">
        <f t="shared" si="17"/>
        <v>0.8786329341789999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0.66500000000000004</v>
      </c>
      <c r="Z16" s="56">
        <v>12.13</v>
      </c>
      <c r="AA16" s="36">
        <f t="shared" si="19"/>
        <v>3.4300000000000004E-2</v>
      </c>
      <c r="AB16" s="36">
        <f t="shared" si="19"/>
        <v>8.8881852480593562E-2</v>
      </c>
      <c r="AD16" s="42"/>
      <c r="AE16" s="37">
        <v>0</v>
      </c>
      <c r="AF16" s="37">
        <v>3.5000000000000003E-2</v>
      </c>
      <c r="AG16" s="37">
        <v>7.0999999999999994E-2</v>
      </c>
      <c r="AH16" s="43">
        <f t="shared" si="2"/>
        <v>0</v>
      </c>
      <c r="AI16" s="43">
        <f t="shared" si="11"/>
        <v>3.5000000000000003E-2</v>
      </c>
    </row>
    <row r="17" spans="1:35" x14ac:dyDescent="0.25">
      <c r="A17" s="32" t="s">
        <v>538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10.633823199999998</v>
      </c>
      <c r="M17" s="34">
        <f t="shared" si="16"/>
        <v>6.0719130471999989</v>
      </c>
      <c r="N17" s="34">
        <f t="shared" si="16"/>
        <v>69.668355165736983</v>
      </c>
      <c r="O17" s="34">
        <f t="shared" si="17"/>
        <v>0.44324965244559988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0.57099999999999995</v>
      </c>
      <c r="Z17" s="56">
        <v>11.473872340425533</v>
      </c>
      <c r="AA17" s="36">
        <f t="shared" si="19"/>
        <v>1.9599999999999999E-2</v>
      </c>
      <c r="AB17" s="36">
        <f t="shared" si="19"/>
        <v>9.1385566634976489E-2</v>
      </c>
      <c r="AD17" s="42"/>
      <c r="AE17" s="37">
        <v>0</v>
      </c>
      <c r="AF17" s="37">
        <v>0.02</v>
      </c>
      <c r="AG17" s="37">
        <v>7.2999999999999995E-2</v>
      </c>
      <c r="AH17" s="43">
        <f t="shared" si="2"/>
        <v>0</v>
      </c>
      <c r="AI17" s="43">
        <f t="shared" si="11"/>
        <v>0.02</v>
      </c>
    </row>
    <row r="18" spans="1:35" x14ac:dyDescent="0.25">
      <c r="A18" s="32" t="s">
        <v>392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2.6584557999999996</v>
      </c>
      <c r="M18" s="34">
        <f t="shared" si="16"/>
        <v>1.8476267809999996</v>
      </c>
      <c r="N18" s="34">
        <f t="shared" si="16"/>
        <v>17.464753734961864</v>
      </c>
      <c r="O18" s="34">
        <f t="shared" si="17"/>
        <v>9.2381339049999983E-2</v>
      </c>
      <c r="Q18" s="53"/>
      <c r="R18" s="54"/>
      <c r="S18" s="55"/>
      <c r="T18" s="54"/>
      <c r="U18" s="54"/>
      <c r="V18" s="38">
        <v>5.25</v>
      </c>
      <c r="W18" s="36">
        <f t="shared" si="18"/>
        <v>0</v>
      </c>
      <c r="X18" s="37">
        <v>2.5000000000000001E-2</v>
      </c>
      <c r="Y18" s="37">
        <v>0.69499999999999995</v>
      </c>
      <c r="Z18" s="56">
        <v>9.4525333333333332</v>
      </c>
      <c r="AA18" s="36">
        <f t="shared" si="19"/>
        <v>4.8999999999999998E-3</v>
      </c>
      <c r="AB18" s="36">
        <f t="shared" si="19"/>
        <v>6.2592853859572944E-2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539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64.866321519999985</v>
      </c>
      <c r="M22" s="34">
        <f t="shared" ref="M22:N25" si="20">L22*Y22</f>
        <v>46.119954600719986</v>
      </c>
      <c r="N22" s="34">
        <f t="shared" si="20"/>
        <v>531.30187700029421</v>
      </c>
      <c r="O22" s="34">
        <f>M22*AG22</f>
        <v>3.5973564588561588</v>
      </c>
      <c r="Q22" s="53"/>
      <c r="R22" s="54"/>
      <c r="S22" s="55"/>
      <c r="T22" s="54"/>
      <c r="U22" s="54"/>
      <c r="V22" s="59"/>
      <c r="W22" s="60"/>
      <c r="X22" s="54"/>
      <c r="Y22" s="37">
        <v>0.71099999999999997</v>
      </c>
      <c r="Z22" s="56">
        <v>11.52</v>
      </c>
      <c r="AA22" s="36">
        <f t="shared" ref="AA22:AB25" si="21">(AF22/SUM(AF$6:AF$25))*0.98</f>
        <v>0.11956</v>
      </c>
      <c r="AB22" s="36">
        <f t="shared" si="21"/>
        <v>9.7644852020933787E-2</v>
      </c>
      <c r="AD22" s="42"/>
      <c r="AE22" s="42"/>
      <c r="AF22" s="37">
        <v>0.122</v>
      </c>
      <c r="AG22" s="37">
        <v>7.8E-2</v>
      </c>
      <c r="AH22" s="43"/>
      <c r="AI22" s="43">
        <f t="shared" si="11"/>
        <v>0.122</v>
      </c>
    </row>
    <row r="23" spans="1:35" x14ac:dyDescent="0.25">
      <c r="A23" s="32" t="s">
        <v>19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49.978969039999988</v>
      </c>
      <c r="M23" s="34">
        <f t="shared" si="20"/>
        <v>36.084815646879989</v>
      </c>
      <c r="N23" s="34">
        <f t="shared" si="20"/>
        <v>378.89931732718867</v>
      </c>
      <c r="O23" s="34">
        <f>M23*AG23</f>
        <v>2.6516547050858308</v>
      </c>
      <c r="Q23" s="53"/>
      <c r="R23" s="54"/>
      <c r="S23" s="55"/>
      <c r="T23" s="54"/>
      <c r="U23" s="54"/>
      <c r="V23" s="59"/>
      <c r="W23" s="60"/>
      <c r="X23" s="54"/>
      <c r="Y23" s="37">
        <v>0.72199999999999998</v>
      </c>
      <c r="Z23" s="56">
        <v>10.500242568370986</v>
      </c>
      <c r="AA23" s="36">
        <f t="shared" si="21"/>
        <v>9.2119999999999994E-2</v>
      </c>
      <c r="AB23" s="36">
        <f t="shared" si="21"/>
        <v>9.1991399964842055E-2</v>
      </c>
      <c r="AD23" s="42"/>
      <c r="AE23" s="42"/>
      <c r="AF23" s="37">
        <v>9.4E-2</v>
      </c>
      <c r="AG23" s="37">
        <v>7.3483947681331763E-2</v>
      </c>
      <c r="AH23" s="43"/>
      <c r="AI23" s="43">
        <f t="shared" si="11"/>
        <v>9.4E-2</v>
      </c>
    </row>
    <row r="24" spans="1:35" x14ac:dyDescent="0.25">
      <c r="A24" s="32" t="s">
        <v>323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10.633823199999998</v>
      </c>
      <c r="M24" s="34">
        <f t="shared" si="20"/>
        <v>7.4011409471999983</v>
      </c>
      <c r="N24" s="34">
        <f t="shared" si="20"/>
        <v>80.041968762311086</v>
      </c>
      <c r="O24" s="34">
        <f>M24*AG24</f>
        <v>0.52548100725119984</v>
      </c>
      <c r="Q24" s="53"/>
      <c r="R24" s="54"/>
      <c r="S24" s="55"/>
      <c r="T24" s="54"/>
      <c r="U24" s="54"/>
      <c r="V24" s="59"/>
      <c r="W24" s="60"/>
      <c r="X24" s="54"/>
      <c r="Y24" s="37">
        <v>0.69599999999999995</v>
      </c>
      <c r="Z24" s="56">
        <v>10.814814814814815</v>
      </c>
      <c r="AA24" s="36">
        <f t="shared" si="21"/>
        <v>1.9599999999999999E-2</v>
      </c>
      <c r="AB24" s="36">
        <f t="shared" si="21"/>
        <v>8.8881852480593562E-2</v>
      </c>
      <c r="AD24" s="42"/>
      <c r="AE24" s="42"/>
      <c r="AF24" s="37">
        <v>0.02</v>
      </c>
      <c r="AG24" s="37">
        <v>7.0999999999999994E-2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1001</v>
      </c>
      <c r="E29" s="75">
        <v>0.54200000000000004</v>
      </c>
      <c r="F29" s="76">
        <f>1-E29</f>
        <v>0.45799999999999996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542.54200000000003</v>
      </c>
      <c r="E32" s="80">
        <f>SUM(E2:E4)</f>
        <v>358.56138774814929</v>
      </c>
      <c r="F32" s="80">
        <f>SUM(F2:F4)</f>
        <v>4091.6832581251851</v>
      </c>
      <c r="G32" s="80">
        <f>SUM(G2:G4)</f>
        <v>26.770557057658493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458.45799999999997</v>
      </c>
      <c r="E35" s="80">
        <f>D35*G29</f>
        <v>2017.2152000000001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449.28883999999994</v>
      </c>
      <c r="E38" s="91">
        <f>SUM(J2:J4,J6:J11,J13:J20)</f>
        <v>2016.4520865831746</v>
      </c>
      <c r="F38" s="91">
        <f>SUM(K2:K4,K6:K11,K13:K20)</f>
        <v>14.958932411305417</v>
      </c>
      <c r="G38" s="91">
        <f>SUM(L6:L11,L13:L20,L22:L25)</f>
        <v>531.69115999999997</v>
      </c>
      <c r="H38" s="91">
        <f>SUM(M6:M11,M13:M20,M22:M25)</f>
        <v>357.21229606032335</v>
      </c>
      <c r="I38" s="91">
        <f>SUM(N6:N11,N13:N20,N22:N25)</f>
        <v>4091.4070531038951</v>
      </c>
      <c r="J38" s="91">
        <f>SUM(O6:O11,O13:O20,O22:O25)</f>
        <v>26.765211901810261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9.1691600000000335</v>
      </c>
      <c r="E39" s="92">
        <f>E35-E38</f>
        <v>0.76311341682549028</v>
      </c>
      <c r="F39" s="92">
        <f>F35-F38</f>
        <v>4.1067588694582824E-2</v>
      </c>
      <c r="G39" s="92">
        <f>SUM(D2:D4)-G38</f>
        <v>10.850839999999948</v>
      </c>
      <c r="H39" s="92">
        <f>E32-H38</f>
        <v>1.3490916878259327</v>
      </c>
      <c r="I39" s="92">
        <f>F32-I38</f>
        <v>0.27620502129002489</v>
      </c>
      <c r="J39" s="92">
        <f>G32-J38</f>
        <v>5.3451558482322525E-3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9" priority="1" operator="lessThan">
      <formula>0</formula>
    </cfRule>
  </conditionalFormatting>
  <conditionalFormatting sqref="W28 AA28:AF28">
    <cfRule type="cellIs" dxfId="2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57AFB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69</v>
      </c>
    </row>
    <row r="2" spans="1:39" x14ac:dyDescent="0.25">
      <c r="A2" s="32" t="s">
        <v>24</v>
      </c>
      <c r="B2" s="33" t="s">
        <v>7</v>
      </c>
      <c r="C2" s="33">
        <f>VLOOKUP($AM$1,DST!C:D,2,FALSE)</f>
        <v>11</v>
      </c>
      <c r="D2" s="34">
        <f>D$32*Q2</f>
        <v>571.03200000000004</v>
      </c>
      <c r="E2" s="34">
        <f>D2*R2</f>
        <v>371.74183200000004</v>
      </c>
      <c r="F2" s="34">
        <f>E2*S2</f>
        <v>4323.3575061600004</v>
      </c>
      <c r="G2" s="34">
        <f>E2*T2</f>
        <v>34.571990376000002</v>
      </c>
      <c r="H2" s="34">
        <f>D2*U2</f>
        <v>9.7587304586020061</v>
      </c>
      <c r="I2" s="34">
        <f>D$35*W2</f>
        <v>24.427479999999996</v>
      </c>
      <c r="J2" s="34">
        <f>I2*V2</f>
        <v>31.922274999999996</v>
      </c>
      <c r="K2" s="34">
        <f>I2*X2</f>
        <v>0.6014341666666666</v>
      </c>
      <c r="L2" s="35"/>
      <c r="M2" s="35"/>
      <c r="N2" s="35"/>
      <c r="O2" s="35"/>
      <c r="Q2" s="36">
        <f>(AD2/SUM(AD$2:AD$25))</f>
        <v>0.99</v>
      </c>
      <c r="R2" s="37">
        <v>0.65100000000000002</v>
      </c>
      <c r="S2" s="38">
        <v>11.63</v>
      </c>
      <c r="T2" s="37">
        <v>9.2999999999999999E-2</v>
      </c>
      <c r="U2" s="37">
        <v>1.7089638511680615E-2</v>
      </c>
      <c r="V2" s="38">
        <v>1.3068181818181819</v>
      </c>
      <c r="W2" s="36">
        <f>(AE2/SUM(AE$2:AE$20))*0.98</f>
        <v>5.3899999999999997E-2</v>
      </c>
      <c r="X2" s="37">
        <v>2.4621212121212124E-2</v>
      </c>
      <c r="Y2" s="39"/>
      <c r="Z2" s="40"/>
      <c r="AA2" s="41"/>
      <c r="AB2" s="41"/>
      <c r="AD2" s="37">
        <v>0.99</v>
      </c>
      <c r="AE2" s="37">
        <v>5.5E-2</v>
      </c>
      <c r="AF2" s="42"/>
      <c r="AG2" s="42"/>
      <c r="AH2" s="43">
        <f>AE2/(SUM(AE$2:AE$25))</f>
        <v>5.5E-2</v>
      </c>
    </row>
    <row r="3" spans="1:39" x14ac:dyDescent="0.25">
      <c r="A3" s="32" t="s">
        <v>652</v>
      </c>
      <c r="B3" s="33" t="s">
        <v>7</v>
      </c>
      <c r="C3" s="33">
        <f>VLOOKUP($AM$1,DST!C:D,2,FALSE)</f>
        <v>11</v>
      </c>
      <c r="D3" s="34">
        <f>D$32*Q3</f>
        <v>5.7680000000000007</v>
      </c>
      <c r="E3" s="34">
        <f t="shared" ref="E3:F4" si="0">D3*R3</f>
        <v>3.4781040000000001</v>
      </c>
      <c r="F3" s="34">
        <f t="shared" si="0"/>
        <v>37.339305721133357</v>
      </c>
      <c r="G3" s="34">
        <f t="shared" ref="G3:G4" si="1">E3*T3</f>
        <v>0.24346728000000004</v>
      </c>
      <c r="H3" s="34">
        <f>D3*U3</f>
        <v>0.13281394959316628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0.60299999999999998</v>
      </c>
      <c r="S3" s="38">
        <v>10.735534567434831</v>
      </c>
      <c r="T3" s="37">
        <v>7.0000000000000007E-2</v>
      </c>
      <c r="U3" s="37">
        <v>2.3025996808801363E-2</v>
      </c>
      <c r="V3" s="38">
        <v>4.5744680851063828</v>
      </c>
      <c r="W3" s="36">
        <f>(AE3/SUM(AE$2:AE$20))*0.98</f>
        <v>0</v>
      </c>
      <c r="X3" s="37">
        <v>4.2553191489361701E-2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335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243.83066399999998</v>
      </c>
      <c r="J6" s="34">
        <f>I6*V6</f>
        <v>1119.18274776</v>
      </c>
      <c r="K6" s="34">
        <f>I6*X6</f>
        <v>10.728549215999999</v>
      </c>
      <c r="L6" s="34">
        <f>((D$2+D$3+D$4)*AA6)</f>
        <v>39.582072996587819</v>
      </c>
      <c r="M6" s="34">
        <f t="shared" ref="M6:N11" si="4">L6*Y6</f>
        <v>28.30118219256029</v>
      </c>
      <c r="N6" s="34">
        <f t="shared" si="4"/>
        <v>209.71176004687175</v>
      </c>
      <c r="O6" s="34">
        <f t="shared" ref="O6:O11" si="5">M6*AG6</f>
        <v>1.8112756603238587</v>
      </c>
      <c r="Q6" s="53"/>
      <c r="R6" s="54"/>
      <c r="S6" s="55"/>
      <c r="T6" s="54"/>
      <c r="U6" s="54"/>
      <c r="V6" s="38">
        <v>4.59</v>
      </c>
      <c r="W6" s="36">
        <f t="shared" ref="W6:W11" si="6">(AE6/SUM(AE$2:AE$20))*0.98</f>
        <v>0.53802000000000005</v>
      </c>
      <c r="X6" s="37">
        <v>4.3999999999999997E-2</v>
      </c>
      <c r="Y6" s="37">
        <v>0.71499999999999997</v>
      </c>
      <c r="Z6" s="56">
        <v>7.41</v>
      </c>
      <c r="AA6" s="36">
        <f t="shared" ref="AA6:AA11" si="7">(AF6/SUM(AF$6:AF$25))*0.98</f>
        <v>6.8623566221546139E-2</v>
      </c>
      <c r="AB6" s="36">
        <f t="shared" ref="AB6:AB11" si="8">(AG6/SUM(AG$6:AG$25))*0.98</f>
        <v>6.2815745863444614E-2</v>
      </c>
      <c r="AD6" s="42"/>
      <c r="AE6" s="37">
        <v>0.54900000000000004</v>
      </c>
      <c r="AF6" s="37">
        <v>7.0000000000000007E-2</v>
      </c>
      <c r="AG6" s="37">
        <v>6.4000000000000001E-2</v>
      </c>
      <c r="AH6" s="43">
        <f t="shared" si="2"/>
        <v>0.54900000000000004</v>
      </c>
      <c r="AI6" s="43">
        <f>AF6/(SUM(AF$6:AF$25))</f>
        <v>7.0024047164843006E-2</v>
      </c>
    </row>
    <row r="7" spans="1:39" x14ac:dyDescent="0.25">
      <c r="A7" s="32" t="s">
        <v>448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155.89173599999995</v>
      </c>
      <c r="J7" s="34">
        <f>I7*V7</f>
        <v>743.60358071999974</v>
      </c>
      <c r="K7" s="34">
        <f>I7*X7</f>
        <v>6.5258998274671915</v>
      </c>
      <c r="L7" s="34">
        <f>((D$2+D$3+D$4)*AA7)</f>
        <v>20.921952869624988</v>
      </c>
      <c r="M7" s="34">
        <f t="shared" si="4"/>
        <v>12.636859533253492</v>
      </c>
      <c r="N7" s="34">
        <f t="shared" si="4"/>
        <v>81.245423197401081</v>
      </c>
      <c r="O7" s="34">
        <f t="shared" si="5"/>
        <v>0.70766413386219562</v>
      </c>
      <c r="Q7" s="53"/>
      <c r="R7" s="54"/>
      <c r="S7" s="55"/>
      <c r="T7" s="54"/>
      <c r="U7" s="54"/>
      <c r="V7" s="38">
        <v>4.7699999999999996</v>
      </c>
      <c r="W7" s="36">
        <f t="shared" si="6"/>
        <v>0.34397999999999995</v>
      </c>
      <c r="X7" s="37">
        <v>4.1861743251529339E-2</v>
      </c>
      <c r="Y7" s="37">
        <v>0.60399999999999998</v>
      </c>
      <c r="Z7" s="56">
        <v>6.4292416152610024</v>
      </c>
      <c r="AA7" s="36">
        <f t="shared" si="7"/>
        <v>3.6272456431388669E-2</v>
      </c>
      <c r="AB7" s="36">
        <f t="shared" si="8"/>
        <v>5.4963777630514042E-2</v>
      </c>
      <c r="AD7" s="42"/>
      <c r="AE7" s="37">
        <v>0.35099999999999998</v>
      </c>
      <c r="AF7" s="37">
        <v>3.6999999999999998E-2</v>
      </c>
      <c r="AG7" s="37">
        <v>5.6000000000000001E-2</v>
      </c>
      <c r="AH7" s="43">
        <f t="shared" si="2"/>
        <v>0.35099999999999998</v>
      </c>
      <c r="AI7" s="43">
        <f t="shared" ref="AI7:AI25" si="9">AF7/(SUM(AF$6:AF$25))</f>
        <v>3.7012710644274152E-2</v>
      </c>
    </row>
    <row r="8" spans="1:39" x14ac:dyDescent="0.25">
      <c r="A8" s="32" t="s">
        <v>540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8.8827199999999991</v>
      </c>
      <c r="J8" s="34">
        <f t="shared" ref="J8:J11" si="10">I8*V8</f>
        <v>37.751559999999998</v>
      </c>
      <c r="K8" s="34">
        <f t="shared" ref="K8:K11" si="11">I8*X8</f>
        <v>0.33310199999999995</v>
      </c>
      <c r="L8" s="34">
        <f t="shared" ref="L8:L11" si="12">((D$2+D$3+D$4)*AA8)</f>
        <v>2.7449426488618451</v>
      </c>
      <c r="M8" s="34">
        <f t="shared" si="4"/>
        <v>1.9489092806919099</v>
      </c>
      <c r="N8" s="34">
        <f t="shared" si="4"/>
        <v>13.252583108704988</v>
      </c>
      <c r="O8" s="34">
        <f t="shared" si="5"/>
        <v>5.8467278420757295E-2</v>
      </c>
      <c r="Q8" s="53"/>
      <c r="R8" s="54"/>
      <c r="S8" s="55"/>
      <c r="T8" s="54"/>
      <c r="U8" s="54"/>
      <c r="V8" s="38">
        <v>4.25</v>
      </c>
      <c r="W8" s="36">
        <f t="shared" si="6"/>
        <v>1.9599999999999999E-2</v>
      </c>
      <c r="X8" s="37">
        <v>3.7499999999999999E-2</v>
      </c>
      <c r="Y8" s="37">
        <v>0.71</v>
      </c>
      <c r="Z8" s="56">
        <v>6.8</v>
      </c>
      <c r="AA8" s="36">
        <f t="shared" si="7"/>
        <v>4.7589158267369019E-3</v>
      </c>
      <c r="AB8" s="36">
        <f t="shared" si="8"/>
        <v>2.9444880873489662E-2</v>
      </c>
      <c r="AD8" s="42"/>
      <c r="AE8" s="37">
        <v>0.02</v>
      </c>
      <c r="AF8" s="37">
        <v>4.8543689320388345E-3</v>
      </c>
      <c r="AG8" s="37">
        <v>0.03</v>
      </c>
      <c r="AH8" s="43">
        <f t="shared" si="2"/>
        <v>0.02</v>
      </c>
      <c r="AI8" s="43">
        <f t="shared" si="9"/>
        <v>4.8560365578947983E-3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10"/>
        <v>0</v>
      </c>
      <c r="K9" s="34">
        <f t="shared" si="11"/>
        <v>0</v>
      </c>
      <c r="L9" s="34">
        <f t="shared" si="12"/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11.103399999999999</v>
      </c>
      <c r="J13" s="34">
        <f t="shared" ref="J13:J20" si="14">I13*V13</f>
        <v>80.681953432518583</v>
      </c>
      <c r="K13" s="34">
        <f t="shared" ref="K13:K20" si="15">I13*X13</f>
        <v>0.80502599893730076</v>
      </c>
      <c r="L13" s="34">
        <f t="shared" ref="L13:L20" si="16">((D$2+D$3+D$4)*AA13)</f>
        <v>173.0302048136553</v>
      </c>
      <c r="M13" s="34">
        <f t="shared" ref="M13:N20" si="17">L13*Y13</f>
        <v>122.85144541769526</v>
      </c>
      <c r="N13" s="34">
        <f t="shared" si="17"/>
        <v>1600.7543337925692</v>
      </c>
      <c r="O13" s="34">
        <f t="shared" ref="O13:O20" si="18">M13*AG13</f>
        <v>9.0910069609094482</v>
      </c>
      <c r="Q13" s="53"/>
      <c r="R13" s="54"/>
      <c r="S13" s="55"/>
      <c r="T13" s="54"/>
      <c r="U13" s="54"/>
      <c r="V13" s="38">
        <v>7.2664187035069068</v>
      </c>
      <c r="W13" s="36">
        <f t="shared" ref="W13:W20" si="19">(AE13/SUM(AE$2:AE$20))*0.98</f>
        <v>2.4500000000000001E-2</v>
      </c>
      <c r="X13" s="37">
        <v>7.2502656748140284E-2</v>
      </c>
      <c r="Y13" s="37">
        <v>0.71</v>
      </c>
      <c r="Z13" s="56">
        <v>13.03</v>
      </c>
      <c r="AA13" s="36">
        <f t="shared" ref="AA13:AB20" si="20">(AF13/SUM(AF$6:AF$25))*0.98</f>
        <v>0.29998301805418737</v>
      </c>
      <c r="AB13" s="36">
        <f t="shared" si="20"/>
        <v>7.263070615460783E-2</v>
      </c>
      <c r="AD13" s="42"/>
      <c r="AE13" s="37">
        <v>2.5000000000000001E-2</v>
      </c>
      <c r="AF13" s="37">
        <v>0.30599999999999999</v>
      </c>
      <c r="AG13" s="37">
        <v>7.3999999999999996E-2</v>
      </c>
      <c r="AH13" s="43">
        <f t="shared" si="2"/>
        <v>2.5000000000000001E-2</v>
      </c>
      <c r="AI13" s="43">
        <f t="shared" si="9"/>
        <v>0.3061051204634565</v>
      </c>
    </row>
    <row r="14" spans="1:39" x14ac:dyDescent="0.25">
      <c r="A14" s="32" t="s">
        <v>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126.66263358908101</v>
      </c>
      <c r="M14" s="34">
        <f t="shared" si="17"/>
        <v>68.651147405281918</v>
      </c>
      <c r="N14" s="34">
        <f t="shared" si="17"/>
        <v>908.2137547965624</v>
      </c>
      <c r="O14" s="34">
        <f t="shared" si="18"/>
        <v>10.778230142629262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0.54200000000000004</v>
      </c>
      <c r="Z14" s="56">
        <v>13.229403864656831</v>
      </c>
      <c r="AA14" s="36">
        <f t="shared" si="20"/>
        <v>0.21959541190894763</v>
      </c>
      <c r="AB14" s="36">
        <f t="shared" si="20"/>
        <v>0.15409487657126256</v>
      </c>
      <c r="AD14" s="42"/>
      <c r="AE14" s="37">
        <v>0</v>
      </c>
      <c r="AF14" s="37">
        <v>0.224</v>
      </c>
      <c r="AG14" s="37">
        <v>0.157</v>
      </c>
      <c r="AH14" s="43">
        <f t="shared" si="2"/>
        <v>0</v>
      </c>
      <c r="AI14" s="43">
        <f t="shared" si="9"/>
        <v>0.22407695092749758</v>
      </c>
    </row>
    <row r="15" spans="1:39" x14ac:dyDescent="0.25">
      <c r="A15" s="32" t="s">
        <v>541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29.403825654608088</v>
      </c>
      <c r="M15" s="34">
        <f t="shared" si="17"/>
        <v>19.847582316860461</v>
      </c>
      <c r="N15" s="34">
        <f t="shared" si="17"/>
        <v>214.10706797559692</v>
      </c>
      <c r="O15" s="34">
        <f t="shared" si="18"/>
        <v>1.3893307621802324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0.67500000000000004</v>
      </c>
      <c r="Z15" s="56">
        <v>10.787564175698801</v>
      </c>
      <c r="AA15" s="36">
        <f t="shared" si="20"/>
        <v>5.0977506336005694E-2</v>
      </c>
      <c r="AB15" s="36">
        <f t="shared" si="20"/>
        <v>6.8704722038142554E-2</v>
      </c>
      <c r="AD15" s="42"/>
      <c r="AE15" s="37">
        <v>0</v>
      </c>
      <c r="AF15" s="37">
        <v>5.1999999999999998E-2</v>
      </c>
      <c r="AG15" s="37">
        <v>7.0000000000000007E-2</v>
      </c>
      <c r="AH15" s="43">
        <f t="shared" si="2"/>
        <v>0</v>
      </c>
      <c r="AI15" s="43">
        <f t="shared" si="9"/>
        <v>5.2017863608169075E-2</v>
      </c>
    </row>
    <row r="16" spans="1:39" x14ac:dyDescent="0.25">
      <c r="A16" s="32" t="s">
        <v>449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15.267371012969585</v>
      </c>
      <c r="M16" s="34">
        <f t="shared" si="17"/>
        <v>10.732961822117618</v>
      </c>
      <c r="N16" s="34">
        <f t="shared" si="17"/>
        <v>111.12923962094875</v>
      </c>
      <c r="O16" s="34">
        <f t="shared" si="18"/>
        <v>0.66544363297129228</v>
      </c>
      <c r="Q16" s="53"/>
      <c r="R16" s="54"/>
      <c r="S16" s="55"/>
      <c r="T16" s="54"/>
      <c r="U16" s="54"/>
      <c r="V16" s="38">
        <v>5.0000000000000009</v>
      </c>
      <c r="W16" s="36">
        <f t="shared" si="19"/>
        <v>0</v>
      </c>
      <c r="X16" s="37">
        <v>2.5000000000000001E-2</v>
      </c>
      <c r="Y16" s="37">
        <v>0.70299999999999996</v>
      </c>
      <c r="Z16" s="56">
        <v>10.354014247208317</v>
      </c>
      <c r="AA16" s="36">
        <f t="shared" si="20"/>
        <v>2.646908982831065E-2</v>
      </c>
      <c r="AB16" s="36">
        <f t="shared" si="20"/>
        <v>6.0852753805211976E-2</v>
      </c>
      <c r="AD16" s="42"/>
      <c r="AE16" s="37">
        <v>0</v>
      </c>
      <c r="AF16" s="37">
        <v>2.7E-2</v>
      </c>
      <c r="AG16" s="37">
        <v>6.2E-2</v>
      </c>
      <c r="AH16" s="43">
        <f t="shared" si="2"/>
        <v>0</v>
      </c>
      <c r="AI16" s="43">
        <f t="shared" si="9"/>
        <v>2.7009275335010869E-2</v>
      </c>
    </row>
    <row r="17" spans="1:35" x14ac:dyDescent="0.25">
      <c r="A17" s="32" t="s">
        <v>639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10.974696764303459</v>
      </c>
      <c r="M17" s="34">
        <f t="shared" si="17"/>
        <v>7.144527593561552</v>
      </c>
      <c r="N17" s="34">
        <f t="shared" si="17"/>
        <v>101.66662765638088</v>
      </c>
      <c r="O17" s="34">
        <f t="shared" si="18"/>
        <v>0.48582787636218555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0.65100000000000002</v>
      </c>
      <c r="Z17" s="56">
        <v>14.23</v>
      </c>
      <c r="AA17" s="36">
        <f t="shared" si="20"/>
        <v>1.9026866789707799E-2</v>
      </c>
      <c r="AB17" s="36">
        <f t="shared" si="20"/>
        <v>6.6741729979909917E-2</v>
      </c>
      <c r="AD17" s="42"/>
      <c r="AE17" s="37">
        <v>0</v>
      </c>
      <c r="AF17" s="37">
        <v>1.9408502772643253E-2</v>
      </c>
      <c r="AG17" s="37">
        <v>6.8000000000000005E-2</v>
      </c>
      <c r="AH17" s="43">
        <f t="shared" si="2"/>
        <v>0</v>
      </c>
      <c r="AI17" s="43">
        <f t="shared" si="9"/>
        <v>1.9415170193579388E-2</v>
      </c>
    </row>
    <row r="18" spans="1:35" x14ac:dyDescent="0.25">
      <c r="A18" s="32" t="s">
        <v>689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4.1808368625917947</v>
      </c>
      <c r="M18" s="34">
        <f t="shared" si="17"/>
        <v>2.8346073928372371</v>
      </c>
      <c r="N18" s="34">
        <f t="shared" si="17"/>
        <v>38.834121281870146</v>
      </c>
      <c r="O18" s="34">
        <f t="shared" si="18"/>
        <v>0.1852200335100129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0.67800000000000005</v>
      </c>
      <c r="Z18" s="56">
        <v>13.7</v>
      </c>
      <c r="AA18" s="36">
        <f t="shared" si="20"/>
        <v>7.2483302056029712E-3</v>
      </c>
      <c r="AB18" s="36">
        <f t="shared" si="20"/>
        <v>6.4133300386586656E-2</v>
      </c>
      <c r="AD18" s="42"/>
      <c r="AE18" s="37">
        <v>0</v>
      </c>
      <c r="AF18" s="37">
        <v>7.3937153419593345E-3</v>
      </c>
      <c r="AG18" s="37">
        <v>6.5342394145321489E-2</v>
      </c>
      <c r="AH18" s="43">
        <f t="shared" si="2"/>
        <v>0</v>
      </c>
      <c r="AI18" s="43">
        <f t="shared" si="9"/>
        <v>7.3962553118397667E-3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542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62.200400423209423</v>
      </c>
      <c r="M22" s="34">
        <f t="shared" ref="M22:N25" si="21">L22*Y22</f>
        <v>41.736468683973527</v>
      </c>
      <c r="N22" s="34">
        <f t="shared" si="21"/>
        <v>505.84600044975912</v>
      </c>
      <c r="O22" s="34">
        <f>M22*AG22</f>
        <v>4.6744844926050355</v>
      </c>
      <c r="Q22" s="53"/>
      <c r="R22" s="54"/>
      <c r="S22" s="55"/>
      <c r="T22" s="54"/>
      <c r="U22" s="54"/>
      <c r="V22" s="59"/>
      <c r="W22" s="60"/>
      <c r="X22" s="54"/>
      <c r="Y22" s="37">
        <v>0.67100000000000004</v>
      </c>
      <c r="Z22" s="56">
        <v>12.12</v>
      </c>
      <c r="AA22" s="36">
        <f t="shared" ref="AA22:AB25" si="22">(AF22/SUM(AF$6:AF$25))*0.98</f>
        <v>0.10783703263385822</v>
      </c>
      <c r="AB22" s="36">
        <f t="shared" si="22"/>
        <v>0.10992755526102808</v>
      </c>
      <c r="AD22" s="42"/>
      <c r="AE22" s="42"/>
      <c r="AF22" s="37">
        <v>0.11</v>
      </c>
      <c r="AG22" s="37">
        <v>0.112</v>
      </c>
      <c r="AH22" s="43"/>
      <c r="AI22" s="43">
        <f t="shared" si="9"/>
        <v>0.11003778840189614</v>
      </c>
    </row>
    <row r="23" spans="1:35" x14ac:dyDescent="0.25">
      <c r="A23" s="32" t="s">
        <v>128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40.147531182253346</v>
      </c>
      <c r="M23" s="34">
        <f t="shared" si="21"/>
        <v>29.267550231862689</v>
      </c>
      <c r="N23" s="34">
        <f t="shared" si="21"/>
        <v>277.20682944280912</v>
      </c>
      <c r="O23" s="34">
        <f>M23*AG23</f>
        <v>3.1236112677785943</v>
      </c>
      <c r="Q23" s="53"/>
      <c r="R23" s="54"/>
      <c r="S23" s="55"/>
      <c r="T23" s="54"/>
      <c r="U23" s="54"/>
      <c r="V23" s="59"/>
      <c r="W23" s="60"/>
      <c r="X23" s="54"/>
      <c r="Y23" s="37">
        <v>0.72899999999999998</v>
      </c>
      <c r="Z23" s="56">
        <v>9.4714736029058724</v>
      </c>
      <c r="AA23" s="36">
        <f t="shared" si="22"/>
        <v>6.9603902881853918E-2</v>
      </c>
      <c r="AB23" s="36">
        <f t="shared" si="22"/>
        <v>0.10475123580688468</v>
      </c>
      <c r="AD23" s="42"/>
      <c r="AE23" s="42"/>
      <c r="AF23" s="37">
        <v>7.0999999999999994E-2</v>
      </c>
      <c r="AG23" s="37">
        <v>0.10672609231154626</v>
      </c>
      <c r="AH23" s="43"/>
      <c r="AI23" s="43">
        <f t="shared" si="9"/>
        <v>7.102439069576931E-2</v>
      </c>
    </row>
    <row r="24" spans="1:35" x14ac:dyDescent="0.25">
      <c r="A24" s="32" t="s">
        <v>710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26.576534726280389</v>
      </c>
      <c r="M24" s="34">
        <f t="shared" si="21"/>
        <v>18.576997773669991</v>
      </c>
      <c r="N24" s="34">
        <f t="shared" si="21"/>
        <v>194.5696082610699</v>
      </c>
      <c r="O24" s="34">
        <f>M24*AG24</f>
        <v>1.1732840699159994</v>
      </c>
      <c r="Q24" s="53"/>
      <c r="R24" s="54"/>
      <c r="S24" s="55"/>
      <c r="T24" s="54"/>
      <c r="U24" s="54"/>
      <c r="V24" s="59"/>
      <c r="W24" s="60"/>
      <c r="X24" s="54"/>
      <c r="Y24" s="37">
        <v>0.69899999999999995</v>
      </c>
      <c r="Z24" s="56">
        <v>10.473684210526315</v>
      </c>
      <c r="AA24" s="36">
        <f t="shared" si="22"/>
        <v>4.6075823034466688E-2</v>
      </c>
      <c r="AB24" s="36">
        <f t="shared" si="22"/>
        <v>6.1989222891557193E-2</v>
      </c>
      <c r="AD24" s="42"/>
      <c r="AE24" s="42"/>
      <c r="AF24" s="37">
        <v>4.7E-2</v>
      </c>
      <c r="AG24" s="37">
        <v>6.3157894736842107E-2</v>
      </c>
      <c r="AH24" s="43"/>
      <c r="AI24" s="43">
        <f t="shared" si="9"/>
        <v>4.7016145953537439E-2</v>
      </c>
    </row>
    <row r="25" spans="1:35" x14ac:dyDescent="0.25">
      <c r="A25" s="32" t="s">
        <v>30</v>
      </c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13.570996455972965</v>
      </c>
      <c r="M25" s="34">
        <f t="shared" si="21"/>
        <v>9.4996975191810744</v>
      </c>
      <c r="N25" s="34">
        <f t="shared" si="21"/>
        <v>103.35884452200666</v>
      </c>
      <c r="O25" s="34">
        <f>M25*AG25</f>
        <v>0.66734791142824534</v>
      </c>
      <c r="Q25" s="53"/>
      <c r="R25" s="54"/>
      <c r="S25" s="55"/>
      <c r="T25" s="54"/>
      <c r="U25" s="54"/>
      <c r="V25" s="59"/>
      <c r="W25" s="60"/>
      <c r="X25" s="54"/>
      <c r="Y25" s="37">
        <v>0.7</v>
      </c>
      <c r="Z25" s="56">
        <v>10.880224798033018</v>
      </c>
      <c r="AA25" s="36">
        <f t="shared" si="22"/>
        <v>2.3528079847387248E-2</v>
      </c>
      <c r="AB25" s="36">
        <f t="shared" si="22"/>
        <v>6.8949492737360174E-2</v>
      </c>
      <c r="AD25" s="42"/>
      <c r="AE25" s="42"/>
      <c r="AF25" s="37">
        <v>2.4E-2</v>
      </c>
      <c r="AG25" s="37">
        <v>7.0249385317878457E-2</v>
      </c>
      <c r="AH25" s="43"/>
      <c r="AI25" s="43">
        <f t="shared" si="9"/>
        <v>2.4008244742231885E-2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0.99965658704664151</v>
      </c>
    </row>
    <row r="29" spans="1:35" s="69" customFormat="1" x14ac:dyDescent="0.25">
      <c r="A29" s="62"/>
      <c r="B29" s="63"/>
      <c r="C29" s="63"/>
      <c r="D29" s="74">
        <v>1030</v>
      </c>
      <c r="E29" s="75">
        <v>0.56000000000000005</v>
      </c>
      <c r="F29" s="76">
        <f>1-E29</f>
        <v>0.43999999999999995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576.80000000000007</v>
      </c>
      <c r="E32" s="80">
        <f>SUM(E2:E4)</f>
        <v>375.21993600000002</v>
      </c>
      <c r="F32" s="80">
        <f>SUM(F2:F4)</f>
        <v>4360.6968118811337</v>
      </c>
      <c r="G32" s="80">
        <f>SUM(G2:G4)</f>
        <v>34.815457656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453.19999999999993</v>
      </c>
      <c r="E35" s="80">
        <f>D35*G29</f>
        <v>2016.7399999999998</v>
      </c>
      <c r="F35" s="80">
        <v>19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444.13599999999997</v>
      </c>
      <c r="E38" s="91">
        <f>SUM(J2:J4,J6:J11,J13:J20)</f>
        <v>2013.1421169125181</v>
      </c>
      <c r="F38" s="91">
        <f>SUM(K2:K4,K6:K11,K13:K20)</f>
        <v>18.994011209071157</v>
      </c>
      <c r="G38" s="91">
        <f>SUM(L6:L11,L13:L20,L22:L25)</f>
        <v>565.26400000000001</v>
      </c>
      <c r="H38" s="91">
        <f>SUM(M6:M11,M13:M20,M22:M25)</f>
        <v>374.02993716354706</v>
      </c>
      <c r="I38" s="91">
        <f>SUM(N6:N11,N13:N20,N22:N25)</f>
        <v>4359.8961941525513</v>
      </c>
      <c r="J38" s="91">
        <f>SUM(O6:O11,O13:O20,O22:O25)</f>
        <v>34.811194222897122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9.0639999999999645</v>
      </c>
      <c r="E39" s="92">
        <f>E35-E38</f>
        <v>3.5978830874817049</v>
      </c>
      <c r="F39" s="92">
        <f>F35-F38</f>
        <v>5.9887909288427466E-3</v>
      </c>
      <c r="G39" s="92">
        <f>SUM(D2:D4)-G38</f>
        <v>11.536000000000058</v>
      </c>
      <c r="H39" s="92">
        <f>E32-H38</f>
        <v>1.1899988364529577</v>
      </c>
      <c r="I39" s="92">
        <f>F32-I38</f>
        <v>0.80061772858243785</v>
      </c>
      <c r="J39" s="92">
        <f>G32-J38</f>
        <v>4.2634331028779116E-3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7" priority="1" operator="lessThan">
      <formula>0</formula>
    </cfRule>
  </conditionalFormatting>
  <conditionalFormatting sqref="W28 AA28:AF28">
    <cfRule type="cellIs" dxfId="2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FACA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70</v>
      </c>
    </row>
    <row r="2" spans="1:39" x14ac:dyDescent="0.25">
      <c r="A2" s="32" t="s">
        <v>501</v>
      </c>
      <c r="B2" s="33" t="s">
        <v>7</v>
      </c>
      <c r="C2" s="33">
        <f>VLOOKUP($AM$1,DST!C:D,2,FALSE)</f>
        <v>6</v>
      </c>
      <c r="D2" s="34">
        <f>D$32*Q2</f>
        <v>487.42209000000003</v>
      </c>
      <c r="E2" s="34">
        <f>D2*R2</f>
        <v>321.86930607687435</v>
      </c>
      <c r="F2" s="34">
        <f>E2*S2</f>
        <v>3469.7511195087054</v>
      </c>
      <c r="G2" s="34">
        <f>E2*T2</f>
        <v>18.024681140304963</v>
      </c>
      <c r="H2" s="34">
        <f>D2*U2</f>
        <v>10.257034655343029</v>
      </c>
      <c r="I2" s="34">
        <f>D$35*W2</f>
        <v>109.2995619288657</v>
      </c>
      <c r="J2" s="34">
        <f>I2*V2</f>
        <v>598.9615993701841</v>
      </c>
      <c r="K2" s="34">
        <f>I2*X2</f>
        <v>4.6998811629412245</v>
      </c>
      <c r="L2" s="35"/>
      <c r="M2" s="35"/>
      <c r="N2" s="35"/>
      <c r="O2" s="35"/>
      <c r="Q2" s="36">
        <f>(AD2/SUM(AD$2:AD$25))</f>
        <v>0.97</v>
      </c>
      <c r="R2" s="37">
        <v>0.66035026454561041</v>
      </c>
      <c r="S2" s="38">
        <v>10.78</v>
      </c>
      <c r="T2" s="37">
        <v>5.6000000000000001E-2</v>
      </c>
      <c r="U2" s="37">
        <v>2.1043434152405831E-2</v>
      </c>
      <c r="V2" s="38">
        <v>5.48</v>
      </c>
      <c r="W2" s="36">
        <f>(AE2/SUM(AE$2:AE$20))*0.98</f>
        <v>0.22013877444620819</v>
      </c>
      <c r="X2" s="37">
        <v>4.2999999999999997E-2</v>
      </c>
      <c r="Y2" s="39"/>
      <c r="Z2" s="40"/>
      <c r="AA2" s="41"/>
      <c r="AB2" s="41"/>
      <c r="AD2" s="37">
        <v>0.97</v>
      </c>
      <c r="AE2" s="37">
        <v>0.22453701466781709</v>
      </c>
      <c r="AF2" s="42"/>
      <c r="AG2" s="42"/>
      <c r="AH2" s="43">
        <f>AE2/(SUM(AE$2:AE$25))</f>
        <v>0.22463140249613081</v>
      </c>
    </row>
    <row r="3" spans="1:39" x14ac:dyDescent="0.25">
      <c r="A3" s="32" t="s">
        <v>567</v>
      </c>
      <c r="B3" s="33" t="s">
        <v>7</v>
      </c>
      <c r="C3" s="33">
        <f>VLOOKUP($AM$1,DST!C:D,2,FALSE)</f>
        <v>6</v>
      </c>
      <c r="D3" s="34">
        <f>D$32*Q3</f>
        <v>15.074910000000013</v>
      </c>
      <c r="E3" s="34">
        <f t="shared" ref="E3:F4" si="0">D3*R3</f>
        <v>8.6753177213731139</v>
      </c>
      <c r="F3" s="34">
        <f t="shared" si="0"/>
        <v>85.104866846670248</v>
      </c>
      <c r="G3" s="34">
        <f t="shared" ref="G3:G4" si="1">E3*T3</f>
        <v>0.40773993290453636</v>
      </c>
      <c r="H3" s="34">
        <f>D3*U3</f>
        <v>0.2853933774923359</v>
      </c>
      <c r="I3" s="34">
        <f>D$35*W3</f>
        <v>1.2599934743934682</v>
      </c>
      <c r="J3" s="34">
        <f>I3*V3</f>
        <v>4.1327785960105752</v>
      </c>
      <c r="K3" s="34">
        <f>I3*X3</f>
        <v>5.0399738975738732E-2</v>
      </c>
      <c r="L3" s="35"/>
      <c r="M3" s="35"/>
      <c r="N3" s="35"/>
      <c r="O3" s="35"/>
      <c r="Q3" s="36">
        <f>(AD3/SUM(AD$2:AD$25))</f>
        <v>3.0000000000000027E-2</v>
      </c>
      <c r="R3" s="37">
        <v>0.57548056481750842</v>
      </c>
      <c r="S3" s="38">
        <v>9.81</v>
      </c>
      <c r="T3" s="37">
        <v>4.7E-2</v>
      </c>
      <c r="U3" s="37">
        <v>1.8931680354465508E-2</v>
      </c>
      <c r="V3" s="38">
        <v>3.28</v>
      </c>
      <c r="W3" s="36">
        <f>(AE3/SUM(AE$2:AE$20))*0.98</f>
        <v>2.5377358734860983E-3</v>
      </c>
      <c r="X3" s="37">
        <v>0.04</v>
      </c>
      <c r="Y3" s="39"/>
      <c r="Z3" s="40"/>
      <c r="AA3" s="41"/>
      <c r="AB3" s="41"/>
      <c r="AD3" s="37">
        <v>3.0000000000000027E-2</v>
      </c>
      <c r="AE3" s="37">
        <v>2.5884383088869718E-3</v>
      </c>
      <c r="AF3" s="42"/>
      <c r="AG3" s="42"/>
      <c r="AH3" s="43">
        <f t="shared" ref="AH3:AH20" si="2">AE3/(SUM(AE$2:AE$25))</f>
        <v>2.5895264015164269E-3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404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251.27361063396268</v>
      </c>
      <c r="J6" s="34">
        <f t="shared" ref="J6:J11" si="4">I6*V6</f>
        <v>1193.5496505113226</v>
      </c>
      <c r="K6" s="34">
        <f t="shared" ref="K6:K11" si="5">I6*X6</f>
        <v>6.0305666552151047</v>
      </c>
      <c r="L6" s="34">
        <f t="shared" ref="L6:L11" si="6">((D$2+D$3+D$4)*AA6)</f>
        <v>78.79152959999999</v>
      </c>
      <c r="M6" s="34">
        <f t="shared" ref="M6:N11" si="7">L6*Y6</f>
        <v>61.772559206399997</v>
      </c>
      <c r="N6" s="34">
        <f t="shared" si="7"/>
        <v>451.55740779878397</v>
      </c>
      <c r="O6" s="34">
        <f t="shared" ref="O6:O11" si="8">M6*AG6</f>
        <v>2.9650828419071997</v>
      </c>
      <c r="Q6" s="53"/>
      <c r="R6" s="54"/>
      <c r="S6" s="55"/>
      <c r="T6" s="54"/>
      <c r="U6" s="54"/>
      <c r="V6" s="38">
        <v>4.75</v>
      </c>
      <c r="W6" s="36">
        <f t="shared" ref="W6:W11" si="9">(AE6/SUM(AE$2:AE$20))*0.98</f>
        <v>0.50608679229322417</v>
      </c>
      <c r="X6" s="37">
        <v>2.4E-2</v>
      </c>
      <c r="Y6" s="37">
        <v>0.78400000000000003</v>
      </c>
      <c r="Z6" s="56">
        <v>7.31</v>
      </c>
      <c r="AA6" s="36">
        <f t="shared" ref="AA6:AA11" si="10">(AF6/SUM(AF$6:AF$25))*0.98</f>
        <v>0.15679999999999997</v>
      </c>
      <c r="AB6" s="36">
        <f t="shared" ref="AB6:AB11" si="11">(AG6/SUM(AG$6:AG$25))*0.98</f>
        <v>7.5881366318492974E-2</v>
      </c>
      <c r="AD6" s="42"/>
      <c r="AE6" s="37">
        <v>0.51619810181190684</v>
      </c>
      <c r="AF6" s="37">
        <v>0.16</v>
      </c>
      <c r="AG6" s="37">
        <v>4.8000000000000001E-2</v>
      </c>
      <c r="AH6" s="43">
        <f t="shared" si="2"/>
        <v>0.51641509417675935</v>
      </c>
      <c r="AI6" s="43">
        <f>AF6/(SUM(AF$6:AF$25))</f>
        <v>0.15999999999999998</v>
      </c>
    </row>
    <row r="7" spans="1:39" x14ac:dyDescent="0.25">
      <c r="A7" s="32" t="s">
        <v>566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82.265393940974334</v>
      </c>
      <c r="J7" s="34">
        <f t="shared" si="4"/>
        <v>322.48034424861936</v>
      </c>
      <c r="K7" s="34">
        <f t="shared" si="5"/>
        <v>1.8098386667014352</v>
      </c>
      <c r="L7" s="34">
        <f t="shared" si="6"/>
        <v>4.9244705999999994</v>
      </c>
      <c r="M7" s="34">
        <f t="shared" si="7"/>
        <v>3.6933529499999995</v>
      </c>
      <c r="N7" s="34">
        <f t="shared" si="7"/>
        <v>23.637458879999997</v>
      </c>
      <c r="O7" s="34">
        <f t="shared" si="8"/>
        <v>0.12795832822847683</v>
      </c>
      <c r="Q7" s="53"/>
      <c r="R7" s="54"/>
      <c r="S7" s="55"/>
      <c r="T7" s="54"/>
      <c r="U7" s="54"/>
      <c r="V7" s="38">
        <v>3.92</v>
      </c>
      <c r="W7" s="36">
        <f t="shared" si="9"/>
        <v>0.16568962109186519</v>
      </c>
      <c r="X7" s="37">
        <v>2.1999999999999999E-2</v>
      </c>
      <c r="Y7" s="37">
        <v>0.75</v>
      </c>
      <c r="Z7" s="56">
        <v>6.4</v>
      </c>
      <c r="AA7" s="36">
        <f t="shared" si="10"/>
        <v>9.7999999999999979E-3</v>
      </c>
      <c r="AB7" s="36">
        <f t="shared" si="11"/>
        <v>5.4769862401311896E-2</v>
      </c>
      <c r="AD7" s="42"/>
      <c r="AE7" s="37">
        <v>0.16900000000000001</v>
      </c>
      <c r="AF7" s="37">
        <v>0.01</v>
      </c>
      <c r="AG7" s="37">
        <v>3.4645572725042928E-2</v>
      </c>
      <c r="AH7" s="43">
        <f t="shared" si="2"/>
        <v>0.16907104193047467</v>
      </c>
      <c r="AI7" s="43">
        <f t="shared" ref="AI7:AI25" si="12">AF7/(SUM(AF$6:AF$25))</f>
        <v>9.9999999999999985E-3</v>
      </c>
    </row>
    <row r="8" spans="1:39" x14ac:dyDescent="0.25">
      <c r="A8" s="32" t="s">
        <v>450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34.074423525847358</v>
      </c>
      <c r="J8" s="34">
        <f t="shared" si="4"/>
        <v>137.66067104442334</v>
      </c>
      <c r="K8" s="34">
        <f t="shared" si="5"/>
        <v>0.68148847051694716</v>
      </c>
      <c r="L8" s="34">
        <f t="shared" si="6"/>
        <v>10.341388259999999</v>
      </c>
      <c r="M8" s="34">
        <f t="shared" si="7"/>
        <v>7.3236726763199984</v>
      </c>
      <c r="N8" s="34">
        <f t="shared" si="7"/>
        <v>56.530624401719976</v>
      </c>
      <c r="O8" s="34">
        <f t="shared" si="8"/>
        <v>0.21971018028959993</v>
      </c>
      <c r="Q8" s="53"/>
      <c r="R8" s="54"/>
      <c r="S8" s="55"/>
      <c r="T8" s="54"/>
      <c r="U8" s="54"/>
      <c r="V8" s="38">
        <v>4.04</v>
      </c>
      <c r="W8" s="36">
        <f t="shared" si="9"/>
        <v>6.8628837138642387E-2</v>
      </c>
      <c r="X8" s="37">
        <v>0.02</v>
      </c>
      <c r="Y8" s="37">
        <v>0.70819047619047615</v>
      </c>
      <c r="Z8" s="56">
        <v>7.7188900842746984</v>
      </c>
      <c r="AA8" s="36">
        <f t="shared" si="10"/>
        <v>2.0579999999999998E-2</v>
      </c>
      <c r="AB8" s="36">
        <f t="shared" si="11"/>
        <v>4.74258539490581E-2</v>
      </c>
      <c r="AD8" s="42"/>
      <c r="AE8" s="37">
        <v>7.0000000000000007E-2</v>
      </c>
      <c r="AF8" s="37">
        <v>2.1000000000000001E-2</v>
      </c>
      <c r="AG8" s="37">
        <v>0.03</v>
      </c>
      <c r="AH8" s="43">
        <f t="shared" si="2"/>
        <v>7.00294256516759E-2</v>
      </c>
      <c r="AI8" s="43">
        <f t="shared" si="12"/>
        <v>2.0999999999999998E-2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691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73.37461193999998</v>
      </c>
      <c r="M13" s="34">
        <f t="shared" ref="M13:N20" si="17">L13*Y13</f>
        <v>41.530030358039987</v>
      </c>
      <c r="N13" s="34">
        <f t="shared" si="17"/>
        <v>583.08162622688133</v>
      </c>
      <c r="O13" s="34">
        <f t="shared" ref="O13:O20" si="18">M13*AG13</f>
        <v>2.7409820036306392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0.56599999999999995</v>
      </c>
      <c r="Z13" s="56">
        <v>14.04</v>
      </c>
      <c r="AA13" s="36">
        <f t="shared" ref="AA13:AB20" si="20">(AF13/SUM(AF$6:AF$25))*0.98</f>
        <v>0.14601999999999996</v>
      </c>
      <c r="AB13" s="36">
        <f t="shared" si="20"/>
        <v>0.10433687868792783</v>
      </c>
      <c r="AD13" s="42"/>
      <c r="AE13" s="37">
        <v>0</v>
      </c>
      <c r="AF13" s="37">
        <v>0.14899999999999999</v>
      </c>
      <c r="AG13" s="37">
        <v>6.6000000000000003E-2</v>
      </c>
      <c r="AH13" s="43">
        <f t="shared" si="2"/>
        <v>0</v>
      </c>
      <c r="AI13" s="43">
        <f t="shared" si="12"/>
        <v>0.14899999999999997</v>
      </c>
    </row>
    <row r="14" spans="1:39" x14ac:dyDescent="0.25">
      <c r="A14" s="32" t="s">
        <v>690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40.873105979999998</v>
      </c>
      <c r="M14" s="34">
        <f t="shared" si="17"/>
        <v>23.788147680359998</v>
      </c>
      <c r="N14" s="34">
        <f t="shared" si="17"/>
        <v>319.95058630084196</v>
      </c>
      <c r="O14" s="34">
        <f t="shared" si="18"/>
        <v>1.52244145154304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0.58199999999999996</v>
      </c>
      <c r="Z14" s="56">
        <v>13.45</v>
      </c>
      <c r="AA14" s="36">
        <f t="shared" si="20"/>
        <v>8.1339999999999996E-2</v>
      </c>
      <c r="AB14" s="36">
        <f t="shared" si="20"/>
        <v>0.10117515509132397</v>
      </c>
      <c r="AD14" s="42"/>
      <c r="AE14" s="37">
        <v>0</v>
      </c>
      <c r="AF14" s="37">
        <v>8.3000000000000004E-2</v>
      </c>
      <c r="AG14" s="37">
        <v>6.4000000000000001E-2</v>
      </c>
      <c r="AH14" s="43">
        <f t="shared" si="2"/>
        <v>0</v>
      </c>
      <c r="AI14" s="43">
        <f t="shared" si="12"/>
        <v>8.299999999999999E-2</v>
      </c>
    </row>
    <row r="15" spans="1:39" x14ac:dyDescent="0.25">
      <c r="A15" s="32" t="s">
        <v>451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8.3999564959564541</v>
      </c>
      <c r="J15" s="34">
        <f t="shared" si="14"/>
        <v>48.719747676547435</v>
      </c>
      <c r="K15" s="34">
        <f t="shared" si="15"/>
        <v>0.20159895590295487</v>
      </c>
      <c r="L15" s="34">
        <f t="shared" si="16"/>
        <v>63.525670739999988</v>
      </c>
      <c r="M15" s="34">
        <f t="shared" si="17"/>
        <v>43.197456103199997</v>
      </c>
      <c r="N15" s="34">
        <f t="shared" si="17"/>
        <v>409.94385841936798</v>
      </c>
      <c r="O15" s="34">
        <f t="shared" si="18"/>
        <v>1.9438855246439999</v>
      </c>
      <c r="Q15" s="53"/>
      <c r="R15" s="54"/>
      <c r="S15" s="55"/>
      <c r="T15" s="54"/>
      <c r="U15" s="54"/>
      <c r="V15" s="38">
        <v>5.8</v>
      </c>
      <c r="W15" s="36">
        <f t="shared" si="19"/>
        <v>1.6918239156573988E-2</v>
      </c>
      <c r="X15" s="37">
        <v>2.3999999999999997E-2</v>
      </c>
      <c r="Y15" s="37">
        <v>0.68</v>
      </c>
      <c r="Z15" s="56">
        <v>9.49</v>
      </c>
      <c r="AA15" s="36">
        <f t="shared" si="20"/>
        <v>0.12641999999999998</v>
      </c>
      <c r="AB15" s="36">
        <f t="shared" si="20"/>
        <v>7.1138780923587164E-2</v>
      </c>
      <c r="AD15" s="42"/>
      <c r="AE15" s="37">
        <v>1.7256255392579814E-2</v>
      </c>
      <c r="AF15" s="37">
        <v>0.129</v>
      </c>
      <c r="AG15" s="37">
        <v>4.4999999999999998E-2</v>
      </c>
      <c r="AH15" s="43">
        <f t="shared" si="2"/>
        <v>1.7263509343442847E-2</v>
      </c>
      <c r="AI15" s="43">
        <f t="shared" si="12"/>
        <v>0.12899999999999998</v>
      </c>
    </row>
    <row r="16" spans="1:39" x14ac:dyDescent="0.25">
      <c r="A16" s="32" t="s">
        <v>337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70.912376639999991</v>
      </c>
      <c r="M16" s="34">
        <f t="shared" si="17"/>
        <v>48.787715128319988</v>
      </c>
      <c r="N16" s="34">
        <f t="shared" si="17"/>
        <v>566.91324979107821</v>
      </c>
      <c r="O16" s="34">
        <f t="shared" si="18"/>
        <v>3.1224137682124793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0.68799999999999994</v>
      </c>
      <c r="Z16" s="56">
        <v>11.62</v>
      </c>
      <c r="AA16" s="36">
        <f t="shared" si="20"/>
        <v>0.14111999999999997</v>
      </c>
      <c r="AB16" s="36">
        <f t="shared" si="20"/>
        <v>0.10117515509132397</v>
      </c>
      <c r="AD16" s="42"/>
      <c r="AE16" s="37">
        <v>0</v>
      </c>
      <c r="AF16" s="37">
        <v>0.14399999999999999</v>
      </c>
      <c r="AG16" s="37">
        <v>6.4000000000000001E-2</v>
      </c>
      <c r="AH16" s="43">
        <f t="shared" si="2"/>
        <v>0</v>
      </c>
      <c r="AI16" s="43">
        <f t="shared" si="12"/>
        <v>0.14399999999999996</v>
      </c>
    </row>
    <row r="17" spans="1:35" x14ac:dyDescent="0.25">
      <c r="A17" s="32" t="s">
        <v>141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22.652564759999997</v>
      </c>
      <c r="M17" s="34">
        <f t="shared" si="17"/>
        <v>15.902100461519996</v>
      </c>
      <c r="N17" s="34">
        <f t="shared" si="17"/>
        <v>202.43373887514957</v>
      </c>
      <c r="O17" s="34">
        <f t="shared" si="18"/>
        <v>0.69969242030687984</v>
      </c>
      <c r="Q17" s="53"/>
      <c r="R17" s="54"/>
      <c r="S17" s="55"/>
      <c r="T17" s="54"/>
      <c r="U17" s="54"/>
      <c r="V17" s="38">
        <v>5.5</v>
      </c>
      <c r="W17" s="36">
        <f t="shared" si="19"/>
        <v>0</v>
      </c>
      <c r="X17" s="37">
        <v>7.0000000000000001E-3</v>
      </c>
      <c r="Y17" s="37">
        <v>0.70199999999999996</v>
      </c>
      <c r="Z17" s="56">
        <v>12.73</v>
      </c>
      <c r="AA17" s="36">
        <f t="shared" si="20"/>
        <v>4.5079999999999995E-2</v>
      </c>
      <c r="AB17" s="36">
        <f t="shared" si="20"/>
        <v>6.9557919125285222E-2</v>
      </c>
      <c r="AD17" s="42"/>
      <c r="AE17" s="37">
        <v>0</v>
      </c>
      <c r="AF17" s="37">
        <v>4.5999999999999999E-2</v>
      </c>
      <c r="AG17" s="37">
        <v>4.3999999999999997E-2</v>
      </c>
      <c r="AH17" s="43">
        <f t="shared" si="2"/>
        <v>0</v>
      </c>
      <c r="AI17" s="43">
        <f t="shared" si="12"/>
        <v>4.5999999999999992E-2</v>
      </c>
    </row>
    <row r="18" spans="1:35" x14ac:dyDescent="0.25">
      <c r="A18" s="32" t="s">
        <v>723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18.220541219999998</v>
      </c>
      <c r="M18" s="34">
        <f t="shared" si="17"/>
        <v>10.586134448819998</v>
      </c>
      <c r="N18" s="34">
        <f t="shared" si="17"/>
        <v>127.13947473032817</v>
      </c>
      <c r="O18" s="34">
        <f t="shared" si="18"/>
        <v>0.52930672244099986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0.58099999999999996</v>
      </c>
      <c r="Z18" s="56">
        <v>12.01</v>
      </c>
      <c r="AA18" s="36">
        <f t="shared" si="20"/>
        <v>3.6259999999999994E-2</v>
      </c>
      <c r="AB18" s="36">
        <f t="shared" si="20"/>
        <v>7.9043089915096842E-2</v>
      </c>
      <c r="AD18" s="42"/>
      <c r="AE18" s="37">
        <v>0</v>
      </c>
      <c r="AF18" s="37">
        <v>3.6999999999999998E-2</v>
      </c>
      <c r="AG18" s="37">
        <v>0.05</v>
      </c>
      <c r="AH18" s="43">
        <f t="shared" si="2"/>
        <v>0</v>
      </c>
      <c r="AI18" s="43">
        <f t="shared" si="12"/>
        <v>3.6999999999999991E-2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610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79.776423719999997</v>
      </c>
      <c r="M22" s="34">
        <f t="shared" ref="M22:N25" si="21">L22*Y22</f>
        <v>54.487297400759999</v>
      </c>
      <c r="N22" s="34">
        <f t="shared" si="21"/>
        <v>624.96930118671719</v>
      </c>
      <c r="O22" s="34">
        <f>M22*AG22</f>
        <v>3.4871870336486399</v>
      </c>
      <c r="Q22" s="53"/>
      <c r="R22" s="54"/>
      <c r="S22" s="55"/>
      <c r="T22" s="54"/>
      <c r="U22" s="54"/>
      <c r="V22" s="59"/>
      <c r="W22" s="60"/>
      <c r="X22" s="54"/>
      <c r="Y22" s="37">
        <v>0.68300000000000005</v>
      </c>
      <c r="Z22" s="56">
        <v>11.47</v>
      </c>
      <c r="AA22" s="36">
        <f t="shared" ref="AA22:AB25" si="22">(AF22/SUM(AF$6:AF$25))*0.98</f>
        <v>0.15875999999999998</v>
      </c>
      <c r="AB22" s="36">
        <f t="shared" si="22"/>
        <v>0.10117515509132397</v>
      </c>
      <c r="AD22" s="42"/>
      <c r="AE22" s="42"/>
      <c r="AF22" s="37">
        <v>0.16200000000000001</v>
      </c>
      <c r="AG22" s="37">
        <v>6.4000000000000001E-2</v>
      </c>
      <c r="AH22" s="43"/>
      <c r="AI22" s="43">
        <f t="shared" si="12"/>
        <v>0.16199999999999998</v>
      </c>
    </row>
    <row r="23" spans="1:35" x14ac:dyDescent="0.25">
      <c r="A23" s="61" t="s">
        <v>709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16.743200039999998</v>
      </c>
      <c r="M23" s="34">
        <f t="shared" si="21"/>
        <v>11.54568326162553</v>
      </c>
      <c r="N23" s="34">
        <f t="shared" si="21"/>
        <v>119.84419225567302</v>
      </c>
      <c r="O23" s="34">
        <f>M23*AG23</f>
        <v>0.69585214350638291</v>
      </c>
      <c r="Q23" s="53"/>
      <c r="R23" s="54"/>
      <c r="S23" s="55"/>
      <c r="T23" s="54"/>
      <c r="U23" s="54"/>
      <c r="V23" s="59"/>
      <c r="W23" s="60"/>
      <c r="X23" s="54"/>
      <c r="Y23" s="37">
        <v>0.68957446808510636</v>
      </c>
      <c r="Z23" s="56">
        <v>10.38</v>
      </c>
      <c r="AA23" s="36">
        <f t="shared" si="22"/>
        <v>3.3319999999999995E-2</v>
      </c>
      <c r="AB23" s="36">
        <f t="shared" si="22"/>
        <v>9.5277693490171247E-2</v>
      </c>
      <c r="AD23" s="42"/>
      <c r="AE23" s="42"/>
      <c r="AF23" s="37">
        <v>3.4000000000000002E-2</v>
      </c>
      <c r="AG23" s="37">
        <v>6.0269464157153146E-2</v>
      </c>
      <c r="AH23" s="43"/>
      <c r="AI23" s="43">
        <f t="shared" si="12"/>
        <v>3.3999999999999996E-2</v>
      </c>
    </row>
    <row r="24" spans="1:35" x14ac:dyDescent="0.25">
      <c r="A24" s="32" t="s">
        <v>611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12.311176499999997</v>
      </c>
      <c r="M24" s="34">
        <f t="shared" si="21"/>
        <v>7.1035488404999976</v>
      </c>
      <c r="N24" s="34">
        <f t="shared" si="21"/>
        <v>66.134039705054974</v>
      </c>
      <c r="O24" s="34">
        <f>M24*AG24</f>
        <v>0.3551774420249999</v>
      </c>
      <c r="Q24" s="53"/>
      <c r="R24" s="54"/>
      <c r="S24" s="55"/>
      <c r="T24" s="54"/>
      <c r="U24" s="54"/>
      <c r="V24" s="59"/>
      <c r="W24" s="60"/>
      <c r="X24" s="54"/>
      <c r="Y24" s="37">
        <v>0.57699999999999996</v>
      </c>
      <c r="Z24" s="56">
        <v>9.31</v>
      </c>
      <c r="AA24" s="36">
        <f t="shared" si="22"/>
        <v>2.4499999999999994E-2</v>
      </c>
      <c r="AB24" s="36">
        <f t="shared" si="22"/>
        <v>7.9043089915096842E-2</v>
      </c>
      <c r="AD24" s="42"/>
      <c r="AE24" s="42"/>
      <c r="AF24" s="37">
        <v>2.5000000000000001E-2</v>
      </c>
      <c r="AG24" s="37">
        <v>0.05</v>
      </c>
      <c r="AH24" s="43"/>
      <c r="AI24" s="43">
        <f t="shared" si="12"/>
        <v>2.4999999999999994E-2</v>
      </c>
    </row>
    <row r="25" spans="1:35" x14ac:dyDescent="0.25">
      <c r="A25" s="61"/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0.97999999999999976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0.99957981018119069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999</v>
      </c>
      <c r="E29" s="75">
        <v>0.503</v>
      </c>
      <c r="F29" s="76">
        <f>1-E29</f>
        <v>0.497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502.49700000000001</v>
      </c>
      <c r="E32" s="80">
        <f>SUM(E2:E4)</f>
        <v>330.54462379824747</v>
      </c>
      <c r="F32" s="80">
        <f>SUM(F2:F4)</f>
        <v>3554.8559863553755</v>
      </c>
      <c r="G32" s="80">
        <f>SUM(G2:G4)</f>
        <v>18.4324210732095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496.50299999999999</v>
      </c>
      <c r="E35" s="80">
        <f>D35*G29</f>
        <v>2308.7389499999999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486.57294000000002</v>
      </c>
      <c r="E38" s="91">
        <f>SUM(J2:J4,J6:J11,J13:J20)</f>
        <v>2305.5047914471074</v>
      </c>
      <c r="F38" s="91">
        <f>SUM(K2:K4,K6:K11,K13:K20)</f>
        <v>13.473773650253406</v>
      </c>
      <c r="G38" s="91">
        <f>SUM(L6:L11,L13:L20,L22:L25)</f>
        <v>492.44705999999991</v>
      </c>
      <c r="H38" s="91">
        <f>SUM(M6:M11,M13:M20,M22:M25)</f>
        <v>329.71769851586549</v>
      </c>
      <c r="I38" s="91">
        <f>SUM(N6:N11,N13:N20,N22:N25)</f>
        <v>3552.1355585715964</v>
      </c>
      <c r="J38" s="91">
        <f>SUM(O6:O11,O13:O20,O22:O25)</f>
        <v>18.409689860383335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9.930059999999969</v>
      </c>
      <c r="E39" s="92">
        <f>E35-E38</f>
        <v>3.2341585528924952</v>
      </c>
      <c r="F39" s="92">
        <f>F35-F38</f>
        <v>2.6226349746593769E-2</v>
      </c>
      <c r="G39" s="92">
        <f>SUM(D2:D4)-G38</f>
        <v>10.049940000000106</v>
      </c>
      <c r="H39" s="92">
        <f>E32-H38</f>
        <v>0.82692528238197838</v>
      </c>
      <c r="I39" s="92">
        <f>F32-I38</f>
        <v>2.7204277837790869</v>
      </c>
      <c r="J39" s="92">
        <f>G32-J38</f>
        <v>2.2731212826165859E-2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AF22:AF25"/>
  </sortState>
  <conditionalFormatting sqref="D39:J39">
    <cfRule type="cellIs" dxfId="25" priority="1" operator="lessThan">
      <formula>0</formula>
    </cfRule>
  </conditionalFormatting>
  <conditionalFormatting sqref="W28 AA28:AF28">
    <cfRule type="cellIs" dxfId="2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7030A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71</v>
      </c>
    </row>
    <row r="2" spans="1:39" x14ac:dyDescent="0.25">
      <c r="A2" s="32" t="s">
        <v>50</v>
      </c>
      <c r="B2" s="33" t="s">
        <v>7</v>
      </c>
      <c r="C2" s="33">
        <f>VLOOKUP($AM$1,DST!C:D,2,FALSE)</f>
        <v>6</v>
      </c>
      <c r="D2" s="34">
        <f>D$32*Q2</f>
        <v>513.69920000000002</v>
      </c>
      <c r="E2" s="34">
        <f>D2*R2</f>
        <v>349.842312690303</v>
      </c>
      <c r="F2" s="34">
        <f>E2*S2</f>
        <v>3673.3442832481815</v>
      </c>
      <c r="G2" s="34">
        <f>E2*T2</f>
        <v>22.739750324869696</v>
      </c>
      <c r="H2" s="34">
        <f>D2*U2</f>
        <v>10.218902894788569</v>
      </c>
      <c r="I2" s="34">
        <f>D$35*W2</f>
        <v>77.734775999999982</v>
      </c>
      <c r="J2" s="34">
        <f>I2*V2</f>
        <v>466.85013550489185</v>
      </c>
      <c r="K2" s="34">
        <f>I2*X2</f>
        <v>3.7312692479999994</v>
      </c>
      <c r="L2" s="35"/>
      <c r="M2" s="35"/>
      <c r="N2" s="35"/>
      <c r="O2" s="35"/>
      <c r="Q2" s="36">
        <f>(AD2/SUM(AD$2:AD$25))</f>
        <v>0.95</v>
      </c>
      <c r="R2" s="37">
        <v>0.68102561321937627</v>
      </c>
      <c r="S2" s="38">
        <v>10.5</v>
      </c>
      <c r="T2" s="37">
        <v>6.5000000000000002E-2</v>
      </c>
      <c r="U2" s="37">
        <v>1.9892775567469382E-2</v>
      </c>
      <c r="V2" s="38">
        <v>6.0056793050370656</v>
      </c>
      <c r="W2" s="36">
        <f>(AE2/SUM(AE$2:AE$20))*0.98</f>
        <v>0.17149999999999999</v>
      </c>
      <c r="X2" s="37">
        <v>4.8000000000000001E-2</v>
      </c>
      <c r="Y2" s="39"/>
      <c r="Z2" s="40"/>
      <c r="AA2" s="41"/>
      <c r="AB2" s="41"/>
      <c r="AD2" s="37">
        <v>0.95</v>
      </c>
      <c r="AE2" s="37">
        <v>0.17499999999999999</v>
      </c>
      <c r="AF2" s="42"/>
      <c r="AG2" s="42"/>
      <c r="AH2" s="43">
        <f>AE2/(SUM(AE$2:AE$25))</f>
        <v>0.17499999999999999</v>
      </c>
    </row>
    <row r="3" spans="1:39" x14ac:dyDescent="0.25">
      <c r="A3" s="32" t="s">
        <v>503</v>
      </c>
      <c r="B3" s="33" t="s">
        <v>7</v>
      </c>
      <c r="C3" s="33">
        <f>VLOOKUP($AM$1,DST!C:D,2,FALSE)</f>
        <v>6</v>
      </c>
      <c r="D3" s="34">
        <f>D$32*Q3</f>
        <v>27.036799999999999</v>
      </c>
      <c r="E3" s="34">
        <f>D3*R3</f>
        <v>16.463851816721146</v>
      </c>
      <c r="F3" s="34">
        <f>E3*S3</f>
        <v>195.28242185162608</v>
      </c>
      <c r="G3" s="34">
        <f t="shared" ref="G3:G4" si="0">E3*T3</f>
        <v>1.1923814504958721</v>
      </c>
      <c r="H3" s="34">
        <f>D3*U3</f>
        <v>0.71153415701700917</v>
      </c>
      <c r="I3" s="34">
        <f>D$35*W3</f>
        <v>2.2209935999999999</v>
      </c>
      <c r="J3" s="34">
        <f>I3*V3</f>
        <v>10.391375895047979</v>
      </c>
      <c r="K3" s="34">
        <f>I3*X3</f>
        <v>0.11993365439999999</v>
      </c>
      <c r="L3" s="35"/>
      <c r="M3" s="35"/>
      <c r="N3" s="35"/>
      <c r="O3" s="35"/>
      <c r="Q3" s="36">
        <f>(AD3/SUM(AD$2:AD$25))</f>
        <v>0.05</v>
      </c>
      <c r="R3" s="37">
        <v>0.60894232367444179</v>
      </c>
      <c r="S3" s="38">
        <v>11.861283982967572</v>
      </c>
      <c r="T3" s="37">
        <v>7.2424209338719653E-2</v>
      </c>
      <c r="U3" s="37">
        <v>2.6317247492935895E-2</v>
      </c>
      <c r="V3" s="38">
        <v>4.678705915698262</v>
      </c>
      <c r="W3" s="36">
        <f>(AE3/SUM(AE$2:AE$20))*0.98</f>
        <v>4.8999999999999998E-3</v>
      </c>
      <c r="X3" s="37">
        <v>5.3999999999999999E-2</v>
      </c>
      <c r="Y3" s="39"/>
      <c r="Z3" s="40"/>
      <c r="AA3" s="41"/>
      <c r="AB3" s="41"/>
      <c r="AD3" s="37">
        <v>0.05</v>
      </c>
      <c r="AE3" s="37">
        <v>5.0000000000000001E-3</v>
      </c>
      <c r="AF3" s="42"/>
      <c r="AG3" s="42"/>
      <c r="AH3" s="43">
        <f t="shared" ref="AH3:AH20" si="1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ref="E4" si="2">D4*R4</f>
        <v>0</v>
      </c>
      <c r="F4" s="34">
        <f t="shared" ref="F4" si="3">E4*S4</f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4">D$35*W6</f>
        <v>154.58115455999996</v>
      </c>
      <c r="J6" s="34">
        <f>I6*V6</f>
        <v>643.0218554919503</v>
      </c>
      <c r="K6" s="34">
        <f>I6*X6</f>
        <v>3.8645288639999991</v>
      </c>
      <c r="L6" s="34">
        <f>((D$2+D$3+D$4)*AA6)</f>
        <v>39.744095999999999</v>
      </c>
      <c r="M6" s="34">
        <f t="shared" ref="M6:N11" si="5">L6*Y6</f>
        <v>30.129396994327276</v>
      </c>
      <c r="N6" s="34">
        <f t="shared" si="5"/>
        <v>215.69120899199999</v>
      </c>
      <c r="O6" s="34">
        <f t="shared" ref="O6:O11" si="6">M6*AG6</f>
        <v>1.1330680459636364</v>
      </c>
      <c r="Q6" s="53"/>
      <c r="R6" s="54"/>
      <c r="S6" s="55"/>
      <c r="T6" s="54"/>
      <c r="U6" s="54"/>
      <c r="V6" s="38">
        <v>4.1597687462113262</v>
      </c>
      <c r="W6" s="36">
        <f t="shared" ref="W6:W11" si="7">(AE6/SUM(AE$2:AE$20))*0.98</f>
        <v>0.34103999999999995</v>
      </c>
      <c r="X6" s="37">
        <v>2.5000000000000001E-2</v>
      </c>
      <c r="Y6" s="37">
        <v>0.75808484848484858</v>
      </c>
      <c r="Z6" s="56">
        <v>7.158829266732754</v>
      </c>
      <c r="AA6" s="36">
        <f t="shared" ref="AA6:AA11" si="8">(AF6/SUM(AF$6:AF$25))*0.98</f>
        <v>7.3499999999999996E-2</v>
      </c>
      <c r="AB6" s="36">
        <f t="shared" ref="AB6:AB11" si="9">(AG6/SUM(AG$6:AG$25))*0.98</f>
        <v>5.9289245171276601E-2</v>
      </c>
      <c r="AD6" s="42"/>
      <c r="AE6" s="37">
        <v>0.34799999999999998</v>
      </c>
      <c r="AF6" s="37">
        <v>7.4999999999999997E-2</v>
      </c>
      <c r="AG6" s="37">
        <v>3.7606728278596777E-2</v>
      </c>
      <c r="AH6" s="43">
        <f t="shared" si="1"/>
        <v>0.34799999999999998</v>
      </c>
      <c r="AI6" s="43">
        <f>AF6/(SUM(AF$6:AF$25))</f>
        <v>7.4999999999999997E-2</v>
      </c>
    </row>
    <row r="7" spans="1:39" x14ac:dyDescent="0.25">
      <c r="A7" s="32" t="s">
        <v>359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4"/>
        <v>175.01429568</v>
      </c>
      <c r="J7" s="34">
        <f>I7*V7</f>
        <v>796.2577264688789</v>
      </c>
      <c r="K7" s="34">
        <f>I7*X7</f>
        <v>6.6505432358399998</v>
      </c>
      <c r="L7" s="34">
        <f>((D$2+D$3+D$4)*AA7)</f>
        <v>13.248032</v>
      </c>
      <c r="M7" s="34">
        <f t="shared" si="5"/>
        <v>9.9360239999999997</v>
      </c>
      <c r="N7" s="34">
        <f t="shared" si="5"/>
        <v>61.404628319999993</v>
      </c>
      <c r="O7" s="34">
        <f t="shared" si="6"/>
        <v>0.27820867199999999</v>
      </c>
      <c r="Q7" s="53"/>
      <c r="R7" s="54"/>
      <c r="S7" s="55"/>
      <c r="T7" s="54"/>
      <c r="U7" s="54"/>
      <c r="V7" s="38">
        <v>4.5496724903248706</v>
      </c>
      <c r="W7" s="36">
        <f t="shared" si="7"/>
        <v>0.38612000000000002</v>
      </c>
      <c r="X7" s="37">
        <v>3.7999999999999999E-2</v>
      </c>
      <c r="Y7" s="37">
        <v>0.75</v>
      </c>
      <c r="Z7" s="56">
        <v>6.18</v>
      </c>
      <c r="AA7" s="36">
        <f t="shared" si="8"/>
        <v>2.4500000000000001E-2</v>
      </c>
      <c r="AB7" s="36">
        <f t="shared" si="9"/>
        <v>4.4143666327404546E-2</v>
      </c>
      <c r="AD7" s="42"/>
      <c r="AE7" s="37">
        <v>0.39400000000000002</v>
      </c>
      <c r="AF7" s="37">
        <v>2.5000000000000001E-2</v>
      </c>
      <c r="AG7" s="37">
        <v>2.8000000000000001E-2</v>
      </c>
      <c r="AH7" s="43">
        <f t="shared" si="1"/>
        <v>0.39400000000000002</v>
      </c>
      <c r="AI7" s="43">
        <f t="shared" ref="AI7:AI25" si="10">AF7/(SUM(AF$6:AF$25))</f>
        <v>2.5000000000000001E-2</v>
      </c>
    </row>
    <row r="8" spans="1:39" x14ac:dyDescent="0.25">
      <c r="A8" s="32" t="s">
        <v>661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4"/>
        <v>30.20551296</v>
      </c>
      <c r="J8" s="34">
        <f>I8*V8</f>
        <v>129.05991901090908</v>
      </c>
      <c r="K8" s="34">
        <f>I8*X8</f>
        <v>0.99678192768000007</v>
      </c>
      <c r="L8" s="34">
        <f>((D$2+D$3+D$4)*AA8)</f>
        <v>21.726772480000001</v>
      </c>
      <c r="M8" s="34">
        <f t="shared" si="5"/>
        <v>17.012062851840003</v>
      </c>
      <c r="N8" s="34">
        <f t="shared" si="5"/>
        <v>112.27961482214401</v>
      </c>
      <c r="O8" s="34">
        <f t="shared" si="6"/>
        <v>0.51036188555520012</v>
      </c>
      <c r="Q8" s="53"/>
      <c r="R8" s="54"/>
      <c r="S8" s="55"/>
      <c r="T8" s="54"/>
      <c r="U8" s="54"/>
      <c r="V8" s="38">
        <v>4.2727272727272725</v>
      </c>
      <c r="W8" s="36">
        <f t="shared" si="7"/>
        <v>6.6640000000000005E-2</v>
      </c>
      <c r="X8" s="37">
        <v>3.3000000000000002E-2</v>
      </c>
      <c r="Y8" s="37">
        <v>0.78300000000000003</v>
      </c>
      <c r="Z8" s="56">
        <v>6.6</v>
      </c>
      <c r="AA8" s="36">
        <f t="shared" si="8"/>
        <v>4.018E-2</v>
      </c>
      <c r="AB8" s="36">
        <f t="shared" si="9"/>
        <v>4.7296785350790585E-2</v>
      </c>
      <c r="AD8" s="42"/>
      <c r="AE8" s="37">
        <v>6.8000000000000005E-2</v>
      </c>
      <c r="AF8" s="37">
        <v>4.1000000000000002E-2</v>
      </c>
      <c r="AG8" s="37">
        <v>0.03</v>
      </c>
      <c r="AH8" s="43">
        <f t="shared" si="1"/>
        <v>6.8000000000000005E-2</v>
      </c>
      <c r="AI8" s="43">
        <f t="shared" si="10"/>
        <v>4.1000000000000002E-2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4"/>
        <v>0</v>
      </c>
      <c r="J9" s="34">
        <f t="shared" ref="J9:J11" si="11">I9*V9</f>
        <v>0</v>
      </c>
      <c r="K9" s="34">
        <f t="shared" ref="K9:K11" si="12">I9*X9</f>
        <v>0</v>
      </c>
      <c r="L9" s="34">
        <f t="shared" ref="L9:L11" si="13">((D$2+D$3+D$4)*AA9)</f>
        <v>0</v>
      </c>
      <c r="M9" s="34">
        <f t="shared" si="5"/>
        <v>0</v>
      </c>
      <c r="N9" s="34">
        <f t="shared" si="5"/>
        <v>0</v>
      </c>
      <c r="O9" s="34">
        <f t="shared" si="6"/>
        <v>0</v>
      </c>
      <c r="Q9" s="53"/>
      <c r="R9" s="54"/>
      <c r="S9" s="55"/>
      <c r="T9" s="54"/>
      <c r="U9" s="54"/>
      <c r="V9" s="38">
        <v>0</v>
      </c>
      <c r="W9" s="36">
        <f t="shared" si="7"/>
        <v>0</v>
      </c>
      <c r="X9" s="37">
        <v>0</v>
      </c>
      <c r="Y9" s="37">
        <v>0</v>
      </c>
      <c r="Z9" s="56">
        <v>0</v>
      </c>
      <c r="AA9" s="36">
        <f t="shared" si="8"/>
        <v>0</v>
      </c>
      <c r="AB9" s="36">
        <f t="shared" si="9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0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4"/>
        <v>0</v>
      </c>
      <c r="J10" s="34">
        <f t="shared" si="11"/>
        <v>0</v>
      </c>
      <c r="K10" s="34">
        <f t="shared" si="12"/>
        <v>0</v>
      </c>
      <c r="L10" s="34">
        <f t="shared" si="13"/>
        <v>0</v>
      </c>
      <c r="M10" s="34">
        <f t="shared" si="5"/>
        <v>0</v>
      </c>
      <c r="N10" s="34">
        <f t="shared" si="5"/>
        <v>0</v>
      </c>
      <c r="O10" s="34">
        <f t="shared" si="6"/>
        <v>0</v>
      </c>
      <c r="Q10" s="53"/>
      <c r="R10" s="54"/>
      <c r="S10" s="55"/>
      <c r="T10" s="54"/>
      <c r="U10" s="54"/>
      <c r="V10" s="38">
        <v>0</v>
      </c>
      <c r="W10" s="36">
        <f t="shared" si="7"/>
        <v>0</v>
      </c>
      <c r="X10" s="37">
        <v>0</v>
      </c>
      <c r="Y10" s="37">
        <v>0</v>
      </c>
      <c r="Z10" s="56">
        <v>0</v>
      </c>
      <c r="AA10" s="36">
        <f t="shared" si="8"/>
        <v>0</v>
      </c>
      <c r="AB10" s="36">
        <f t="shared" si="9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0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4"/>
        <v>0</v>
      </c>
      <c r="J11" s="34">
        <f t="shared" si="11"/>
        <v>0</v>
      </c>
      <c r="K11" s="34">
        <f t="shared" si="12"/>
        <v>0</v>
      </c>
      <c r="L11" s="34">
        <f t="shared" si="13"/>
        <v>0</v>
      </c>
      <c r="M11" s="34">
        <f t="shared" si="5"/>
        <v>0</v>
      </c>
      <c r="N11" s="34">
        <f t="shared" si="5"/>
        <v>0</v>
      </c>
      <c r="O11" s="34">
        <f t="shared" si="6"/>
        <v>0</v>
      </c>
      <c r="Q11" s="53"/>
      <c r="R11" s="54"/>
      <c r="S11" s="55"/>
      <c r="T11" s="54"/>
      <c r="U11" s="54"/>
      <c r="V11" s="38">
        <v>0</v>
      </c>
      <c r="W11" s="36">
        <f t="shared" si="7"/>
        <v>0</v>
      </c>
      <c r="X11" s="37">
        <v>0</v>
      </c>
      <c r="Y11" s="37">
        <v>0</v>
      </c>
      <c r="Z11" s="56">
        <v>0</v>
      </c>
      <c r="AA11" s="36">
        <f t="shared" si="8"/>
        <v>0</v>
      </c>
      <c r="AB11" s="36">
        <f t="shared" si="9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0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112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4">D$35*W13</f>
        <v>0</v>
      </c>
      <c r="J13" s="34">
        <f t="shared" ref="J13:J20" si="15">I13*V13</f>
        <v>0</v>
      </c>
      <c r="K13" s="34">
        <f t="shared" ref="K13:K20" si="16">I13*X13</f>
        <v>0</v>
      </c>
      <c r="L13" s="34">
        <f t="shared" ref="L13:L20" si="17">((D$2+D$3+D$4)*AA13)</f>
        <v>152.61732863999998</v>
      </c>
      <c r="M13" s="34">
        <f t="shared" ref="M13:N20" si="18">L13*Y13</f>
        <v>101.33790621695999</v>
      </c>
      <c r="N13" s="34">
        <f t="shared" si="18"/>
        <v>1263.6836905254911</v>
      </c>
      <c r="O13" s="34">
        <f t="shared" ref="O13:O20" si="19">M13*AG13</f>
        <v>7.7016808724889589</v>
      </c>
      <c r="Q13" s="53"/>
      <c r="R13" s="54"/>
      <c r="S13" s="55"/>
      <c r="T13" s="54"/>
      <c r="U13" s="54"/>
      <c r="V13" s="38">
        <v>4.5</v>
      </c>
      <c r="W13" s="36">
        <f t="shared" ref="W13:W20" si="20">(AE13/SUM(AE$2:AE$20))*0.98</f>
        <v>0</v>
      </c>
      <c r="X13" s="37">
        <v>2.5000000000000001E-2</v>
      </c>
      <c r="Y13" s="37">
        <v>0.66400000000000003</v>
      </c>
      <c r="Z13" s="56">
        <v>12.47</v>
      </c>
      <c r="AA13" s="36">
        <f t="shared" ref="AA13:AB20" si="21">(AF13/SUM(AF$6:AF$25))*0.98</f>
        <v>0.28223999999999999</v>
      </c>
      <c r="AB13" s="36">
        <f t="shared" si="21"/>
        <v>0.11981852288866948</v>
      </c>
      <c r="AD13" s="42"/>
      <c r="AE13" s="37">
        <v>0</v>
      </c>
      <c r="AF13" s="37">
        <v>0.28799999999999998</v>
      </c>
      <c r="AG13" s="37">
        <v>7.5999999999999998E-2</v>
      </c>
      <c r="AH13" s="43">
        <f t="shared" si="1"/>
        <v>0</v>
      </c>
      <c r="AI13" s="43">
        <f t="shared" si="10"/>
        <v>0.28799999999999998</v>
      </c>
    </row>
    <row r="14" spans="1:39" x14ac:dyDescent="0.25">
      <c r="A14" s="32" t="s">
        <v>394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4"/>
        <v>4.4419871999999998</v>
      </c>
      <c r="J14" s="34">
        <f t="shared" si="15"/>
        <v>35.867021374824645</v>
      </c>
      <c r="K14" s="34">
        <f t="shared" si="16"/>
        <v>0.133259616</v>
      </c>
      <c r="L14" s="34">
        <f t="shared" si="17"/>
        <v>113.40315391999999</v>
      </c>
      <c r="M14" s="34">
        <f t="shared" si="18"/>
        <v>71.557390123519994</v>
      </c>
      <c r="N14" s="34">
        <f t="shared" si="18"/>
        <v>935.9706628156415</v>
      </c>
      <c r="O14" s="34">
        <f t="shared" si="19"/>
        <v>5.7961486000051199</v>
      </c>
      <c r="Q14" s="53"/>
      <c r="R14" s="54"/>
      <c r="S14" s="55"/>
      <c r="T14" s="54"/>
      <c r="U14" s="54"/>
      <c r="V14" s="38">
        <v>8.0745440632572389</v>
      </c>
      <c r="W14" s="36">
        <f t="shared" si="20"/>
        <v>9.7999999999999997E-3</v>
      </c>
      <c r="X14" s="37">
        <v>0.03</v>
      </c>
      <c r="Y14" s="37">
        <v>0.63100000000000001</v>
      </c>
      <c r="Z14" s="56">
        <v>13.08</v>
      </c>
      <c r="AA14" s="36">
        <f t="shared" si="21"/>
        <v>0.20971999999999999</v>
      </c>
      <c r="AB14" s="36">
        <f t="shared" si="21"/>
        <v>0.12770132044713459</v>
      </c>
      <c r="AD14" s="42"/>
      <c r="AE14" s="37">
        <v>0.01</v>
      </c>
      <c r="AF14" s="37">
        <v>0.214</v>
      </c>
      <c r="AG14" s="37">
        <v>8.1000000000000003E-2</v>
      </c>
      <c r="AH14" s="43">
        <f t="shared" si="1"/>
        <v>0.01</v>
      </c>
      <c r="AI14" s="43">
        <f t="shared" si="10"/>
        <v>0.214</v>
      </c>
    </row>
    <row r="15" spans="1:39" x14ac:dyDescent="0.25">
      <c r="A15" s="122" t="s">
        <v>310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4"/>
        <v>0</v>
      </c>
      <c r="J15" s="34">
        <f t="shared" si="15"/>
        <v>0</v>
      </c>
      <c r="K15" s="34">
        <f t="shared" si="16"/>
        <v>0</v>
      </c>
      <c r="L15" s="34">
        <f t="shared" si="17"/>
        <v>62.530711039999993</v>
      </c>
      <c r="M15" s="34">
        <f t="shared" si="18"/>
        <v>40.808526304414812</v>
      </c>
      <c r="N15" s="34">
        <f t="shared" si="18"/>
        <v>452.45311847928878</v>
      </c>
      <c r="O15" s="34">
        <f t="shared" si="19"/>
        <v>2.8565968413090372</v>
      </c>
      <c r="Q15" s="53"/>
      <c r="R15" s="54"/>
      <c r="S15" s="55"/>
      <c r="T15" s="54"/>
      <c r="U15" s="54"/>
      <c r="V15" s="38">
        <v>3</v>
      </c>
      <c r="W15" s="36">
        <f t="shared" si="20"/>
        <v>0</v>
      </c>
      <c r="X15" s="37">
        <v>7.0000000000000001E-3</v>
      </c>
      <c r="Y15" s="37">
        <v>0.6526157407407408</v>
      </c>
      <c r="Z15" s="56">
        <v>11.087220231972474</v>
      </c>
      <c r="AA15" s="36">
        <f t="shared" si="21"/>
        <v>0.11563999999999999</v>
      </c>
      <c r="AB15" s="36">
        <f t="shared" si="21"/>
        <v>0.11035916581851138</v>
      </c>
      <c r="AD15" s="42"/>
      <c r="AE15" s="37">
        <v>0</v>
      </c>
      <c r="AF15" s="37">
        <v>0.11799999999999999</v>
      </c>
      <c r="AG15" s="37">
        <v>7.0000000000000007E-2</v>
      </c>
      <c r="AH15" s="43">
        <f t="shared" si="1"/>
        <v>0</v>
      </c>
      <c r="AI15" s="43">
        <f t="shared" si="10"/>
        <v>0.11799999999999999</v>
      </c>
    </row>
    <row r="16" spans="1:39" x14ac:dyDescent="0.25">
      <c r="A16" s="122" t="s">
        <v>544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4"/>
        <v>0</v>
      </c>
      <c r="J16" s="34">
        <f t="shared" si="15"/>
        <v>0</v>
      </c>
      <c r="K16" s="34">
        <f t="shared" si="16"/>
        <v>0</v>
      </c>
      <c r="L16" s="34">
        <f t="shared" si="17"/>
        <v>7.9488192</v>
      </c>
      <c r="M16" s="34">
        <f t="shared" si="18"/>
        <v>5.1508348416</v>
      </c>
      <c r="N16" s="34">
        <f t="shared" si="18"/>
        <v>52.764423334148255</v>
      </c>
      <c r="O16" s="34">
        <f t="shared" si="19"/>
        <v>0.30905009049600002</v>
      </c>
      <c r="Q16" s="53"/>
      <c r="R16" s="54"/>
      <c r="S16" s="55"/>
      <c r="T16" s="54"/>
      <c r="U16" s="54"/>
      <c r="V16" s="38">
        <v>3</v>
      </c>
      <c r="W16" s="36">
        <f t="shared" si="20"/>
        <v>0</v>
      </c>
      <c r="X16" s="37">
        <v>7.0000000000000001E-3</v>
      </c>
      <c r="Y16" s="37">
        <v>0.64800000000000002</v>
      </c>
      <c r="Z16" s="56">
        <v>10.243858511634608</v>
      </c>
      <c r="AA16" s="36">
        <f t="shared" si="21"/>
        <v>1.47E-2</v>
      </c>
      <c r="AB16" s="36">
        <f t="shared" si="21"/>
        <v>9.459357070158117E-2</v>
      </c>
      <c r="AD16" s="42"/>
      <c r="AE16" s="37">
        <v>0</v>
      </c>
      <c r="AF16" s="37">
        <v>1.4999999999999999E-2</v>
      </c>
      <c r="AG16" s="37">
        <v>0.06</v>
      </c>
      <c r="AH16" s="43">
        <f t="shared" si="1"/>
        <v>0</v>
      </c>
      <c r="AI16" s="43">
        <f t="shared" si="10"/>
        <v>1.4999999999999999E-2</v>
      </c>
    </row>
    <row r="17" spans="1:35" x14ac:dyDescent="0.25">
      <c r="A17" s="32" t="s">
        <v>640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4"/>
        <v>0</v>
      </c>
      <c r="J17" s="34">
        <f t="shared" si="15"/>
        <v>0</v>
      </c>
      <c r="K17" s="34">
        <f t="shared" si="16"/>
        <v>0</v>
      </c>
      <c r="L17" s="34">
        <f t="shared" si="17"/>
        <v>5.2992127999999994</v>
      </c>
      <c r="M17" s="34">
        <f t="shared" si="18"/>
        <v>3.4497875327999998</v>
      </c>
      <c r="N17" s="34">
        <f t="shared" si="18"/>
        <v>30.963753314570933</v>
      </c>
      <c r="O17" s="34">
        <f t="shared" si="19"/>
        <v>0.18973831430399998</v>
      </c>
      <c r="Q17" s="53"/>
      <c r="R17" s="54"/>
      <c r="S17" s="55"/>
      <c r="T17" s="54"/>
      <c r="U17" s="54"/>
      <c r="V17" s="38">
        <v>3</v>
      </c>
      <c r="W17" s="36">
        <f t="shared" si="20"/>
        <v>0</v>
      </c>
      <c r="X17" s="37">
        <v>7.0000000000000001E-3</v>
      </c>
      <c r="Y17" s="37">
        <v>0.65100000000000002</v>
      </c>
      <c r="Z17" s="56">
        <v>8.9755537174892002</v>
      </c>
      <c r="AA17" s="36">
        <f t="shared" si="21"/>
        <v>9.7999999999999997E-3</v>
      </c>
      <c r="AB17" s="36">
        <f t="shared" si="21"/>
        <v>8.6710773143116079E-2</v>
      </c>
      <c r="AD17" s="42"/>
      <c r="AE17" s="37">
        <v>0</v>
      </c>
      <c r="AF17" s="37">
        <v>0.01</v>
      </c>
      <c r="AG17" s="37">
        <v>5.5E-2</v>
      </c>
      <c r="AH17" s="43">
        <f t="shared" si="1"/>
        <v>0</v>
      </c>
      <c r="AI17" s="43">
        <f t="shared" si="10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4"/>
        <v>0</v>
      </c>
      <c r="J18" s="34">
        <f t="shared" si="15"/>
        <v>0</v>
      </c>
      <c r="K18" s="34">
        <f t="shared" si="16"/>
        <v>0</v>
      </c>
      <c r="L18" s="34">
        <f t="shared" si="17"/>
        <v>0</v>
      </c>
      <c r="M18" s="34">
        <f t="shared" si="18"/>
        <v>0</v>
      </c>
      <c r="N18" s="34">
        <f t="shared" si="18"/>
        <v>0</v>
      </c>
      <c r="O18" s="34">
        <f t="shared" si="19"/>
        <v>0</v>
      </c>
      <c r="Q18" s="53"/>
      <c r="R18" s="54"/>
      <c r="S18" s="55"/>
      <c r="T18" s="54"/>
      <c r="U18" s="54"/>
      <c r="V18" s="38">
        <v>0</v>
      </c>
      <c r="W18" s="36">
        <f t="shared" si="20"/>
        <v>0</v>
      </c>
      <c r="X18" s="37">
        <v>0</v>
      </c>
      <c r="Y18" s="37">
        <v>0</v>
      </c>
      <c r="Z18" s="56">
        <v>0</v>
      </c>
      <c r="AA18" s="36">
        <f t="shared" si="21"/>
        <v>0</v>
      </c>
      <c r="AB18" s="36">
        <f t="shared" si="21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10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4"/>
        <v>0</v>
      </c>
      <c r="J19" s="34">
        <f t="shared" si="15"/>
        <v>0</v>
      </c>
      <c r="K19" s="34">
        <f t="shared" si="16"/>
        <v>0</v>
      </c>
      <c r="L19" s="34">
        <f t="shared" si="17"/>
        <v>0</v>
      </c>
      <c r="M19" s="34">
        <f t="shared" si="18"/>
        <v>0</v>
      </c>
      <c r="N19" s="34">
        <f t="shared" si="18"/>
        <v>0</v>
      </c>
      <c r="O19" s="34">
        <f t="shared" si="19"/>
        <v>0</v>
      </c>
      <c r="Q19" s="53"/>
      <c r="R19" s="54"/>
      <c r="S19" s="55"/>
      <c r="T19" s="54"/>
      <c r="U19" s="54"/>
      <c r="V19" s="38">
        <v>0</v>
      </c>
      <c r="W19" s="36">
        <f t="shared" si="20"/>
        <v>0</v>
      </c>
      <c r="X19" s="37">
        <v>0</v>
      </c>
      <c r="Y19" s="37">
        <v>0</v>
      </c>
      <c r="Z19" s="56">
        <v>0</v>
      </c>
      <c r="AA19" s="36">
        <f t="shared" si="21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0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4"/>
        <v>0</v>
      </c>
      <c r="J20" s="34">
        <f t="shared" si="15"/>
        <v>0</v>
      </c>
      <c r="K20" s="34">
        <f t="shared" si="16"/>
        <v>0</v>
      </c>
      <c r="L20" s="34">
        <f t="shared" si="17"/>
        <v>0</v>
      </c>
      <c r="M20" s="34">
        <f t="shared" si="18"/>
        <v>0</v>
      </c>
      <c r="N20" s="34">
        <f t="shared" si="18"/>
        <v>0</v>
      </c>
      <c r="O20" s="34">
        <f t="shared" si="19"/>
        <v>0</v>
      </c>
      <c r="Q20" s="53"/>
      <c r="R20" s="54"/>
      <c r="S20" s="55"/>
      <c r="T20" s="54"/>
      <c r="U20" s="54"/>
      <c r="V20" s="38">
        <v>0</v>
      </c>
      <c r="W20" s="36">
        <f t="shared" si="20"/>
        <v>0</v>
      </c>
      <c r="X20" s="37">
        <v>0</v>
      </c>
      <c r="Y20" s="37">
        <v>0</v>
      </c>
      <c r="Z20" s="56">
        <v>0</v>
      </c>
      <c r="AA20" s="36">
        <f t="shared" si="21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0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96.445672959999996</v>
      </c>
      <c r="M22" s="34">
        <f t="shared" ref="M22:N25" si="22">L22*Y22</f>
        <v>70.415039708360226</v>
      </c>
      <c r="N22" s="34">
        <f t="shared" si="22"/>
        <v>617.05294996637326</v>
      </c>
      <c r="O22" s="34">
        <f>M22*AG22</f>
        <v>4.2249023825016137</v>
      </c>
      <c r="Q22" s="53"/>
      <c r="R22" s="54"/>
      <c r="S22" s="55"/>
      <c r="T22" s="54"/>
      <c r="U22" s="54"/>
      <c r="V22" s="59"/>
      <c r="W22" s="60"/>
      <c r="X22" s="54"/>
      <c r="Y22" s="37">
        <v>0.73010055865921786</v>
      </c>
      <c r="Z22" s="56">
        <v>8.7630845984329095</v>
      </c>
      <c r="AA22" s="36">
        <f t="shared" ref="AA22:AB25" si="23">(AF22/SUM(AF$6:AF$25))*0.98</f>
        <v>0.17835999999999999</v>
      </c>
      <c r="AB22" s="36">
        <f t="shared" si="23"/>
        <v>9.459357070158117E-2</v>
      </c>
      <c r="AD22" s="42"/>
      <c r="AE22" s="42"/>
      <c r="AF22" s="37">
        <v>0.182</v>
      </c>
      <c r="AG22" s="37">
        <v>0.06</v>
      </c>
      <c r="AH22" s="43"/>
      <c r="AI22" s="43">
        <f t="shared" si="10"/>
        <v>0.182</v>
      </c>
    </row>
    <row r="23" spans="1:35" x14ac:dyDescent="0.25">
      <c r="A23" s="32" t="s">
        <v>364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14.30787456</v>
      </c>
      <c r="M23" s="34">
        <f t="shared" si="22"/>
        <v>11.160142156800001</v>
      </c>
      <c r="N23" s="34">
        <f t="shared" si="22"/>
        <v>104.90533627392001</v>
      </c>
      <c r="O23" s="34">
        <f>M23*AG23</f>
        <v>0.8258505196032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9.4</v>
      </c>
      <c r="AA23" s="36">
        <f t="shared" si="23"/>
        <v>2.6460000000000001E-2</v>
      </c>
      <c r="AB23" s="36">
        <f t="shared" si="23"/>
        <v>0.11666540386528344</v>
      </c>
      <c r="AD23" s="42"/>
      <c r="AE23" s="42"/>
      <c r="AF23" s="37">
        <v>2.7E-2</v>
      </c>
      <c r="AG23" s="37">
        <v>7.3999999999999996E-2</v>
      </c>
      <c r="AH23" s="43"/>
      <c r="AI23" s="43">
        <f t="shared" si="10"/>
        <v>2.7E-2</v>
      </c>
    </row>
    <row r="24" spans="1:35" x14ac:dyDescent="0.25">
      <c r="A24" s="32" t="s">
        <v>600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2.6496063999999997</v>
      </c>
      <c r="M24" s="34">
        <f t="shared" si="22"/>
        <v>1.6840456677333331</v>
      </c>
      <c r="N24" s="34">
        <f t="shared" si="22"/>
        <v>14.807987767999997</v>
      </c>
      <c r="O24" s="34">
        <f>M24*AG24</f>
        <v>8.420228338666666E-2</v>
      </c>
      <c r="Q24" s="53"/>
      <c r="R24" s="54"/>
      <c r="S24" s="55"/>
      <c r="T24" s="54"/>
      <c r="U24" s="54"/>
      <c r="V24" s="59"/>
      <c r="W24" s="60"/>
      <c r="X24" s="54"/>
      <c r="Y24" s="37">
        <v>0.63558333333333328</v>
      </c>
      <c r="Z24" s="56">
        <v>8.7931034482758612</v>
      </c>
      <c r="AA24" s="36">
        <f t="shared" si="23"/>
        <v>4.8999999999999998E-3</v>
      </c>
      <c r="AB24" s="36">
        <f t="shared" si="23"/>
        <v>7.8827975584650975E-2</v>
      </c>
      <c r="AD24" s="42"/>
      <c r="AE24" s="42"/>
      <c r="AF24" s="37">
        <v>5.0000000000000001E-3</v>
      </c>
      <c r="AG24" s="37">
        <v>0.05</v>
      </c>
      <c r="AH24" s="43"/>
      <c r="AI24" s="43">
        <f t="shared" si="10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2"/>
        <v>0</v>
      </c>
      <c r="N25" s="34">
        <f t="shared" si="22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3"/>
        <v>0</v>
      </c>
      <c r="AB25" s="36">
        <f t="shared" si="23"/>
        <v>0</v>
      </c>
      <c r="AD25" s="42"/>
      <c r="AE25" s="42"/>
      <c r="AF25" s="37">
        <v>0</v>
      </c>
      <c r="AG25" s="37">
        <v>0</v>
      </c>
      <c r="AH25" s="43"/>
      <c r="AI25" s="43">
        <f t="shared" si="10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994</v>
      </c>
      <c r="E29" s="75">
        <v>0.54400000000000004</v>
      </c>
      <c r="F29" s="76">
        <f>1-E29</f>
        <v>0.45599999999999996</v>
      </c>
      <c r="G29" s="77">
        <v>4.5999999999999996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540.73599999999999</v>
      </c>
      <c r="E32" s="80">
        <f>SUM(E2:E4)</f>
        <v>366.30616450702416</v>
      </c>
      <c r="F32" s="80">
        <f>SUM(F2:F4)</f>
        <v>3868.6267050998076</v>
      </c>
      <c r="G32" s="80">
        <f>SUM(G2:G4)</f>
        <v>23.932131775365569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453.26399999999995</v>
      </c>
      <c r="E35" s="80">
        <f>D35*G29</f>
        <v>2085.0143999999996</v>
      </c>
      <c r="F35" s="80">
        <v>15.5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444.19871999999998</v>
      </c>
      <c r="E38" s="91">
        <f>SUM(J2:J4,J6:J11,J13:J20)</f>
        <v>2081.4480337465029</v>
      </c>
      <c r="F38" s="91">
        <f>SUM(K2:K4,K6:K11,K13:K20)</f>
        <v>15.496316545919999</v>
      </c>
      <c r="G38" s="91">
        <f>SUM(L6:L11,L13:L20,L22:L25)</f>
        <v>529.92128000000002</v>
      </c>
      <c r="H38" s="91">
        <f>SUM(M6:M11,M13:M20,M22:M25)</f>
        <v>362.64115639835563</v>
      </c>
      <c r="I38" s="91">
        <f>SUM(N6:N11,N13:N20,N22:N25)</f>
        <v>3861.9773746115784</v>
      </c>
      <c r="J38" s="91">
        <f>SUM(O6:O11,O13:O20,O22:O25)</f>
        <v>23.909808507613437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9.0652799999999729</v>
      </c>
      <c r="E39" s="92">
        <f>E35-E38</f>
        <v>3.5663662534966534</v>
      </c>
      <c r="F39" s="92">
        <f>F35-F38</f>
        <v>3.6834540800008142E-3</v>
      </c>
      <c r="G39" s="92">
        <f>SUM(D2:D4)-G38</f>
        <v>10.814719999999966</v>
      </c>
      <c r="H39" s="92">
        <f>E32-H38</f>
        <v>3.6650081086685304</v>
      </c>
      <c r="I39" s="92">
        <f>F32-I38</f>
        <v>6.649330488229225</v>
      </c>
      <c r="J39" s="92">
        <f>G32-J38</f>
        <v>2.232326775213167E-2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23" priority="1" operator="lessThan">
      <formula>0</formula>
    </cfRule>
  </conditionalFormatting>
  <conditionalFormatting sqref="W28 AA28:AF28">
    <cfRule type="cellIs" dxfId="2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72</v>
      </c>
    </row>
    <row r="2" spans="1:39" x14ac:dyDescent="0.25">
      <c r="A2" s="32" t="s">
        <v>425</v>
      </c>
      <c r="B2" s="33" t="s">
        <v>7</v>
      </c>
      <c r="C2" s="33">
        <f>VLOOKUP($AM$1,DST!C:D,2,FALSE)</f>
        <v>11</v>
      </c>
      <c r="D2" s="34">
        <f>D$32*Q2</f>
        <v>545.37979999999993</v>
      </c>
      <c r="E2" s="34">
        <f>D2*R2</f>
        <v>383.40199939999991</v>
      </c>
      <c r="F2" s="34">
        <f>E2*S2</f>
        <v>4412.9570130939992</v>
      </c>
      <c r="G2" s="34">
        <f>E2*T2</f>
        <v>29.905355953199994</v>
      </c>
      <c r="H2" s="34">
        <f>D2*U2</f>
        <v>11.850977386295915</v>
      </c>
      <c r="I2" s="34">
        <f>D$35*W2</f>
        <v>86.66193899999999</v>
      </c>
      <c r="J2" s="34">
        <f>I2*V2</f>
        <v>416.84392658999991</v>
      </c>
      <c r="K2" s="34">
        <f>I2*X2</f>
        <v>3.6398014379999997</v>
      </c>
      <c r="L2" s="35"/>
      <c r="M2" s="35"/>
      <c r="N2" s="35"/>
      <c r="O2" s="35"/>
      <c r="Q2" s="36">
        <f>(AD2/SUM(AD$2:AD$25))</f>
        <v>0.98</v>
      </c>
      <c r="R2" s="37">
        <v>0.70299999999999996</v>
      </c>
      <c r="S2" s="38">
        <v>11.51</v>
      </c>
      <c r="T2" s="37">
        <v>7.8E-2</v>
      </c>
      <c r="U2" s="37">
        <v>2.1729769577633635E-2</v>
      </c>
      <c r="V2" s="38">
        <v>4.8099999999999996</v>
      </c>
      <c r="W2" s="36">
        <f>(AE2/SUM(AE$2:AE$20))*0.98</f>
        <v>0.19109999999999999</v>
      </c>
      <c r="X2" s="37">
        <v>4.2000000000000003E-2</v>
      </c>
      <c r="Y2" s="39"/>
      <c r="Z2" s="40"/>
      <c r="AA2" s="41"/>
      <c r="AB2" s="41"/>
      <c r="AD2" s="37">
        <v>0.98</v>
      </c>
      <c r="AE2" s="37">
        <v>0.19500000000000001</v>
      </c>
      <c r="AF2" s="42"/>
      <c r="AG2" s="42"/>
      <c r="AH2" s="43">
        <f>AE2/(SUM(AE$2:AE$25))</f>
        <v>0.19500000000000001</v>
      </c>
    </row>
    <row r="3" spans="1:39" x14ac:dyDescent="0.25">
      <c r="A3" s="32" t="s">
        <v>641</v>
      </c>
      <c r="B3" s="33" t="s">
        <v>7</v>
      </c>
      <c r="C3" s="33">
        <f>VLOOKUP($AM$1,DST!C:D,2,FALSE)</f>
        <v>11</v>
      </c>
      <c r="D3" s="34">
        <f>D$32*Q3</f>
        <v>11.1302</v>
      </c>
      <c r="E3" s="34">
        <f t="shared" ref="E3:F4" si="0">D3*R3</f>
        <v>6.5722465132139813</v>
      </c>
      <c r="F3" s="34">
        <f t="shared" si="0"/>
        <v>66.854512395566928</v>
      </c>
      <c r="G3" s="34">
        <f t="shared" ref="G3:G4" si="1">E3*T3</f>
        <v>0.44034051638533678</v>
      </c>
      <c r="H3" s="34">
        <f>D3*U3</f>
        <v>0.16580187553282183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0.59048772827208684</v>
      </c>
      <c r="S3" s="38">
        <v>10.172246622391757</v>
      </c>
      <c r="T3" s="37">
        <v>6.7000000000000004E-2</v>
      </c>
      <c r="U3" s="37">
        <v>1.4896576479562076E-2</v>
      </c>
      <c r="V3" s="38">
        <v>4.4411764705882355</v>
      </c>
      <c r="W3" s="36">
        <f>(AE3/SUM(AE$2:AE$20))*0.98</f>
        <v>0</v>
      </c>
      <c r="X3" s="37">
        <v>1.4705882352941176E-2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545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175.99039919999998</v>
      </c>
      <c r="J6" s="34">
        <f>I6*V6</f>
        <v>824.46444890520854</v>
      </c>
      <c r="K6" s="34">
        <f>I6*X6</f>
        <v>7.0396159679999997</v>
      </c>
      <c r="L6" s="34">
        <f>((D$2+D$3+D$4)*AA6)</f>
        <v>56.719499199999973</v>
      </c>
      <c r="M6" s="34">
        <f t="shared" ref="M6:N11" si="4">L6*Y6</f>
        <v>45.205440862399982</v>
      </c>
      <c r="N6" s="34">
        <f t="shared" si="4"/>
        <v>337.68464324212783</v>
      </c>
      <c r="O6" s="34">
        <f t="shared" ref="O6:O11" si="5">M6*AG6</f>
        <v>1.6022945799520392</v>
      </c>
      <c r="Q6" s="53"/>
      <c r="R6" s="54"/>
      <c r="S6" s="55"/>
      <c r="T6" s="54"/>
      <c r="U6" s="54"/>
      <c r="V6" s="38">
        <v>4.6847126471272222</v>
      </c>
      <c r="W6" s="36">
        <f t="shared" ref="W6:W11" si="6">(AE6/SUM(AE$2:AE$20))*0.98</f>
        <v>0.38808000000000004</v>
      </c>
      <c r="X6" s="37">
        <v>0.04</v>
      </c>
      <c r="Y6" s="37">
        <v>0.79700000000000004</v>
      </c>
      <c r="Z6" s="56">
        <v>7.47</v>
      </c>
      <c r="AA6" s="36">
        <f t="shared" ref="AA6:AA11" si="7">(AF6/SUM(AF$6:AF$25))*0.98</f>
        <v>0.10191999999999997</v>
      </c>
      <c r="AB6" s="36">
        <f t="shared" ref="AB6:AB11" si="8">(AG6/SUM(AG$6:AG$25))*0.98</f>
        <v>4.2085679972347134E-2</v>
      </c>
      <c r="AD6" s="42"/>
      <c r="AE6" s="37">
        <v>0.39600000000000002</v>
      </c>
      <c r="AF6" s="37">
        <v>0.104</v>
      </c>
      <c r="AG6" s="37">
        <v>3.5444728541177917E-2</v>
      </c>
      <c r="AH6" s="43">
        <f t="shared" si="2"/>
        <v>0.39600000000000002</v>
      </c>
      <c r="AI6" s="43">
        <f>AF6/(SUM(AF$6:AF$25))</f>
        <v>0.10399999999999997</v>
      </c>
    </row>
    <row r="7" spans="1:39" x14ac:dyDescent="0.25">
      <c r="A7" s="32" t="s">
        <v>133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160.43569219999998</v>
      </c>
      <c r="J7" s="34">
        <f>I7*V7</f>
        <v>717.14754413399987</v>
      </c>
      <c r="K7" s="34">
        <f>I7*X7</f>
        <v>7.2196061489999988</v>
      </c>
      <c r="L7" s="34">
        <f>((D$2+D$3+D$4)*AA7)</f>
        <v>53.447220399999971</v>
      </c>
      <c r="M7" s="34">
        <f t="shared" si="4"/>
        <v>44.361192931999973</v>
      </c>
      <c r="N7" s="34">
        <f t="shared" si="4"/>
        <v>388.60405008431974</v>
      </c>
      <c r="O7" s="34">
        <f t="shared" si="5"/>
        <v>2.1634115036045016</v>
      </c>
      <c r="Q7" s="53"/>
      <c r="R7" s="54"/>
      <c r="S7" s="55"/>
      <c r="T7" s="54"/>
      <c r="U7" s="54"/>
      <c r="V7" s="38">
        <v>4.47</v>
      </c>
      <c r="W7" s="36">
        <f t="shared" si="6"/>
        <v>0.35377999999999998</v>
      </c>
      <c r="X7" s="37">
        <v>4.4999999999999998E-2</v>
      </c>
      <c r="Y7" s="37">
        <v>0.83</v>
      </c>
      <c r="Z7" s="56">
        <v>8.76</v>
      </c>
      <c r="AA7" s="36">
        <f t="shared" si="7"/>
        <v>9.6039999999999973E-2</v>
      </c>
      <c r="AB7" s="36">
        <f t="shared" si="8"/>
        <v>5.7905339480645586E-2</v>
      </c>
      <c r="AD7" s="42"/>
      <c r="AE7" s="37">
        <v>0.36099999999999999</v>
      </c>
      <c r="AF7" s="37">
        <v>9.8000000000000004E-2</v>
      </c>
      <c r="AG7" s="37">
        <v>4.8768109255328963E-2</v>
      </c>
      <c r="AH7" s="43">
        <f t="shared" si="2"/>
        <v>0.36099999999999999</v>
      </c>
      <c r="AI7" s="43">
        <f t="shared" ref="AI7:AI25" si="9">AF7/(SUM(AF$6:AF$25))</f>
        <v>9.7999999999999976E-2</v>
      </c>
    </row>
    <row r="8" spans="1:39" x14ac:dyDescent="0.25">
      <c r="A8" s="32" t="s">
        <v>660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19.110068599999998</v>
      </c>
      <c r="J8" s="34">
        <f>I8*V8</f>
        <v>74.147066167999995</v>
      </c>
      <c r="K8" s="34">
        <f>I8*X8</f>
        <v>0.57330205799999989</v>
      </c>
      <c r="L8" s="34">
        <f>((D$2+D$3+D$4)*AA8)</f>
        <v>2.7268989999999986</v>
      </c>
      <c r="M8" s="34">
        <f t="shared" si="4"/>
        <v>2.0451742499999988</v>
      </c>
      <c r="N8" s="34">
        <f t="shared" si="4"/>
        <v>16.202407896459672</v>
      </c>
      <c r="O8" s="34">
        <f t="shared" si="5"/>
        <v>6.1355227499999963E-2</v>
      </c>
      <c r="Q8" s="53"/>
      <c r="R8" s="54"/>
      <c r="S8" s="55"/>
      <c r="T8" s="54"/>
      <c r="U8" s="54"/>
      <c r="V8" s="38">
        <v>3.88</v>
      </c>
      <c r="W8" s="36">
        <f t="shared" si="6"/>
        <v>4.2139999999999997E-2</v>
      </c>
      <c r="X8" s="37">
        <v>0.03</v>
      </c>
      <c r="Y8" s="37">
        <v>0.75</v>
      </c>
      <c r="Z8" s="56">
        <v>7.9222628079048425</v>
      </c>
      <c r="AA8" s="36">
        <f t="shared" si="7"/>
        <v>4.899999999999999E-3</v>
      </c>
      <c r="AB8" s="36">
        <f t="shared" si="8"/>
        <v>3.562082293009023E-2</v>
      </c>
      <c r="AD8" s="42"/>
      <c r="AE8" s="37">
        <v>4.2999999999999997E-2</v>
      </c>
      <c r="AF8" s="37">
        <v>5.0000000000000001E-3</v>
      </c>
      <c r="AG8" s="37">
        <v>0.03</v>
      </c>
      <c r="AH8" s="43">
        <f t="shared" si="2"/>
        <v>4.2999999999999997E-2</v>
      </c>
      <c r="AI8" s="43">
        <f t="shared" si="9"/>
        <v>4.9999999999999992E-3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724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134.16343079999993</v>
      </c>
      <c r="M13" s="34">
        <f t="shared" ref="M13:N20" si="17">L13*Y13</f>
        <v>85.462105419599951</v>
      </c>
      <c r="N13" s="34">
        <f t="shared" si="17"/>
        <v>1244.3282549093753</v>
      </c>
      <c r="O13" s="34">
        <f t="shared" ref="O13:O20" si="18">M13*AG13</f>
        <v>8.9735210690579947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0.63700000000000001</v>
      </c>
      <c r="Z13" s="56">
        <v>14.56</v>
      </c>
      <c r="AA13" s="36">
        <f t="shared" ref="AA13:AB20" si="20">(AF13/SUM(AF$6:AF$25))*0.98</f>
        <v>0.24107999999999993</v>
      </c>
      <c r="AB13" s="36">
        <f t="shared" si="20"/>
        <v>0.1246728802553158</v>
      </c>
      <c r="AD13" s="42"/>
      <c r="AE13" s="37">
        <v>0</v>
      </c>
      <c r="AF13" s="37">
        <v>0.246</v>
      </c>
      <c r="AG13" s="37">
        <v>0.105</v>
      </c>
      <c r="AH13" s="43">
        <f t="shared" si="2"/>
        <v>0</v>
      </c>
      <c r="AI13" s="43">
        <f t="shared" si="9"/>
        <v>0.24599999999999994</v>
      </c>
    </row>
    <row r="14" spans="1:39" x14ac:dyDescent="0.25">
      <c r="A14" s="32" t="s">
        <v>327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84.533868999999967</v>
      </c>
      <c r="M14" s="34">
        <f t="shared" si="17"/>
        <v>53.002735862999977</v>
      </c>
      <c r="N14" s="34">
        <f t="shared" si="17"/>
        <v>694.33583980529966</v>
      </c>
      <c r="O14" s="34">
        <f t="shared" si="18"/>
        <v>5.9363064166559978</v>
      </c>
      <c r="Q14" s="53"/>
      <c r="R14" s="54"/>
      <c r="S14" s="55"/>
      <c r="T14" s="54"/>
      <c r="U14" s="54"/>
      <c r="V14" s="38">
        <v>3</v>
      </c>
      <c r="W14" s="36">
        <f t="shared" ref="W14:W18" si="21">(AE14/SUM(AE$2:AE$20))*0.98</f>
        <v>0</v>
      </c>
      <c r="X14" s="37">
        <v>7.0000000000000001E-3</v>
      </c>
      <c r="Y14" s="37">
        <v>0.627</v>
      </c>
      <c r="Z14" s="56">
        <v>13.1</v>
      </c>
      <c r="AA14" s="36">
        <f t="shared" ref="AA14:AA18" si="22">(AF14/SUM(AF$6:AF$25))*0.98</f>
        <v>0.15189999999999998</v>
      </c>
      <c r="AB14" s="36">
        <f t="shared" ref="AB14:AB18" si="23">(AG14/SUM(AG$6:AG$25))*0.98</f>
        <v>0.13298440560567021</v>
      </c>
      <c r="AD14" s="42"/>
      <c r="AE14" s="37">
        <v>0</v>
      </c>
      <c r="AF14" s="37">
        <v>0.155</v>
      </c>
      <c r="AG14" s="37">
        <v>0.112</v>
      </c>
      <c r="AH14" s="43">
        <f t="shared" si="2"/>
        <v>0</v>
      </c>
      <c r="AI14" s="43">
        <f t="shared" si="9"/>
        <v>0.15499999999999997</v>
      </c>
    </row>
    <row r="15" spans="1:39" x14ac:dyDescent="0.25">
      <c r="A15" s="32" t="s">
        <v>547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34.358927399999985</v>
      </c>
      <c r="M15" s="34">
        <f t="shared" si="17"/>
        <v>24.326120599199989</v>
      </c>
      <c r="N15" s="34">
        <f t="shared" si="17"/>
        <v>341.29547200677581</v>
      </c>
      <c r="O15" s="34">
        <f t="shared" si="18"/>
        <v>1.7028284419439994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0.70799999999999996</v>
      </c>
      <c r="Z15" s="56">
        <v>14.03</v>
      </c>
      <c r="AA15" s="36">
        <f t="shared" si="22"/>
        <v>6.1739999999999982E-2</v>
      </c>
      <c r="AB15" s="36">
        <f t="shared" si="23"/>
        <v>8.3115253503543887E-2</v>
      </c>
      <c r="AD15" s="42"/>
      <c r="AE15" s="37">
        <v>0</v>
      </c>
      <c r="AF15" s="37">
        <v>6.3E-2</v>
      </c>
      <c r="AG15" s="37">
        <v>7.0000000000000007E-2</v>
      </c>
      <c r="AH15" s="43">
        <f t="shared" si="2"/>
        <v>0</v>
      </c>
      <c r="AI15" s="43">
        <f t="shared" si="9"/>
        <v>6.2999999999999987E-2</v>
      </c>
    </row>
    <row r="16" spans="1:39" x14ac:dyDescent="0.25">
      <c r="A16" s="32" t="s">
        <v>312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2.2221009999999999</v>
      </c>
      <c r="J16" s="34">
        <f t="shared" si="14"/>
        <v>6.6663029999999992</v>
      </c>
      <c r="K16" s="34">
        <f t="shared" si="15"/>
        <v>1.5554706999999999E-2</v>
      </c>
      <c r="L16" s="34">
        <f t="shared" si="16"/>
        <v>27.814369799999984</v>
      </c>
      <c r="M16" s="34">
        <f t="shared" si="17"/>
        <v>19.887274406999989</v>
      </c>
      <c r="N16" s="34">
        <f t="shared" si="17"/>
        <v>232.33389638627654</v>
      </c>
      <c r="O16" s="34">
        <f t="shared" si="18"/>
        <v>1.4119964828969991</v>
      </c>
      <c r="Q16" s="53"/>
      <c r="R16" s="54"/>
      <c r="S16" s="55"/>
      <c r="T16" s="54"/>
      <c r="U16" s="54"/>
      <c r="V16" s="38">
        <v>3</v>
      </c>
      <c r="W16" s="36">
        <f t="shared" si="21"/>
        <v>4.8999999999999998E-3</v>
      </c>
      <c r="X16" s="37">
        <v>7.0000000000000001E-3</v>
      </c>
      <c r="Y16" s="37">
        <v>0.71499999999999997</v>
      </c>
      <c r="Z16" s="56">
        <v>11.682540886774252</v>
      </c>
      <c r="AA16" s="36">
        <f t="shared" si="22"/>
        <v>4.9979999999999983E-2</v>
      </c>
      <c r="AB16" s="36">
        <f t="shared" si="23"/>
        <v>8.4302614267880202E-2</v>
      </c>
      <c r="AD16" s="42"/>
      <c r="AE16" s="37">
        <v>5.0000000000000001E-3</v>
      </c>
      <c r="AF16" s="37">
        <v>5.0999999999999997E-2</v>
      </c>
      <c r="AG16" s="37">
        <v>7.0999999999999994E-2</v>
      </c>
      <c r="AH16" s="43">
        <f t="shared" si="2"/>
        <v>5.0000000000000001E-3</v>
      </c>
      <c r="AI16" s="43">
        <f t="shared" si="9"/>
        <v>5.0999999999999983E-2</v>
      </c>
    </row>
    <row r="17" spans="1:35" x14ac:dyDescent="0.25">
      <c r="A17" s="32" t="s">
        <v>462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23.996711199999989</v>
      </c>
      <c r="M17" s="34">
        <f t="shared" si="17"/>
        <v>18.069523533599991</v>
      </c>
      <c r="N17" s="34">
        <f t="shared" si="17"/>
        <v>226.50154011703694</v>
      </c>
      <c r="O17" s="34">
        <f t="shared" si="18"/>
        <v>1.3010056944191992</v>
      </c>
      <c r="Q17" s="53"/>
      <c r="R17" s="54"/>
      <c r="S17" s="55"/>
      <c r="T17" s="54"/>
      <c r="U17" s="54"/>
      <c r="V17" s="38">
        <v>4.5</v>
      </c>
      <c r="W17" s="36">
        <f t="shared" si="21"/>
        <v>0</v>
      </c>
      <c r="X17" s="37">
        <v>1.2500000000000001E-2</v>
      </c>
      <c r="Y17" s="37">
        <v>0.753</v>
      </c>
      <c r="Z17" s="56">
        <v>12.53500346568967</v>
      </c>
      <c r="AA17" s="36">
        <f t="shared" si="22"/>
        <v>4.3119999999999992E-2</v>
      </c>
      <c r="AB17" s="36">
        <f t="shared" si="23"/>
        <v>8.5489975032216545E-2</v>
      </c>
      <c r="AD17" s="42"/>
      <c r="AE17" s="37">
        <v>0</v>
      </c>
      <c r="AF17" s="37">
        <v>4.3999999999999997E-2</v>
      </c>
      <c r="AG17" s="37">
        <v>7.1999999999999995E-2</v>
      </c>
      <c r="AH17" s="43">
        <f t="shared" si="2"/>
        <v>0</v>
      </c>
      <c r="AI17" s="43">
        <f t="shared" si="9"/>
        <v>4.3999999999999991E-2</v>
      </c>
    </row>
    <row r="18" spans="1:35" x14ac:dyDescent="0.25">
      <c r="A18" s="32" t="s">
        <v>546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4.363038399999998</v>
      </c>
      <c r="M18" s="34">
        <f t="shared" si="17"/>
        <v>2.9843182655999989</v>
      </c>
      <c r="N18" s="34">
        <f t="shared" si="17"/>
        <v>43.571046677759981</v>
      </c>
      <c r="O18" s="34">
        <f t="shared" si="18"/>
        <v>0.20890227859199995</v>
      </c>
      <c r="Q18" s="53"/>
      <c r="R18" s="54"/>
      <c r="S18" s="55"/>
      <c r="T18" s="54"/>
      <c r="U18" s="54"/>
      <c r="V18" s="38">
        <v>4.666666666666667</v>
      </c>
      <c r="W18" s="36">
        <f t="shared" si="21"/>
        <v>0</v>
      </c>
      <c r="X18" s="37">
        <v>1.6666666666666666E-2</v>
      </c>
      <c r="Y18" s="37">
        <v>0.68400000000000005</v>
      </c>
      <c r="Z18" s="56">
        <v>14.6</v>
      </c>
      <c r="AA18" s="36">
        <f t="shared" si="22"/>
        <v>7.839999999999998E-3</v>
      </c>
      <c r="AB18" s="36">
        <f t="shared" si="23"/>
        <v>8.3115253503543887E-2</v>
      </c>
      <c r="AD18" s="42"/>
      <c r="AE18" s="37">
        <v>0</v>
      </c>
      <c r="AF18" s="37">
        <v>8.0000000000000002E-3</v>
      </c>
      <c r="AG18" s="37">
        <v>7.0000000000000007E-2</v>
      </c>
      <c r="AH18" s="43">
        <f t="shared" si="2"/>
        <v>0</v>
      </c>
      <c r="AI18" s="43">
        <f t="shared" si="9"/>
        <v>7.9999999999999984E-3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11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78.534691199999969</v>
      </c>
      <c r="M22" s="34">
        <f t="shared" ref="M22:N25" si="24">L22*Y22</f>
        <v>54.324388158843846</v>
      </c>
      <c r="N22" s="34">
        <f t="shared" si="24"/>
        <v>630.16290264258862</v>
      </c>
      <c r="O22" s="34">
        <f>M22*AG22</f>
        <v>4.9435193224547902</v>
      </c>
      <c r="Q22" s="53"/>
      <c r="R22" s="54"/>
      <c r="S22" s="55"/>
      <c r="T22" s="54"/>
      <c r="U22" s="54"/>
      <c r="V22" s="59"/>
      <c r="W22" s="60"/>
      <c r="X22" s="54"/>
      <c r="Y22" s="37">
        <v>0.69172473118279565</v>
      </c>
      <c r="Z22" s="56">
        <v>11.6</v>
      </c>
      <c r="AA22" s="36">
        <f t="shared" ref="AA22:AB25" si="25">(AF22/SUM(AF$6:AF$25))*0.98</f>
        <v>0.14111999999999997</v>
      </c>
      <c r="AB22" s="36">
        <f t="shared" si="25"/>
        <v>0.10804982955460703</v>
      </c>
      <c r="AD22" s="42"/>
      <c r="AE22" s="42"/>
      <c r="AF22" s="37">
        <v>0.14399999999999999</v>
      </c>
      <c r="AG22" s="37">
        <v>9.0999999999999998E-2</v>
      </c>
      <c r="AH22" s="43"/>
      <c r="AI22" s="43">
        <f t="shared" si="9"/>
        <v>0.14399999999999996</v>
      </c>
    </row>
    <row r="23" spans="1:35" x14ac:dyDescent="0.25">
      <c r="A23" s="32" t="s">
        <v>708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37.085826399999988</v>
      </c>
      <c r="M23" s="34">
        <f t="shared" si="24"/>
        <v>26.850138313599992</v>
      </c>
      <c r="N23" s="34">
        <f t="shared" si="24"/>
        <v>268.12218195686313</v>
      </c>
      <c r="O23" s="34">
        <f>M23*AG23</f>
        <v>1.6915587137567996</v>
      </c>
      <c r="Q23" s="53"/>
      <c r="R23" s="54"/>
      <c r="S23" s="55"/>
      <c r="T23" s="54"/>
      <c r="U23" s="54"/>
      <c r="V23" s="59"/>
      <c r="W23" s="60"/>
      <c r="X23" s="54"/>
      <c r="Y23" s="37">
        <v>0.72399999999999998</v>
      </c>
      <c r="Z23" s="56">
        <v>9.9858771238081587</v>
      </c>
      <c r="AA23" s="36">
        <f t="shared" si="25"/>
        <v>6.6639999999999991E-2</v>
      </c>
      <c r="AB23" s="36">
        <f t="shared" si="25"/>
        <v>7.4803728153189475E-2</v>
      </c>
      <c r="AD23" s="42"/>
      <c r="AE23" s="42"/>
      <c r="AF23" s="37">
        <v>6.8000000000000005E-2</v>
      </c>
      <c r="AG23" s="37">
        <v>6.3E-2</v>
      </c>
      <c r="AH23" s="43"/>
      <c r="AI23" s="43">
        <f t="shared" si="9"/>
        <v>6.7999999999999991E-2</v>
      </c>
    </row>
    <row r="24" spans="1:35" x14ac:dyDescent="0.25">
      <c r="A24" s="32" t="s">
        <v>422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7.6353171999999958</v>
      </c>
      <c r="M24" s="34">
        <f t="shared" si="24"/>
        <v>5.2803765463316212</v>
      </c>
      <c r="N24" s="34">
        <f t="shared" si="24"/>
        <v>49.646398653312801</v>
      </c>
      <c r="O24" s="34">
        <f>M24*AG24</f>
        <v>0.30175817720341869</v>
      </c>
      <c r="Q24" s="53"/>
      <c r="R24" s="54"/>
      <c r="S24" s="55"/>
      <c r="T24" s="54"/>
      <c r="U24" s="54"/>
      <c r="V24" s="59"/>
      <c r="W24" s="60"/>
      <c r="X24" s="54"/>
      <c r="Y24" s="37">
        <v>0.69157264957264963</v>
      </c>
      <c r="Z24" s="56">
        <v>9.4020565044368105</v>
      </c>
      <c r="AA24" s="36">
        <f t="shared" si="25"/>
        <v>1.3719999999999996E-2</v>
      </c>
      <c r="AB24" s="36">
        <f t="shared" si="25"/>
        <v>6.7854217740950157E-2</v>
      </c>
      <c r="AD24" s="42"/>
      <c r="AE24" s="42"/>
      <c r="AF24" s="37">
        <v>1.4E-2</v>
      </c>
      <c r="AG24" s="37">
        <v>5.714709444595497E-2</v>
      </c>
      <c r="AH24" s="43"/>
      <c r="AI24" s="43">
        <f t="shared" si="9"/>
        <v>1.3999999999999997E-2</v>
      </c>
    </row>
    <row r="25" spans="1:35" x14ac:dyDescent="0.25">
      <c r="A25" s="61"/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1010</v>
      </c>
      <c r="E29" s="75">
        <v>0.55100000000000005</v>
      </c>
      <c r="F29" s="76">
        <f>1-E29</f>
        <v>0.44899999999999995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127">
        <f>D29*E29</f>
        <v>556.51</v>
      </c>
      <c r="E32" s="80">
        <f>SUM(E2:E4)</f>
        <v>389.97424591321391</v>
      </c>
      <c r="F32" s="80">
        <f>SUM(F2:F4)</f>
        <v>4479.8115254895665</v>
      </c>
      <c r="G32" s="80">
        <f>SUM(G2:G4)</f>
        <v>30.345696469585331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128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129" t="s">
        <v>202</v>
      </c>
      <c r="F34" s="129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453.48999999999995</v>
      </c>
      <c r="E35" s="80">
        <f>D35*G29</f>
        <v>2040.7049999999997</v>
      </c>
      <c r="F35" s="80">
        <v>18.5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444.42019999999997</v>
      </c>
      <c r="E38" s="91">
        <f>SUM(J2:J4,J6:J11,J13:J20)</f>
        <v>2039.2692887972084</v>
      </c>
      <c r="F38" s="91">
        <f>SUM(K2:K4,K6:K11,K13:K20)</f>
        <v>18.487880319999999</v>
      </c>
      <c r="G38" s="91">
        <f>SUM(L6:L11,L13:L20,L22:L25)</f>
        <v>545.37979999999982</v>
      </c>
      <c r="H38" s="91">
        <f>SUM(M6:M11,M13:M20,M22:M25)</f>
        <v>381.79878915117536</v>
      </c>
      <c r="I38" s="91">
        <f>SUM(N6:N11,N13:N20,N22:N25)</f>
        <v>4472.7886343781965</v>
      </c>
      <c r="J38" s="91">
        <f>SUM(O6:O11,O13:O20,O22:O25)</f>
        <v>30.298457908037737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9.0697999999999865</v>
      </c>
      <c r="E39" s="92">
        <f>E35-E38</f>
        <v>1.4357112027912535</v>
      </c>
      <c r="F39" s="92">
        <f>F35-F38</f>
        <v>1.2119680000001409E-2</v>
      </c>
      <c r="G39" s="92">
        <f>SUM(D2:D4)-G38</f>
        <v>11.130200000000059</v>
      </c>
      <c r="H39" s="92">
        <f>E32-H38</f>
        <v>8.1754567620385501</v>
      </c>
      <c r="I39" s="92">
        <f>F32-I38</f>
        <v>7.0228911113699724</v>
      </c>
      <c r="J39" s="92">
        <f>G32-J38</f>
        <v>4.7238561547594315E-2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21" priority="1" operator="lessThan">
      <formula>0</formula>
    </cfRule>
  </conditionalFormatting>
  <conditionalFormatting sqref="W28 AA28:AF28">
    <cfRule type="cellIs" dxfId="20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7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73</v>
      </c>
    </row>
    <row r="2" spans="1:39" x14ac:dyDescent="0.25">
      <c r="A2" s="32" t="s">
        <v>548</v>
      </c>
      <c r="B2" s="33" t="s">
        <v>7</v>
      </c>
      <c r="C2" s="33">
        <f>VLOOKUP($AM$1,DST!C:D,2,FALSE)</f>
        <v>8</v>
      </c>
      <c r="D2" s="34">
        <f>D$32*Q2</f>
        <v>502.59967999999998</v>
      </c>
      <c r="E2" s="34">
        <f>D2*R2</f>
        <v>333.12133515137799</v>
      </c>
      <c r="F2" s="34">
        <f>E2*S2</f>
        <v>3631.02255315002</v>
      </c>
      <c r="G2" s="34">
        <f>E2*T2</f>
        <v>21.986008119990949</v>
      </c>
      <c r="H2" s="34">
        <f>D2*U2</f>
        <v>9.9773578308792974</v>
      </c>
      <c r="I2" s="34">
        <f>D$35*W2</f>
        <v>75.848048639999988</v>
      </c>
      <c r="J2" s="34">
        <f>I2*V2</f>
        <v>312.49396039679993</v>
      </c>
      <c r="K2" s="34">
        <f>I2*X2</f>
        <v>4.019946577919999</v>
      </c>
      <c r="L2" s="35"/>
      <c r="M2" s="35"/>
      <c r="N2" s="35"/>
      <c r="O2" s="35"/>
      <c r="Q2" s="36">
        <f>(AD2/SUM(AD$2:AD$25))</f>
        <v>0.97</v>
      </c>
      <c r="R2" s="37">
        <v>0.66279655241996571</v>
      </c>
      <c r="S2" s="38">
        <v>10.9</v>
      </c>
      <c r="T2" s="37">
        <v>6.6000000000000003E-2</v>
      </c>
      <c r="U2" s="37">
        <v>1.9851500563787261E-2</v>
      </c>
      <c r="V2" s="38">
        <v>4.12</v>
      </c>
      <c r="W2" s="36">
        <f>(AE2/SUM(AE$2:AE$25))*0.98</f>
        <v>0.14993999999999999</v>
      </c>
      <c r="X2" s="37">
        <v>5.2999999999999999E-2</v>
      </c>
      <c r="Y2" s="39"/>
      <c r="Z2" s="40"/>
      <c r="AA2" s="41"/>
      <c r="AB2" s="41"/>
      <c r="AD2" s="37">
        <v>0.97</v>
      </c>
      <c r="AE2" s="37">
        <v>0.153</v>
      </c>
      <c r="AF2" s="42"/>
      <c r="AG2" s="42"/>
      <c r="AH2" s="43">
        <f>AE2/(SUM(AE$2:AE$25))</f>
        <v>0.153</v>
      </c>
    </row>
    <row r="3" spans="1:39" x14ac:dyDescent="0.25">
      <c r="A3" s="61" t="s">
        <v>497</v>
      </c>
      <c r="B3" s="33" t="s">
        <v>7</v>
      </c>
      <c r="C3" s="33">
        <f>VLOOKUP($AM$1,DST!C:D,2,FALSE)</f>
        <v>8</v>
      </c>
      <c r="D3" s="34">
        <f>D$32*Q3</f>
        <v>15.544319999999999</v>
      </c>
      <c r="E3" s="34">
        <f t="shared" ref="E3:F4" si="0">D3*R3</f>
        <v>10.141974475776411</v>
      </c>
      <c r="F3" s="34">
        <f t="shared" si="0"/>
        <v>100.20270782067095</v>
      </c>
      <c r="G3" s="34">
        <f t="shared" ref="G3:G4" si="1">E3*T3</f>
        <v>0.55780859616770262</v>
      </c>
      <c r="H3" s="34">
        <f>D3*U3</f>
        <v>0.28627229779075014</v>
      </c>
      <c r="I3" s="34">
        <f>D$35*W3</f>
        <v>2.4786943999999997</v>
      </c>
      <c r="J3" s="34">
        <f>I3*V3</f>
        <v>13.694383562086616</v>
      </c>
      <c r="K3" s="34">
        <f>I3*X3</f>
        <v>8.8831029417462279E-2</v>
      </c>
      <c r="L3" s="35">
        <v>32.190800000000003</v>
      </c>
      <c r="M3" s="35">
        <v>23.66</v>
      </c>
      <c r="N3" s="35">
        <v>258.72550000000001</v>
      </c>
      <c r="O3" s="35">
        <v>2.3847999999999998</v>
      </c>
      <c r="Q3" s="36">
        <f>(AD3/SUM(AD$2:AD$25))</f>
        <v>0.03</v>
      </c>
      <c r="R3" s="37">
        <v>0.65245533260872213</v>
      </c>
      <c r="S3" s="38">
        <v>9.8800000000000008</v>
      </c>
      <c r="T3" s="37">
        <v>5.5E-2</v>
      </c>
      <c r="U3" s="37">
        <v>1.8416521133812876E-2</v>
      </c>
      <c r="V3" s="38">
        <v>5.5248374152483732</v>
      </c>
      <c r="W3" s="36">
        <f>(AE3/SUM(AE$2:AE$25))*0.98</f>
        <v>4.8999999999999998E-3</v>
      </c>
      <c r="X3" s="37">
        <v>3.58378303583783E-2</v>
      </c>
      <c r="Y3" s="39"/>
      <c r="Z3" s="40"/>
      <c r="AA3" s="41"/>
      <c r="AB3" s="41"/>
      <c r="AD3" s="37">
        <v>0.03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A4" s="61" t="s">
        <v>642</v>
      </c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0.61699999999999999</v>
      </c>
      <c r="S4" s="38">
        <v>10.33</v>
      </c>
      <c r="T4" s="37">
        <v>0.05</v>
      </c>
      <c r="U4" s="37">
        <v>2.7E-2</v>
      </c>
      <c r="V4" s="38">
        <v>3.13</v>
      </c>
      <c r="W4" s="36">
        <f>(AE4/SUM(AE$2:AE$25))*0.98</f>
        <v>0</v>
      </c>
      <c r="X4" s="37">
        <v>2.7E-2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258.77569535999999</v>
      </c>
      <c r="J6" s="34">
        <f t="shared" ref="J6:J11" si="4">I6*V6</f>
        <v>1099.79670528</v>
      </c>
      <c r="K6" s="34">
        <f t="shared" ref="K6:K11" si="5">I6*X6</f>
        <v>7.1454475502010162</v>
      </c>
      <c r="L6" s="34">
        <f t="shared" ref="L6:L11" si="6">((D$2+D$3+D$4)*AA6)</f>
        <v>44.176957439999995</v>
      </c>
      <c r="M6" s="34">
        <f t="shared" ref="M6:N11" si="7">L6*Y6</f>
        <v>34.237142016</v>
      </c>
      <c r="N6" s="34">
        <f t="shared" si="7"/>
        <v>272.87002186751999</v>
      </c>
      <c r="O6" s="34">
        <f t="shared" ref="O6:O11" si="8">M6*AG6</f>
        <v>1.574908532736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(AE6/SUM(AE$2:AE$25))*0.98</f>
        <v>0.51156000000000001</v>
      </c>
      <c r="X6" s="37">
        <v>2.7612514151533867E-2</v>
      </c>
      <c r="Y6" s="37">
        <v>0.77500000000000002</v>
      </c>
      <c r="Z6" s="56">
        <v>7.97</v>
      </c>
      <c r="AA6" s="36">
        <f t="shared" ref="AA6:AB11" si="10">(AF6/SUM(AF$6:AF$25))*0.98</f>
        <v>8.5259999999999989E-2</v>
      </c>
      <c r="AB6" s="36">
        <f t="shared" si="10"/>
        <v>6.8480798852711522E-2</v>
      </c>
      <c r="AD6" s="42"/>
      <c r="AE6" s="37">
        <v>0.52200000000000002</v>
      </c>
      <c r="AF6" s="37">
        <v>8.6999999999999994E-2</v>
      </c>
      <c r="AG6" s="37">
        <v>4.5999999999999999E-2</v>
      </c>
      <c r="AH6" s="43">
        <f t="shared" si="2"/>
        <v>0.52200000000000002</v>
      </c>
      <c r="AI6" s="43">
        <f>AF6/(SUM(AF$6:AF$25))</f>
        <v>8.6999999999999994E-2</v>
      </c>
    </row>
    <row r="7" spans="1:39" x14ac:dyDescent="0.25">
      <c r="A7" s="32" t="s">
        <v>46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121.95176447999999</v>
      </c>
      <c r="J7" s="34">
        <f t="shared" si="4"/>
        <v>476.83139911680001</v>
      </c>
      <c r="K7" s="34">
        <f t="shared" si="5"/>
        <v>2.4500325132714935</v>
      </c>
      <c r="L7" s="34">
        <f t="shared" si="6"/>
        <v>39.60692736</v>
      </c>
      <c r="M7" s="34">
        <f t="shared" si="7"/>
        <v>29.625981665280001</v>
      </c>
      <c r="N7" s="34">
        <f t="shared" si="7"/>
        <v>209.45569037352962</v>
      </c>
      <c r="O7" s="34">
        <f t="shared" si="8"/>
        <v>0.97765739495424009</v>
      </c>
      <c r="Q7" s="53"/>
      <c r="R7" s="54"/>
      <c r="S7" s="55"/>
      <c r="T7" s="54"/>
      <c r="U7" s="54"/>
      <c r="V7" s="38">
        <v>3.91</v>
      </c>
      <c r="W7" s="36">
        <f t="shared" si="9"/>
        <v>0.24107999999999999</v>
      </c>
      <c r="X7" s="37">
        <v>2.0090176831129795E-2</v>
      </c>
      <c r="Y7" s="37">
        <v>0.748</v>
      </c>
      <c r="Z7" s="56">
        <v>7.07</v>
      </c>
      <c r="AA7" s="36">
        <f t="shared" si="10"/>
        <v>7.6439999999999994E-2</v>
      </c>
      <c r="AB7" s="36">
        <f t="shared" si="10"/>
        <v>4.9127529611727831E-2</v>
      </c>
      <c r="AD7" s="42"/>
      <c r="AE7" s="37">
        <v>0.246</v>
      </c>
      <c r="AF7" s="37">
        <v>7.8E-2</v>
      </c>
      <c r="AG7" s="37">
        <v>3.3000000000000002E-2</v>
      </c>
      <c r="AH7" s="43">
        <f t="shared" si="2"/>
        <v>0.246</v>
      </c>
      <c r="AI7" s="43">
        <f t="shared" ref="AI7:AI25" si="11">AF7/(SUM(AF$6:AF$25))</f>
        <v>7.8E-2</v>
      </c>
    </row>
    <row r="8" spans="1:39" x14ac:dyDescent="0.25">
      <c r="A8" s="32" t="s">
        <v>395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26.769899519999999</v>
      </c>
      <c r="J8" s="34">
        <f t="shared" si="4"/>
        <v>107.8826950656</v>
      </c>
      <c r="K8" s="34">
        <f t="shared" si="5"/>
        <v>0.53539799040000002</v>
      </c>
      <c r="L8" s="34">
        <f t="shared" si="6"/>
        <v>5.0778112000000002</v>
      </c>
      <c r="M8" s="34">
        <f t="shared" si="7"/>
        <v>3.8083584000000004</v>
      </c>
      <c r="N8" s="34">
        <f t="shared" si="7"/>
        <v>30.79548781162265</v>
      </c>
      <c r="O8" s="34">
        <f t="shared" si="8"/>
        <v>0.11805911040000001</v>
      </c>
      <c r="Q8" s="53"/>
      <c r="R8" s="54"/>
      <c r="S8" s="55"/>
      <c r="T8" s="54"/>
      <c r="U8" s="54"/>
      <c r="V8" s="38">
        <v>4.03</v>
      </c>
      <c r="W8" s="36">
        <f t="shared" si="9"/>
        <v>5.2920000000000002E-2</v>
      </c>
      <c r="X8" s="37">
        <v>0.02</v>
      </c>
      <c r="Y8" s="37">
        <v>0.75</v>
      </c>
      <c r="Z8" s="56">
        <v>8.0862893081761023</v>
      </c>
      <c r="AA8" s="36">
        <f t="shared" si="10"/>
        <v>9.7999999999999997E-3</v>
      </c>
      <c r="AB8" s="36">
        <f t="shared" si="10"/>
        <v>4.6150103574653413E-2</v>
      </c>
      <c r="AD8" s="42"/>
      <c r="AE8" s="37">
        <v>5.3999999999999999E-2</v>
      </c>
      <c r="AF8" s="37">
        <v>0.01</v>
      </c>
      <c r="AG8" s="37">
        <v>3.1E-2</v>
      </c>
      <c r="AH8" s="43">
        <f t="shared" si="2"/>
        <v>5.3999999999999999E-2</v>
      </c>
      <c r="AI8" s="43">
        <f t="shared" si="11"/>
        <v>0.01</v>
      </c>
    </row>
    <row r="9" spans="1:39" x14ac:dyDescent="0.25">
      <c r="A9" s="32" t="s">
        <v>549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9.914777599999999</v>
      </c>
      <c r="J9" s="34">
        <f t="shared" si="4"/>
        <v>37.676154879999991</v>
      </c>
      <c r="K9" s="34">
        <f t="shared" si="5"/>
        <v>0.24786944</v>
      </c>
      <c r="L9" s="34">
        <f t="shared" si="6"/>
        <v>2.5389056000000001</v>
      </c>
      <c r="M9" s="34">
        <f t="shared" si="7"/>
        <v>1.7848506367999999</v>
      </c>
      <c r="N9" s="34">
        <f t="shared" si="7"/>
        <v>12.690288027648</v>
      </c>
      <c r="O9" s="34">
        <f t="shared" si="8"/>
        <v>4.462126592E-2</v>
      </c>
      <c r="Q9" s="53"/>
      <c r="R9" s="54"/>
      <c r="S9" s="55"/>
      <c r="T9" s="54"/>
      <c r="U9" s="54"/>
      <c r="V9" s="38">
        <v>3.8</v>
      </c>
      <c r="W9" s="36">
        <f t="shared" si="9"/>
        <v>1.9599999999999999E-2</v>
      </c>
      <c r="X9" s="37">
        <v>2.5000000000000001E-2</v>
      </c>
      <c r="Y9" s="37">
        <v>0.70299999999999996</v>
      </c>
      <c r="Z9" s="56">
        <v>7.11</v>
      </c>
      <c r="AA9" s="36">
        <f t="shared" si="10"/>
        <v>4.8999999999999998E-3</v>
      </c>
      <c r="AB9" s="36">
        <f t="shared" si="10"/>
        <v>3.7217825463430179E-2</v>
      </c>
      <c r="AD9" s="42"/>
      <c r="AE9" s="37">
        <v>0.02</v>
      </c>
      <c r="AF9" s="37">
        <v>5.0000000000000001E-3</v>
      </c>
      <c r="AG9" s="37">
        <v>2.5000000000000001E-2</v>
      </c>
      <c r="AH9" s="43">
        <f t="shared" si="2"/>
        <v>0.02</v>
      </c>
      <c r="AI9" s="43">
        <f t="shared" si="11"/>
        <v>5.0000000000000001E-3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321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137.60868352000003</v>
      </c>
      <c r="M13" s="34">
        <f t="shared" ref="M13:N20" si="16">L13*Y13</f>
        <v>86.005427200000014</v>
      </c>
      <c r="N13" s="34">
        <f t="shared" si="16"/>
        <v>1075.9278942720002</v>
      </c>
      <c r="O13" s="34">
        <f t="shared" ref="O13:O20" si="17">M13*AG13</f>
        <v>7.1384504576000012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(AE13/SUM(AE$2:AE$25))*0.98</f>
        <v>0</v>
      </c>
      <c r="X13" s="37">
        <v>7.0000000000000001E-3</v>
      </c>
      <c r="Y13" s="37">
        <v>0.625</v>
      </c>
      <c r="Z13" s="56">
        <v>12.51</v>
      </c>
      <c r="AA13" s="36">
        <f t="shared" ref="AA13:AB20" si="19">(AF13/SUM(AF$6:AF$25))*0.98</f>
        <v>0.26558000000000004</v>
      </c>
      <c r="AB13" s="36">
        <f t="shared" si="19"/>
        <v>0.12356318053858817</v>
      </c>
      <c r="AD13" s="42"/>
      <c r="AE13" s="37">
        <v>0</v>
      </c>
      <c r="AF13" s="37">
        <v>0.27100000000000002</v>
      </c>
      <c r="AG13" s="37">
        <v>8.3000000000000004E-2</v>
      </c>
      <c r="AH13" s="43">
        <f t="shared" si="2"/>
        <v>0</v>
      </c>
      <c r="AI13" s="43">
        <f t="shared" si="11"/>
        <v>0.27100000000000002</v>
      </c>
    </row>
    <row r="14" spans="1:39" x14ac:dyDescent="0.25">
      <c r="A14" s="32" t="s">
        <v>692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114.75853312000001</v>
      </c>
      <c r="M14" s="34">
        <f t="shared" si="16"/>
        <v>70.920773468160007</v>
      </c>
      <c r="N14" s="34">
        <f t="shared" si="16"/>
        <v>919.13322414735376</v>
      </c>
      <c r="O14" s="34">
        <f t="shared" si="17"/>
        <v>6.0991865182617602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0.61799999999999999</v>
      </c>
      <c r="Z14" s="56">
        <v>12.96</v>
      </c>
      <c r="AA14" s="36">
        <f t="shared" si="19"/>
        <v>0.22148000000000001</v>
      </c>
      <c r="AB14" s="36">
        <f t="shared" si="19"/>
        <v>0.12802931959419978</v>
      </c>
      <c r="AD14" s="42"/>
      <c r="AE14" s="37">
        <v>0</v>
      </c>
      <c r="AF14" s="37">
        <v>0.22600000000000001</v>
      </c>
      <c r="AG14" s="37">
        <v>8.5999999999999993E-2</v>
      </c>
      <c r="AH14" s="43">
        <f t="shared" si="2"/>
        <v>0</v>
      </c>
      <c r="AI14" s="43">
        <f t="shared" si="11"/>
        <v>0.22600000000000001</v>
      </c>
    </row>
    <row r="15" spans="1:39" x14ac:dyDescent="0.25">
      <c r="A15" s="32" t="s">
        <v>496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37.575802879999998</v>
      </c>
      <c r="M15" s="34">
        <f t="shared" si="16"/>
        <v>24.992278194604651</v>
      </c>
      <c r="N15" s="34">
        <f t="shared" si="16"/>
        <v>292.88095448198948</v>
      </c>
      <c r="O15" s="34">
        <f t="shared" si="17"/>
        <v>1.5816791444837208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0.66511627906976745</v>
      </c>
      <c r="Z15" s="56">
        <v>11.718857808857809</v>
      </c>
      <c r="AA15" s="36">
        <f t="shared" si="19"/>
        <v>7.2520000000000001E-2</v>
      </c>
      <c r="AB15" s="36">
        <f t="shared" si="19"/>
        <v>9.4215753970361707E-2</v>
      </c>
      <c r="AD15" s="42"/>
      <c r="AE15" s="37">
        <v>0</v>
      </c>
      <c r="AF15" s="37">
        <v>7.3999999999999996E-2</v>
      </c>
      <c r="AG15" s="37">
        <v>6.3286713286713286E-2</v>
      </c>
      <c r="AH15" s="43">
        <f t="shared" si="2"/>
        <v>0</v>
      </c>
      <c r="AI15" s="43">
        <f t="shared" si="11"/>
        <v>7.3999999999999996E-2</v>
      </c>
    </row>
    <row r="16" spans="1:39" x14ac:dyDescent="0.25">
      <c r="A16" s="32" t="s">
        <v>693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16.75677696</v>
      </c>
      <c r="M16" s="34">
        <f t="shared" si="16"/>
        <v>9.8194712985599999</v>
      </c>
      <c r="N16" s="34">
        <f t="shared" si="16"/>
        <v>118.11705771894272</v>
      </c>
      <c r="O16" s="34">
        <f t="shared" si="17"/>
        <v>0.59898774921216003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0.58599999999999997</v>
      </c>
      <c r="Z16" s="56">
        <v>12.028861241874019</v>
      </c>
      <c r="AA16" s="36">
        <f t="shared" si="19"/>
        <v>3.2340000000000001E-2</v>
      </c>
      <c r="AB16" s="36">
        <f t="shared" si="19"/>
        <v>9.0811494130769624E-2</v>
      </c>
      <c r="AD16" s="42"/>
      <c r="AE16" s="37">
        <v>0</v>
      </c>
      <c r="AF16" s="37">
        <v>3.3000000000000002E-2</v>
      </c>
      <c r="AG16" s="37">
        <v>6.0999999999999999E-2</v>
      </c>
      <c r="AH16" s="43">
        <f t="shared" si="2"/>
        <v>0</v>
      </c>
      <c r="AI16" s="43">
        <f t="shared" si="11"/>
        <v>3.3000000000000002E-2</v>
      </c>
    </row>
    <row r="17" spans="1:35" x14ac:dyDescent="0.25">
      <c r="A17" s="32" t="s">
        <v>643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6.0933734399999997</v>
      </c>
      <c r="M17" s="34">
        <f t="shared" si="16"/>
        <v>3.9911596031999999</v>
      </c>
      <c r="N17" s="34">
        <f t="shared" si="16"/>
        <v>32.727508746239998</v>
      </c>
      <c r="O17" s="34">
        <f t="shared" si="17"/>
        <v>0.23946957619199999</v>
      </c>
      <c r="Q17" s="53"/>
      <c r="R17" s="54"/>
      <c r="S17" s="55"/>
      <c r="T17" s="54"/>
      <c r="U17" s="54"/>
      <c r="V17" s="38">
        <v>6</v>
      </c>
      <c r="W17" s="36">
        <f t="shared" si="18"/>
        <v>0</v>
      </c>
      <c r="X17" s="37">
        <v>7.0000000000000001E-3</v>
      </c>
      <c r="Y17" s="37">
        <v>0.65500000000000003</v>
      </c>
      <c r="Z17" s="56">
        <v>8.1999999999999993</v>
      </c>
      <c r="AA17" s="36">
        <f t="shared" si="19"/>
        <v>1.176E-2</v>
      </c>
      <c r="AB17" s="36">
        <f t="shared" si="19"/>
        <v>8.9322781112232408E-2</v>
      </c>
      <c r="AD17" s="42"/>
      <c r="AE17" s="37">
        <v>0</v>
      </c>
      <c r="AF17" s="37">
        <v>1.2E-2</v>
      </c>
      <c r="AG17" s="37">
        <v>0.06</v>
      </c>
      <c r="AH17" s="43">
        <f t="shared" si="2"/>
        <v>0</v>
      </c>
      <c r="AI17" s="43">
        <f t="shared" si="11"/>
        <v>1.2E-2</v>
      </c>
    </row>
    <row r="18" spans="1:35" x14ac:dyDescent="0.25"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311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75.659386879999985</v>
      </c>
      <c r="M22" s="34">
        <f t="shared" ref="M22:N25" si="20">L22*Y22</f>
        <v>52.280636334079986</v>
      </c>
      <c r="N22" s="34">
        <f t="shared" si="20"/>
        <v>568.08452249082939</v>
      </c>
      <c r="O22" s="34">
        <f>M22*AG22</f>
        <v>2.9799962710425594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10.866059832567764</v>
      </c>
      <c r="AA22" s="36">
        <f t="shared" ref="AA22:AB25" si="21">(AF22/SUM(AF$6:AF$25))*0.98</f>
        <v>0.14601999999999998</v>
      </c>
      <c r="AB22" s="36">
        <f t="shared" si="21"/>
        <v>8.4856642056620801E-2</v>
      </c>
      <c r="AD22" s="42"/>
      <c r="AE22" s="42"/>
      <c r="AF22" s="37">
        <v>0.14899999999999999</v>
      </c>
      <c r="AG22" s="37">
        <v>5.7000000000000002E-2</v>
      </c>
      <c r="AH22" s="43"/>
      <c r="AI22" s="43">
        <f t="shared" si="11"/>
        <v>0.14899999999999999</v>
      </c>
    </row>
    <row r="23" spans="1:35" x14ac:dyDescent="0.25">
      <c r="A23" s="32" t="s">
        <v>581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17.772339200000001</v>
      </c>
      <c r="M23" s="34">
        <f t="shared" si="20"/>
        <v>13.506977792000001</v>
      </c>
      <c r="N23" s="34">
        <f t="shared" si="20"/>
        <v>125.96002159379692</v>
      </c>
      <c r="O23" s="34">
        <f>M23*AG23</f>
        <v>0.71586982297599999</v>
      </c>
      <c r="Q23" s="53"/>
      <c r="R23" s="54"/>
      <c r="S23" s="55"/>
      <c r="T23" s="54"/>
      <c r="U23" s="54"/>
      <c r="V23" s="59"/>
      <c r="W23" s="60"/>
      <c r="X23" s="54"/>
      <c r="Y23" s="37">
        <v>0.76</v>
      </c>
      <c r="Z23" s="56">
        <v>9.3255518394648824</v>
      </c>
      <c r="AA23" s="36">
        <f t="shared" si="21"/>
        <v>3.4300000000000004E-2</v>
      </c>
      <c r="AB23" s="36">
        <f t="shared" si="21"/>
        <v>7.8901789982471965E-2</v>
      </c>
      <c r="AD23" s="42"/>
      <c r="AE23" s="42"/>
      <c r="AF23" s="37">
        <v>3.5000000000000003E-2</v>
      </c>
      <c r="AG23" s="37">
        <v>5.2999999999999999E-2</v>
      </c>
      <c r="AH23" s="43"/>
      <c r="AI23" s="43">
        <f t="shared" si="11"/>
        <v>3.5000000000000003E-2</v>
      </c>
    </row>
    <row r="24" spans="1:35" x14ac:dyDescent="0.25">
      <c r="A24" s="32" t="s">
        <v>707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10.1556224</v>
      </c>
      <c r="M24" s="34">
        <f t="shared" si="20"/>
        <v>7.8299848704000006</v>
      </c>
      <c r="N24" s="34">
        <f t="shared" si="20"/>
        <v>70.465419187505162</v>
      </c>
      <c r="O24" s="34">
        <f>M24*AG24</f>
        <v>0.46979909222400001</v>
      </c>
      <c r="Q24" s="53"/>
      <c r="R24" s="54"/>
      <c r="S24" s="55"/>
      <c r="T24" s="54"/>
      <c r="U24" s="54"/>
      <c r="V24" s="59"/>
      <c r="W24" s="60"/>
      <c r="X24" s="54"/>
      <c r="Y24" s="37">
        <v>0.77100000000000002</v>
      </c>
      <c r="Z24" s="56">
        <v>8.9994323557237461</v>
      </c>
      <c r="AA24" s="36">
        <f t="shared" si="21"/>
        <v>1.9599999999999999E-2</v>
      </c>
      <c r="AB24" s="36">
        <f t="shared" si="21"/>
        <v>8.9322781112232408E-2</v>
      </c>
      <c r="AD24" s="42"/>
      <c r="AE24" s="42"/>
      <c r="AF24" s="37">
        <v>0.02</v>
      </c>
      <c r="AG24" s="37">
        <v>0.06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32" t="s">
        <v>405</v>
      </c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1024</v>
      </c>
      <c r="E29" s="75">
        <v>0.50600000000000001</v>
      </c>
      <c r="F29" s="76">
        <f>1-E29</f>
        <v>0.49399999999999999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518.14400000000001</v>
      </c>
      <c r="E32" s="80">
        <f>SUM(E2:E4)</f>
        <v>343.2633096271544</v>
      </c>
      <c r="F32" s="80">
        <f>SUM(F2:F4)</f>
        <v>3731.2252609706911</v>
      </c>
      <c r="G32" s="80">
        <f>SUM(G2:G4)</f>
        <v>22.543816716158652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505.85599999999999</v>
      </c>
      <c r="E35" s="80">
        <f>D35*G29</f>
        <v>2048.7167999999997</v>
      </c>
      <c r="F35" s="80">
        <v>14.5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SUM(I2:I25)</f>
        <v>495.73887999999999</v>
      </c>
      <c r="E38" s="91">
        <f>SUM(J2:J4,J6:J11,J13:J25)</f>
        <v>2048.3752983012864</v>
      </c>
      <c r="F38" s="91">
        <f>SUM(K2:K4,K6:K11,K13:K25)</f>
        <v>14.487525101209972</v>
      </c>
      <c r="G38" s="91">
        <f>SUM(L6:L11,L13:L20,L22:L25)</f>
        <v>507.78111999999999</v>
      </c>
      <c r="H38" s="91">
        <f>SUM(M6:M11,M13:M20,M22:M25)</f>
        <v>338.80304147908464</v>
      </c>
      <c r="I38" s="91">
        <f>SUM(N6:N11,N13:N20,N22:N25)</f>
        <v>3729.1080907189785</v>
      </c>
      <c r="J38" s="91">
        <f>SUM(O6:O11,O13:O20,O22:O25)</f>
        <v>22.538684936002443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10.11712</v>
      </c>
      <c r="E39" s="92">
        <f>E35-E38</f>
        <v>0.34150169871327307</v>
      </c>
      <c r="F39" s="92">
        <f>F35-F38</f>
        <v>1.2474898790028277E-2</v>
      </c>
      <c r="G39" s="92">
        <f>SUM(D2:D4)-G38</f>
        <v>10.362880000000018</v>
      </c>
      <c r="H39" s="92">
        <f>E32-H38</f>
        <v>4.4602681480697584</v>
      </c>
      <c r="I39" s="92">
        <f>F32-I38</f>
        <v>2.1171702517126505</v>
      </c>
      <c r="J39" s="92">
        <f>G32-J38</f>
        <v>5.1317801562085208E-3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9" priority="1" operator="lessThan">
      <formula>0</formula>
    </cfRule>
  </conditionalFormatting>
  <conditionalFormatting sqref="W28 AA28:AF28">
    <cfRule type="cellIs" dxfId="1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74</v>
      </c>
    </row>
    <row r="2" spans="1:39" x14ac:dyDescent="0.25">
      <c r="A2" s="32" t="s">
        <v>504</v>
      </c>
      <c r="B2" s="33" t="s">
        <v>7</v>
      </c>
      <c r="C2" s="33">
        <f>VLOOKUP($AM$1,DST!C:D,2,FALSE)</f>
        <v>8</v>
      </c>
      <c r="D2" s="34">
        <f>D$32*Q2</f>
        <v>479.28354999999999</v>
      </c>
      <c r="E2" s="34">
        <f>D2*R2</f>
        <v>308.94051789906553</v>
      </c>
      <c r="F2" s="34">
        <f>E2*S2</f>
        <v>3355.0940243838513</v>
      </c>
      <c r="G2" s="34">
        <f>E2*T2</f>
        <v>22.243717288732718</v>
      </c>
      <c r="H2" s="34">
        <f>D2*U2</f>
        <v>8.4071869948781188</v>
      </c>
      <c r="I2" s="34">
        <f>D$35*W2</f>
        <v>98.681278359999993</v>
      </c>
      <c r="J2" s="34">
        <f>I2*V2</f>
        <v>556.56240995039991</v>
      </c>
      <c r="K2" s="34">
        <f>I2*X2</f>
        <v>7.6971397120799994</v>
      </c>
      <c r="L2" s="35"/>
      <c r="M2" s="35"/>
      <c r="N2" s="35"/>
      <c r="O2" s="35"/>
      <c r="Q2" s="36">
        <f>(AD2/SUM(AD$2:AD$25))</f>
        <v>0.95</v>
      </c>
      <c r="R2" s="37">
        <v>0.64458819398050593</v>
      </c>
      <c r="S2" s="38">
        <v>10.86</v>
      </c>
      <c r="T2" s="37">
        <v>7.1999999999999995E-2</v>
      </c>
      <c r="U2" s="37">
        <v>1.7541154906898265E-2</v>
      </c>
      <c r="V2" s="38">
        <v>5.64</v>
      </c>
      <c r="W2" s="36">
        <f>(AE2/SUM(AE$2:AE$20))*0.98</f>
        <v>0.19796</v>
      </c>
      <c r="X2" s="37">
        <v>7.8E-2</v>
      </c>
      <c r="Y2" s="39"/>
      <c r="Z2" s="40"/>
      <c r="AA2" s="41"/>
      <c r="AB2" s="41"/>
      <c r="AD2" s="37">
        <v>0.95</v>
      </c>
      <c r="AE2" s="37">
        <v>0.20200000000000001</v>
      </c>
      <c r="AF2" s="42"/>
      <c r="AG2" s="42"/>
      <c r="AH2" s="43">
        <f>AE2/(SUM(AE$2:AE$25))</f>
        <v>0.20200000000000001</v>
      </c>
    </row>
    <row r="3" spans="1:39" x14ac:dyDescent="0.25">
      <c r="A3" s="32" t="s">
        <v>123</v>
      </c>
      <c r="B3" s="33" t="s">
        <v>7</v>
      </c>
      <c r="C3" s="33">
        <f>VLOOKUP($AM$1,DST!C:D,2,FALSE)</f>
        <v>8</v>
      </c>
      <c r="D3" s="34">
        <f>D$32*Q3</f>
        <v>25.225450000000002</v>
      </c>
      <c r="E3" s="34">
        <f t="shared" ref="E3:F4" si="0">D3*R3</f>
        <v>15.102118201712543</v>
      </c>
      <c r="F3" s="34">
        <f t="shared" si="0"/>
        <v>195.20212031197826</v>
      </c>
      <c r="G3" s="34">
        <f t="shared" ref="G3:G4" si="1">E3*T3</f>
        <v>1.1852820803320134</v>
      </c>
      <c r="H3" s="34">
        <f>D3*U3</f>
        <v>0.81946913371177799</v>
      </c>
      <c r="I3" s="34">
        <f>D$35*W3</f>
        <v>0.48852117999999994</v>
      </c>
      <c r="J3" s="34">
        <f>I3*V3</f>
        <v>1.3471341630303031</v>
      </c>
      <c r="K3" s="34">
        <f>I3*X3</f>
        <v>1.4803672121212122E-2</v>
      </c>
      <c r="L3" s="35"/>
      <c r="M3" s="35"/>
      <c r="N3" s="35"/>
      <c r="O3" s="35"/>
      <c r="Q3" s="36">
        <f>(AD3/SUM(AD$2:AD$25))</f>
        <v>0.05</v>
      </c>
      <c r="R3" s="37">
        <v>0.59868577970710302</v>
      </c>
      <c r="S3" s="38">
        <v>12.925479572120077</v>
      </c>
      <c r="T3" s="37">
        <v>7.848449234079001E-2</v>
      </c>
      <c r="U3" s="37">
        <v>3.2485808328960551E-2</v>
      </c>
      <c r="V3" s="38">
        <v>2.7575757575757578</v>
      </c>
      <c r="W3" s="36">
        <f>(AE3/SUM(AE$2:AE$20))*0.98</f>
        <v>9.7999999999999997E-4</v>
      </c>
      <c r="X3" s="37">
        <v>3.0303030303030307E-2</v>
      </c>
      <c r="Y3" s="39"/>
      <c r="Z3" s="40"/>
      <c r="AA3" s="41"/>
      <c r="AB3" s="41"/>
      <c r="AD3" s="37">
        <v>0.05</v>
      </c>
      <c r="AE3" s="37">
        <v>1E-3</v>
      </c>
      <c r="AF3" s="42"/>
      <c r="AG3" s="42"/>
      <c r="AH3" s="43">
        <f t="shared" ref="AH3:AH20" si="2">AE3/(SUM(AE$2:AE$25))</f>
        <v>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125"/>
      <c r="R5" s="126"/>
      <c r="T5" s="126"/>
      <c r="U5" s="126"/>
      <c r="W5" s="49"/>
      <c r="X5" s="126"/>
      <c r="Y5" s="126"/>
      <c r="AA5" s="50"/>
      <c r="AB5" s="125"/>
      <c r="AD5" s="51"/>
      <c r="AE5" s="52"/>
      <c r="AF5" s="51"/>
      <c r="AG5" s="51"/>
      <c r="AH5" s="43"/>
    </row>
    <row r="6" spans="1:39" x14ac:dyDescent="0.25">
      <c r="A6" s="32" t="s">
        <v>550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255.00805596000001</v>
      </c>
      <c r="J6" s="34">
        <f t="shared" ref="J6:J11" si="4">I6*V6</f>
        <v>1083.7842378299999</v>
      </c>
      <c r="K6" s="34">
        <f t="shared" ref="K6:K11" si="5">I6*X6</f>
        <v>8.4152658466800005</v>
      </c>
      <c r="L6" s="34">
        <f t="shared" ref="L6:L11" si="6">((D$2+D$3+D$4)*AA6)</f>
        <v>54.880489020000006</v>
      </c>
      <c r="M6" s="34">
        <f t="shared" ref="M6:N11" si="7">L6*Y6</f>
        <v>40.392039918720002</v>
      </c>
      <c r="N6" s="34">
        <f t="shared" si="7"/>
        <v>308.19126457983361</v>
      </c>
      <c r="O6" s="34">
        <f t="shared" ref="O6:O11" si="8">M6*AG6</f>
        <v>2.3158899697985933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(AE6/SUM(AE$2:AE$20))*0.98</f>
        <v>0.51156000000000001</v>
      </c>
      <c r="X6" s="37">
        <v>3.3000000000000002E-2</v>
      </c>
      <c r="Y6" s="37">
        <v>0.73599999999999999</v>
      </c>
      <c r="Z6" s="56">
        <v>7.63</v>
      </c>
      <c r="AA6" s="36">
        <f t="shared" ref="AA6:AA11" si="10">(AF6/SUM(AF$6:AF$25))*0.98</f>
        <v>0.10878</v>
      </c>
      <c r="AB6" s="36">
        <f t="shared" ref="AB6:AB11" si="11">(AG6/SUM(AG$6:AG$25))*0.98</f>
        <v>7.1379414745652472E-2</v>
      </c>
      <c r="AD6" s="42"/>
      <c r="AE6" s="37">
        <v>0.52200000000000002</v>
      </c>
      <c r="AF6" s="37">
        <v>0.111</v>
      </c>
      <c r="AG6" s="37">
        <v>5.7335306027098576E-2</v>
      </c>
      <c r="AH6" s="43">
        <f t="shared" si="2"/>
        <v>0.52200000000000002</v>
      </c>
      <c r="AI6" s="43">
        <f>AF6/(SUM(AF$6:AF$25))</f>
        <v>0.111</v>
      </c>
    </row>
    <row r="7" spans="1:39" x14ac:dyDescent="0.25">
      <c r="A7" s="32" t="s">
        <v>453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109.42874431999999</v>
      </c>
      <c r="J7" s="34">
        <f t="shared" si="4"/>
        <v>448.65785171199991</v>
      </c>
      <c r="K7" s="34">
        <f t="shared" si="5"/>
        <v>3.1734335852799997</v>
      </c>
      <c r="L7" s="34">
        <f t="shared" si="6"/>
        <v>22.2488469</v>
      </c>
      <c r="M7" s="34">
        <f t="shared" si="7"/>
        <v>17.72104533232174</v>
      </c>
      <c r="N7" s="34">
        <f t="shared" si="7"/>
        <v>127.94594729936296</v>
      </c>
      <c r="O7" s="34">
        <f t="shared" si="8"/>
        <v>0.8103094530391306</v>
      </c>
      <c r="Q7" s="53"/>
      <c r="R7" s="54"/>
      <c r="S7" s="55"/>
      <c r="T7" s="54"/>
      <c r="U7" s="54"/>
      <c r="V7" s="38">
        <v>4.0999999999999996</v>
      </c>
      <c r="W7" s="36">
        <f t="shared" si="9"/>
        <v>0.21951999999999999</v>
      </c>
      <c r="X7" s="37">
        <v>2.9000000000000001E-2</v>
      </c>
      <c r="Y7" s="37">
        <v>0.79649275362318839</v>
      </c>
      <c r="Z7" s="56">
        <v>7.22</v>
      </c>
      <c r="AA7" s="36">
        <f t="shared" si="10"/>
        <v>4.41E-2</v>
      </c>
      <c r="AB7" s="36">
        <f t="shared" si="11"/>
        <v>5.6926229156827976E-2</v>
      </c>
      <c r="AD7" s="42"/>
      <c r="AE7" s="37">
        <v>0.224</v>
      </c>
      <c r="AF7" s="37">
        <v>4.4999999999999998E-2</v>
      </c>
      <c r="AG7" s="37">
        <v>4.5725826995159945E-2</v>
      </c>
      <c r="AH7" s="43">
        <f t="shared" si="2"/>
        <v>0.224</v>
      </c>
      <c r="AI7" s="43">
        <f t="shared" ref="AI7:AI25" si="12">AF7/(SUM(AF$6:AF$25))</f>
        <v>4.4999999999999998E-2</v>
      </c>
    </row>
    <row r="8" spans="1:39" x14ac:dyDescent="0.25">
      <c r="A8" s="32" t="s">
        <v>15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24.914580179999998</v>
      </c>
      <c r="J8" s="34">
        <f t="shared" si="4"/>
        <v>98.163445909199993</v>
      </c>
      <c r="K8" s="34">
        <f t="shared" si="5"/>
        <v>0.69760824503999996</v>
      </c>
      <c r="L8" s="34">
        <f t="shared" si="6"/>
        <v>3.4609317399999999</v>
      </c>
      <c r="M8" s="34">
        <f t="shared" si="7"/>
        <v>2.5956988050000001</v>
      </c>
      <c r="N8" s="34">
        <f t="shared" si="7"/>
        <v>16.9239562086</v>
      </c>
      <c r="O8" s="34">
        <f t="shared" si="8"/>
        <v>7.7870964149999999E-2</v>
      </c>
      <c r="Q8" s="53"/>
      <c r="R8" s="54"/>
      <c r="S8" s="55"/>
      <c r="T8" s="54"/>
      <c r="U8" s="54"/>
      <c r="V8" s="38">
        <v>3.94</v>
      </c>
      <c r="W8" s="36">
        <f t="shared" si="9"/>
        <v>4.9979999999999997E-2</v>
      </c>
      <c r="X8" s="37">
        <v>2.8000000000000001E-2</v>
      </c>
      <c r="Y8" s="37">
        <v>0.75</v>
      </c>
      <c r="Z8" s="56">
        <v>6.52</v>
      </c>
      <c r="AA8" s="36">
        <f t="shared" si="10"/>
        <v>6.8599999999999998E-3</v>
      </c>
      <c r="AB8" s="36">
        <f t="shared" si="11"/>
        <v>3.7348408698777771E-2</v>
      </c>
      <c r="AD8" s="42"/>
      <c r="AE8" s="37">
        <v>5.0999999999999997E-2</v>
      </c>
      <c r="AF8" s="37">
        <v>7.0000000000000001E-3</v>
      </c>
      <c r="AG8" s="37">
        <v>0.03</v>
      </c>
      <c r="AH8" s="43">
        <f t="shared" si="2"/>
        <v>5.0999999999999997E-2</v>
      </c>
      <c r="AI8" s="43">
        <f t="shared" si="12"/>
        <v>7.0000000000000001E-3</v>
      </c>
    </row>
    <row r="9" spans="1:39" x14ac:dyDescent="0.25"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427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105.80562748</v>
      </c>
      <c r="M13" s="34">
        <f t="shared" ref="M13:N20" si="17">L13*Y13</f>
        <v>62.742737095639995</v>
      </c>
      <c r="N13" s="34">
        <f t="shared" si="17"/>
        <v>836.36068548488117</v>
      </c>
      <c r="O13" s="34">
        <f t="shared" ref="O13:O20" si="18">M13*AG13</f>
        <v>5.3433888110292518</v>
      </c>
      <c r="Q13" s="53"/>
      <c r="R13" s="54"/>
      <c r="S13" s="55"/>
      <c r="T13" s="54"/>
      <c r="U13" s="54"/>
      <c r="V13" s="38">
        <v>5.3750000000000009</v>
      </c>
      <c r="W13" s="36">
        <f t="shared" ref="W13:W20" si="19">(AE13/SUM(AE$2:AE$20))*0.98</f>
        <v>0</v>
      </c>
      <c r="X13" s="37">
        <v>1.2500000000000001E-2</v>
      </c>
      <c r="Y13" s="37">
        <v>0.59299999999999997</v>
      </c>
      <c r="Z13" s="56">
        <v>13.33</v>
      </c>
      <c r="AA13" s="36">
        <f t="shared" ref="AA13:AB20" si="20">(AF13/SUM(AF$6:AF$25))*0.98</f>
        <v>0.20971999999999999</v>
      </c>
      <c r="AB13" s="36">
        <f t="shared" si="20"/>
        <v>0.10602399490828326</v>
      </c>
      <c r="AD13" s="42"/>
      <c r="AE13" s="37">
        <v>0</v>
      </c>
      <c r="AF13" s="37">
        <v>0.214</v>
      </c>
      <c r="AG13" s="37">
        <v>8.516346366726428E-2</v>
      </c>
      <c r="AH13" s="43">
        <f t="shared" si="2"/>
        <v>0</v>
      </c>
      <c r="AI13" s="43">
        <f t="shared" si="12"/>
        <v>0.214</v>
      </c>
    </row>
    <row r="14" spans="1:39" x14ac:dyDescent="0.25">
      <c r="A14" s="32" t="s">
        <v>137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66.746540699999997</v>
      </c>
      <c r="M14" s="34">
        <f t="shared" si="17"/>
        <v>36.643850844300005</v>
      </c>
      <c r="N14" s="34">
        <f t="shared" si="17"/>
        <v>461.34608212973706</v>
      </c>
      <c r="O14" s="34">
        <f t="shared" si="18"/>
        <v>2.6750011116339003</v>
      </c>
      <c r="Q14" s="53"/>
      <c r="R14" s="54"/>
      <c r="S14" s="55"/>
      <c r="T14" s="54"/>
      <c r="U14" s="54"/>
      <c r="V14" s="38">
        <v>6</v>
      </c>
      <c r="W14" s="36">
        <f t="shared" si="19"/>
        <v>0</v>
      </c>
      <c r="X14" s="37">
        <v>7.0000000000000001E-3</v>
      </c>
      <c r="Y14" s="37">
        <v>0.54900000000000004</v>
      </c>
      <c r="Z14" s="56">
        <v>12.59</v>
      </c>
      <c r="AA14" s="36">
        <f t="shared" si="20"/>
        <v>0.1323</v>
      </c>
      <c r="AB14" s="36">
        <f t="shared" si="20"/>
        <v>9.0881127833692579E-2</v>
      </c>
      <c r="AD14" s="42"/>
      <c r="AE14" s="37">
        <v>0</v>
      </c>
      <c r="AF14" s="37">
        <v>0.13500000000000001</v>
      </c>
      <c r="AG14" s="37">
        <v>7.2999999999999995E-2</v>
      </c>
      <c r="AH14" s="43">
        <f t="shared" si="2"/>
        <v>0</v>
      </c>
      <c r="AI14" s="43">
        <f t="shared" si="12"/>
        <v>0.13500000000000001</v>
      </c>
    </row>
    <row r="15" spans="1:39" x14ac:dyDescent="0.25">
      <c r="A15" s="32" t="s">
        <v>43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41.036762060000008</v>
      </c>
      <c r="M15" s="34">
        <f t="shared" si="17"/>
        <v>26.058343908100007</v>
      </c>
      <c r="N15" s="34">
        <f t="shared" si="17"/>
        <v>371.33140069042508</v>
      </c>
      <c r="O15" s="34">
        <f t="shared" si="18"/>
        <v>1.6937923540265005</v>
      </c>
      <c r="Q15" s="53"/>
      <c r="R15" s="54"/>
      <c r="S15" s="55"/>
      <c r="T15" s="54"/>
      <c r="U15" s="54"/>
      <c r="V15" s="38">
        <v>6</v>
      </c>
      <c r="W15" s="36">
        <f t="shared" si="19"/>
        <v>0</v>
      </c>
      <c r="X15" s="37">
        <v>7.0000000000000001E-3</v>
      </c>
      <c r="Y15" s="37">
        <v>0.63500000000000001</v>
      </c>
      <c r="Z15" s="56">
        <v>14.25</v>
      </c>
      <c r="AA15" s="36">
        <f t="shared" si="20"/>
        <v>8.134000000000001E-2</v>
      </c>
      <c r="AB15" s="36">
        <f t="shared" si="20"/>
        <v>8.0921552180685183E-2</v>
      </c>
      <c r="AD15" s="42"/>
      <c r="AE15" s="37">
        <v>0</v>
      </c>
      <c r="AF15" s="37">
        <v>8.3000000000000004E-2</v>
      </c>
      <c r="AG15" s="37">
        <v>6.5000000000000002E-2</v>
      </c>
      <c r="AH15" s="43">
        <f t="shared" si="2"/>
        <v>0</v>
      </c>
      <c r="AI15" s="43">
        <f t="shared" si="12"/>
        <v>8.3000000000000004E-2</v>
      </c>
    </row>
    <row r="16" spans="1:39" x14ac:dyDescent="0.25">
      <c r="A16" s="32" t="s">
        <v>694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43.014437339999994</v>
      </c>
      <c r="M16" s="34">
        <f t="shared" si="17"/>
        <v>26.496893401439994</v>
      </c>
      <c r="N16" s="34">
        <f t="shared" si="17"/>
        <v>338.10035980237433</v>
      </c>
      <c r="O16" s="34">
        <f t="shared" si="18"/>
        <v>2.1727452589180798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0.61599999999999999</v>
      </c>
      <c r="Z16" s="56">
        <v>12.76</v>
      </c>
      <c r="AA16" s="36">
        <f t="shared" si="20"/>
        <v>8.5259999999999989E-2</v>
      </c>
      <c r="AB16" s="36">
        <f t="shared" si="20"/>
        <v>0.10208565044332592</v>
      </c>
      <c r="AD16" s="42"/>
      <c r="AE16" s="37">
        <v>0</v>
      </c>
      <c r="AF16" s="37">
        <v>8.6999999999999994E-2</v>
      </c>
      <c r="AG16" s="37">
        <v>8.2000000000000003E-2</v>
      </c>
      <c r="AH16" s="43">
        <f t="shared" si="2"/>
        <v>0</v>
      </c>
      <c r="AI16" s="43">
        <f t="shared" si="12"/>
        <v>8.6999999999999994E-2</v>
      </c>
    </row>
    <row r="17" spans="1:35" x14ac:dyDescent="0.25">
      <c r="A17" s="32" t="s">
        <v>331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9.8883764000000003</v>
      </c>
      <c r="M17" s="34">
        <f t="shared" si="17"/>
        <v>5.8440304524000002</v>
      </c>
      <c r="N17" s="34">
        <f t="shared" si="17"/>
        <v>69.19300865781895</v>
      </c>
      <c r="O17" s="34">
        <f t="shared" si="18"/>
        <v>0.37376978615680478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0.59099999999999997</v>
      </c>
      <c r="Z17" s="56">
        <v>11.839946629539392</v>
      </c>
      <c r="AA17" s="36">
        <f t="shared" si="20"/>
        <v>1.9599999999999999E-2</v>
      </c>
      <c r="AB17" s="36">
        <f t="shared" si="20"/>
        <v>7.9623739394366122E-2</v>
      </c>
      <c r="AD17" s="42"/>
      <c r="AE17" s="37">
        <v>0</v>
      </c>
      <c r="AF17" s="37">
        <v>0.02</v>
      </c>
      <c r="AG17" s="37">
        <v>6.3957535676992694E-2</v>
      </c>
      <c r="AH17" s="43">
        <f t="shared" si="2"/>
        <v>0</v>
      </c>
      <c r="AI17" s="43">
        <f t="shared" si="12"/>
        <v>0.02</v>
      </c>
    </row>
    <row r="18" spans="1:35" x14ac:dyDescent="0.25">
      <c r="A18" s="32" t="s">
        <v>585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14.8325646</v>
      </c>
      <c r="M18" s="34">
        <f t="shared" si="17"/>
        <v>9.0033667122000001</v>
      </c>
      <c r="N18" s="34">
        <f t="shared" si="17"/>
        <v>0</v>
      </c>
      <c r="O18" s="34">
        <f t="shared" si="18"/>
        <v>0.63923903656619996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0.60699999999999998</v>
      </c>
      <c r="Z18" s="56">
        <v>0</v>
      </c>
      <c r="AA18" s="36">
        <f t="shared" si="20"/>
        <v>2.9399999999999999E-2</v>
      </c>
      <c r="AB18" s="36">
        <f t="shared" si="20"/>
        <v>8.8391233920440723E-2</v>
      </c>
      <c r="AD18" s="42"/>
      <c r="AE18" s="37">
        <v>0</v>
      </c>
      <c r="AF18" s="37">
        <v>0.03</v>
      </c>
      <c r="AG18" s="37">
        <v>7.0999999999999994E-2</v>
      </c>
      <c r="AH18" s="43">
        <f t="shared" si="2"/>
        <v>0</v>
      </c>
      <c r="AI18" s="43">
        <f t="shared" si="12"/>
        <v>0.03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324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99.378182820000006</v>
      </c>
      <c r="M22" s="34">
        <f t="shared" ref="M22:N25" si="21">L22*Y22</f>
        <v>72.033140364044769</v>
      </c>
      <c r="N22" s="34">
        <f t="shared" si="21"/>
        <v>787.32222417900925</v>
      </c>
      <c r="O22" s="34">
        <f>M22*AG22</f>
        <v>5.6906180887595372</v>
      </c>
      <c r="Q22" s="53"/>
      <c r="R22" s="54"/>
      <c r="S22" s="55"/>
      <c r="T22" s="54"/>
      <c r="U22" s="54"/>
      <c r="V22" s="59"/>
      <c r="W22" s="60"/>
      <c r="X22" s="54"/>
      <c r="Y22" s="37">
        <v>0.72483857442347999</v>
      </c>
      <c r="Z22" s="56">
        <v>10.93</v>
      </c>
      <c r="AA22" s="36">
        <f t="shared" ref="AA22:AB25" si="22">(AF22/SUM(AF$6:AF$25))*0.98</f>
        <v>0.19698000000000002</v>
      </c>
      <c r="AB22" s="36">
        <f t="shared" si="22"/>
        <v>9.8350809573448134E-2</v>
      </c>
      <c r="AD22" s="42"/>
      <c r="AE22" s="42"/>
      <c r="AF22" s="37">
        <v>0.20100000000000001</v>
      </c>
      <c r="AG22" s="37">
        <v>7.9000000000000001E-2</v>
      </c>
      <c r="AH22" s="43"/>
      <c r="AI22" s="43">
        <f t="shared" si="12"/>
        <v>0.20100000000000001</v>
      </c>
    </row>
    <row r="23" spans="1:35" x14ac:dyDescent="0.25">
      <c r="A23" s="32" t="s">
        <v>452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30.653966840000002</v>
      </c>
      <c r="M23" s="34">
        <f t="shared" si="21"/>
        <v>20.292926048080002</v>
      </c>
      <c r="N23" s="34">
        <f t="shared" si="21"/>
        <v>217.47903885757958</v>
      </c>
      <c r="O23" s="34">
        <f>M23*AG23</f>
        <v>1.521969453606</v>
      </c>
      <c r="Q23" s="53"/>
      <c r="R23" s="54"/>
      <c r="S23" s="55"/>
      <c r="T23" s="54"/>
      <c r="U23" s="54"/>
      <c r="V23" s="59"/>
      <c r="W23" s="60"/>
      <c r="X23" s="54"/>
      <c r="Y23" s="37">
        <v>0.66200000000000003</v>
      </c>
      <c r="Z23" s="56">
        <v>10.71698770016245</v>
      </c>
      <c r="AA23" s="36">
        <f t="shared" si="22"/>
        <v>6.0760000000000002E-2</v>
      </c>
      <c r="AB23" s="36">
        <f t="shared" si="22"/>
        <v>9.3371021746944435E-2</v>
      </c>
      <c r="AD23" s="42"/>
      <c r="AE23" s="42"/>
      <c r="AF23" s="37">
        <v>6.2E-2</v>
      </c>
      <c r="AG23" s="37">
        <v>7.4999999999999997E-2</v>
      </c>
      <c r="AH23" s="43"/>
      <c r="AI23" s="43">
        <f t="shared" si="12"/>
        <v>6.2E-2</v>
      </c>
    </row>
    <row r="24" spans="1:35" x14ac:dyDescent="0.25">
      <c r="A24" s="32" t="s">
        <v>592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2.4720941000000001</v>
      </c>
      <c r="M24" s="34">
        <f t="shared" si="21"/>
        <v>1.5153936833000001</v>
      </c>
      <c r="N24" s="34">
        <f t="shared" si="21"/>
        <v>15.729786432654002</v>
      </c>
      <c r="O24" s="34">
        <f>M24*AG24</f>
        <v>9.0923620997999999E-2</v>
      </c>
      <c r="Q24" s="53"/>
      <c r="R24" s="54"/>
      <c r="S24" s="55"/>
      <c r="T24" s="54"/>
      <c r="U24" s="54"/>
      <c r="V24" s="59"/>
      <c r="W24" s="60"/>
      <c r="X24" s="54"/>
      <c r="Y24" s="37">
        <v>0.61299999999999999</v>
      </c>
      <c r="Z24" s="56">
        <v>10.38</v>
      </c>
      <c r="AA24" s="36">
        <f t="shared" si="22"/>
        <v>4.8999999999999998E-3</v>
      </c>
      <c r="AB24" s="36">
        <f t="shared" si="22"/>
        <v>7.4696817397555543E-2</v>
      </c>
      <c r="AD24" s="42"/>
      <c r="AE24" s="42"/>
      <c r="AF24" s="37">
        <v>5.0000000000000001E-3</v>
      </c>
      <c r="AG24" s="37">
        <v>0.06</v>
      </c>
      <c r="AH24" s="43"/>
      <c r="AI24" s="43">
        <f t="shared" si="12"/>
        <v>5.0000000000000001E-3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1003</v>
      </c>
      <c r="E29" s="75">
        <v>0.503</v>
      </c>
      <c r="F29" s="76">
        <f>1-E29</f>
        <v>0.497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504.50900000000001</v>
      </c>
      <c r="E32" s="80">
        <f>SUM(E2:E4)</f>
        <v>324.04263610077805</v>
      </c>
      <c r="F32" s="80">
        <f>SUM(F2:F4)</f>
        <v>3550.2961446958298</v>
      </c>
      <c r="G32" s="80">
        <f>SUM(G2:G4)</f>
        <v>23.42899936906473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498.49099999999999</v>
      </c>
      <c r="E35" s="80">
        <f>D35*G29</f>
        <v>2193.3604</v>
      </c>
      <c r="F35" s="80">
        <v>20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488.52118000000002</v>
      </c>
      <c r="E38" s="91">
        <f>SUM(J2:J4,J6:J11,J13:J20)</f>
        <v>2188.5150795646305</v>
      </c>
      <c r="F38" s="91">
        <f>SUM(K2:K4,K6:K11,K13:K20)</f>
        <v>19.998251061201216</v>
      </c>
      <c r="G38" s="91">
        <f>SUM(L6:L11,L13:L20,L22:L25)</f>
        <v>494.41882000000004</v>
      </c>
      <c r="H38" s="91">
        <f>SUM(M6:M11,M13:M20,M22:M25)</f>
        <v>321.3394665655465</v>
      </c>
      <c r="I38" s="91">
        <f>SUM(N6:N11,N13:N20,N22:N25)</f>
        <v>3549.9237543222766</v>
      </c>
      <c r="J38" s="91">
        <f>SUM(O6:O11,O13:O20,O22:O25)</f>
        <v>23.405517908682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9.9698199999999702</v>
      </c>
      <c r="E39" s="92">
        <f>E35-E38</f>
        <v>4.8453204353695583</v>
      </c>
      <c r="F39" s="92">
        <f>F35-F38</f>
        <v>1.7489387987836835E-3</v>
      </c>
      <c r="G39" s="92">
        <f>SUM(D2:D4)-G38</f>
        <v>10.090179999999975</v>
      </c>
      <c r="H39" s="92">
        <f>E32-H38</f>
        <v>2.7031695352315523</v>
      </c>
      <c r="I39" s="92">
        <f>F32-I38</f>
        <v>0.37239037355311666</v>
      </c>
      <c r="J39" s="92">
        <f>G32-J38</f>
        <v>2.348146038272958E-2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1">
    <sortCondition descending="1" ref="N13:N21"/>
  </sortState>
  <conditionalFormatting sqref="D39:J39">
    <cfRule type="cellIs" dxfId="17" priority="1" operator="lessThan">
      <formula>0</formula>
    </cfRule>
  </conditionalFormatting>
  <conditionalFormatting sqref="W28 AA28:AF28">
    <cfRule type="cellIs" dxfId="1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A4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75</v>
      </c>
    </row>
    <row r="2" spans="1:39" x14ac:dyDescent="0.25">
      <c r="A2" s="32" t="s">
        <v>124</v>
      </c>
      <c r="B2" s="33" t="s">
        <v>7</v>
      </c>
      <c r="C2" s="33">
        <f>VLOOKUP($AM$1,DST!C:D,2,FALSE)</f>
        <v>13</v>
      </c>
      <c r="D2" s="34">
        <f>D$32*Q2</f>
        <v>516.07799999999997</v>
      </c>
      <c r="E2" s="34">
        <f>D2*R2</f>
        <v>353.25066783130609</v>
      </c>
      <c r="F2" s="34">
        <f>E2*S2</f>
        <v>3634.3919552186435</v>
      </c>
      <c r="G2" s="34">
        <f>E2*T2</f>
        <v>20.135288066384447</v>
      </c>
      <c r="H2" s="34">
        <f>D2*U2</f>
        <v>15.203887356812446</v>
      </c>
      <c r="I2" s="34">
        <f>D$35*W2</f>
        <v>41.544983200000004</v>
      </c>
      <c r="J2" s="34">
        <f>I2*V2</f>
        <v>140.9459324385553</v>
      </c>
      <c r="K2" s="34">
        <f>I2*X2</f>
        <v>0.74780969760000005</v>
      </c>
      <c r="L2" s="35"/>
      <c r="M2" s="35"/>
      <c r="N2" s="35"/>
      <c r="O2" s="35"/>
      <c r="Q2" s="36">
        <f>(AD2/SUM(AD$2:AD$25))</f>
        <v>0.9</v>
      </c>
      <c r="R2" s="37">
        <v>0.68449084795574722</v>
      </c>
      <c r="S2" s="38">
        <v>10.28842203620189</v>
      </c>
      <c r="T2" s="37">
        <v>5.7000000000000002E-2</v>
      </c>
      <c r="U2" s="37">
        <v>2.9460444655289408E-2</v>
      </c>
      <c r="V2" s="38">
        <v>3.3926101681166472</v>
      </c>
      <c r="W2" s="36">
        <f>(AE2/SUM(AE$2:AE$20))*0.98</f>
        <v>9.604E-2</v>
      </c>
      <c r="X2" s="37">
        <v>1.7999999999999999E-2</v>
      </c>
      <c r="Y2" s="39"/>
      <c r="Z2" s="40"/>
      <c r="AA2" s="41"/>
      <c r="AB2" s="41"/>
      <c r="AD2" s="37">
        <v>0.9</v>
      </c>
      <c r="AE2" s="37">
        <v>9.8000000000000004E-2</v>
      </c>
      <c r="AF2" s="42"/>
      <c r="AG2" s="42"/>
      <c r="AH2" s="43">
        <f>AE2/(SUM(AE$2:AE$25))</f>
        <v>9.8000000000000004E-2</v>
      </c>
    </row>
    <row r="3" spans="1:39" x14ac:dyDescent="0.25">
      <c r="A3" s="32" t="s">
        <v>612</v>
      </c>
      <c r="B3" s="33" t="s">
        <v>7</v>
      </c>
      <c r="C3" s="33">
        <f>VLOOKUP($AM$1,DST!C:D,2,FALSE)</f>
        <v>13</v>
      </c>
      <c r="D3" s="34">
        <f>D$32*Q3</f>
        <v>34.405199999999994</v>
      </c>
      <c r="E3" s="34">
        <f t="shared" ref="E3:F4" si="0">D3*R3</f>
        <v>20.023826399999994</v>
      </c>
      <c r="F3" s="34">
        <f t="shared" si="0"/>
        <v>202.64112316799992</v>
      </c>
      <c r="G3" s="34">
        <f t="shared" ref="G3:G4" si="1">E3*T3</f>
        <v>1.0612627991999997</v>
      </c>
      <c r="H3" s="34">
        <f>D3*U3</f>
        <v>1.0321559999999999</v>
      </c>
      <c r="I3" s="34">
        <f>D$35*W3</f>
        <v>2.1196420000000002</v>
      </c>
      <c r="J3" s="34">
        <f>I3*V3</f>
        <v>6.1893546400000004</v>
      </c>
      <c r="K3" s="34">
        <f>I3*X3</f>
        <v>5.5110692000000003E-2</v>
      </c>
      <c r="L3" s="35"/>
      <c r="M3" s="35"/>
      <c r="N3" s="35"/>
      <c r="O3" s="35"/>
      <c r="Q3" s="36">
        <f>(AD3/SUM(AD$2:AD$25))</f>
        <v>0.06</v>
      </c>
      <c r="R3" s="37">
        <v>0.58199999999999996</v>
      </c>
      <c r="S3" s="38">
        <v>10.119999999999999</v>
      </c>
      <c r="T3" s="37">
        <v>5.2999999999999999E-2</v>
      </c>
      <c r="U3" s="37">
        <v>0.03</v>
      </c>
      <c r="V3" s="38">
        <v>2.92</v>
      </c>
      <c r="W3" s="36">
        <f>(AE3/SUM(AE$2:AE$20))*0.98</f>
        <v>4.8999999999999998E-3</v>
      </c>
      <c r="X3" s="37">
        <v>2.5999999999999999E-2</v>
      </c>
      <c r="Y3" s="39"/>
      <c r="Z3" s="40"/>
      <c r="AA3" s="41"/>
      <c r="AB3" s="41"/>
      <c r="AD3" s="37">
        <v>0.06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A4" s="32" t="s">
        <v>653</v>
      </c>
      <c r="B4" s="33" t="s">
        <v>7</v>
      </c>
      <c r="C4" s="33">
        <f>VLOOKUP($AM$1,DST!C:D,2,FALSE)</f>
        <v>13</v>
      </c>
      <c r="D4" s="34">
        <f>D$32*Q4</f>
        <v>22.936799999999998</v>
      </c>
      <c r="E4" s="34">
        <f t="shared" si="0"/>
        <v>13.06515688321605</v>
      </c>
      <c r="F4" s="34">
        <f t="shared" si="0"/>
        <v>134.9552857438139</v>
      </c>
      <c r="G4" s="34">
        <f t="shared" si="1"/>
        <v>0.75777909922653086</v>
      </c>
      <c r="H4" s="34">
        <f>D4*U4</f>
        <v>0.63595480044499142</v>
      </c>
      <c r="I4" s="34">
        <f>D$35*W4</f>
        <v>2.1196420000000002</v>
      </c>
      <c r="J4" s="34">
        <f>I4*V4</f>
        <v>8.1921298918918932</v>
      </c>
      <c r="K4" s="34">
        <f>I4*X4</f>
        <v>5.7287621621621633E-2</v>
      </c>
      <c r="L4" s="35"/>
      <c r="M4" s="35"/>
      <c r="N4" s="35"/>
      <c r="O4" s="35"/>
      <c r="Q4" s="36">
        <f>(AD4/SUM(AD$2:AD$25))</f>
        <v>0.04</v>
      </c>
      <c r="R4" s="37">
        <v>0.56961550361061919</v>
      </c>
      <c r="S4" s="38">
        <v>10.329404151065503</v>
      </c>
      <c r="T4" s="37">
        <v>5.8000000000000003E-2</v>
      </c>
      <c r="U4" s="37">
        <v>2.7726396029306245E-2</v>
      </c>
      <c r="V4" s="38">
        <v>3.8648648648648649</v>
      </c>
      <c r="W4" s="36">
        <f>(AE4/SUM(AE$2:AE$20))*0.98</f>
        <v>4.8999999999999998E-3</v>
      </c>
      <c r="X4" s="37">
        <v>2.7027027027027029E-2</v>
      </c>
      <c r="Y4" s="39"/>
      <c r="Z4" s="40"/>
      <c r="AA4" s="41"/>
      <c r="AB4" s="41"/>
      <c r="AD4" s="37">
        <v>0.04</v>
      </c>
      <c r="AE4" s="37">
        <v>5.0000000000000001E-3</v>
      </c>
      <c r="AF4" s="42"/>
      <c r="AG4" s="42"/>
      <c r="AH4" s="43">
        <f t="shared" si="2"/>
        <v>5.0000000000000001E-3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328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227.64955080000004</v>
      </c>
      <c r="J6" s="34">
        <f t="shared" ref="J6:J11" si="4">I6*V6</f>
        <v>1013.0405010600002</v>
      </c>
      <c r="K6" s="34">
        <f t="shared" ref="K6:K11" si="5">I6*X6</f>
        <v>6.0582160827732814</v>
      </c>
      <c r="L6" s="34">
        <f t="shared" ref="L6:L11" si="6">((D$2+D$3+D$4)*AA6)</f>
        <v>63.459983635032508</v>
      </c>
      <c r="M6" s="34">
        <f t="shared" ref="M6:N11" si="7">L6*Y6</f>
        <v>50.28863098644387</v>
      </c>
      <c r="N6" s="34">
        <f t="shared" si="7"/>
        <v>439.2112076408128</v>
      </c>
      <c r="O6" s="34">
        <f t="shared" ref="O6:O11" si="8">M6*AG6</f>
        <v>2.1624111324170863</v>
      </c>
      <c r="Q6" s="53"/>
      <c r="R6" s="54"/>
      <c r="S6" s="55"/>
      <c r="T6" s="54"/>
      <c r="U6" s="54"/>
      <c r="V6" s="38">
        <v>4.45</v>
      </c>
      <c r="W6" s="36">
        <f t="shared" ref="W6:W11" si="9">(AE6/SUM(AE$2:AE$20))*0.98</f>
        <v>0.52626000000000006</v>
      </c>
      <c r="X6" s="37">
        <v>2.6612027396863549E-2</v>
      </c>
      <c r="Y6" s="37">
        <v>0.79244632768361589</v>
      </c>
      <c r="Z6" s="56">
        <v>8.7338072050362516</v>
      </c>
      <c r="AA6" s="36">
        <f t="shared" ref="AA6:AA11" si="10">(AF6/SUM(AF$6:AF$25))*0.98</f>
        <v>0.1106692888895269</v>
      </c>
      <c r="AB6" s="36">
        <f t="shared" ref="AB6:AB11" si="11">(AG6/SUM(AG$6:AG$25))*0.98</f>
        <v>6.6519934905650835E-2</v>
      </c>
      <c r="AD6" s="42"/>
      <c r="AE6" s="37">
        <v>0.53700000000000003</v>
      </c>
      <c r="AF6" s="37">
        <v>0.11291866028708133</v>
      </c>
      <c r="AG6" s="37">
        <v>4.2999999999999997E-2</v>
      </c>
      <c r="AH6" s="43">
        <f t="shared" si="2"/>
        <v>0.53700000000000003</v>
      </c>
      <c r="AI6" s="43">
        <f>AF6/(SUM(AF$6:AF$25))</f>
        <v>0.11292784580563969</v>
      </c>
    </row>
    <row r="7" spans="1:39" x14ac:dyDescent="0.25">
      <c r="A7" s="32" t="s">
        <v>454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118.27602360000002</v>
      </c>
      <c r="J7" s="34">
        <f t="shared" si="4"/>
        <v>507.40414124400007</v>
      </c>
      <c r="K7" s="34">
        <f t="shared" si="5"/>
        <v>4.139660826000001</v>
      </c>
      <c r="L7" s="34">
        <f t="shared" si="6"/>
        <v>17.421916693702357</v>
      </c>
      <c r="M7" s="34">
        <f t="shared" si="7"/>
        <v>12.926632015944589</v>
      </c>
      <c r="N7" s="34">
        <f t="shared" si="7"/>
        <v>99.888236735255546</v>
      </c>
      <c r="O7" s="34">
        <f t="shared" si="8"/>
        <v>0.26240417736193672</v>
      </c>
      <c r="Q7" s="53"/>
      <c r="R7" s="54"/>
      <c r="S7" s="55"/>
      <c r="T7" s="54"/>
      <c r="U7" s="54"/>
      <c r="V7" s="38">
        <v>4.29</v>
      </c>
      <c r="W7" s="36">
        <f t="shared" si="9"/>
        <v>0.27342</v>
      </c>
      <c r="X7" s="37">
        <v>3.5000000000000003E-2</v>
      </c>
      <c r="Y7" s="37">
        <v>0.74197530864197536</v>
      </c>
      <c r="Z7" s="56">
        <v>7.7273211314475869</v>
      </c>
      <c r="AA7" s="36">
        <f t="shared" si="10"/>
        <v>3.0382471301493422E-2</v>
      </c>
      <c r="AB7" s="36">
        <f t="shared" si="11"/>
        <v>3.1402824975774492E-2</v>
      </c>
      <c r="AD7" s="42"/>
      <c r="AE7" s="37">
        <v>0.27900000000000003</v>
      </c>
      <c r="AF7" s="37">
        <v>3.1E-2</v>
      </c>
      <c r="AG7" s="37">
        <v>2.0299500831946753E-2</v>
      </c>
      <c r="AH7" s="43">
        <f t="shared" si="2"/>
        <v>0.27900000000000003</v>
      </c>
      <c r="AI7" s="43">
        <f t="shared" ref="AI7:AI25" si="12">AF7/(SUM(AF$6:AF$25))</f>
        <v>3.1002521736217779E-2</v>
      </c>
    </row>
    <row r="8" spans="1:39" x14ac:dyDescent="0.25">
      <c r="A8" s="32" t="s">
        <v>455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30.098916399999997</v>
      </c>
      <c r="J8" s="34">
        <f t="shared" si="4"/>
        <v>129.42534051999999</v>
      </c>
      <c r="K8" s="34">
        <f t="shared" si="5"/>
        <v>0.90296749199999982</v>
      </c>
      <c r="L8" s="34">
        <f t="shared" si="6"/>
        <v>8.4299596905011391</v>
      </c>
      <c r="M8" s="34">
        <f t="shared" si="7"/>
        <v>6.3224697678758544</v>
      </c>
      <c r="N8" s="34">
        <f t="shared" si="7"/>
        <v>52.447136538447616</v>
      </c>
      <c r="O8" s="34">
        <f t="shared" si="8"/>
        <v>0.13400351508017394</v>
      </c>
      <c r="Q8" s="53"/>
      <c r="R8" s="54"/>
      <c r="S8" s="55"/>
      <c r="T8" s="54"/>
      <c r="U8" s="54"/>
      <c r="V8" s="38">
        <v>4.3</v>
      </c>
      <c r="W8" s="36">
        <f t="shared" si="9"/>
        <v>6.9579999999999989E-2</v>
      </c>
      <c r="X8" s="37">
        <v>0.03</v>
      </c>
      <c r="Y8" s="37">
        <v>0.75</v>
      </c>
      <c r="Z8" s="56">
        <v>8.2953558441558446</v>
      </c>
      <c r="AA8" s="36">
        <f t="shared" si="10"/>
        <v>1.4701195791045204E-2</v>
      </c>
      <c r="AB8" s="36">
        <f t="shared" si="11"/>
        <v>3.2787838648753308E-2</v>
      </c>
      <c r="AD8" s="42"/>
      <c r="AE8" s="37">
        <v>7.0999999999999994E-2</v>
      </c>
      <c r="AF8" s="37">
        <v>1.4999999999999999E-2</v>
      </c>
      <c r="AG8" s="37">
        <v>2.1194805194805193E-2</v>
      </c>
      <c r="AH8" s="43">
        <f t="shared" si="2"/>
        <v>7.0999999999999994E-2</v>
      </c>
      <c r="AI8" s="43">
        <f t="shared" si="12"/>
        <v>1.5001220194944086E-2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320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146.68129861471982</v>
      </c>
      <c r="M13" s="34">
        <f t="shared" ref="M13:N20" si="17">L13*Y13</f>
        <v>95.30946951512766</v>
      </c>
      <c r="N13" s="34">
        <f t="shared" si="17"/>
        <v>1088.9716395451674</v>
      </c>
      <c r="O13" s="34">
        <f t="shared" ref="O13:O20" si="18">M13*AG13</f>
        <v>5.4326397623622764</v>
      </c>
      <c r="Q13" s="53"/>
      <c r="R13" s="54"/>
      <c r="S13" s="55"/>
      <c r="T13" s="54"/>
      <c r="U13" s="54"/>
      <c r="V13" s="38">
        <v>4.666666666666667</v>
      </c>
      <c r="W13" s="36">
        <f t="shared" ref="W13:W20" si="19">(AE13/SUM(AE$2:AE$20))*0.98</f>
        <v>0</v>
      </c>
      <c r="X13" s="37">
        <v>7.0000000000000001E-3</v>
      </c>
      <c r="Y13" s="37">
        <v>0.64977246871444816</v>
      </c>
      <c r="Z13" s="56">
        <v>11.425639499255887</v>
      </c>
      <c r="AA13" s="36">
        <f t="shared" ref="AA13:AB20" si="20">(AF13/SUM(AF$6:AF$25))*0.98</f>
        <v>0.25580080676418654</v>
      </c>
      <c r="AB13" s="36">
        <f t="shared" si="20"/>
        <v>8.8177588130746484E-2</v>
      </c>
      <c r="AD13" s="42"/>
      <c r="AE13" s="37">
        <v>0</v>
      </c>
      <c r="AF13" s="37">
        <v>0.26100000000000001</v>
      </c>
      <c r="AG13" s="37">
        <v>5.7000000000000002E-2</v>
      </c>
      <c r="AH13" s="43">
        <f t="shared" si="2"/>
        <v>0</v>
      </c>
      <c r="AI13" s="43">
        <f t="shared" si="12"/>
        <v>0.2610212313920271</v>
      </c>
    </row>
    <row r="14" spans="1:39" x14ac:dyDescent="0.25">
      <c r="A14" s="32" t="s">
        <v>695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2.1196420000000002</v>
      </c>
      <c r="J14" s="34">
        <f t="shared" si="14"/>
        <v>9.185115333333334</v>
      </c>
      <c r="K14" s="34">
        <f t="shared" si="15"/>
        <v>3.5327366666666672E-2</v>
      </c>
      <c r="L14" s="34">
        <f t="shared" si="16"/>
        <v>105.09349747491423</v>
      </c>
      <c r="M14" s="34">
        <f t="shared" si="17"/>
        <v>62.478995464132538</v>
      </c>
      <c r="N14" s="34">
        <f t="shared" si="17"/>
        <v>724.7563473839374</v>
      </c>
      <c r="O14" s="34">
        <f t="shared" si="18"/>
        <v>4.373529682489278</v>
      </c>
      <c r="Q14" s="53"/>
      <c r="R14" s="54"/>
      <c r="S14" s="55"/>
      <c r="T14" s="54"/>
      <c r="U14" s="54"/>
      <c r="V14" s="38">
        <v>4.333333333333333</v>
      </c>
      <c r="W14" s="36">
        <f t="shared" si="19"/>
        <v>4.8999999999999998E-3</v>
      </c>
      <c r="X14" s="37">
        <v>1.6666666666666666E-2</v>
      </c>
      <c r="Y14" s="37">
        <v>0.59450867052023126</v>
      </c>
      <c r="Z14" s="56">
        <v>11.6</v>
      </c>
      <c r="AA14" s="36">
        <f t="shared" si="20"/>
        <v>0.18327490752836356</v>
      </c>
      <c r="AB14" s="36">
        <f t="shared" si="20"/>
        <v>0.10828826612547815</v>
      </c>
      <c r="AD14" s="42"/>
      <c r="AE14" s="37">
        <v>5.0000000000000001E-3</v>
      </c>
      <c r="AF14" s="37">
        <v>0.187</v>
      </c>
      <c r="AG14" s="37">
        <v>7.0000000000000007E-2</v>
      </c>
      <c r="AH14" s="43">
        <f t="shared" si="2"/>
        <v>5.0000000000000001E-3</v>
      </c>
      <c r="AI14" s="43">
        <f t="shared" si="12"/>
        <v>0.18701521176363628</v>
      </c>
    </row>
    <row r="15" spans="1:39" x14ac:dyDescent="0.25">
      <c r="A15" s="32" t="s">
        <v>436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73.621647963709975</v>
      </c>
      <c r="M15" s="34">
        <f t="shared" si="17"/>
        <v>46.052929941825305</v>
      </c>
      <c r="N15" s="34">
        <f t="shared" si="17"/>
        <v>592.50297024416</v>
      </c>
      <c r="O15" s="34">
        <f t="shared" si="18"/>
        <v>3.2697580258695962</v>
      </c>
      <c r="Q15" s="53"/>
      <c r="R15" s="54"/>
      <c r="S15" s="55"/>
      <c r="T15" s="54"/>
      <c r="U15" s="54"/>
      <c r="V15" s="38">
        <v>4.666666666666667</v>
      </c>
      <c r="W15" s="36">
        <f t="shared" si="19"/>
        <v>0</v>
      </c>
      <c r="X15" s="37">
        <v>7.0000000000000001E-3</v>
      </c>
      <c r="Y15" s="37">
        <v>0.62553516819571864</v>
      </c>
      <c r="Z15" s="56">
        <v>12.865695428990467</v>
      </c>
      <c r="AA15" s="36">
        <f t="shared" si="20"/>
        <v>0.1283904432417948</v>
      </c>
      <c r="AB15" s="36">
        <f t="shared" si="20"/>
        <v>0.10983524135584209</v>
      </c>
      <c r="AD15" s="42"/>
      <c r="AE15" s="37">
        <v>0</v>
      </c>
      <c r="AF15" s="37">
        <v>0.13100000000000001</v>
      </c>
      <c r="AG15" s="37">
        <v>7.0999999999999994E-2</v>
      </c>
      <c r="AH15" s="43">
        <f t="shared" si="2"/>
        <v>0</v>
      </c>
      <c r="AI15" s="43">
        <f t="shared" si="12"/>
        <v>0.13101065636917836</v>
      </c>
    </row>
    <row r="16" spans="1:39" x14ac:dyDescent="0.25">
      <c r="A16" s="32" t="s">
        <v>696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14.049932817501903</v>
      </c>
      <c r="M16" s="34">
        <f t="shared" si="17"/>
        <v>8.9498072047487121</v>
      </c>
      <c r="N16" s="34">
        <f t="shared" si="17"/>
        <v>99.163863828615732</v>
      </c>
      <c r="O16" s="34">
        <f t="shared" si="18"/>
        <v>0.60858688992291243</v>
      </c>
      <c r="Q16" s="53"/>
      <c r="R16" s="54"/>
      <c r="S16" s="55"/>
      <c r="T16" s="54"/>
      <c r="U16" s="54"/>
      <c r="V16" s="38">
        <v>0</v>
      </c>
      <c r="W16" s="36">
        <f t="shared" si="19"/>
        <v>0</v>
      </c>
      <c r="X16" s="37">
        <v>0</v>
      </c>
      <c r="Y16" s="37">
        <v>0.63700000000000001</v>
      </c>
      <c r="Z16" s="56">
        <v>11.08</v>
      </c>
      <c r="AA16" s="36">
        <f t="shared" si="20"/>
        <v>2.4501992985075344E-2</v>
      </c>
      <c r="AB16" s="36">
        <f t="shared" si="20"/>
        <v>0.1051943156647502</v>
      </c>
      <c r="AD16" s="42"/>
      <c r="AE16" s="37">
        <v>0</v>
      </c>
      <c r="AF16" s="37">
        <v>2.5000000000000001E-2</v>
      </c>
      <c r="AG16" s="37">
        <v>6.8000000000000005E-2</v>
      </c>
      <c r="AH16" s="43">
        <f t="shared" si="2"/>
        <v>0</v>
      </c>
      <c r="AI16" s="43">
        <f t="shared" si="12"/>
        <v>2.5002033658240146E-2</v>
      </c>
    </row>
    <row r="17" spans="1:35" x14ac:dyDescent="0.25">
      <c r="A17" s="32" t="s">
        <v>613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5.6199731270007609</v>
      </c>
      <c r="M17" s="34">
        <f t="shared" si="17"/>
        <v>3.4562834731054677</v>
      </c>
      <c r="N17" s="34">
        <f t="shared" si="17"/>
        <v>33.440362965298739</v>
      </c>
      <c r="O17" s="34">
        <f t="shared" si="18"/>
        <v>0.19009559102080073</v>
      </c>
      <c r="Q17" s="53"/>
      <c r="R17" s="54"/>
      <c r="S17" s="55"/>
      <c r="T17" s="54"/>
      <c r="U17" s="54"/>
      <c r="V17" s="38">
        <v>8.1403371226969803</v>
      </c>
      <c r="W17" s="36">
        <f t="shared" si="19"/>
        <v>0</v>
      </c>
      <c r="X17" s="37">
        <v>7.0000000000000001E-3</v>
      </c>
      <c r="Y17" s="37">
        <v>0.61499999999999999</v>
      </c>
      <c r="Z17" s="56">
        <v>9.6752373540856027</v>
      </c>
      <c r="AA17" s="36">
        <f t="shared" si="20"/>
        <v>9.8007971940301374E-3</v>
      </c>
      <c r="AB17" s="36">
        <f t="shared" si="20"/>
        <v>8.508363767001853E-2</v>
      </c>
      <c r="AD17" s="42"/>
      <c r="AE17" s="37">
        <v>0</v>
      </c>
      <c r="AF17" s="37">
        <v>0.01</v>
      </c>
      <c r="AG17" s="37">
        <v>5.5E-2</v>
      </c>
      <c r="AH17" s="43">
        <f t="shared" si="2"/>
        <v>0</v>
      </c>
      <c r="AI17" s="43">
        <f t="shared" si="12"/>
        <v>1.0000813463296059E-2</v>
      </c>
    </row>
    <row r="18" spans="1:35" x14ac:dyDescent="0.25">
      <c r="A18" s="32" t="s">
        <v>551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2.8099865635003805</v>
      </c>
      <c r="M18" s="34">
        <f t="shared" si="17"/>
        <v>1.691611911227229</v>
      </c>
      <c r="N18" s="34">
        <f t="shared" si="17"/>
        <v>14.655340541411148</v>
      </c>
      <c r="O18" s="34">
        <f t="shared" si="18"/>
        <v>8.4580595561361452E-2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0.05</v>
      </c>
      <c r="Y18" s="37">
        <v>0.60199999999999998</v>
      </c>
      <c r="Z18" s="56">
        <v>8.6635359116022101</v>
      </c>
      <c r="AA18" s="36">
        <f t="shared" si="20"/>
        <v>4.9003985970150687E-3</v>
      </c>
      <c r="AB18" s="36">
        <f t="shared" si="20"/>
        <v>7.7348761518198667E-2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2"/>
        <v>5.0004067316480293E-3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706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65.191688273208825</v>
      </c>
      <c r="M22" s="34">
        <f t="shared" ref="M22:N25" si="21">L22*Y22</f>
        <v>46.840733386225139</v>
      </c>
      <c r="N22" s="34">
        <f t="shared" si="21"/>
        <v>453.82461016603662</v>
      </c>
      <c r="O22" s="34">
        <f>M22*AG22</f>
        <v>2.9978069367184088</v>
      </c>
      <c r="Q22" s="53"/>
      <c r="R22" s="54"/>
      <c r="S22" s="55"/>
      <c r="T22" s="54"/>
      <c r="U22" s="54"/>
      <c r="V22" s="59"/>
      <c r="W22" s="60"/>
      <c r="X22" s="54"/>
      <c r="Y22" s="37">
        <v>0.71850775193798444</v>
      </c>
      <c r="Z22" s="56">
        <v>9.6886743088334466</v>
      </c>
      <c r="AA22" s="36">
        <f t="shared" ref="AA22:AB25" si="22">(AF22/SUM(AF$6:AF$25))*0.98</f>
        <v>0.11368924745074958</v>
      </c>
      <c r="AB22" s="36">
        <f t="shared" si="22"/>
        <v>9.9006414743294288E-2</v>
      </c>
      <c r="AD22" s="42"/>
      <c r="AE22" s="42"/>
      <c r="AF22" s="37">
        <v>0.11600000000000001</v>
      </c>
      <c r="AG22" s="37">
        <v>6.4000000000000001E-2</v>
      </c>
      <c r="AH22" s="43"/>
      <c r="AI22" s="43">
        <f t="shared" si="12"/>
        <v>0.11600943617423427</v>
      </c>
    </row>
    <row r="23" spans="1:35" x14ac:dyDescent="0.25">
      <c r="A23" s="32" t="s">
        <v>552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51.141755455706921</v>
      </c>
      <c r="M23" s="34">
        <f t="shared" si="21"/>
        <v>38.867734146337263</v>
      </c>
      <c r="N23" s="34">
        <f t="shared" si="21"/>
        <v>325.93094124496713</v>
      </c>
      <c r="O23" s="34">
        <f>M23*AG23</f>
        <v>2.0988576439022122</v>
      </c>
      <c r="Q23" s="53"/>
      <c r="R23" s="54"/>
      <c r="S23" s="55"/>
      <c r="T23" s="54"/>
      <c r="U23" s="54"/>
      <c r="V23" s="59"/>
      <c r="W23" s="60"/>
      <c r="X23" s="54"/>
      <c r="Y23" s="37">
        <v>0.76</v>
      </c>
      <c r="Z23" s="56">
        <v>8.3856429607611052</v>
      </c>
      <c r="AA23" s="36">
        <f t="shared" si="22"/>
        <v>8.9187254465674243E-2</v>
      </c>
      <c r="AB23" s="36">
        <f t="shared" si="22"/>
        <v>8.353666243965456E-2</v>
      </c>
      <c r="AD23" s="42"/>
      <c r="AE23" s="42"/>
      <c r="AF23" s="37">
        <v>9.0999999999999998E-2</v>
      </c>
      <c r="AG23" s="37">
        <v>5.3999999999999999E-2</v>
      </c>
      <c r="AH23" s="43"/>
      <c r="AI23" s="43">
        <f t="shared" si="12"/>
        <v>9.1007402515994124E-2</v>
      </c>
    </row>
    <row r="24" spans="1:35" x14ac:dyDescent="0.25">
      <c r="A24" s="32" t="s">
        <v>329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8.4299596905011391</v>
      </c>
      <c r="M24" s="34">
        <f t="shared" si="21"/>
        <v>5.3709061361450434</v>
      </c>
      <c r="N24" s="34">
        <f t="shared" si="21"/>
        <v>44.092010074532368</v>
      </c>
      <c r="O24" s="34">
        <f>M24*AG24</f>
        <v>0.32225436816870262</v>
      </c>
      <c r="Q24" s="53"/>
      <c r="R24" s="54"/>
      <c r="S24" s="55"/>
      <c r="T24" s="54"/>
      <c r="U24" s="54"/>
      <c r="V24" s="59"/>
      <c r="W24" s="60"/>
      <c r="X24" s="54"/>
      <c r="Y24" s="37">
        <v>0.63712121212121209</v>
      </c>
      <c r="Z24" s="56">
        <v>8.2094173602853751</v>
      </c>
      <c r="AA24" s="36">
        <f t="shared" si="22"/>
        <v>1.4701195791045204E-2</v>
      </c>
      <c r="AB24" s="36">
        <f t="shared" si="22"/>
        <v>9.2818513821838394E-2</v>
      </c>
      <c r="AD24" s="42"/>
      <c r="AE24" s="42"/>
      <c r="AF24" s="37">
        <v>1.4999999999999999E-2</v>
      </c>
      <c r="AG24" s="37">
        <v>0.06</v>
      </c>
      <c r="AH24" s="43"/>
      <c r="AI24" s="43">
        <f t="shared" si="12"/>
        <v>1.5001220194944086E-2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0.9800000000000002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0.99991866028708132</v>
      </c>
    </row>
    <row r="29" spans="1:35" s="69" customFormat="1" x14ac:dyDescent="0.25">
      <c r="A29" s="62"/>
      <c r="B29" s="63"/>
      <c r="C29" s="63"/>
      <c r="D29" s="74">
        <v>1006</v>
      </c>
      <c r="E29" s="75">
        <v>0.56999999999999995</v>
      </c>
      <c r="F29" s="76">
        <f>1-E29</f>
        <v>0.43000000000000005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573.41999999999996</v>
      </c>
      <c r="E32" s="80">
        <f>SUM(E2:E4)</f>
        <v>386.33965111452216</v>
      </c>
      <c r="F32" s="80">
        <f>SUM(F2:F4)</f>
        <v>3971.9883641304573</v>
      </c>
      <c r="G32" s="80">
        <f>SUM(G2:G4)</f>
        <v>21.954329964810981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432.58000000000004</v>
      </c>
      <c r="E35" s="80">
        <f>D35*G29</f>
        <v>1816.8360000000002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423.92840000000007</v>
      </c>
      <c r="E38" s="91">
        <f>SUM(J2:J4,J6:J11,J13:J20)</f>
        <v>1814.3825151277811</v>
      </c>
      <c r="F38" s="91">
        <f>SUM(K2:K4,K6:K11,K13:K20)</f>
        <v>11.996379778661572</v>
      </c>
      <c r="G38" s="91">
        <f>SUM(L6:L11,L13:L20,L22:L25)</f>
        <v>561.95159999999998</v>
      </c>
      <c r="H38" s="91">
        <f>SUM(M6:M11,M13:M20,M22:M25)</f>
        <v>378.55620394913871</v>
      </c>
      <c r="I38" s="91">
        <f>SUM(N6:N11,N13:N20,N22:N25)</f>
        <v>3968.8846669086429</v>
      </c>
      <c r="J38" s="91">
        <f>SUM(O6:O11,O13:O20,O22:O25)</f>
        <v>21.936928320874745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8.6515999999999735</v>
      </c>
      <c r="E39" s="92">
        <f>E35-E38</f>
        <v>2.4534848722191782</v>
      </c>
      <c r="F39" s="92">
        <f>F35-F38</f>
        <v>3.6202213384282089E-3</v>
      </c>
      <c r="G39" s="92">
        <f>SUM(D2:D4)-G38</f>
        <v>11.468399999999974</v>
      </c>
      <c r="H39" s="92">
        <f>E32-H38</f>
        <v>7.7834471653834498</v>
      </c>
      <c r="I39" s="92">
        <f>F32-I38</f>
        <v>3.1036972218144001</v>
      </c>
      <c r="J39" s="92">
        <f>G32-J38</f>
        <v>1.7401643936235445E-2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15" priority="1" operator="lessThan">
      <formula>0</formula>
    </cfRule>
  </conditionalFormatting>
  <conditionalFormatting sqref="W28 AA28:AF28">
    <cfRule type="cellIs" dxfId="1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9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76</v>
      </c>
    </row>
    <row r="2" spans="1:39" x14ac:dyDescent="0.25">
      <c r="A2" s="32" t="s">
        <v>114</v>
      </c>
      <c r="B2" s="33" t="s">
        <v>7</v>
      </c>
      <c r="C2" s="33">
        <f>VLOOKUP($AM$1,DST!C:D,2,FALSE)</f>
        <v>10</v>
      </c>
      <c r="D2" s="34">
        <f>D$32*Q2</f>
        <v>480.31367999999998</v>
      </c>
      <c r="E2" s="34">
        <f>D2*R2</f>
        <v>315.3586330461053</v>
      </c>
      <c r="F2" s="34">
        <f>E2*S2</f>
        <v>3538.3238627773017</v>
      </c>
      <c r="G2" s="34">
        <f>E2*T2</f>
        <v>24.913332010642318</v>
      </c>
      <c r="H2" s="34">
        <f>D2*U2</f>
        <v>8.0550783346701191</v>
      </c>
      <c r="I2" s="34">
        <f>D$35*W2</f>
        <v>108.73328928000001</v>
      </c>
      <c r="J2" s="34">
        <f>I2*V2</f>
        <v>444.46017109093691</v>
      </c>
      <c r="K2" s="34">
        <f>I2*X2</f>
        <v>8.8073964316800009</v>
      </c>
      <c r="L2" s="35"/>
      <c r="M2" s="35"/>
      <c r="N2" s="35"/>
      <c r="O2" s="35"/>
      <c r="Q2" s="36">
        <f>(AD2/SUM(AD$2:AD$25))</f>
        <v>0.98</v>
      </c>
      <c r="R2" s="37">
        <v>0.65656808493588048</v>
      </c>
      <c r="S2" s="38">
        <v>11.22</v>
      </c>
      <c r="T2" s="37">
        <v>7.9000000000000001E-2</v>
      </c>
      <c r="U2" s="37">
        <v>1.677045370573272E-2</v>
      </c>
      <c r="V2" s="38">
        <v>4.087618189737678</v>
      </c>
      <c r="W2" s="36">
        <f>(AE2/SUM(AE$2:AE$20))*0.98</f>
        <v>0.19992000000000001</v>
      </c>
      <c r="X2" s="37">
        <v>8.1000000000000003E-2</v>
      </c>
      <c r="Y2" s="39"/>
      <c r="Z2" s="40"/>
      <c r="AA2" s="41"/>
      <c r="AB2" s="41"/>
      <c r="AD2" s="37">
        <v>0.98</v>
      </c>
      <c r="AE2" s="37">
        <v>0.20399999999999999</v>
      </c>
      <c r="AF2" s="42"/>
      <c r="AG2" s="42"/>
      <c r="AH2" s="43">
        <f>AE2/(SUM(AE$2:AE$25))</f>
        <v>0.20400000000000001</v>
      </c>
    </row>
    <row r="3" spans="1:39" x14ac:dyDescent="0.25">
      <c r="A3" s="32" t="s">
        <v>590</v>
      </c>
      <c r="B3" s="33" t="s">
        <v>7</v>
      </c>
      <c r="C3" s="33">
        <f>VLOOKUP($AM$1,DST!C:D,2,FALSE)</f>
        <v>10</v>
      </c>
      <c r="D3" s="34">
        <f>D$32*Q3</f>
        <v>4.90116</v>
      </c>
      <c r="E3" s="34">
        <f>D3*R3</f>
        <v>3.1024342800000002</v>
      </c>
      <c r="F3" s="34">
        <f>E3*S3</f>
        <v>32.983774976842106</v>
      </c>
      <c r="G3" s="34">
        <f t="shared" ref="G3" si="0">E3*T3</f>
        <v>0.19235092536000001</v>
      </c>
      <c r="H3" s="34">
        <f>D3*U3</f>
        <v>0.11067135483870967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0.63300000000000001</v>
      </c>
      <c r="S3" s="38">
        <v>10.631578947368421</v>
      </c>
      <c r="T3" s="37">
        <v>6.2E-2</v>
      </c>
      <c r="U3" s="37">
        <v>2.2580645161290321E-2</v>
      </c>
      <c r="V3" s="38">
        <v>2.2083333333333335</v>
      </c>
      <c r="W3" s="36">
        <f>(AE3/SUM(AE$2:AE$20))*0.98</f>
        <v>0</v>
      </c>
      <c r="X3" s="37">
        <v>4.1666666666666671E-2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1">AE3/(SUM(AE$2:AE$25))</f>
        <v>0</v>
      </c>
    </row>
    <row r="4" spans="1:39" x14ac:dyDescent="0.25">
      <c r="A4" s="32" t="s">
        <v>18</v>
      </c>
      <c r="B4" s="33" t="s">
        <v>7</v>
      </c>
      <c r="C4" s="33">
        <f>VLOOKUP($AM$1,DST!C:D,2,FALSE)</f>
        <v>10</v>
      </c>
      <c r="D4" s="34">
        <f>D$32*Q4</f>
        <v>4.90116</v>
      </c>
      <c r="E4" s="34">
        <f t="shared" ref="E4" si="2">D4*R4</f>
        <v>3.429798519798771</v>
      </c>
      <c r="F4" s="34">
        <f t="shared" ref="F4" si="3">E4*S4</f>
        <v>39.370226706583125</v>
      </c>
      <c r="G4" s="34">
        <f t="shared" ref="G4" si="4">E4*T4</f>
        <v>0.2743838815839017</v>
      </c>
      <c r="H4" s="34">
        <f>D4*U4</f>
        <v>8.3498667325082557E-2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0.01</v>
      </c>
      <c r="R4" s="37">
        <v>0.69979321625875734</v>
      </c>
      <c r="S4" s="38">
        <v>11.478874481785304</v>
      </c>
      <c r="T4" s="37">
        <v>0.08</v>
      </c>
      <c r="U4" s="37">
        <v>1.7036511218789543E-2</v>
      </c>
      <c r="V4" s="38">
        <v>3</v>
      </c>
      <c r="W4" s="36">
        <f>(AE4/SUM(AE$2:AE$20))*0.98</f>
        <v>0</v>
      </c>
      <c r="X4" s="37">
        <v>0.01</v>
      </c>
      <c r="Y4" s="39"/>
      <c r="Z4" s="40"/>
      <c r="AA4" s="41"/>
      <c r="AB4" s="41"/>
      <c r="AD4" s="37">
        <v>0.01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5">D$35*W6</f>
        <v>308.61065928000005</v>
      </c>
      <c r="J6" s="34">
        <f t="shared" ref="J6:J11" si="6">I6*V6</f>
        <v>1320.8536217184003</v>
      </c>
      <c r="K6" s="34">
        <f t="shared" ref="K6:K11" si="7">I6*X6</f>
        <v>9.2583197784000006</v>
      </c>
      <c r="L6" s="34">
        <f t="shared" ref="L6:L11" si="8">((D$2+D$3+D$4)*AA6)</f>
        <v>44.188858559999993</v>
      </c>
      <c r="M6" s="34">
        <f t="shared" ref="M6:N11" si="9">L6*Y6</f>
        <v>29.923019353693945</v>
      </c>
      <c r="N6" s="34">
        <f t="shared" si="9"/>
        <v>221.13111302379824</v>
      </c>
      <c r="O6" s="34">
        <f t="shared" ref="O6:O11" si="10">M6*AG6</f>
        <v>1.5559970063920852</v>
      </c>
      <c r="Q6" s="53"/>
      <c r="R6" s="54"/>
      <c r="S6" s="55"/>
      <c r="T6" s="54"/>
      <c r="U6" s="54"/>
      <c r="V6" s="38">
        <v>4.28</v>
      </c>
      <c r="W6" s="36">
        <f t="shared" ref="W6:W11" si="11">(AE6/SUM(AE$2:AE$20))*0.98</f>
        <v>0.56742000000000004</v>
      </c>
      <c r="X6" s="37">
        <v>0.03</v>
      </c>
      <c r="Y6" s="37">
        <v>0.67716207951070351</v>
      </c>
      <c r="Z6" s="56">
        <v>7.39</v>
      </c>
      <c r="AA6" s="36">
        <f t="shared" ref="AA6:AA11" si="12">(AF6/SUM(AF$6:AF$25))*0.98</f>
        <v>9.015999999999999E-2</v>
      </c>
      <c r="AB6" s="36">
        <f t="shared" ref="AB6:AB11" si="13">(AG6/SUM(AG$6:AG$25))*0.98</f>
        <v>6.4786779132631284E-2</v>
      </c>
      <c r="AD6" s="42"/>
      <c r="AE6" s="37">
        <v>0.57899999999999996</v>
      </c>
      <c r="AF6" s="37">
        <v>9.1999999999999998E-2</v>
      </c>
      <c r="AG6" s="37">
        <v>5.1999999999999998E-2</v>
      </c>
      <c r="AH6" s="43">
        <f t="shared" si="1"/>
        <v>0.57900000000000007</v>
      </c>
      <c r="AI6" s="43">
        <f>AF6/(SUM(AF$6:AF$25))</f>
        <v>9.1999999999999998E-2</v>
      </c>
    </row>
    <row r="7" spans="1:39" x14ac:dyDescent="0.25">
      <c r="A7" s="122" t="s">
        <v>385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5"/>
        <v>97.007150240000016</v>
      </c>
      <c r="J7" s="34">
        <f t="shared" si="6"/>
        <v>463.69417814720009</v>
      </c>
      <c r="K7" s="34">
        <f t="shared" si="7"/>
        <v>3.4927472680063905</v>
      </c>
      <c r="L7" s="34">
        <f t="shared" si="8"/>
        <v>5.2834504799999999</v>
      </c>
      <c r="M7" s="34">
        <f t="shared" si="9"/>
        <v>3.5113420523377772</v>
      </c>
      <c r="N7" s="34">
        <f t="shared" si="9"/>
        <v>24.369230447271107</v>
      </c>
      <c r="O7" s="34">
        <f t="shared" si="10"/>
        <v>0.10534026157013331</v>
      </c>
      <c r="Q7" s="53"/>
      <c r="R7" s="54"/>
      <c r="S7" s="55"/>
      <c r="T7" s="54"/>
      <c r="U7" s="54"/>
      <c r="V7" s="38">
        <v>4.78</v>
      </c>
      <c r="W7" s="36">
        <f t="shared" si="11"/>
        <v>0.17836000000000002</v>
      </c>
      <c r="X7" s="37">
        <v>3.6005049724326277E-2</v>
      </c>
      <c r="Y7" s="37">
        <v>0.66459259259259251</v>
      </c>
      <c r="Z7" s="56">
        <v>6.9401471243869821</v>
      </c>
      <c r="AA7" s="36">
        <f t="shared" si="12"/>
        <v>1.078E-2</v>
      </c>
      <c r="AB7" s="36">
        <f t="shared" si="13"/>
        <v>3.737698796113343E-2</v>
      </c>
      <c r="AD7" s="42"/>
      <c r="AE7" s="37">
        <v>0.182</v>
      </c>
      <c r="AF7" s="37">
        <v>1.0999999999999999E-2</v>
      </c>
      <c r="AG7" s="37">
        <v>0.03</v>
      </c>
      <c r="AH7" s="43">
        <f t="shared" si="1"/>
        <v>0.18200000000000002</v>
      </c>
      <c r="AI7" s="43">
        <f t="shared" ref="AI7:AI25" si="14">AF7/(SUM(AF$6:AF$25))</f>
        <v>1.0999999999999999E-2</v>
      </c>
    </row>
    <row r="8" spans="1:39" x14ac:dyDescent="0.25">
      <c r="A8" s="32" t="s">
        <v>456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5"/>
        <v>13.325158000000004</v>
      </c>
      <c r="J8" s="34">
        <f t="shared" si="6"/>
        <v>53.567135160000007</v>
      </c>
      <c r="K8" s="34">
        <f t="shared" si="7"/>
        <v>0.19987737000000005</v>
      </c>
      <c r="L8" s="34">
        <f t="shared" si="8"/>
        <v>7.2047051999999994</v>
      </c>
      <c r="M8" s="34">
        <f t="shared" si="9"/>
        <v>5.3675053739999994</v>
      </c>
      <c r="N8" s="34">
        <f t="shared" si="9"/>
        <v>36.499036543199992</v>
      </c>
      <c r="O8" s="34">
        <f t="shared" si="10"/>
        <v>0.12345262360199999</v>
      </c>
      <c r="Q8" s="53"/>
      <c r="R8" s="54"/>
      <c r="S8" s="55"/>
      <c r="T8" s="54"/>
      <c r="U8" s="54"/>
      <c r="V8" s="38">
        <v>4.0199999999999996</v>
      </c>
      <c r="W8" s="36">
        <f t="shared" si="11"/>
        <v>2.4500000000000004E-2</v>
      </c>
      <c r="X8" s="37">
        <v>1.4999999999999999E-2</v>
      </c>
      <c r="Y8" s="37">
        <v>0.745</v>
      </c>
      <c r="Z8" s="56">
        <v>6.8</v>
      </c>
      <c r="AA8" s="36">
        <f t="shared" si="12"/>
        <v>1.47E-2</v>
      </c>
      <c r="AB8" s="36">
        <f t="shared" si="13"/>
        <v>2.8655690770202299E-2</v>
      </c>
      <c r="AD8" s="42"/>
      <c r="AE8" s="37">
        <v>2.5000000000000001E-2</v>
      </c>
      <c r="AF8" s="37">
        <v>1.4999999999999999E-2</v>
      </c>
      <c r="AG8" s="37">
        <v>2.3E-2</v>
      </c>
      <c r="AH8" s="43">
        <f t="shared" si="1"/>
        <v>2.5000000000000005E-2</v>
      </c>
      <c r="AI8" s="43">
        <f t="shared" si="14"/>
        <v>1.4999999999999999E-2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5"/>
        <v>0</v>
      </c>
      <c r="J9" s="34">
        <f t="shared" si="6"/>
        <v>0</v>
      </c>
      <c r="K9" s="34">
        <f t="shared" si="7"/>
        <v>0</v>
      </c>
      <c r="L9" s="34">
        <f t="shared" si="8"/>
        <v>0</v>
      </c>
      <c r="M9" s="34">
        <f t="shared" si="9"/>
        <v>0</v>
      </c>
      <c r="N9" s="34">
        <f t="shared" si="9"/>
        <v>0</v>
      </c>
      <c r="O9" s="34">
        <f t="shared" si="10"/>
        <v>0</v>
      </c>
      <c r="Q9" s="53"/>
      <c r="R9" s="54"/>
      <c r="S9" s="55"/>
      <c r="T9" s="54"/>
      <c r="U9" s="54"/>
      <c r="V9" s="38">
        <v>0</v>
      </c>
      <c r="W9" s="36">
        <f t="shared" si="11"/>
        <v>0</v>
      </c>
      <c r="X9" s="37">
        <v>0</v>
      </c>
      <c r="Y9" s="37">
        <v>0</v>
      </c>
      <c r="Z9" s="56">
        <v>0</v>
      </c>
      <c r="AA9" s="36">
        <f t="shared" si="12"/>
        <v>0</v>
      </c>
      <c r="AB9" s="36">
        <f t="shared" si="13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4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5"/>
        <v>0</v>
      </c>
      <c r="J10" s="34">
        <f t="shared" si="6"/>
        <v>0</v>
      </c>
      <c r="K10" s="34">
        <f t="shared" si="7"/>
        <v>0</v>
      </c>
      <c r="L10" s="34">
        <f t="shared" si="8"/>
        <v>0</v>
      </c>
      <c r="M10" s="34">
        <f t="shared" si="9"/>
        <v>0</v>
      </c>
      <c r="N10" s="34">
        <f t="shared" si="9"/>
        <v>0</v>
      </c>
      <c r="O10" s="34">
        <f t="shared" si="10"/>
        <v>0</v>
      </c>
      <c r="Q10" s="53"/>
      <c r="R10" s="54"/>
      <c r="S10" s="55"/>
      <c r="T10" s="54"/>
      <c r="U10" s="54"/>
      <c r="V10" s="38">
        <v>0</v>
      </c>
      <c r="W10" s="36">
        <f t="shared" si="11"/>
        <v>0</v>
      </c>
      <c r="X10" s="37">
        <v>0</v>
      </c>
      <c r="Y10" s="37">
        <v>0</v>
      </c>
      <c r="Z10" s="56">
        <v>0</v>
      </c>
      <c r="AA10" s="36">
        <f t="shared" si="12"/>
        <v>0</v>
      </c>
      <c r="AB10" s="36">
        <f t="shared" si="13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4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5"/>
        <v>0</v>
      </c>
      <c r="J11" s="34">
        <f t="shared" si="6"/>
        <v>0</v>
      </c>
      <c r="K11" s="34">
        <f t="shared" si="7"/>
        <v>0</v>
      </c>
      <c r="L11" s="34">
        <f t="shared" si="8"/>
        <v>0</v>
      </c>
      <c r="M11" s="34">
        <f t="shared" si="9"/>
        <v>0</v>
      </c>
      <c r="N11" s="34">
        <f t="shared" si="9"/>
        <v>0</v>
      </c>
      <c r="O11" s="34">
        <f t="shared" si="10"/>
        <v>0</v>
      </c>
      <c r="Q11" s="53"/>
      <c r="R11" s="54"/>
      <c r="S11" s="55"/>
      <c r="T11" s="54"/>
      <c r="U11" s="54"/>
      <c r="V11" s="38">
        <v>0</v>
      </c>
      <c r="W11" s="36">
        <f t="shared" si="11"/>
        <v>0</v>
      </c>
      <c r="X11" s="37">
        <v>0</v>
      </c>
      <c r="Y11" s="37">
        <v>0</v>
      </c>
      <c r="Z11" s="56">
        <v>0</v>
      </c>
      <c r="AA11" s="36">
        <f t="shared" si="12"/>
        <v>0</v>
      </c>
      <c r="AB11" s="36">
        <f t="shared" si="13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4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5">D$35*W13</f>
        <v>0</v>
      </c>
      <c r="J13" s="34">
        <f t="shared" ref="J13:J20" si="16">I13*V13</f>
        <v>0</v>
      </c>
      <c r="K13" s="34">
        <f t="shared" ref="K13:K20" si="17">I13*X13</f>
        <v>0</v>
      </c>
      <c r="L13" s="34">
        <f t="shared" ref="L13:L20" si="18">((D$2+D$3+D$4)*AA13)</f>
        <v>126.32249784000001</v>
      </c>
      <c r="M13" s="34">
        <f t="shared" ref="M13:N20" si="19">L13*Y13</f>
        <v>86.025621029040011</v>
      </c>
      <c r="N13" s="34">
        <f t="shared" si="19"/>
        <v>1107.149742643745</v>
      </c>
      <c r="O13" s="34">
        <f t="shared" ref="O13:O20" si="20">M13*AG13</f>
        <v>7.39820340849744</v>
      </c>
      <c r="Q13" s="53"/>
      <c r="R13" s="54"/>
      <c r="S13" s="55"/>
      <c r="T13" s="54"/>
      <c r="U13" s="54"/>
      <c r="V13" s="38">
        <v>3.5000000000000004</v>
      </c>
      <c r="W13" s="36">
        <f t="shared" ref="W13:W20" si="21">(AE13/SUM(AE$2:AE$20))*0.98</f>
        <v>0</v>
      </c>
      <c r="X13" s="37">
        <v>0.05</v>
      </c>
      <c r="Y13" s="37">
        <v>0.68100000000000005</v>
      </c>
      <c r="Z13" s="56">
        <v>12.87</v>
      </c>
      <c r="AA13" s="36">
        <f t="shared" ref="AA13:AB20" si="22">(AF13/SUM(AF$6:AF$25))*0.98</f>
        <v>0.25774000000000002</v>
      </c>
      <c r="AB13" s="36">
        <f t="shared" si="22"/>
        <v>0.1071473654885825</v>
      </c>
      <c r="AD13" s="42"/>
      <c r="AE13" s="37">
        <v>0</v>
      </c>
      <c r="AF13" s="37">
        <v>0.26300000000000001</v>
      </c>
      <c r="AG13" s="37">
        <v>8.5999999999999993E-2</v>
      </c>
      <c r="AH13" s="43">
        <f t="shared" si="1"/>
        <v>0</v>
      </c>
      <c r="AI13" s="43">
        <f t="shared" si="14"/>
        <v>0.26300000000000001</v>
      </c>
    </row>
    <row r="14" spans="1:39" x14ac:dyDescent="0.25">
      <c r="A14" s="32" t="s">
        <v>697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5"/>
        <v>5.3300632000000006</v>
      </c>
      <c r="J14" s="34">
        <f t="shared" si="16"/>
        <v>26.058086755555557</v>
      </c>
      <c r="K14" s="34">
        <f t="shared" si="17"/>
        <v>0.2368916977777778</v>
      </c>
      <c r="L14" s="34">
        <f t="shared" si="18"/>
        <v>109.03120535999999</v>
      </c>
      <c r="M14" s="34">
        <f t="shared" si="19"/>
        <v>73.923157234079994</v>
      </c>
      <c r="N14" s="34">
        <f t="shared" si="19"/>
        <v>918.12561284727349</v>
      </c>
      <c r="O14" s="34">
        <f t="shared" si="20"/>
        <v>6.1010253945364816</v>
      </c>
      <c r="Q14" s="53"/>
      <c r="R14" s="54"/>
      <c r="S14" s="55"/>
      <c r="T14" s="54"/>
      <c r="U14" s="54"/>
      <c r="V14" s="38">
        <v>4.8888888888888884</v>
      </c>
      <c r="W14" s="36">
        <f t="shared" si="21"/>
        <v>9.8000000000000014E-3</v>
      </c>
      <c r="X14" s="37">
        <v>4.4444444444444446E-2</v>
      </c>
      <c r="Y14" s="37">
        <v>0.67800000000000005</v>
      </c>
      <c r="Z14" s="56">
        <v>12.42</v>
      </c>
      <c r="AA14" s="36">
        <f t="shared" si="22"/>
        <v>0.22245999999999999</v>
      </c>
      <c r="AB14" s="36">
        <f t="shared" si="22"/>
        <v>0.10282657525934673</v>
      </c>
      <c r="AD14" s="42"/>
      <c r="AE14" s="37">
        <v>0.01</v>
      </c>
      <c r="AF14" s="37">
        <v>0.22700000000000001</v>
      </c>
      <c r="AG14" s="37">
        <v>8.2531991635819799E-2</v>
      </c>
      <c r="AH14" s="43">
        <f t="shared" si="1"/>
        <v>1.0000000000000002E-2</v>
      </c>
      <c r="AI14" s="43">
        <f t="shared" si="14"/>
        <v>0.22700000000000001</v>
      </c>
    </row>
    <row r="15" spans="1:39" x14ac:dyDescent="0.25">
      <c r="A15" s="32" t="s">
        <v>419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5"/>
        <v>0</v>
      </c>
      <c r="J15" s="34">
        <f t="shared" si="16"/>
        <v>0</v>
      </c>
      <c r="K15" s="34">
        <f t="shared" si="17"/>
        <v>0</v>
      </c>
      <c r="L15" s="34">
        <f t="shared" si="18"/>
        <v>41.306976479999996</v>
      </c>
      <c r="M15" s="34">
        <f t="shared" si="19"/>
        <v>23.710204499519996</v>
      </c>
      <c r="N15" s="34">
        <f t="shared" si="19"/>
        <v>288.31608671416313</v>
      </c>
      <c r="O15" s="34">
        <f t="shared" si="20"/>
        <v>1.8968163599615997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0.57399999999999995</v>
      </c>
      <c r="Z15" s="56">
        <v>12.16</v>
      </c>
      <c r="AA15" s="36">
        <f t="shared" si="22"/>
        <v>8.4279999999999994E-2</v>
      </c>
      <c r="AB15" s="36">
        <f t="shared" si="22"/>
        <v>9.9671967896355823E-2</v>
      </c>
      <c r="AD15" s="42"/>
      <c r="AE15" s="37">
        <v>0</v>
      </c>
      <c r="AF15" s="37">
        <v>8.5999999999999993E-2</v>
      </c>
      <c r="AG15" s="37">
        <v>0.08</v>
      </c>
      <c r="AH15" s="43">
        <f t="shared" si="1"/>
        <v>0</v>
      </c>
      <c r="AI15" s="43">
        <f t="shared" si="14"/>
        <v>8.5999999999999993E-2</v>
      </c>
    </row>
    <row r="16" spans="1:39" x14ac:dyDescent="0.25">
      <c r="A16" s="32" t="s">
        <v>644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5"/>
        <v>0</v>
      </c>
      <c r="J16" s="34">
        <f t="shared" si="16"/>
        <v>0</v>
      </c>
      <c r="K16" s="34">
        <f t="shared" si="17"/>
        <v>0</v>
      </c>
      <c r="L16" s="34">
        <f t="shared" si="18"/>
        <v>23.535370319999998</v>
      </c>
      <c r="M16" s="34">
        <f t="shared" si="19"/>
        <v>12.920918305680001</v>
      </c>
      <c r="N16" s="34">
        <f t="shared" si="19"/>
        <v>148.92933417916109</v>
      </c>
      <c r="O16" s="34">
        <f t="shared" si="20"/>
        <v>1.0078316278430401</v>
      </c>
      <c r="Q16" s="53"/>
      <c r="R16" s="54"/>
      <c r="S16" s="55"/>
      <c r="T16" s="54"/>
      <c r="U16" s="54"/>
      <c r="V16" s="38">
        <v>3</v>
      </c>
      <c r="W16" s="36">
        <f t="shared" si="21"/>
        <v>0</v>
      </c>
      <c r="X16" s="37">
        <v>7.0000000000000001E-3</v>
      </c>
      <c r="Y16" s="37">
        <v>0.54900000000000004</v>
      </c>
      <c r="Z16" s="56">
        <v>11.526219008264464</v>
      </c>
      <c r="AA16" s="36">
        <f t="shared" si="22"/>
        <v>4.802E-2</v>
      </c>
      <c r="AB16" s="36">
        <f t="shared" si="22"/>
        <v>9.7180168698946925E-2</v>
      </c>
      <c r="AD16" s="42"/>
      <c r="AE16" s="37">
        <v>0</v>
      </c>
      <c r="AF16" s="37">
        <v>4.9000000000000002E-2</v>
      </c>
      <c r="AG16" s="37">
        <v>7.8E-2</v>
      </c>
      <c r="AH16" s="43">
        <f t="shared" si="1"/>
        <v>0</v>
      </c>
      <c r="AI16" s="43">
        <f t="shared" si="14"/>
        <v>4.9000000000000002E-2</v>
      </c>
    </row>
    <row r="17" spans="1:35" x14ac:dyDescent="0.25">
      <c r="A17" s="32" t="s">
        <v>645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5"/>
        <v>0</v>
      </c>
      <c r="J17" s="34">
        <f t="shared" si="16"/>
        <v>0</v>
      </c>
      <c r="K17" s="34">
        <f t="shared" si="17"/>
        <v>0</v>
      </c>
      <c r="L17" s="34">
        <f t="shared" si="18"/>
        <v>12.007842</v>
      </c>
      <c r="M17" s="34">
        <f t="shared" si="19"/>
        <v>7.2407287259999995</v>
      </c>
      <c r="N17" s="34">
        <f t="shared" si="19"/>
        <v>74.579505877800003</v>
      </c>
      <c r="O17" s="34">
        <f t="shared" si="20"/>
        <v>0.50685101082000006</v>
      </c>
      <c r="Q17" s="53"/>
      <c r="R17" s="54"/>
      <c r="S17" s="55"/>
      <c r="T17" s="54"/>
      <c r="U17" s="54"/>
      <c r="V17" s="38">
        <v>0</v>
      </c>
      <c r="W17" s="36">
        <f t="shared" si="21"/>
        <v>0</v>
      </c>
      <c r="X17" s="37">
        <v>0</v>
      </c>
      <c r="Y17" s="37">
        <v>0.60299999999999998</v>
      </c>
      <c r="Z17" s="56">
        <v>10.3</v>
      </c>
      <c r="AA17" s="36">
        <f t="shared" ref="AA17:AA19" si="23">(AF17/SUM(AF$6:AF$25))*0.98</f>
        <v>2.4500000000000001E-2</v>
      </c>
      <c r="AB17" s="36">
        <f t="shared" ref="AB17:AB19" si="24">(AG17/SUM(AG$6:AG$25))*0.98</f>
        <v>8.7212971909311349E-2</v>
      </c>
      <c r="AD17" s="42"/>
      <c r="AE17" s="37">
        <v>0</v>
      </c>
      <c r="AF17" s="37">
        <v>2.5000000000000001E-2</v>
      </c>
      <c r="AG17" s="37">
        <v>7.0000000000000007E-2</v>
      </c>
      <c r="AH17" s="43">
        <f t="shared" si="1"/>
        <v>0</v>
      </c>
      <c r="AI17" s="43">
        <f t="shared" si="14"/>
        <v>2.5000000000000001E-2</v>
      </c>
    </row>
    <row r="18" spans="1:35" x14ac:dyDescent="0.25">
      <c r="A18" s="32" t="s">
        <v>593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5"/>
        <v>0</v>
      </c>
      <c r="J18" s="34">
        <f t="shared" si="16"/>
        <v>0</v>
      </c>
      <c r="K18" s="34">
        <f t="shared" si="17"/>
        <v>0</v>
      </c>
      <c r="L18" s="34">
        <f t="shared" si="18"/>
        <v>7.2047051999999994</v>
      </c>
      <c r="M18" s="34">
        <f t="shared" si="19"/>
        <v>4.2291619523999993</v>
      </c>
      <c r="N18" s="34">
        <f t="shared" si="19"/>
        <v>42.71453571923999</v>
      </c>
      <c r="O18" s="34">
        <f t="shared" si="20"/>
        <v>0.27489552690599994</v>
      </c>
      <c r="Q18" s="53"/>
      <c r="R18" s="54"/>
      <c r="S18" s="55"/>
      <c r="T18" s="54"/>
      <c r="U18" s="54"/>
      <c r="V18" s="38">
        <v>0</v>
      </c>
      <c r="W18" s="36">
        <f t="shared" si="21"/>
        <v>0</v>
      </c>
      <c r="X18" s="37">
        <v>0</v>
      </c>
      <c r="Y18" s="37">
        <v>0.58699999999999997</v>
      </c>
      <c r="Z18" s="56">
        <v>10.1</v>
      </c>
      <c r="AA18" s="36">
        <f t="shared" si="23"/>
        <v>1.47E-2</v>
      </c>
      <c r="AB18" s="36">
        <f t="shared" si="24"/>
        <v>8.0983473915789098E-2</v>
      </c>
      <c r="AD18" s="42"/>
      <c r="AE18" s="37">
        <v>0</v>
      </c>
      <c r="AF18" s="37">
        <v>1.4999999999999999E-2</v>
      </c>
      <c r="AG18" s="37">
        <v>6.5000000000000002E-2</v>
      </c>
      <c r="AH18" s="43">
        <f t="shared" si="1"/>
        <v>0</v>
      </c>
      <c r="AI18" s="43">
        <f t="shared" si="14"/>
        <v>1.4999999999999999E-2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5"/>
        <v>0</v>
      </c>
      <c r="J19" s="34">
        <f t="shared" si="16"/>
        <v>0</v>
      </c>
      <c r="K19" s="34">
        <f t="shared" si="17"/>
        <v>0</v>
      </c>
      <c r="L19" s="34">
        <f t="shared" si="18"/>
        <v>0</v>
      </c>
      <c r="M19" s="34">
        <f t="shared" si="19"/>
        <v>0</v>
      </c>
      <c r="N19" s="34">
        <f t="shared" si="19"/>
        <v>0</v>
      </c>
      <c r="O19" s="34">
        <f t="shared" si="20"/>
        <v>0</v>
      </c>
      <c r="Q19" s="53"/>
      <c r="R19" s="54"/>
      <c r="S19" s="55"/>
      <c r="T19" s="54"/>
      <c r="U19" s="54"/>
      <c r="V19" s="38">
        <v>0</v>
      </c>
      <c r="W19" s="36">
        <f t="shared" si="21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4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4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5"/>
        <v>0</v>
      </c>
      <c r="J20" s="34">
        <f t="shared" si="16"/>
        <v>0</v>
      </c>
      <c r="K20" s="34">
        <f t="shared" si="17"/>
        <v>0</v>
      </c>
      <c r="L20" s="34">
        <f t="shared" si="18"/>
        <v>0</v>
      </c>
      <c r="M20" s="34">
        <f t="shared" si="19"/>
        <v>0</v>
      </c>
      <c r="N20" s="34">
        <f t="shared" si="19"/>
        <v>0</v>
      </c>
      <c r="O20" s="34">
        <f t="shared" si="20"/>
        <v>0</v>
      </c>
      <c r="Q20" s="53"/>
      <c r="R20" s="54"/>
      <c r="S20" s="55"/>
      <c r="T20" s="54"/>
      <c r="U20" s="54"/>
      <c r="V20" s="38">
        <v>0</v>
      </c>
      <c r="W20" s="36">
        <f t="shared" si="21"/>
        <v>0</v>
      </c>
      <c r="X20" s="37">
        <v>0</v>
      </c>
      <c r="Y20" s="37">
        <v>0</v>
      </c>
      <c r="Z20" s="56">
        <v>0</v>
      </c>
      <c r="AA20" s="36">
        <f t="shared" si="22"/>
        <v>0</v>
      </c>
      <c r="AB20" s="36">
        <f t="shared" si="22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4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39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78.771443520000005</v>
      </c>
      <c r="M22" s="34">
        <f t="shared" ref="M22:N25" si="25">L22*Y22</f>
        <v>55.376324794559999</v>
      </c>
      <c r="N22" s="34">
        <f t="shared" si="25"/>
        <v>558.71150776058289</v>
      </c>
      <c r="O22" s="34">
        <f>M22*AG22</f>
        <v>5.0946218810995196</v>
      </c>
      <c r="Q22" s="53"/>
      <c r="R22" s="54"/>
      <c r="S22" s="55"/>
      <c r="T22" s="54"/>
      <c r="U22" s="54"/>
      <c r="V22" s="59"/>
      <c r="W22" s="60"/>
      <c r="X22" s="54"/>
      <c r="Y22" s="37">
        <v>0.70299999999999996</v>
      </c>
      <c r="Z22" s="56">
        <v>10.089356955943545</v>
      </c>
      <c r="AA22" s="36">
        <f t="shared" ref="AA22:AB25" si="26">(AF22/SUM(AF$6:AF$25))*0.98</f>
        <v>0.16072</v>
      </c>
      <c r="AB22" s="36">
        <f t="shared" si="26"/>
        <v>0.1146227630808092</v>
      </c>
      <c r="AD22" s="42"/>
      <c r="AE22" s="42"/>
      <c r="AF22" s="37">
        <v>0.16400000000000001</v>
      </c>
      <c r="AG22" s="37">
        <v>9.1999999999999998E-2</v>
      </c>
      <c r="AH22" s="43"/>
      <c r="AI22" s="43">
        <f t="shared" si="14"/>
        <v>0.16400000000000001</v>
      </c>
    </row>
    <row r="23" spans="1:35" x14ac:dyDescent="0.25">
      <c r="A23" s="32" t="s">
        <v>705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23.05505664</v>
      </c>
      <c r="M23" s="34">
        <f t="shared" si="25"/>
        <v>16.39214527104</v>
      </c>
      <c r="N23" s="34">
        <f t="shared" si="25"/>
        <v>168.09825787902821</v>
      </c>
      <c r="O23" s="34">
        <f>M23*AG23</f>
        <v>1.1802344595148799</v>
      </c>
      <c r="Q23" s="53"/>
      <c r="R23" s="54"/>
      <c r="S23" s="55"/>
      <c r="T23" s="54"/>
      <c r="U23" s="54"/>
      <c r="V23" s="59"/>
      <c r="W23" s="60"/>
      <c r="X23" s="54"/>
      <c r="Y23" s="37">
        <v>0.71099999999999997</v>
      </c>
      <c r="Z23" s="56">
        <v>10.254805280185465</v>
      </c>
      <c r="AA23" s="36">
        <f t="shared" si="26"/>
        <v>4.7039999999999998E-2</v>
      </c>
      <c r="AB23" s="36">
        <f t="shared" si="26"/>
        <v>8.9704771106720232E-2</v>
      </c>
      <c r="AD23" s="42"/>
      <c r="AE23" s="42"/>
      <c r="AF23" s="37">
        <v>4.8000000000000001E-2</v>
      </c>
      <c r="AG23" s="37">
        <v>7.1999999999999995E-2</v>
      </c>
      <c r="AH23" s="43"/>
      <c r="AI23" s="43">
        <f t="shared" si="14"/>
        <v>4.8000000000000001E-2</v>
      </c>
    </row>
    <row r="24" spans="1:35" x14ac:dyDescent="0.25">
      <c r="A24" s="32" t="s">
        <v>500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2.4015683999999999</v>
      </c>
      <c r="M24" s="34">
        <f t="shared" si="25"/>
        <v>1.6810978799999998</v>
      </c>
      <c r="N24" s="34">
        <f t="shared" si="25"/>
        <v>13.42453165755232</v>
      </c>
      <c r="O24" s="34">
        <f>M24*AG24</f>
        <v>9.4222584263923354E-2</v>
      </c>
      <c r="Q24" s="53"/>
      <c r="R24" s="54"/>
      <c r="S24" s="55"/>
      <c r="T24" s="54"/>
      <c r="U24" s="54"/>
      <c r="V24" s="59"/>
      <c r="W24" s="60"/>
      <c r="X24" s="54"/>
      <c r="Y24" s="37">
        <v>0.7</v>
      </c>
      <c r="Z24" s="56">
        <v>7.9855740806432527</v>
      </c>
      <c r="AA24" s="36">
        <f t="shared" si="26"/>
        <v>4.8999999999999998E-3</v>
      </c>
      <c r="AB24" s="36">
        <f t="shared" si="26"/>
        <v>6.9830484780171231E-2</v>
      </c>
      <c r="AD24" s="42"/>
      <c r="AE24" s="42"/>
      <c r="AF24" s="37">
        <v>5.0000000000000001E-3</v>
      </c>
      <c r="AG24" s="37">
        <v>5.6048244058176648E-2</v>
      </c>
      <c r="AH24" s="43"/>
      <c r="AI24" s="43">
        <f t="shared" si="14"/>
        <v>5.0000000000000001E-3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14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1034</v>
      </c>
      <c r="E29" s="75">
        <v>0.47399999999999998</v>
      </c>
      <c r="F29" s="76">
        <f>1-E29</f>
        <v>0.52600000000000002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490.11599999999999</v>
      </c>
      <c r="E32" s="80">
        <f>SUM(E2:E4)</f>
        <v>321.8908658459041</v>
      </c>
      <c r="F32" s="80">
        <f>SUM(F2:F4)</f>
        <v>3610.6778644607271</v>
      </c>
      <c r="G32" s="80">
        <f>SUM(G2:G4)</f>
        <v>25.380066817586219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543.88400000000001</v>
      </c>
      <c r="E35" s="80">
        <f>D35*G29</f>
        <v>2311.5070000000001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533.00632000000007</v>
      </c>
      <c r="E38" s="91">
        <f>SUM(J2:J4,J6:J11,J13:J20)</f>
        <v>2308.6331928720924</v>
      </c>
      <c r="F38" s="91">
        <f>SUM(K2:K4,K6:K11,K13:K20)</f>
        <v>21.99523254586417</v>
      </c>
      <c r="G38" s="91">
        <f>SUM(L6:L11,L13:L20,L22:L25)</f>
        <v>480.31367999999986</v>
      </c>
      <c r="H38" s="91">
        <f>SUM(M6:M11,M13:M20,M22:M25)</f>
        <v>320.30122647235174</v>
      </c>
      <c r="I38" s="91">
        <f>SUM(N6:N11,N13:N20,N22:N25)</f>
        <v>3602.0484952928155</v>
      </c>
      <c r="J38" s="91">
        <f>SUM(O6:O11,O13:O20,O22:O25)</f>
        <v>25.339492145007107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10.877679999999941</v>
      </c>
      <c r="E39" s="92">
        <f>E35-E38</f>
        <v>2.8738071279076394</v>
      </c>
      <c r="F39" s="92">
        <f>F35-F38</f>
        <v>4.7674541358304623E-3</v>
      </c>
      <c r="G39" s="92">
        <f>SUM(D2:D4)-G38</f>
        <v>9.8023200000001225</v>
      </c>
      <c r="H39" s="92">
        <f>E32-H38</f>
        <v>1.5896393735523588</v>
      </c>
      <c r="I39" s="92">
        <f>F32-I38</f>
        <v>8.6293691679115909</v>
      </c>
      <c r="J39" s="92">
        <f>G32-J38</f>
        <v>4.0574672579111848E-2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AF22:AF25"/>
  </sortState>
  <conditionalFormatting sqref="D39:J39">
    <cfRule type="cellIs" dxfId="13" priority="1" operator="lessThan">
      <formula>0</formula>
    </cfRule>
  </conditionalFormatting>
  <conditionalFormatting sqref="W28 AA28:AF28">
    <cfRule type="cellIs" dxfId="1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77</v>
      </c>
    </row>
    <row r="2" spans="1:39" x14ac:dyDescent="0.25">
      <c r="A2" s="32" t="s">
        <v>25</v>
      </c>
      <c r="B2" s="33" t="s">
        <v>7</v>
      </c>
      <c r="C2" s="33">
        <f>VLOOKUP($AM$1,DST!C:D,2,FALSE)</f>
        <v>9</v>
      </c>
      <c r="D2" s="34">
        <f>D$32*Q2</f>
        <v>550.62</v>
      </c>
      <c r="E2" s="34">
        <f>D2*R2</f>
        <v>353.45392324136321</v>
      </c>
      <c r="F2" s="34">
        <f>E2*S2</f>
        <v>3666.8336314867825</v>
      </c>
      <c r="G2" s="34">
        <f>E2*T2</f>
        <v>23.103741815921587</v>
      </c>
      <c r="H2" s="34">
        <f>D2*U2</f>
        <v>9.89020019921462</v>
      </c>
      <c r="I2" s="34">
        <f>D$35*W2</f>
        <v>20.083139999999997</v>
      </c>
      <c r="J2" s="34">
        <f>I2*V2</f>
        <v>65.069373599999992</v>
      </c>
      <c r="K2" s="34">
        <f>I2*X2</f>
        <v>0.67320386565188584</v>
      </c>
      <c r="L2" s="35"/>
      <c r="M2" s="35"/>
      <c r="N2" s="35"/>
      <c r="O2" s="35"/>
      <c r="Q2" s="36">
        <f>(AD2/SUM(AD$2:AD$25))</f>
        <v>0.95</v>
      </c>
      <c r="R2" s="37">
        <v>0.64191987803088013</v>
      </c>
      <c r="S2" s="38">
        <v>10.374290368203978</v>
      </c>
      <c r="T2" s="37">
        <v>6.5365639753119181E-2</v>
      </c>
      <c r="U2" s="37">
        <v>1.7961934181857941E-2</v>
      </c>
      <c r="V2" s="38">
        <v>3.24</v>
      </c>
      <c r="W2" s="36">
        <f>(AE2/SUM(AE$2:AE$20))*0.98</f>
        <v>4.41E-2</v>
      </c>
      <c r="X2" s="37">
        <v>3.3520847121111835E-2</v>
      </c>
      <c r="Y2" s="39"/>
      <c r="Z2" s="40"/>
      <c r="AA2" s="41"/>
      <c r="AB2" s="41"/>
      <c r="AD2" s="37">
        <v>0.95</v>
      </c>
      <c r="AE2" s="37">
        <v>4.4999999999999998E-2</v>
      </c>
      <c r="AF2" s="42"/>
      <c r="AG2" s="42"/>
      <c r="AH2" s="43">
        <f>AE2/(SUM(AE$2:AE$25))</f>
        <v>4.4999999999999998E-2</v>
      </c>
    </row>
    <row r="3" spans="1:39" x14ac:dyDescent="0.25">
      <c r="A3" s="32" t="s">
        <v>553</v>
      </c>
      <c r="B3" s="33" t="s">
        <v>7</v>
      </c>
      <c r="C3" s="33">
        <f>VLOOKUP($AM$1,DST!C:D,2,FALSE)</f>
        <v>9</v>
      </c>
      <c r="D3" s="34">
        <f>D$32*Q3</f>
        <v>28.980000000000004</v>
      </c>
      <c r="E3" s="34">
        <f t="shared" ref="E3:F4" si="0">D3*R3</f>
        <v>18.460260000000002</v>
      </c>
      <c r="F3" s="34">
        <f t="shared" si="0"/>
        <v>199.74001320000002</v>
      </c>
      <c r="G3" s="34">
        <f t="shared" ref="G3:G4" si="1">E3*T3</f>
        <v>0.9599335200000001</v>
      </c>
      <c r="H3" s="34">
        <f>D3*U3</f>
        <v>0.86940000000000006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0.05</v>
      </c>
      <c r="R3" s="37">
        <v>0.63700000000000001</v>
      </c>
      <c r="S3" s="38">
        <v>10.82</v>
      </c>
      <c r="T3" s="37">
        <v>5.1999999999999998E-2</v>
      </c>
      <c r="U3" s="37">
        <v>0.03</v>
      </c>
      <c r="V3" s="38">
        <v>3.77</v>
      </c>
      <c r="W3" s="36">
        <f>(AE3/SUM(AE$2:AE$20))*0.98</f>
        <v>0</v>
      </c>
      <c r="X3" s="37">
        <v>3.5999999999999997E-2</v>
      </c>
      <c r="Y3" s="39"/>
      <c r="Z3" s="40"/>
      <c r="AA3" s="41"/>
      <c r="AB3" s="41"/>
      <c r="AD3" s="37">
        <v>0.05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654</v>
      </c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0.61399999999999999</v>
      </c>
      <c r="S4" s="38">
        <v>10.95</v>
      </c>
      <c r="T4" s="37">
        <v>5.3999999999999999E-2</v>
      </c>
      <c r="U4" s="37">
        <v>4.2000000000000003E-2</v>
      </c>
      <c r="V4" s="38">
        <v>3.81</v>
      </c>
      <c r="W4" s="36">
        <f>(AE4/SUM(AE$2:AE$20))*0.98</f>
        <v>0</v>
      </c>
      <c r="X4" s="37">
        <v>3.6999999999999998E-2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408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212.88128399999997</v>
      </c>
      <c r="J6" s="34">
        <f>I6*V6</f>
        <v>926.03358539999977</v>
      </c>
      <c r="K6" s="34">
        <f>I6*X6</f>
        <v>6.3864385199999987</v>
      </c>
      <c r="L6" s="34">
        <f>((D$2+D$3+D$4)*AA6)</f>
        <v>32.944464000000004</v>
      </c>
      <c r="M6" s="34">
        <f t="shared" ref="M6:N11" si="4">L6*Y6</f>
        <v>26.388515664000003</v>
      </c>
      <c r="N6" s="34">
        <f t="shared" si="4"/>
        <v>196.51585093837056</v>
      </c>
      <c r="O6" s="34">
        <f t="shared" ref="O6:O11" si="5">M6*AG6</f>
        <v>0.79952816634499868</v>
      </c>
      <c r="Q6" s="53"/>
      <c r="R6" s="54"/>
      <c r="S6" s="55"/>
      <c r="T6" s="54"/>
      <c r="U6" s="54"/>
      <c r="V6" s="38">
        <v>4.3499999999999996</v>
      </c>
      <c r="W6" s="36">
        <f t="shared" ref="W6:W11" si="6">(AE6/SUM(AE$2:AE$20))*0.98</f>
        <v>0.46745999999999999</v>
      </c>
      <c r="X6" s="37">
        <v>0.03</v>
      </c>
      <c r="Y6" s="37">
        <v>0.80100000000000005</v>
      </c>
      <c r="Z6" s="56">
        <v>7.447021781769382</v>
      </c>
      <c r="AA6" s="36">
        <f t="shared" ref="AA6:AA11" si="7">(AF6/SUM(AF$6:AF$25))*0.98</f>
        <v>5.6840000000000002E-2</v>
      </c>
      <c r="AB6" s="36">
        <f t="shared" ref="AB6:AB11" si="8">(AG6/SUM(AG$6:AG$25))*0.98</f>
        <v>4.6237211669323416E-2</v>
      </c>
      <c r="AD6" s="42"/>
      <c r="AE6" s="37">
        <v>0.47699999999999998</v>
      </c>
      <c r="AF6" s="37">
        <v>5.8000000000000003E-2</v>
      </c>
      <c r="AG6" s="37">
        <v>3.029833797873439E-2</v>
      </c>
      <c r="AH6" s="43">
        <f t="shared" si="2"/>
        <v>0.47699999999999998</v>
      </c>
      <c r="AI6" s="43">
        <f>AF6/(SUM(AF$6:AF$25))</f>
        <v>5.8000000000000003E-2</v>
      </c>
    </row>
    <row r="7" spans="1:39" x14ac:dyDescent="0.25">
      <c r="A7" s="32" t="s">
        <v>358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182.08713599999996</v>
      </c>
      <c r="J7" s="34">
        <f>I7*V7</f>
        <v>803.00426975999983</v>
      </c>
      <c r="K7" s="34">
        <f>I7*X7</f>
        <v>4.7342655359999988</v>
      </c>
      <c r="L7" s="34">
        <f>((D$2+D$3+D$4)*AA7)</f>
        <v>49.984704000000001</v>
      </c>
      <c r="M7" s="34">
        <f t="shared" si="4"/>
        <v>39.822704675887856</v>
      </c>
      <c r="N7" s="34">
        <f t="shared" si="4"/>
        <v>294.97266269786917</v>
      </c>
      <c r="O7" s="34">
        <f t="shared" si="5"/>
        <v>1.225793114915888</v>
      </c>
      <c r="Q7" s="53"/>
      <c r="R7" s="54"/>
      <c r="S7" s="55"/>
      <c r="T7" s="54"/>
      <c r="U7" s="54"/>
      <c r="V7" s="38">
        <v>4.41</v>
      </c>
      <c r="W7" s="36">
        <f t="shared" si="6"/>
        <v>0.39983999999999997</v>
      </c>
      <c r="X7" s="37">
        <v>2.5999999999999999E-2</v>
      </c>
      <c r="Y7" s="37">
        <v>0.79669781931464179</v>
      </c>
      <c r="Z7" s="56">
        <v>7.4071478845702661</v>
      </c>
      <c r="AA7" s="36">
        <f t="shared" si="7"/>
        <v>8.6239999999999997E-2</v>
      </c>
      <c r="AB7" s="36">
        <f t="shared" si="8"/>
        <v>4.6974185108378051E-2</v>
      </c>
      <c r="AD7" s="42"/>
      <c r="AE7" s="37">
        <v>0.40799999999999997</v>
      </c>
      <c r="AF7" s="37">
        <v>8.7999999999999995E-2</v>
      </c>
      <c r="AG7" s="37">
        <v>3.0781262219441621E-2</v>
      </c>
      <c r="AH7" s="43">
        <f t="shared" si="2"/>
        <v>0.40799999999999997</v>
      </c>
      <c r="AI7" s="43">
        <f t="shared" ref="AI7:AI25" si="9">AF7/(SUM(AF$6:AF$25))</f>
        <v>8.7999999999999995E-2</v>
      </c>
    </row>
    <row r="8" spans="1:39" x14ac:dyDescent="0.25">
      <c r="A8" s="32" t="s">
        <v>554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15.173927999999998</v>
      </c>
      <c r="J8" s="34">
        <f>I8*V8</f>
        <v>54.626140799999995</v>
      </c>
      <c r="K8" s="34">
        <f>I8*X8</f>
        <v>0.30347855999999995</v>
      </c>
      <c r="L8" s="34">
        <f>((D$2+D$3+D$4)*AA8)</f>
        <v>2.8400400000000001</v>
      </c>
      <c r="M8" s="34">
        <f t="shared" si="4"/>
        <v>2.1300300000000001</v>
      </c>
      <c r="N8" s="34">
        <f t="shared" si="4"/>
        <v>12.797088531439316</v>
      </c>
      <c r="O8" s="34">
        <f t="shared" si="5"/>
        <v>4.2600600000000002E-2</v>
      </c>
      <c r="Q8" s="53"/>
      <c r="R8" s="54"/>
      <c r="S8" s="55"/>
      <c r="T8" s="54"/>
      <c r="U8" s="54"/>
      <c r="V8" s="38">
        <v>3.6</v>
      </c>
      <c r="W8" s="36">
        <f t="shared" ref="W8:W10" si="10">(AE8/SUM(AE$2:AE$20))*0.98</f>
        <v>3.3320000000000002E-2</v>
      </c>
      <c r="X8" s="37">
        <v>0.02</v>
      </c>
      <c r="Y8" s="37">
        <v>0.75</v>
      </c>
      <c r="Z8" s="56">
        <v>6.0079381658658875</v>
      </c>
      <c r="AA8" s="36">
        <f t="shared" ref="AA8:AA10" si="11">(AF8/SUM(AF$6:AF$25))*0.98</f>
        <v>4.8999999999999998E-3</v>
      </c>
      <c r="AB8" s="36">
        <f t="shared" ref="AB8:AB10" si="12">(AG8/SUM(AG$6:AG$25))*0.98</f>
        <v>3.0521285822196653E-2</v>
      </c>
      <c r="AD8" s="42"/>
      <c r="AE8" s="37">
        <v>3.4000000000000002E-2</v>
      </c>
      <c r="AF8" s="37">
        <v>5.0000000000000001E-3</v>
      </c>
      <c r="AG8" s="37">
        <v>0.02</v>
      </c>
      <c r="AH8" s="43">
        <f t="shared" si="2"/>
        <v>3.4000000000000002E-2</v>
      </c>
      <c r="AI8" s="43">
        <f t="shared" si="9"/>
        <v>5.0000000000000001E-3</v>
      </c>
    </row>
    <row r="9" spans="1:39" x14ac:dyDescent="0.25">
      <c r="A9" s="32" t="s">
        <v>659</v>
      </c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11.603591999999997</v>
      </c>
      <c r="J9" s="34">
        <f t="shared" ref="J9:J11" si="13">I9*V9</f>
        <v>52.56427175999999</v>
      </c>
      <c r="K9" s="34">
        <f t="shared" ref="K9:K11" si="14">I9*X9</f>
        <v>0.32490057599999994</v>
      </c>
      <c r="L9" s="34">
        <f t="shared" ref="L9:L11" si="15">((D$2+D$3+D$4)*AA9)</f>
        <v>8.5201200000000004</v>
      </c>
      <c r="M9" s="34">
        <f t="shared" si="4"/>
        <v>7.1143001999999997</v>
      </c>
      <c r="N9" s="34">
        <f t="shared" si="4"/>
        <v>46.242951300000001</v>
      </c>
      <c r="O9" s="34">
        <f t="shared" si="5"/>
        <v>0.52645821479999999</v>
      </c>
      <c r="Q9" s="53"/>
      <c r="R9" s="54"/>
      <c r="S9" s="55"/>
      <c r="T9" s="54"/>
      <c r="U9" s="54"/>
      <c r="V9" s="38">
        <v>4.53</v>
      </c>
      <c r="W9" s="36">
        <f t="shared" si="10"/>
        <v>2.5479999999999999E-2</v>
      </c>
      <c r="X9" s="37">
        <v>2.8000000000000001E-2</v>
      </c>
      <c r="Y9" s="37">
        <v>0.83499999999999996</v>
      </c>
      <c r="Z9" s="56">
        <v>6.5</v>
      </c>
      <c r="AA9" s="36">
        <f t="shared" si="11"/>
        <v>1.47E-2</v>
      </c>
      <c r="AB9" s="36">
        <f t="shared" si="12"/>
        <v>0.11292875754212761</v>
      </c>
      <c r="AD9" s="42"/>
      <c r="AE9" s="37">
        <v>2.5999999999999999E-2</v>
      </c>
      <c r="AF9" s="37">
        <v>1.4999999999999999E-2</v>
      </c>
      <c r="AG9" s="37">
        <v>7.3999999999999996E-2</v>
      </c>
      <c r="AH9" s="43">
        <f t="shared" si="2"/>
        <v>2.5999999999999999E-2</v>
      </c>
      <c r="AI9" s="43">
        <f t="shared" si="9"/>
        <v>1.4999999999999999E-2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3"/>
        <v>0</v>
      </c>
      <c r="K10" s="34">
        <f t="shared" si="14"/>
        <v>0</v>
      </c>
      <c r="L10" s="34">
        <f t="shared" si="15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10"/>
        <v>0</v>
      </c>
      <c r="X10" s="37">
        <v>0</v>
      </c>
      <c r="Y10" s="37">
        <v>0</v>
      </c>
      <c r="Z10" s="56">
        <v>0</v>
      </c>
      <c r="AA10" s="36">
        <f t="shared" si="11"/>
        <v>0</v>
      </c>
      <c r="AB10" s="36">
        <f t="shared" si="12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3"/>
        <v>0</v>
      </c>
      <c r="K11" s="34">
        <f t="shared" si="14"/>
        <v>0</v>
      </c>
      <c r="L11" s="34">
        <f t="shared" si="15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348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6">D$35*W13</f>
        <v>0</v>
      </c>
      <c r="J13" s="34">
        <f t="shared" ref="J13:J20" si="17">I13*V13</f>
        <v>0</v>
      </c>
      <c r="K13" s="34">
        <f t="shared" ref="K13:K20" si="18">I13*X13</f>
        <v>0</v>
      </c>
      <c r="L13" s="34">
        <f t="shared" ref="L13:L20" si="19">((D$2+D$3+D$4)*AA13)</f>
        <v>133.48187999999999</v>
      </c>
      <c r="M13" s="34">
        <f t="shared" ref="M13:N20" si="20">L13*Y13</f>
        <v>85.14690356462151</v>
      </c>
      <c r="N13" s="34">
        <f t="shared" si="20"/>
        <v>860.83519503832338</v>
      </c>
      <c r="O13" s="34">
        <f t="shared" ref="O13:O20" si="21">M13*AG13</f>
        <v>5.4494018281357768</v>
      </c>
      <c r="Q13" s="53"/>
      <c r="R13" s="54"/>
      <c r="S13" s="55"/>
      <c r="T13" s="54"/>
      <c r="U13" s="54"/>
      <c r="V13" s="38">
        <v>3</v>
      </c>
      <c r="W13" s="36">
        <f t="shared" ref="W13:W20" si="22">(AE13/SUM(AE$2:AE$20))*0.98</f>
        <v>0</v>
      </c>
      <c r="X13" s="37">
        <v>7.0000000000000001E-3</v>
      </c>
      <c r="Y13" s="37">
        <v>0.63789110225763612</v>
      </c>
      <c r="Z13" s="56">
        <v>10.11</v>
      </c>
      <c r="AA13" s="36">
        <f t="shared" ref="AA13:AB20" si="23">(AF13/SUM(AF$6:AF$25))*0.98</f>
        <v>0.23029999999999998</v>
      </c>
      <c r="AB13" s="36">
        <f t="shared" si="23"/>
        <v>9.7668114631029299E-2</v>
      </c>
      <c r="AD13" s="42"/>
      <c r="AE13" s="37">
        <v>0</v>
      </c>
      <c r="AF13" s="37">
        <v>0.23499999999999999</v>
      </c>
      <c r="AG13" s="37">
        <v>6.4000000000000001E-2</v>
      </c>
      <c r="AH13" s="43">
        <f t="shared" si="2"/>
        <v>0</v>
      </c>
      <c r="AI13" s="43">
        <f t="shared" si="9"/>
        <v>0.23499999999999999</v>
      </c>
    </row>
    <row r="14" spans="1:39" x14ac:dyDescent="0.25">
      <c r="A14" s="32" t="s">
        <v>117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6"/>
        <v>0</v>
      </c>
      <c r="J14" s="34">
        <f t="shared" si="17"/>
        <v>0</v>
      </c>
      <c r="K14" s="34">
        <f t="shared" si="18"/>
        <v>0</v>
      </c>
      <c r="L14" s="34">
        <f t="shared" si="19"/>
        <v>120.985704</v>
      </c>
      <c r="M14" s="34">
        <f t="shared" si="20"/>
        <v>66.387960727646018</v>
      </c>
      <c r="N14" s="34">
        <f t="shared" si="20"/>
        <v>934.74248704525598</v>
      </c>
      <c r="O14" s="34">
        <f t="shared" si="21"/>
        <v>6.0413044262157873</v>
      </c>
      <c r="Q14" s="53"/>
      <c r="R14" s="54"/>
      <c r="S14" s="55"/>
      <c r="T14" s="54"/>
      <c r="U14" s="54"/>
      <c r="V14" s="38">
        <v>5.6497678018575845</v>
      </c>
      <c r="W14" s="36">
        <f t="shared" si="22"/>
        <v>0</v>
      </c>
      <c r="X14" s="37">
        <v>0.08</v>
      </c>
      <c r="Y14" s="37">
        <v>0.54872566371681419</v>
      </c>
      <c r="Z14" s="56">
        <v>14.08</v>
      </c>
      <c r="AA14" s="36">
        <f t="shared" si="23"/>
        <v>0.20873999999999998</v>
      </c>
      <c r="AB14" s="36">
        <f t="shared" si="23"/>
        <v>0.13887185049099476</v>
      </c>
      <c r="AD14" s="42"/>
      <c r="AE14" s="37">
        <v>0</v>
      </c>
      <c r="AF14" s="37">
        <v>0.21299999999999999</v>
      </c>
      <c r="AG14" s="37">
        <v>9.0999999999999998E-2</v>
      </c>
      <c r="AH14" s="43">
        <f t="shared" si="2"/>
        <v>0</v>
      </c>
      <c r="AI14" s="43">
        <f t="shared" si="9"/>
        <v>0.21299999999999999</v>
      </c>
    </row>
    <row r="15" spans="1:39" x14ac:dyDescent="0.25">
      <c r="A15" s="32" t="s">
        <v>698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6"/>
        <v>4.4629199999999987</v>
      </c>
      <c r="J15" s="34">
        <f t="shared" si="17"/>
        <v>26.777519999999992</v>
      </c>
      <c r="K15" s="34">
        <f t="shared" si="18"/>
        <v>3.1240439999999991E-2</v>
      </c>
      <c r="L15" s="34">
        <f t="shared" si="19"/>
        <v>77.249088000000015</v>
      </c>
      <c r="M15" s="34">
        <f t="shared" si="20"/>
        <v>46.394433281620259</v>
      </c>
      <c r="N15" s="34">
        <f t="shared" si="20"/>
        <v>489.92521545390997</v>
      </c>
      <c r="O15" s="34">
        <f t="shared" si="21"/>
        <v>2.8148655019746838</v>
      </c>
      <c r="Q15" s="53"/>
      <c r="R15" s="54"/>
      <c r="S15" s="55"/>
      <c r="T15" s="54"/>
      <c r="U15" s="54"/>
      <c r="V15" s="38">
        <v>6</v>
      </c>
      <c r="W15" s="36">
        <f t="shared" si="22"/>
        <v>9.7999999999999997E-3</v>
      </c>
      <c r="X15" s="37">
        <v>7.0000000000000001E-3</v>
      </c>
      <c r="Y15" s="37">
        <v>0.60058227848101264</v>
      </c>
      <c r="Z15" s="56">
        <v>10.56</v>
      </c>
      <c r="AA15" s="36">
        <f t="shared" si="23"/>
        <v>0.13328000000000001</v>
      </c>
      <c r="AB15" s="36">
        <f t="shared" si="23"/>
        <v>9.2590110989507465E-2</v>
      </c>
      <c r="AD15" s="42"/>
      <c r="AE15" s="37">
        <v>0.01</v>
      </c>
      <c r="AF15" s="37">
        <v>0.13600000000000001</v>
      </c>
      <c r="AG15" s="37">
        <v>6.0672483806151548E-2</v>
      </c>
      <c r="AH15" s="43">
        <f t="shared" si="2"/>
        <v>0.01</v>
      </c>
      <c r="AI15" s="43">
        <f t="shared" si="9"/>
        <v>0.13600000000000001</v>
      </c>
    </row>
    <row r="16" spans="1:39" x14ac:dyDescent="0.25">
      <c r="A16" s="32" t="s">
        <v>569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6"/>
        <v>0</v>
      </c>
      <c r="J16" s="34">
        <f t="shared" si="17"/>
        <v>0</v>
      </c>
      <c r="K16" s="34">
        <f t="shared" si="18"/>
        <v>0</v>
      </c>
      <c r="L16" s="34">
        <f t="shared" si="19"/>
        <v>12.496176</v>
      </c>
      <c r="M16" s="34">
        <f t="shared" si="20"/>
        <v>7.8101099999999999</v>
      </c>
      <c r="N16" s="34">
        <f t="shared" si="20"/>
        <v>80.600335200000004</v>
      </c>
      <c r="O16" s="34">
        <f t="shared" si="21"/>
        <v>0.42955605000000002</v>
      </c>
      <c r="Q16" s="53"/>
      <c r="R16" s="54"/>
      <c r="S16" s="55"/>
      <c r="T16" s="54"/>
      <c r="U16" s="54"/>
      <c r="V16" s="38">
        <v>3</v>
      </c>
      <c r="W16" s="36">
        <f t="shared" si="22"/>
        <v>0</v>
      </c>
      <c r="X16" s="37">
        <v>7.0000000000000001E-3</v>
      </c>
      <c r="Y16" s="37">
        <v>0.625</v>
      </c>
      <c r="Z16" s="56">
        <v>10.32</v>
      </c>
      <c r="AA16" s="36">
        <f t="shared" si="23"/>
        <v>2.1559999999999999E-2</v>
      </c>
      <c r="AB16" s="36">
        <f t="shared" si="23"/>
        <v>8.3933536011040796E-2</v>
      </c>
      <c r="AD16" s="42"/>
      <c r="AE16" s="37">
        <v>0</v>
      </c>
      <c r="AF16" s="37">
        <v>2.1999999999999999E-2</v>
      </c>
      <c r="AG16" s="37">
        <v>5.5E-2</v>
      </c>
      <c r="AH16" s="43">
        <f t="shared" si="2"/>
        <v>0</v>
      </c>
      <c r="AI16" s="43">
        <f t="shared" si="9"/>
        <v>2.1999999999999999E-2</v>
      </c>
    </row>
    <row r="17" spans="1:35" x14ac:dyDescent="0.25">
      <c r="A17" s="32" t="s">
        <v>457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6"/>
        <v>0</v>
      </c>
      <c r="J17" s="34">
        <f t="shared" si="17"/>
        <v>0</v>
      </c>
      <c r="K17" s="34">
        <f t="shared" si="18"/>
        <v>0</v>
      </c>
      <c r="L17" s="34">
        <f t="shared" si="19"/>
        <v>5.6800800000000002</v>
      </c>
      <c r="M17" s="34">
        <f t="shared" si="20"/>
        <v>3.6693316800000004</v>
      </c>
      <c r="N17" s="34">
        <f t="shared" si="20"/>
        <v>45.0960863472</v>
      </c>
      <c r="O17" s="34">
        <f t="shared" si="21"/>
        <v>0.24693060781162679</v>
      </c>
      <c r="Q17" s="53"/>
      <c r="R17" s="54"/>
      <c r="S17" s="55"/>
      <c r="T17" s="54"/>
      <c r="U17" s="54"/>
      <c r="V17" s="38">
        <v>3</v>
      </c>
      <c r="W17" s="36">
        <f t="shared" si="22"/>
        <v>0</v>
      </c>
      <c r="X17" s="37">
        <v>7.0000000000000001E-3</v>
      </c>
      <c r="Y17" s="37">
        <v>0.64600000000000002</v>
      </c>
      <c r="Z17" s="56">
        <v>12.29</v>
      </c>
      <c r="AA17" s="36">
        <f t="shared" si="23"/>
        <v>9.7999999999999997E-3</v>
      </c>
      <c r="AB17" s="36">
        <f t="shared" si="23"/>
        <v>0.102697716049308</v>
      </c>
      <c r="AD17" s="42"/>
      <c r="AE17" s="37">
        <v>0</v>
      </c>
      <c r="AF17" s="37">
        <v>0.01</v>
      </c>
      <c r="AG17" s="37">
        <v>6.7295799166246742E-2</v>
      </c>
      <c r="AH17" s="43">
        <f t="shared" si="2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6"/>
        <v>0</v>
      </c>
      <c r="J18" s="34">
        <f t="shared" si="17"/>
        <v>0</v>
      </c>
      <c r="K18" s="34">
        <f t="shared" si="18"/>
        <v>0</v>
      </c>
      <c r="L18" s="34">
        <f t="shared" si="19"/>
        <v>0</v>
      </c>
      <c r="M18" s="34">
        <f t="shared" si="20"/>
        <v>0</v>
      </c>
      <c r="N18" s="34">
        <f t="shared" si="20"/>
        <v>0</v>
      </c>
      <c r="O18" s="34">
        <f t="shared" si="21"/>
        <v>0</v>
      </c>
      <c r="Q18" s="53"/>
      <c r="R18" s="54"/>
      <c r="S18" s="55"/>
      <c r="T18" s="54"/>
      <c r="U18" s="54"/>
      <c r="V18" s="38">
        <v>0</v>
      </c>
      <c r="W18" s="36">
        <f t="shared" si="22"/>
        <v>0</v>
      </c>
      <c r="X18" s="37">
        <v>0</v>
      </c>
      <c r="Y18" s="37">
        <v>0</v>
      </c>
      <c r="Z18" s="56">
        <v>0</v>
      </c>
      <c r="AA18" s="36">
        <f t="shared" si="23"/>
        <v>0</v>
      </c>
      <c r="AB18" s="36">
        <f t="shared" si="23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6"/>
        <v>0</v>
      </c>
      <c r="J19" s="34">
        <f t="shared" si="17"/>
        <v>0</v>
      </c>
      <c r="K19" s="34">
        <f t="shared" si="18"/>
        <v>0</v>
      </c>
      <c r="L19" s="34">
        <f t="shared" si="19"/>
        <v>0</v>
      </c>
      <c r="M19" s="34">
        <f t="shared" si="20"/>
        <v>0</v>
      </c>
      <c r="N19" s="34">
        <f t="shared" si="20"/>
        <v>0</v>
      </c>
      <c r="O19" s="34">
        <f t="shared" si="21"/>
        <v>0</v>
      </c>
      <c r="Q19" s="53"/>
      <c r="R19" s="54"/>
      <c r="S19" s="55"/>
      <c r="T19" s="54"/>
      <c r="U19" s="54"/>
      <c r="V19" s="38">
        <v>0</v>
      </c>
      <c r="W19" s="36">
        <f t="shared" si="22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3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6"/>
        <v>0</v>
      </c>
      <c r="J20" s="34">
        <f t="shared" si="17"/>
        <v>0</v>
      </c>
      <c r="K20" s="34">
        <f t="shared" si="18"/>
        <v>0</v>
      </c>
      <c r="L20" s="34">
        <f t="shared" si="19"/>
        <v>0</v>
      </c>
      <c r="M20" s="34">
        <f t="shared" si="20"/>
        <v>0</v>
      </c>
      <c r="N20" s="34">
        <f t="shared" si="20"/>
        <v>0</v>
      </c>
      <c r="O20" s="34">
        <f t="shared" si="21"/>
        <v>0</v>
      </c>
      <c r="Q20" s="53"/>
      <c r="R20" s="54"/>
      <c r="S20" s="55"/>
      <c r="T20" s="54"/>
      <c r="U20" s="54"/>
      <c r="V20" s="38">
        <v>0</v>
      </c>
      <c r="W20" s="36">
        <f t="shared" si="22"/>
        <v>0</v>
      </c>
      <c r="X20" s="37">
        <v>0</v>
      </c>
      <c r="Y20" s="37">
        <v>0</v>
      </c>
      <c r="Z20" s="56">
        <v>0</v>
      </c>
      <c r="AA20" s="36">
        <f t="shared" si="23"/>
        <v>0</v>
      </c>
      <c r="AB20" s="36">
        <f t="shared" si="23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127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80.089128000000002</v>
      </c>
      <c r="M22" s="34">
        <f t="shared" ref="M22:N25" si="24">L22*Y22</f>
        <v>55.00196004206623</v>
      </c>
      <c r="N22" s="34">
        <f t="shared" si="24"/>
        <v>563.08809526283449</v>
      </c>
      <c r="O22" s="34">
        <f>M22*AG22</f>
        <v>4.2098947371655635</v>
      </c>
      <c r="Q22" s="53"/>
      <c r="R22" s="54"/>
      <c r="S22" s="55"/>
      <c r="T22" s="54"/>
      <c r="U22" s="54"/>
      <c r="V22" s="59"/>
      <c r="W22" s="60"/>
      <c r="X22" s="54"/>
      <c r="Y22" s="37">
        <v>0.68675938189845476</v>
      </c>
      <c r="Z22" s="56">
        <v>10.237600529729798</v>
      </c>
      <c r="AA22" s="36">
        <f t="shared" ref="AA22:AB25" si="25">(AF22/SUM(AF$6:AF$25))*0.98</f>
        <v>0.13818</v>
      </c>
      <c r="AB22" s="36">
        <f t="shared" si="25"/>
        <v>0.11680620150274615</v>
      </c>
      <c r="AD22" s="42"/>
      <c r="AE22" s="42"/>
      <c r="AF22" s="37">
        <v>0.14099999999999999</v>
      </c>
      <c r="AG22" s="37">
        <v>7.6540812980951584E-2</v>
      </c>
      <c r="AH22" s="43"/>
      <c r="AI22" s="43">
        <f t="shared" si="9"/>
        <v>0.14099999999999999</v>
      </c>
    </row>
    <row r="23" spans="1:35" x14ac:dyDescent="0.25">
      <c r="A23" s="32" t="s">
        <v>396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43.736615999999998</v>
      </c>
      <c r="M23" s="34">
        <f t="shared" si="24"/>
        <v>31.315417055999998</v>
      </c>
      <c r="N23" s="34">
        <f t="shared" si="24"/>
        <v>340.2005542619471</v>
      </c>
      <c r="O23" s="34">
        <f>M23*AG23</f>
        <v>2.2730634797775009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10.863676305302953</v>
      </c>
      <c r="AA23" s="36">
        <f t="shared" si="25"/>
        <v>7.5459999999999999E-2</v>
      </c>
      <c r="AB23" s="36">
        <f t="shared" si="25"/>
        <v>0.11077103018334782</v>
      </c>
      <c r="AD23" s="42"/>
      <c r="AE23" s="42"/>
      <c r="AF23" s="37">
        <v>7.6999999999999999E-2</v>
      </c>
      <c r="AG23" s="37">
        <v>7.2586083580259531E-2</v>
      </c>
      <c r="AH23" s="43"/>
      <c r="AI23" s="43">
        <f t="shared" si="9"/>
        <v>7.6999999999999999E-2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4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5"/>
        <v>0</v>
      </c>
      <c r="AB24" s="36">
        <f t="shared" si="25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1035</v>
      </c>
      <c r="E29" s="75">
        <v>0.56000000000000005</v>
      </c>
      <c r="F29" s="76">
        <f>1-E29</f>
        <v>0.43999999999999995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579.6</v>
      </c>
      <c r="E32" s="80">
        <f>SUM(E2:E4)</f>
        <v>371.91418324136322</v>
      </c>
      <c r="F32" s="80">
        <f>SUM(F2:F4)</f>
        <v>3866.5736446867822</v>
      </c>
      <c r="G32" s="80">
        <f>SUM(G2:G4)</f>
        <v>24.063675335921587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455.39999999999992</v>
      </c>
      <c r="E35" s="80">
        <f>D35*G29</f>
        <v>1935.4499999999996</v>
      </c>
      <c r="F35" s="80">
        <v>12.5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446.29199999999986</v>
      </c>
      <c r="E38" s="91">
        <f>SUM(J2:J4,J6:J11,J13:J20)</f>
        <v>1928.0751613199996</v>
      </c>
      <c r="F38" s="91">
        <f>SUM(K2:K4,K6:K11,K13:K20)</f>
        <v>12.453527497651882</v>
      </c>
      <c r="G38" s="91">
        <f>SUM(L6:L11,L13:L20,L22:L25)</f>
        <v>568.00800000000004</v>
      </c>
      <c r="H38" s="91">
        <f>SUM(M6:M11,M13:M20,M22:M25)</f>
        <v>371.18166689184193</v>
      </c>
      <c r="I38" s="91">
        <f>SUM(N6:N11,N13:N20,N22:N25)</f>
        <v>3865.0165220771501</v>
      </c>
      <c r="J38" s="91">
        <f>SUM(O6:O11,O13:O20,O22:O25)</f>
        <v>24.059396727141824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9.1080000000000609</v>
      </c>
      <c r="E39" s="92">
        <f>E35-E38</f>
        <v>7.3748386800000389</v>
      </c>
      <c r="F39" s="92">
        <f>F35-F38</f>
        <v>4.6472502348118283E-2</v>
      </c>
      <c r="G39" s="92">
        <f>SUM(D2:D4)-G38</f>
        <v>11.591999999999985</v>
      </c>
      <c r="H39" s="92">
        <f>E32-H38</f>
        <v>0.73251634952129052</v>
      </c>
      <c r="I39" s="92">
        <f>F32-I38</f>
        <v>1.557122609632188</v>
      </c>
      <c r="J39" s="92">
        <f>G32-J38</f>
        <v>4.2786087797637151E-3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1" priority="1" operator="lessThan">
      <formula>0</formula>
    </cfRule>
  </conditionalFormatting>
  <conditionalFormatting sqref="W28 AA28:AF28">
    <cfRule type="cellIs" dxfId="1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79</v>
      </c>
    </row>
    <row r="2" spans="1:39" x14ac:dyDescent="0.25">
      <c r="A2" s="32" t="s">
        <v>362</v>
      </c>
      <c r="B2" s="33" t="s">
        <v>7</v>
      </c>
      <c r="C2" s="33">
        <f>VLOOKUP($AM$1,DST!C:D,2,FALSE)</f>
        <v>8</v>
      </c>
      <c r="D2" s="34">
        <f>D$32*Q2</f>
        <v>536.83616000000006</v>
      </c>
      <c r="E2" s="34">
        <f>D2*R2</f>
        <v>361.29073568000007</v>
      </c>
      <c r="F2" s="34">
        <f>E2*S2</f>
        <v>4295.7468472352011</v>
      </c>
      <c r="G2" s="34">
        <f>E2*T2</f>
        <v>29.625840325760006</v>
      </c>
      <c r="H2" s="34">
        <f>D2*U2</f>
        <v>15.441805867686105</v>
      </c>
      <c r="I2" s="34">
        <f>D$35*W2</f>
        <v>64.131889919999992</v>
      </c>
      <c r="J2" s="34">
        <f>I2*V2</f>
        <v>275.80616229242338</v>
      </c>
      <c r="K2" s="34">
        <f>I2*X2</f>
        <v>3.9495945227970899</v>
      </c>
      <c r="L2" s="35"/>
      <c r="M2" s="35"/>
      <c r="N2" s="35"/>
      <c r="O2" s="35"/>
      <c r="Q2" s="36">
        <f>(AD2/SUM(AD$2:AD$25))</f>
        <v>0.98</v>
      </c>
      <c r="R2" s="37">
        <v>0.67300000000000004</v>
      </c>
      <c r="S2" s="38">
        <v>11.89</v>
      </c>
      <c r="T2" s="37">
        <v>8.2000000000000003E-2</v>
      </c>
      <c r="U2" s="37">
        <v>2.8764466737274372E-2</v>
      </c>
      <c r="V2" s="38">
        <v>4.3006086774687615</v>
      </c>
      <c r="W2" s="36">
        <f>(AE2/SUM(AE$2:AE$20))*0.98</f>
        <v>0.13524</v>
      </c>
      <c r="X2" s="37">
        <v>6.1585500251496256E-2</v>
      </c>
      <c r="Y2" s="39"/>
      <c r="Z2" s="40"/>
      <c r="AA2" s="41"/>
      <c r="AB2" s="41"/>
      <c r="AD2" s="37">
        <v>0.98</v>
      </c>
      <c r="AE2" s="37">
        <v>0.13800000000000001</v>
      </c>
      <c r="AF2" s="42"/>
      <c r="AG2" s="42"/>
      <c r="AH2" s="43">
        <f>AE2/(SUM(AE$2:AE$25))</f>
        <v>0.13800000000000001</v>
      </c>
    </row>
    <row r="3" spans="1:39" x14ac:dyDescent="0.25">
      <c r="A3" s="32" t="s">
        <v>122</v>
      </c>
      <c r="B3" s="33" t="s">
        <v>7</v>
      </c>
      <c r="C3" s="33">
        <f>VLOOKUP($AM$1,DST!C:D,2,FALSE)</f>
        <v>8</v>
      </c>
      <c r="D3" s="34">
        <f>D$32*Q3</f>
        <v>10.95584</v>
      </c>
      <c r="E3" s="34">
        <f t="shared" ref="E3:F4" si="0">D3*R3</f>
        <v>7.4130051613116148</v>
      </c>
      <c r="F3" s="34">
        <f t="shared" si="0"/>
        <v>83.358543801178257</v>
      </c>
      <c r="G3" s="34">
        <f t="shared" ref="G3:G4" si="1">E3*T3</f>
        <v>0.52503852269914342</v>
      </c>
      <c r="H3" s="34">
        <f>D3*U3</f>
        <v>0.35255685925045799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0.67662590557288305</v>
      </c>
      <c r="S3" s="38">
        <v>11.244905674182652</v>
      </c>
      <c r="T3" s="37">
        <v>7.0826677072790015E-2</v>
      </c>
      <c r="U3" s="37">
        <v>3.217981088172682E-2</v>
      </c>
      <c r="V3" s="38">
        <v>2.2727272727272725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7" si="3">D$35*W6</f>
        <v>254.66866432</v>
      </c>
      <c r="J6" s="34">
        <f t="shared" ref="J6:J7" si="4">I6*V6</f>
        <v>1049.2348969984</v>
      </c>
      <c r="K6" s="34">
        <f t="shared" ref="K6:K7" si="5">I6*X6</f>
        <v>8.9812697224945435</v>
      </c>
      <c r="L6" s="34">
        <f t="shared" ref="L6:L7" si="6">((D$2+D$3+D$4)*AA6)</f>
        <v>100.92519808</v>
      </c>
      <c r="M6" s="34">
        <f t="shared" ref="M6:N7" si="7">L6*Y6</f>
        <v>82.85958762368</v>
      </c>
      <c r="N6" s="34">
        <f t="shared" si="7"/>
        <v>752.20054293276496</v>
      </c>
      <c r="O6" s="34">
        <f t="shared" ref="O6:O11" si="8">M6*AG6</f>
        <v>5.3858731955392001</v>
      </c>
      <c r="Q6" s="53"/>
      <c r="R6" s="54"/>
      <c r="S6" s="55"/>
      <c r="T6" s="54"/>
      <c r="U6" s="54"/>
      <c r="V6" s="38">
        <v>4.12</v>
      </c>
      <c r="W6" s="36">
        <f t="shared" ref="W6:W11" si="9">(AE6/SUM(AE$2:AE$20))*0.98</f>
        <v>0.53704000000000007</v>
      </c>
      <c r="X6" s="37">
        <v>3.5266489289036626E-2</v>
      </c>
      <c r="Y6" s="37">
        <v>0.82099999999999995</v>
      </c>
      <c r="Z6" s="56">
        <v>9.0780145605962144</v>
      </c>
      <c r="AA6" s="36">
        <f t="shared" ref="AA6:AA7" si="10">(AF6/SUM(AF$6:AF$25))*0.98</f>
        <v>0.18423999999999999</v>
      </c>
      <c r="AB6" s="36">
        <f t="shared" ref="AB6:AB11" si="11">(AG6/SUM(AG$6:AG$25))*0.98</f>
        <v>8.1887092586419047E-2</v>
      </c>
      <c r="AD6" s="42"/>
      <c r="AE6" s="37">
        <v>0.54800000000000004</v>
      </c>
      <c r="AF6" s="37">
        <v>0.188</v>
      </c>
      <c r="AG6" s="37">
        <v>6.5000000000000002E-2</v>
      </c>
      <c r="AH6" s="43">
        <f t="shared" si="2"/>
        <v>0.54800000000000004</v>
      </c>
      <c r="AI6" s="43">
        <f>AF6/(SUM(AF$6:AF$25))</f>
        <v>0.188</v>
      </c>
    </row>
    <row r="7" spans="1:39" x14ac:dyDescent="0.25">
      <c r="A7" s="32" t="s">
        <v>658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67.384956799999983</v>
      </c>
      <c r="J7" s="34">
        <f t="shared" si="4"/>
        <v>274.25677417599996</v>
      </c>
      <c r="K7" s="34">
        <f t="shared" si="5"/>
        <v>1.8222914794566203</v>
      </c>
      <c r="L7" s="34">
        <f t="shared" si="6"/>
        <v>5.3683616000000001</v>
      </c>
      <c r="M7" s="34">
        <f t="shared" si="7"/>
        <v>3.9618508607999998</v>
      </c>
      <c r="N7" s="34">
        <f t="shared" si="7"/>
        <v>27.970667077247999</v>
      </c>
      <c r="O7" s="34">
        <f t="shared" si="8"/>
        <v>0.10531314530767501</v>
      </c>
      <c r="Q7" s="53"/>
      <c r="R7" s="54"/>
      <c r="S7" s="55"/>
      <c r="T7" s="54"/>
      <c r="U7" s="54"/>
      <c r="V7" s="38">
        <v>4.07</v>
      </c>
      <c r="W7" s="36">
        <f t="shared" si="9"/>
        <v>0.14209999999999998</v>
      </c>
      <c r="X7" s="37">
        <v>2.7043001375888998E-2</v>
      </c>
      <c r="Y7" s="37">
        <v>0.73799999999999999</v>
      </c>
      <c r="Z7" s="56">
        <v>7.06</v>
      </c>
      <c r="AA7" s="36">
        <f t="shared" si="10"/>
        <v>9.7999999999999997E-3</v>
      </c>
      <c r="AB7" s="36">
        <f t="shared" si="11"/>
        <v>3.3487795257528159E-2</v>
      </c>
      <c r="AD7" s="42"/>
      <c r="AE7" s="37">
        <v>0.14499999999999999</v>
      </c>
      <c r="AF7" s="37">
        <v>0.01</v>
      </c>
      <c r="AG7" s="37">
        <v>2.6581804567577683E-2</v>
      </c>
      <c r="AH7" s="43">
        <f t="shared" si="2"/>
        <v>0.14499999999999999</v>
      </c>
      <c r="AI7" s="43">
        <f t="shared" ref="AI7:AI25" si="12">AF7/(SUM(AF$6:AF$25))</f>
        <v>0.01</v>
      </c>
    </row>
    <row r="8" spans="1:39" x14ac:dyDescent="0.25">
      <c r="A8" s="32" t="s">
        <v>557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ref="I8:I11" si="13">D$35*W8</f>
        <v>36.713183360000002</v>
      </c>
      <c r="J8" s="34">
        <f t="shared" ref="J8:J11" si="14">I8*V8</f>
        <v>148.3212607744</v>
      </c>
      <c r="K8" s="34">
        <f t="shared" ref="K8:K11" si="15">I8*X8</f>
        <v>1.0408231880525365</v>
      </c>
      <c r="L8" s="34">
        <f t="shared" ref="L8:L11" si="16">((D$2+D$3+D$4)*AA8)</f>
        <v>13.420904000000002</v>
      </c>
      <c r="M8" s="34">
        <f t="shared" ref="M8:M11" si="17">L8*Y8</f>
        <v>10.683039584000003</v>
      </c>
      <c r="N8" s="34">
        <f t="shared" ref="N8:N11" si="18">M8*Z8</f>
        <v>76.917885004800027</v>
      </c>
      <c r="O8" s="34">
        <f t="shared" si="8"/>
        <v>0.3375294912927938</v>
      </c>
      <c r="Q8" s="53"/>
      <c r="R8" s="54"/>
      <c r="S8" s="55"/>
      <c r="T8" s="54"/>
      <c r="U8" s="54"/>
      <c r="V8" s="38">
        <v>4.04</v>
      </c>
      <c r="W8" s="36">
        <f t="shared" si="9"/>
        <v>7.7420000000000003E-2</v>
      </c>
      <c r="X8" s="37">
        <v>2.835012093194134E-2</v>
      </c>
      <c r="Y8" s="37">
        <v>0.79600000000000004</v>
      </c>
      <c r="Z8" s="56">
        <v>7.2</v>
      </c>
      <c r="AA8" s="36">
        <f t="shared" ref="AA8:AA11" si="19">(AF8/SUM(AF$6:AF$25))*0.98</f>
        <v>2.4500000000000001E-2</v>
      </c>
      <c r="AB8" s="36">
        <f t="shared" si="11"/>
        <v>3.9803291054607483E-2</v>
      </c>
      <c r="AD8" s="42"/>
      <c r="AE8" s="37">
        <v>7.9000000000000001E-2</v>
      </c>
      <c r="AF8" s="37">
        <v>2.5000000000000001E-2</v>
      </c>
      <c r="AG8" s="37">
        <v>3.1594892880328927E-2</v>
      </c>
      <c r="AH8" s="43">
        <f t="shared" si="2"/>
        <v>7.9000000000000001E-2</v>
      </c>
      <c r="AI8" s="43">
        <f t="shared" si="12"/>
        <v>2.5000000000000001E-2</v>
      </c>
    </row>
    <row r="9" spans="1:39" x14ac:dyDescent="0.25">
      <c r="A9" s="61" t="s">
        <v>725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13"/>
        <v>32.530668800000001</v>
      </c>
      <c r="J9" s="34">
        <f t="shared" si="14"/>
        <v>134.35166214399999</v>
      </c>
      <c r="K9" s="34">
        <f t="shared" si="15"/>
        <v>0.97592006399999998</v>
      </c>
      <c r="L9" s="34">
        <f t="shared" si="16"/>
        <v>4.2946892800000001</v>
      </c>
      <c r="M9" s="34">
        <f t="shared" si="17"/>
        <v>3.0921762816</v>
      </c>
      <c r="N9" s="34">
        <f t="shared" si="18"/>
        <v>21.923529836543999</v>
      </c>
      <c r="O9" s="34">
        <f t="shared" si="8"/>
        <v>8.2634320726884022E-2</v>
      </c>
      <c r="Q9" s="53"/>
      <c r="R9" s="54"/>
      <c r="S9" s="55"/>
      <c r="T9" s="54"/>
      <c r="U9" s="54"/>
      <c r="V9" s="38">
        <v>4.13</v>
      </c>
      <c r="W9" s="36">
        <f t="shared" si="9"/>
        <v>6.8600000000000008E-2</v>
      </c>
      <c r="X9" s="37">
        <v>0.03</v>
      </c>
      <c r="Y9" s="37">
        <v>0.72</v>
      </c>
      <c r="Z9" s="56">
        <v>7.09</v>
      </c>
      <c r="AA9" s="36">
        <f t="shared" si="19"/>
        <v>7.8399999999999997E-3</v>
      </c>
      <c r="AB9" s="36">
        <f t="shared" si="11"/>
        <v>3.3666526574196873E-2</v>
      </c>
      <c r="AD9" s="42"/>
      <c r="AE9" s="37">
        <v>7.0000000000000007E-2</v>
      </c>
      <c r="AF9" s="37">
        <v>8.0000000000000002E-3</v>
      </c>
      <c r="AG9" s="37">
        <v>2.6723677177979691E-2</v>
      </c>
      <c r="AH9" s="43">
        <f t="shared" si="2"/>
        <v>7.0000000000000007E-2</v>
      </c>
      <c r="AI9" s="43">
        <f t="shared" si="12"/>
        <v>8.0000000000000002E-3</v>
      </c>
    </row>
    <row r="10" spans="1:39" x14ac:dyDescent="0.25">
      <c r="A10" s="61"/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13"/>
        <v>0</v>
      </c>
      <c r="J10" s="34">
        <f t="shared" si="14"/>
        <v>0</v>
      </c>
      <c r="K10" s="34">
        <f t="shared" si="15"/>
        <v>0</v>
      </c>
      <c r="L10" s="34">
        <f t="shared" si="16"/>
        <v>0</v>
      </c>
      <c r="M10" s="34">
        <f t="shared" si="17"/>
        <v>0</v>
      </c>
      <c r="N10" s="34">
        <f t="shared" si="18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9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A11" s="61"/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13"/>
        <v>0</v>
      </c>
      <c r="J11" s="34">
        <f t="shared" si="14"/>
        <v>0</v>
      </c>
      <c r="K11" s="34">
        <f t="shared" si="15"/>
        <v>0</v>
      </c>
      <c r="L11" s="34">
        <f t="shared" si="16"/>
        <v>0</v>
      </c>
      <c r="M11" s="34">
        <f t="shared" si="17"/>
        <v>0</v>
      </c>
      <c r="N11" s="34">
        <f t="shared" si="18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9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A12" s="121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20">D$35*W13</f>
        <v>0</v>
      </c>
      <c r="J13" s="34">
        <f t="shared" ref="J13:J20" si="21">I13*V13</f>
        <v>0</v>
      </c>
      <c r="K13" s="34">
        <f t="shared" ref="K13:K20" si="22">I13*X13</f>
        <v>0</v>
      </c>
      <c r="L13" s="34">
        <f t="shared" ref="L13:L20" si="23">((D$2+D$3+D$4)*AA13)</f>
        <v>124.54598912000002</v>
      </c>
      <c r="M13" s="34">
        <f t="shared" ref="M13:N20" si="24">L13*Y13</f>
        <v>73.606679569920004</v>
      </c>
      <c r="N13" s="34">
        <f t="shared" si="24"/>
        <v>1052.5755178498562</v>
      </c>
      <c r="O13" s="34">
        <f t="shared" ref="O13:O20" si="25">M13*AG13</f>
        <v>8.3911614709708804</v>
      </c>
      <c r="Q13" s="53"/>
      <c r="R13" s="54"/>
      <c r="S13" s="55"/>
      <c r="T13" s="54"/>
      <c r="U13" s="54"/>
      <c r="V13" s="38">
        <v>3</v>
      </c>
      <c r="W13" s="36">
        <f t="shared" ref="W13:W20" si="26">(AE13/SUM(AE$2:AE$20))*0.98</f>
        <v>0</v>
      </c>
      <c r="X13" s="37">
        <v>7.0000000000000001E-3</v>
      </c>
      <c r="Y13" s="37">
        <v>0.59099999999999997</v>
      </c>
      <c r="Z13" s="56">
        <v>14.3</v>
      </c>
      <c r="AA13" s="36">
        <f t="shared" ref="AA13:AB20" si="27">(AF13/SUM(AF$6:AF$25))*0.98</f>
        <v>0.22736000000000001</v>
      </c>
      <c r="AB13" s="36">
        <f t="shared" si="27"/>
        <v>0.14361736238233491</v>
      </c>
      <c r="AD13" s="42"/>
      <c r="AE13" s="37">
        <v>0</v>
      </c>
      <c r="AF13" s="37">
        <v>0.23200000000000001</v>
      </c>
      <c r="AG13" s="37">
        <v>0.114</v>
      </c>
      <c r="AH13" s="43">
        <f t="shared" si="2"/>
        <v>0</v>
      </c>
      <c r="AI13" s="43">
        <f t="shared" si="12"/>
        <v>0.23200000000000001</v>
      </c>
    </row>
    <row r="14" spans="1:39" x14ac:dyDescent="0.25">
      <c r="A14" s="32" t="s">
        <v>9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20"/>
        <v>2.3236192</v>
      </c>
      <c r="J14" s="34">
        <f t="shared" si="21"/>
        <v>14.2321676</v>
      </c>
      <c r="K14" s="34">
        <f t="shared" si="22"/>
        <v>2.904524E-2</v>
      </c>
      <c r="L14" s="34">
        <f t="shared" si="23"/>
        <v>99.851525760000001</v>
      </c>
      <c r="M14" s="34">
        <f t="shared" si="24"/>
        <v>65.003343269760009</v>
      </c>
      <c r="N14" s="34">
        <f t="shared" si="24"/>
        <v>900.94633771887368</v>
      </c>
      <c r="O14" s="34">
        <f t="shared" si="25"/>
        <v>4.4202273423436811</v>
      </c>
      <c r="Q14" s="53"/>
      <c r="R14" s="54"/>
      <c r="S14" s="55"/>
      <c r="T14" s="54"/>
      <c r="U14" s="54"/>
      <c r="V14" s="38">
        <v>6.125</v>
      </c>
      <c r="W14" s="36">
        <f t="shared" si="26"/>
        <v>4.8999999999999998E-3</v>
      </c>
      <c r="X14" s="37">
        <v>1.2500000000000001E-2</v>
      </c>
      <c r="Y14" s="37">
        <v>0.65100000000000002</v>
      </c>
      <c r="Z14" s="56">
        <v>13.86</v>
      </c>
      <c r="AA14" s="36">
        <f t="shared" si="27"/>
        <v>0.18228</v>
      </c>
      <c r="AB14" s="36">
        <f t="shared" si="27"/>
        <v>8.5666496859638383E-2</v>
      </c>
      <c r="AD14" s="42"/>
      <c r="AE14" s="37">
        <v>5.0000000000000001E-3</v>
      </c>
      <c r="AF14" s="37">
        <v>0.186</v>
      </c>
      <c r="AG14" s="37">
        <v>6.8000000000000005E-2</v>
      </c>
      <c r="AH14" s="43">
        <f t="shared" si="2"/>
        <v>5.0000000000000001E-3</v>
      </c>
      <c r="AI14" s="43">
        <f t="shared" si="12"/>
        <v>0.186</v>
      </c>
    </row>
    <row r="15" spans="1:39" x14ac:dyDescent="0.25">
      <c r="A15" s="32" t="s">
        <v>699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20"/>
        <v>6.9708575999999995</v>
      </c>
      <c r="J15" s="34">
        <f t="shared" si="21"/>
        <v>20.9125728</v>
      </c>
      <c r="K15" s="34">
        <f t="shared" si="22"/>
        <v>0.17427144</v>
      </c>
      <c r="L15" s="34">
        <f t="shared" si="23"/>
        <v>33.82067808</v>
      </c>
      <c r="M15" s="34">
        <f t="shared" si="24"/>
        <v>17.958780060480002</v>
      </c>
      <c r="N15" s="34">
        <f t="shared" si="24"/>
        <v>253.93715005518723</v>
      </c>
      <c r="O15" s="34">
        <f t="shared" si="25"/>
        <v>1.27507338429408</v>
      </c>
      <c r="Q15" s="53"/>
      <c r="R15" s="54"/>
      <c r="S15" s="55"/>
      <c r="T15" s="54"/>
      <c r="U15" s="54"/>
      <c r="V15" s="38">
        <v>3</v>
      </c>
      <c r="W15" s="36">
        <f t="shared" si="26"/>
        <v>1.47E-2</v>
      </c>
      <c r="X15" s="37">
        <v>2.5000000000000001E-2</v>
      </c>
      <c r="Y15" s="37">
        <v>0.53100000000000003</v>
      </c>
      <c r="Z15" s="56">
        <v>14.14</v>
      </c>
      <c r="AA15" s="36">
        <f t="shared" si="27"/>
        <v>6.1739999999999996E-2</v>
      </c>
      <c r="AB15" s="36">
        <f t="shared" si="27"/>
        <v>8.9445901132857705E-2</v>
      </c>
      <c r="AD15" s="42"/>
      <c r="AE15" s="37">
        <v>1.4999999999999999E-2</v>
      </c>
      <c r="AF15" s="37">
        <v>6.3E-2</v>
      </c>
      <c r="AG15" s="37">
        <v>7.0999999999999994E-2</v>
      </c>
      <c r="AH15" s="43">
        <f t="shared" si="2"/>
        <v>1.4999999999999999E-2</v>
      </c>
      <c r="AI15" s="43">
        <f t="shared" si="12"/>
        <v>6.3E-2</v>
      </c>
    </row>
    <row r="16" spans="1:39" x14ac:dyDescent="0.25">
      <c r="A16" s="32" t="s">
        <v>49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20"/>
        <v>0</v>
      </c>
      <c r="J16" s="34">
        <f t="shared" si="21"/>
        <v>0</v>
      </c>
      <c r="K16" s="34">
        <f t="shared" si="22"/>
        <v>0</v>
      </c>
      <c r="L16" s="34">
        <f t="shared" si="23"/>
        <v>28.989152640000004</v>
      </c>
      <c r="M16" s="34">
        <f t="shared" si="24"/>
        <v>18.611035994880002</v>
      </c>
      <c r="N16" s="34">
        <f t="shared" si="24"/>
        <v>217.72554363189559</v>
      </c>
      <c r="O16" s="34">
        <f t="shared" si="25"/>
        <v>1.2655504476518402</v>
      </c>
      <c r="Q16" s="53"/>
      <c r="R16" s="54"/>
      <c r="S16" s="55"/>
      <c r="T16" s="54"/>
      <c r="U16" s="54"/>
      <c r="V16" s="38">
        <v>3</v>
      </c>
      <c r="W16" s="36">
        <f t="shared" si="26"/>
        <v>0</v>
      </c>
      <c r="X16" s="37">
        <v>7.0000000000000001E-3</v>
      </c>
      <c r="Y16" s="37">
        <v>0.64200000000000002</v>
      </c>
      <c r="Z16" s="56">
        <v>11.698733143699958</v>
      </c>
      <c r="AA16" s="36">
        <f t="shared" si="27"/>
        <v>5.2920000000000002E-2</v>
      </c>
      <c r="AB16" s="36">
        <f t="shared" si="27"/>
        <v>8.5666496859638383E-2</v>
      </c>
      <c r="AD16" s="42"/>
      <c r="AE16" s="37">
        <v>0</v>
      </c>
      <c r="AF16" s="37">
        <v>5.3999999999999999E-2</v>
      </c>
      <c r="AG16" s="37">
        <v>6.8000000000000005E-2</v>
      </c>
      <c r="AH16" s="43">
        <f t="shared" si="2"/>
        <v>0</v>
      </c>
      <c r="AI16" s="43">
        <f t="shared" si="12"/>
        <v>5.3999999999999999E-2</v>
      </c>
    </row>
    <row r="17" spans="1:35" x14ac:dyDescent="0.25">
      <c r="A17" s="32" t="s">
        <v>558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20"/>
        <v>0</v>
      </c>
      <c r="J17" s="34">
        <f t="shared" si="21"/>
        <v>0</v>
      </c>
      <c r="K17" s="34">
        <f t="shared" si="22"/>
        <v>0</v>
      </c>
      <c r="L17" s="34">
        <f t="shared" si="23"/>
        <v>10.7367232</v>
      </c>
      <c r="M17" s="34">
        <f t="shared" si="24"/>
        <v>6.1414056703999993</v>
      </c>
      <c r="N17" s="34">
        <f t="shared" si="24"/>
        <v>78.609992581119997</v>
      </c>
      <c r="O17" s="34">
        <f t="shared" si="25"/>
        <v>0.36848434022399995</v>
      </c>
      <c r="Q17" s="53"/>
      <c r="R17" s="54"/>
      <c r="S17" s="55"/>
      <c r="T17" s="54"/>
      <c r="U17" s="54"/>
      <c r="V17" s="38">
        <v>0</v>
      </c>
      <c r="W17" s="36">
        <f t="shared" si="26"/>
        <v>0</v>
      </c>
      <c r="X17" s="37">
        <v>0</v>
      </c>
      <c r="Y17" s="37">
        <v>0.57199999999999995</v>
      </c>
      <c r="Z17" s="56">
        <v>12.8</v>
      </c>
      <c r="AA17" s="36">
        <f t="shared" si="27"/>
        <v>1.9599999999999999E-2</v>
      </c>
      <c r="AB17" s="36">
        <f t="shared" si="27"/>
        <v>7.5588085464386806E-2</v>
      </c>
      <c r="AD17" s="42"/>
      <c r="AE17" s="37">
        <v>0</v>
      </c>
      <c r="AF17" s="37">
        <v>0.02</v>
      </c>
      <c r="AG17" s="37">
        <v>0.06</v>
      </c>
      <c r="AH17" s="43">
        <f t="shared" si="2"/>
        <v>0</v>
      </c>
      <c r="AI17" s="43">
        <f t="shared" si="12"/>
        <v>0.02</v>
      </c>
    </row>
    <row r="18" spans="1:35" x14ac:dyDescent="0.25">
      <c r="A18" s="32" t="s">
        <v>559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20"/>
        <v>0</v>
      </c>
      <c r="J18" s="34">
        <f t="shared" si="21"/>
        <v>0</v>
      </c>
      <c r="K18" s="34">
        <f t="shared" si="22"/>
        <v>0</v>
      </c>
      <c r="L18" s="34">
        <f t="shared" si="23"/>
        <v>5.3683616000000001</v>
      </c>
      <c r="M18" s="34">
        <f t="shared" si="24"/>
        <v>3.2639638527999999</v>
      </c>
      <c r="N18" s="34">
        <f t="shared" si="24"/>
        <v>39.768547285064251</v>
      </c>
      <c r="O18" s="34">
        <f t="shared" si="25"/>
        <v>0.17951801190399999</v>
      </c>
      <c r="Q18" s="53"/>
      <c r="R18" s="54"/>
      <c r="S18" s="55"/>
      <c r="T18" s="54"/>
      <c r="U18" s="54"/>
      <c r="V18" s="38">
        <v>3</v>
      </c>
      <c r="W18" s="36">
        <f t="shared" si="26"/>
        <v>0</v>
      </c>
      <c r="X18" s="37">
        <v>7.0000000000000001E-3</v>
      </c>
      <c r="Y18" s="37">
        <v>0.60799999999999998</v>
      </c>
      <c r="Z18" s="56">
        <v>12.184126135756282</v>
      </c>
      <c r="AA18" s="36">
        <f t="shared" si="27"/>
        <v>9.7999999999999997E-3</v>
      </c>
      <c r="AB18" s="36">
        <f t="shared" si="27"/>
        <v>6.9289078342354579E-2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20"/>
        <v>0</v>
      </c>
      <c r="J19" s="34">
        <f t="shared" si="21"/>
        <v>0</v>
      </c>
      <c r="K19" s="34">
        <f t="shared" si="22"/>
        <v>0</v>
      </c>
      <c r="L19" s="34">
        <f t="shared" si="23"/>
        <v>0</v>
      </c>
      <c r="M19" s="34">
        <f t="shared" si="24"/>
        <v>0</v>
      </c>
      <c r="N19" s="34">
        <f t="shared" si="24"/>
        <v>0</v>
      </c>
      <c r="O19" s="34">
        <f t="shared" si="25"/>
        <v>0</v>
      </c>
      <c r="Q19" s="53"/>
      <c r="R19" s="54"/>
      <c r="S19" s="55"/>
      <c r="T19" s="54"/>
      <c r="U19" s="54"/>
      <c r="V19" s="38">
        <v>0</v>
      </c>
      <c r="W19" s="36">
        <f t="shared" si="26"/>
        <v>0</v>
      </c>
      <c r="X19" s="37">
        <v>0</v>
      </c>
      <c r="Y19" s="37">
        <v>0</v>
      </c>
      <c r="Z19" s="56">
        <v>0</v>
      </c>
      <c r="AA19" s="36">
        <f t="shared" si="27"/>
        <v>0</v>
      </c>
      <c r="AB19" s="36">
        <f t="shared" si="27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20"/>
        <v>0</v>
      </c>
      <c r="J20" s="34">
        <f t="shared" si="21"/>
        <v>0</v>
      </c>
      <c r="K20" s="34">
        <f t="shared" si="22"/>
        <v>0</v>
      </c>
      <c r="L20" s="34">
        <f t="shared" si="23"/>
        <v>0</v>
      </c>
      <c r="M20" s="34">
        <f t="shared" si="24"/>
        <v>0</v>
      </c>
      <c r="N20" s="34">
        <f t="shared" si="24"/>
        <v>0</v>
      </c>
      <c r="O20" s="34">
        <f t="shared" si="25"/>
        <v>0</v>
      </c>
      <c r="Q20" s="53"/>
      <c r="R20" s="54"/>
      <c r="S20" s="55"/>
      <c r="T20" s="54"/>
      <c r="U20" s="54"/>
      <c r="V20" s="38">
        <v>0</v>
      </c>
      <c r="W20" s="36">
        <f t="shared" si="26"/>
        <v>0</v>
      </c>
      <c r="X20" s="37">
        <v>0</v>
      </c>
      <c r="Y20" s="37">
        <v>0</v>
      </c>
      <c r="Z20" s="56">
        <v>0</v>
      </c>
      <c r="AA20" s="36">
        <f t="shared" si="27"/>
        <v>0</v>
      </c>
      <c r="AB20" s="36">
        <f t="shared" si="27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A21" s="43"/>
      <c r="B21" s="46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10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86.967457920000015</v>
      </c>
      <c r="M22" s="34">
        <f t="shared" ref="M22:N25" si="28">L22*Y22</f>
        <v>67.834617177600009</v>
      </c>
      <c r="N22" s="34">
        <f t="shared" si="28"/>
        <v>796.37840566502416</v>
      </c>
      <c r="O22" s="34">
        <f>M22*AG22</f>
        <v>6.9191309521152009</v>
      </c>
      <c r="Q22" s="53"/>
      <c r="R22" s="54"/>
      <c r="S22" s="55"/>
      <c r="T22" s="54"/>
      <c r="U22" s="54"/>
      <c r="V22" s="59"/>
      <c r="W22" s="60"/>
      <c r="X22" s="54"/>
      <c r="Y22" s="37">
        <v>0.78</v>
      </c>
      <c r="Z22" s="56">
        <v>11.74</v>
      </c>
      <c r="AA22" s="36">
        <f>(AF22/SUM(AF$6:AF$25))*0.98</f>
        <v>0.15876000000000001</v>
      </c>
      <c r="AB22" s="36">
        <f t="shared" ref="AB22:AB23" si="29">(AG22/SUM(AG$6:AG$25))*0.98</f>
        <v>0.12849974528945754</v>
      </c>
      <c r="AD22" s="42"/>
      <c r="AE22" s="42"/>
      <c r="AF22" s="37">
        <v>0.16200000000000001</v>
      </c>
      <c r="AG22" s="37">
        <v>0.10199999999999999</v>
      </c>
      <c r="AH22" s="43"/>
      <c r="AI22" s="43">
        <f t="shared" si="12"/>
        <v>0.16200000000000001</v>
      </c>
    </row>
    <row r="23" spans="1:35" x14ac:dyDescent="0.25">
      <c r="A23" s="32" t="s">
        <v>614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22.547118720000004</v>
      </c>
      <c r="M23" s="34">
        <f t="shared" si="28"/>
        <v>15.67129135848889</v>
      </c>
      <c r="N23" s="34">
        <f t="shared" si="28"/>
        <v>158.59346854790755</v>
      </c>
      <c r="O23" s="34">
        <f>M23*AG23</f>
        <v>1.410416222264</v>
      </c>
      <c r="Q23" s="53"/>
      <c r="R23" s="54"/>
      <c r="S23" s="55"/>
      <c r="T23" s="54"/>
      <c r="U23" s="54"/>
      <c r="V23" s="59"/>
      <c r="W23" s="60"/>
      <c r="X23" s="54"/>
      <c r="Y23" s="37">
        <v>0.69504629629629622</v>
      </c>
      <c r="Z23" s="56">
        <v>10.119999999999999</v>
      </c>
      <c r="AA23" s="36">
        <f>(AF23/SUM(AF$6:AF$25))*0.98</f>
        <v>4.1160000000000002E-2</v>
      </c>
      <c r="AB23" s="36">
        <f t="shared" si="29"/>
        <v>0.1133821281965802</v>
      </c>
      <c r="AD23" s="42"/>
      <c r="AE23" s="42"/>
      <c r="AF23" s="37">
        <v>4.2000000000000003E-2</v>
      </c>
      <c r="AG23" s="37">
        <v>0.09</v>
      </c>
      <c r="AH23" s="43"/>
      <c r="AI23" s="43">
        <f t="shared" si="12"/>
        <v>4.2000000000000003E-2</v>
      </c>
    </row>
    <row r="24" spans="1:35" x14ac:dyDescent="0.25"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8"/>
        <v>0</v>
      </c>
      <c r="N24" s="34">
        <f t="shared" si="28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>(AF24/SUM(AF$6:AF$25))*0.98</f>
        <v>0</v>
      </c>
      <c r="AB24" s="36">
        <f>(AG24/SUM(AG$6:AG$25))*0.98</f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8"/>
        <v>0</v>
      </c>
      <c r="N25" s="34">
        <f t="shared" si="28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>(AF25/SUM(AF$6:AF$25))*0.98</f>
        <v>0</v>
      </c>
      <c r="AB25" s="36">
        <f>(AG25/SUM(AG$6:AG$25))*0.98</f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1022</v>
      </c>
      <c r="E29" s="75">
        <v>0.53600000000000003</v>
      </c>
      <c r="F29" s="76">
        <f>1-E29</f>
        <v>0.46399999999999997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547.79200000000003</v>
      </c>
      <c r="E32" s="80">
        <f>SUM(E2:E4)</f>
        <v>368.70374084131169</v>
      </c>
      <c r="F32" s="80">
        <f>SUM(F2:F4)</f>
        <v>4379.1053910363789</v>
      </c>
      <c r="G32" s="80">
        <f>SUM(G2:G4)</f>
        <v>30.150878848459151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474.20799999999997</v>
      </c>
      <c r="E35" s="80">
        <f>D35*G29</f>
        <v>1920.5423999999998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464.72384</v>
      </c>
      <c r="E38" s="91">
        <f>SUM(J2:J4,J6:J11,J13:J20)</f>
        <v>1917.1154967852228</v>
      </c>
      <c r="F38" s="91">
        <f>SUM(K2:K4,K6:K11,K13:K20)</f>
        <v>16.973215656800786</v>
      </c>
      <c r="G38" s="91">
        <f>SUM(L6:L11,L13:L20,L22:L25)</f>
        <v>536.83615999999995</v>
      </c>
      <c r="H38" s="91">
        <f>SUM(M6:M11,M13:M20,M22:M25)</f>
        <v>368.6877713044089</v>
      </c>
      <c r="I38" s="91">
        <f>SUM(N6:N11,N13:N20,N22:N25)</f>
        <v>4377.5475881862858</v>
      </c>
      <c r="J38" s="91">
        <f>SUM(O6:O11,O13:O20,O22:O25)</f>
        <v>30.140912324634236</v>
      </c>
      <c r="P38" s="46"/>
      <c r="Q38" s="48"/>
      <c r="R38" s="48"/>
      <c r="S38" s="46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9.4841599999999744</v>
      </c>
      <c r="E39" s="92">
        <f>E35-E38</f>
        <v>3.4269032147769849</v>
      </c>
      <c r="F39" s="92">
        <f>F35-F38</f>
        <v>2.6784343199214078E-2</v>
      </c>
      <c r="G39" s="92">
        <f>SUM(D2:D4)-G38</f>
        <v>10.95584000000008</v>
      </c>
      <c r="H39" s="92">
        <f>E32-H38</f>
        <v>1.596953690278724E-2</v>
      </c>
      <c r="I39" s="92">
        <f>F32-I38</f>
        <v>1.5578028500931396</v>
      </c>
      <c r="J39" s="92">
        <f>G32-J38</f>
        <v>9.966523824914475E-3</v>
      </c>
      <c r="P39" s="46"/>
      <c r="Q39" s="48"/>
      <c r="R39" s="48"/>
      <c r="S39" s="46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K40" s="46"/>
      <c r="M40" s="46"/>
      <c r="N40" s="48"/>
      <c r="O40" s="46"/>
      <c r="P40" s="46"/>
      <c r="Q40" s="48"/>
      <c r="R40" s="48"/>
      <c r="S40" s="46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9" priority="1" operator="lessThan">
      <formula>0</formula>
    </cfRule>
  </conditionalFormatting>
  <conditionalFormatting sqref="W28 AA28:AF28">
    <cfRule type="cellIs" dxfId="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rgb="FF008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78</v>
      </c>
    </row>
    <row r="2" spans="1:39" x14ac:dyDescent="0.25">
      <c r="A2" s="32" t="s">
        <v>41</v>
      </c>
      <c r="B2" s="33" t="s">
        <v>7</v>
      </c>
      <c r="C2" s="33">
        <f>VLOOKUP($AM$1,DST!C:D,2,FALSE)</f>
        <v>11</v>
      </c>
      <c r="D2" s="34">
        <f>D$32*Q2</f>
        <v>504.72744</v>
      </c>
      <c r="E2" s="34">
        <f>D2*R2</f>
        <v>335.64374760000004</v>
      </c>
      <c r="F2" s="34">
        <f>E2*S2</f>
        <v>4135.1309704320001</v>
      </c>
      <c r="G2" s="34">
        <f>E2*T2</f>
        <v>26.515856060400004</v>
      </c>
      <c r="H2" s="34">
        <f>D2*U2</f>
        <v>13.01233198593386</v>
      </c>
      <c r="I2" s="34">
        <f>D$35*W2</f>
        <v>34.843159255474909</v>
      </c>
      <c r="J2" s="34">
        <f>I2*V2</f>
        <v>110.34912719016842</v>
      </c>
      <c r="K2" s="34">
        <f>I2*X2</f>
        <v>0.86122797089993575</v>
      </c>
      <c r="L2" s="35"/>
      <c r="M2" s="35"/>
      <c r="N2" s="35"/>
      <c r="O2" s="35"/>
      <c r="Q2" s="36">
        <f>(AD2/SUM(AD$2:AD$25))</f>
        <v>0.98</v>
      </c>
      <c r="R2" s="37">
        <v>0.66500000000000004</v>
      </c>
      <c r="S2" s="38">
        <v>12.32</v>
      </c>
      <c r="T2" s="37">
        <v>7.9000000000000001E-2</v>
      </c>
      <c r="U2" s="37">
        <v>2.5780908575000122E-2</v>
      </c>
      <c r="V2" s="38">
        <v>3.1670241604979963</v>
      </c>
      <c r="W2" s="36">
        <f>(AE2/SUM(AE$2:AE$20))*0.98</f>
        <v>7.1550642039942561E-2</v>
      </c>
      <c r="X2" s="37">
        <v>2.4717275623180206E-2</v>
      </c>
      <c r="Y2" s="39"/>
      <c r="Z2" s="40"/>
      <c r="AA2" s="41"/>
      <c r="AB2" s="41"/>
      <c r="AD2" s="37">
        <v>0.98</v>
      </c>
      <c r="AE2" s="37">
        <v>7.2999999999999995E-2</v>
      </c>
      <c r="AF2" s="42"/>
      <c r="AG2" s="42"/>
      <c r="AH2" s="43">
        <f>AE2/(SUM(AE$2:AE$25))</f>
        <v>7.3010859224431179E-2</v>
      </c>
    </row>
    <row r="3" spans="1:39" x14ac:dyDescent="0.25">
      <c r="A3" s="32" t="s">
        <v>555</v>
      </c>
      <c r="B3" s="33" t="s">
        <v>7</v>
      </c>
      <c r="C3" s="33">
        <f>VLOOKUP($AM$1,DST!C:D,2,FALSE)</f>
        <v>11</v>
      </c>
      <c r="D3" s="34">
        <f>D$32*Q3</f>
        <v>10.300560000000001</v>
      </c>
      <c r="E3" s="34">
        <f t="shared" ref="E3:F4" si="0">D3*R3</f>
        <v>5.7477124800000006</v>
      </c>
      <c r="F3" s="34">
        <f t="shared" si="0"/>
        <v>64.834196774399999</v>
      </c>
      <c r="G3" s="34">
        <f t="shared" ref="G3:G4" si="1">E3*T3</f>
        <v>0.33336732384000006</v>
      </c>
      <c r="H3" s="34">
        <f>D3*U3</f>
        <v>0.28841568000000001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0.55800000000000005</v>
      </c>
      <c r="S3" s="38">
        <v>11.28</v>
      </c>
      <c r="T3" s="37">
        <v>5.8000000000000003E-2</v>
      </c>
      <c r="U3" s="37">
        <v>2.8000000000000001E-2</v>
      </c>
      <c r="V3" s="38">
        <v>4.62</v>
      </c>
      <c r="W3" s="36">
        <f>(AE3/SUM(AE$2:AE$20))*0.98</f>
        <v>0</v>
      </c>
      <c r="X3" s="37">
        <v>0.04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646</v>
      </c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1.971610104639717</v>
      </c>
      <c r="J4" s="34">
        <f>I4*V4</f>
        <v>6.1170467349078397</v>
      </c>
      <c r="K4" s="34">
        <f>I4*X4</f>
        <v>9.0694064813426983E-2</v>
      </c>
      <c r="L4" s="35"/>
      <c r="M4" s="35"/>
      <c r="N4" s="35"/>
      <c r="O4" s="35"/>
      <c r="Q4" s="36">
        <f>(AD4/SUM(AD$2:AD$25))</f>
        <v>0</v>
      </c>
      <c r="R4" s="37">
        <v>0.56699999999999995</v>
      </c>
      <c r="S4" s="38">
        <v>11.64</v>
      </c>
      <c r="T4" s="37">
        <v>6.8000000000000005E-2</v>
      </c>
      <c r="U4" s="37">
        <v>3.1E-2</v>
      </c>
      <c r="V4" s="38">
        <v>3.1025641025641026</v>
      </c>
      <c r="W4" s="36">
        <f>(AE4/SUM(AE$2:AE$20))*0.98</f>
        <v>4.0487134879206958E-3</v>
      </c>
      <c r="X4" s="37">
        <v>4.5999999999999999E-2</v>
      </c>
      <c r="Y4" s="39"/>
      <c r="Z4" s="40"/>
      <c r="AA4" s="41"/>
      <c r="AB4" s="41"/>
      <c r="AD4" s="37">
        <v>0</v>
      </c>
      <c r="AE4" s="37">
        <v>4.1307258214848585E-3</v>
      </c>
      <c r="AF4" s="42"/>
      <c r="AG4" s="42"/>
      <c r="AH4" s="43">
        <f t="shared" si="2"/>
        <v>4.1313402937966284E-3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657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235.31065086231681</v>
      </c>
      <c r="J6" s="34">
        <f t="shared" ref="J6:J11" si="4">I6*V6</f>
        <v>990.65784013035375</v>
      </c>
      <c r="K6" s="34">
        <f t="shared" ref="K6:K11" si="5">I6*X6</f>
        <v>8.2358727801810883</v>
      </c>
      <c r="L6" s="34">
        <f t="shared" ref="L6:L11" si="6">((D$2+D$3+D$4)*AA6)</f>
        <v>29.778918959999999</v>
      </c>
      <c r="M6" s="34">
        <f t="shared" ref="M6:N11" si="7">L6*Y6</f>
        <v>21.708831921839998</v>
      </c>
      <c r="N6" s="34">
        <f t="shared" si="7"/>
        <v>173.88774369393838</v>
      </c>
      <c r="O6" s="34">
        <f t="shared" ref="O6:O11" si="8">M6*AG6</f>
        <v>0.93347977263911985</v>
      </c>
      <c r="Q6" s="53"/>
      <c r="R6" s="54"/>
      <c r="S6" s="55"/>
      <c r="T6" s="54"/>
      <c r="U6" s="54"/>
      <c r="V6" s="38">
        <v>4.21</v>
      </c>
      <c r="W6" s="36">
        <f t="shared" ref="W6:W11" si="9">(AE6/SUM(AE$2:AE$20))*0.98</f>
        <v>0.48321187021495449</v>
      </c>
      <c r="X6" s="37">
        <v>3.5000000000000003E-2</v>
      </c>
      <c r="Y6" s="37">
        <v>0.72899999999999998</v>
      </c>
      <c r="Z6" s="56">
        <v>8.01</v>
      </c>
      <c r="AA6" s="36">
        <f t="shared" ref="AA6:AB11" si="10">(AF6/SUM(AF$6:AF$25))*0.98</f>
        <v>5.7819999999999996E-2</v>
      </c>
      <c r="AB6" s="36">
        <f t="shared" si="10"/>
        <v>5.0409759646327601E-2</v>
      </c>
      <c r="AD6" s="42"/>
      <c r="AE6" s="37">
        <v>0.49299999999999999</v>
      </c>
      <c r="AF6" s="37">
        <v>5.8999999999999997E-2</v>
      </c>
      <c r="AG6" s="37">
        <v>4.2999999999999997E-2</v>
      </c>
      <c r="AH6" s="43">
        <f t="shared" si="2"/>
        <v>0.49307333695403521</v>
      </c>
      <c r="AI6" s="43">
        <f>AF6/(SUM(AF$6:AF$25))</f>
        <v>5.8999999999999997E-2</v>
      </c>
    </row>
    <row r="7" spans="1:39" x14ac:dyDescent="0.25">
      <c r="A7" s="32" t="s">
        <v>499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130.78117309589214</v>
      </c>
      <c r="J7" s="34">
        <f t="shared" si="4"/>
        <v>564.97466777425404</v>
      </c>
      <c r="K7" s="34">
        <f t="shared" si="5"/>
        <v>4.7081222314521165</v>
      </c>
      <c r="L7" s="34">
        <f t="shared" si="6"/>
        <v>23.72218968</v>
      </c>
      <c r="M7" s="34">
        <f t="shared" si="7"/>
        <v>18.266086053599999</v>
      </c>
      <c r="N7" s="34">
        <f t="shared" si="7"/>
        <v>148.68594047630401</v>
      </c>
      <c r="O7" s="34">
        <f t="shared" si="8"/>
        <v>0.8037077863583999</v>
      </c>
      <c r="Q7" s="53"/>
      <c r="R7" s="54"/>
      <c r="S7" s="55"/>
      <c r="T7" s="54"/>
      <c r="U7" s="54"/>
      <c r="V7" s="38">
        <v>4.32</v>
      </c>
      <c r="W7" s="36">
        <f t="shared" si="9"/>
        <v>0.2685599440951269</v>
      </c>
      <c r="X7" s="37">
        <v>3.5999999999999997E-2</v>
      </c>
      <c r="Y7" s="37">
        <v>0.77</v>
      </c>
      <c r="Z7" s="56">
        <v>8.14</v>
      </c>
      <c r="AA7" s="36">
        <f t="shared" si="10"/>
        <v>4.6059999999999997E-2</v>
      </c>
      <c r="AB7" s="36">
        <f t="shared" si="10"/>
        <v>5.1582079638102664E-2</v>
      </c>
      <c r="AD7" s="42"/>
      <c r="AE7" s="37">
        <v>0.27400000000000002</v>
      </c>
      <c r="AF7" s="37">
        <v>4.7E-2</v>
      </c>
      <c r="AG7" s="37">
        <v>4.3999999999999997E-2</v>
      </c>
      <c r="AH7" s="43">
        <f t="shared" si="2"/>
        <v>0.27404075928074173</v>
      </c>
      <c r="AI7" s="43">
        <f t="shared" ref="AI7:AI25" si="11">AF7/(SUM(AF$6:AF$25))</f>
        <v>4.7E-2</v>
      </c>
    </row>
    <row r="8" spans="1:39" x14ac:dyDescent="0.25">
      <c r="A8" s="32" t="s">
        <v>397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45.343837387261864</v>
      </c>
      <c r="J8" s="34">
        <f t="shared" si="4"/>
        <v>187.37888790166693</v>
      </c>
      <c r="K8" s="34">
        <f t="shared" si="5"/>
        <v>1.7230658207159508</v>
      </c>
      <c r="L8" s="34">
        <f t="shared" si="6"/>
        <v>7.5709115999999996</v>
      </c>
      <c r="M8" s="34">
        <f t="shared" si="7"/>
        <v>5.6176164071999999</v>
      </c>
      <c r="N8" s="34">
        <f t="shared" si="7"/>
        <v>44.835138104922024</v>
      </c>
      <c r="O8" s="34">
        <f t="shared" si="8"/>
        <v>0.18538134143760002</v>
      </c>
      <c r="Q8" s="53"/>
      <c r="R8" s="54"/>
      <c r="S8" s="55"/>
      <c r="T8" s="54"/>
      <c r="U8" s="54"/>
      <c r="V8" s="38">
        <v>4.1324003149831778</v>
      </c>
      <c r="W8" s="36">
        <f t="shared" si="9"/>
        <v>9.3113849230062232E-2</v>
      </c>
      <c r="X8" s="37">
        <v>3.7999999999999999E-2</v>
      </c>
      <c r="Y8" s="37">
        <v>0.74199999999999999</v>
      </c>
      <c r="Z8" s="56">
        <v>7.9811676082862508</v>
      </c>
      <c r="AA8" s="36">
        <f t="shared" si="10"/>
        <v>1.47E-2</v>
      </c>
      <c r="AB8" s="36">
        <f t="shared" si="10"/>
        <v>3.8686559728577E-2</v>
      </c>
      <c r="AD8" s="42"/>
      <c r="AE8" s="37">
        <v>9.5000000000000001E-2</v>
      </c>
      <c r="AF8" s="37">
        <v>1.4999999999999999E-2</v>
      </c>
      <c r="AG8" s="37">
        <v>3.3000000000000002E-2</v>
      </c>
      <c r="AH8" s="43">
        <f t="shared" si="2"/>
        <v>9.5014131867410437E-2</v>
      </c>
      <c r="AI8" s="43">
        <f t="shared" si="11"/>
        <v>1.4999999999999999E-2</v>
      </c>
    </row>
    <row r="9" spans="1:39" x14ac:dyDescent="0.25">
      <c r="A9" s="32" t="s">
        <v>594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11.932588786121544</v>
      </c>
      <c r="J9" s="34">
        <f t="shared" si="4"/>
        <v>45.450569134410458</v>
      </c>
      <c r="K9" s="34">
        <f t="shared" si="5"/>
        <v>0.39377542994201098</v>
      </c>
      <c r="L9" s="34">
        <f t="shared" si="6"/>
        <v>5.0472744</v>
      </c>
      <c r="M9" s="34">
        <f t="shared" si="7"/>
        <v>3.684510312</v>
      </c>
      <c r="N9" s="34">
        <f t="shared" si="7"/>
        <v>28.29703919616</v>
      </c>
      <c r="O9" s="34">
        <f t="shared" si="8"/>
        <v>9.21127578E-2</v>
      </c>
      <c r="Q9" s="53"/>
      <c r="R9" s="54"/>
      <c r="S9" s="55"/>
      <c r="T9" s="54"/>
      <c r="U9" s="54"/>
      <c r="V9" s="38">
        <v>3.8089445592286504</v>
      </c>
      <c r="W9" s="36">
        <f t="shared" si="9"/>
        <v>2.4503644534226904E-2</v>
      </c>
      <c r="X9" s="37">
        <v>3.3000000000000002E-2</v>
      </c>
      <c r="Y9" s="37">
        <v>0.73</v>
      </c>
      <c r="Z9" s="56">
        <v>7.68</v>
      </c>
      <c r="AA9" s="36">
        <f t="shared" si="10"/>
        <v>9.7999999999999997E-3</v>
      </c>
      <c r="AB9" s="36">
        <f t="shared" si="10"/>
        <v>2.9307999794376517E-2</v>
      </c>
      <c r="AD9" s="42"/>
      <c r="AE9" s="37">
        <v>2.5000000000000001E-2</v>
      </c>
      <c r="AF9" s="37">
        <v>0.01</v>
      </c>
      <c r="AG9" s="37">
        <v>2.5000000000000001E-2</v>
      </c>
      <c r="AH9" s="43">
        <f t="shared" si="2"/>
        <v>2.5003718912476432E-2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398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5.643186255057679</v>
      </c>
      <c r="J13" s="34">
        <f t="shared" ref="J13:J20" si="13">I13*V13</f>
        <v>29.701884942186943</v>
      </c>
      <c r="K13" s="34">
        <f t="shared" ref="K13:K20" si="14">I13*X13</f>
        <v>6.7405473662896301E-2</v>
      </c>
      <c r="L13" s="34">
        <f t="shared" ref="L13:L20" si="15">((D$2+D$3+D$4)*AA13)</f>
        <v>166.05532776000001</v>
      </c>
      <c r="M13" s="34">
        <f t="shared" ref="M13:N20" si="16">L13*Y13</f>
        <v>119.72589131496001</v>
      </c>
      <c r="N13" s="34">
        <f t="shared" si="16"/>
        <v>1773.1404503745578</v>
      </c>
      <c r="O13" s="34">
        <f t="shared" ref="O13:O20" si="17">M13*AG13</f>
        <v>9.9372489791416818</v>
      </c>
      <c r="Q13" s="53"/>
      <c r="R13" s="54"/>
      <c r="S13" s="55"/>
      <c r="T13" s="54"/>
      <c r="U13" s="54"/>
      <c r="V13" s="38">
        <v>5.2633182035355945</v>
      </c>
      <c r="W13" s="36">
        <f t="shared" ref="W13:W20" si="18">(AE13/SUM(AE$2:AE$20))*0.98</f>
        <v>1.1588317716537459E-2</v>
      </c>
      <c r="X13" s="37">
        <v>1.1944577161968466E-2</v>
      </c>
      <c r="Y13" s="37">
        <v>0.72099999999999997</v>
      </c>
      <c r="Z13" s="56">
        <v>14.81</v>
      </c>
      <c r="AA13" s="36">
        <f t="shared" ref="AA13:AB20" si="19">(AF13/SUM(AF$6:AF$25))*0.98</f>
        <v>0.32241999999999998</v>
      </c>
      <c r="AB13" s="36">
        <f t="shared" si="19"/>
        <v>9.7302559317330034E-2</v>
      </c>
      <c r="AD13" s="42"/>
      <c r="AE13" s="37">
        <v>1.1823055240161107E-2</v>
      </c>
      <c r="AF13" s="37">
        <v>0.32900000000000001</v>
      </c>
      <c r="AG13" s="37">
        <v>8.3000000000000004E-2</v>
      </c>
      <c r="AH13" s="43">
        <f t="shared" si="2"/>
        <v>1.1824813996466794E-2</v>
      </c>
      <c r="AI13" s="43">
        <f t="shared" si="11"/>
        <v>0.32900000000000001</v>
      </c>
    </row>
    <row r="14" spans="1:39" x14ac:dyDescent="0.25">
      <c r="A14" s="32" t="s">
        <v>363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11.406354253235314</v>
      </c>
      <c r="J14" s="34">
        <f t="shared" si="13"/>
        <v>81.255613363779929</v>
      </c>
      <c r="K14" s="34">
        <f t="shared" si="14"/>
        <v>0.40443284197737778</v>
      </c>
      <c r="L14" s="34">
        <f t="shared" si="15"/>
        <v>78.737480640000001</v>
      </c>
      <c r="M14" s="34">
        <f t="shared" si="16"/>
        <v>44.4866765616</v>
      </c>
      <c r="N14" s="34">
        <f t="shared" si="16"/>
        <v>615.25073684692802</v>
      </c>
      <c r="O14" s="34">
        <f t="shared" si="17"/>
        <v>4.1817475967903999</v>
      </c>
      <c r="Q14" s="53"/>
      <c r="R14" s="54"/>
      <c r="S14" s="55"/>
      <c r="T14" s="54"/>
      <c r="U14" s="54"/>
      <c r="V14" s="38">
        <v>7.123714690934877</v>
      </c>
      <c r="W14" s="36">
        <f t="shared" si="18"/>
        <v>2.3423018681228723E-2</v>
      </c>
      <c r="X14" s="37">
        <v>3.5456801796477949E-2</v>
      </c>
      <c r="Y14" s="37">
        <v>0.56499999999999995</v>
      </c>
      <c r="Z14" s="56">
        <v>13.83</v>
      </c>
      <c r="AA14" s="36">
        <f t="shared" si="19"/>
        <v>0.15287999999999999</v>
      </c>
      <c r="AB14" s="36">
        <f t="shared" si="19"/>
        <v>0.11019807922685571</v>
      </c>
      <c r="AD14" s="42"/>
      <c r="AE14" s="37">
        <v>2.3897484564501466E-2</v>
      </c>
      <c r="AF14" s="37">
        <v>0.156</v>
      </c>
      <c r="AG14" s="37">
        <v>9.4E-2</v>
      </c>
      <c r="AH14" s="43">
        <f t="shared" si="2"/>
        <v>2.3901039470641556E-2</v>
      </c>
      <c r="AI14" s="43">
        <f t="shared" si="11"/>
        <v>0.156</v>
      </c>
    </row>
    <row r="15" spans="1:39" x14ac:dyDescent="0.25">
      <c r="A15" s="32" t="s">
        <v>31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63.09093</v>
      </c>
      <c r="M15" s="34">
        <f t="shared" si="16"/>
        <v>41.70310473</v>
      </c>
      <c r="N15" s="34">
        <f t="shared" si="16"/>
        <v>507.52678456410001</v>
      </c>
      <c r="O15" s="34">
        <f t="shared" si="17"/>
        <v>3.2111390642099997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0.66100000000000003</v>
      </c>
      <c r="Z15" s="56">
        <v>12.17</v>
      </c>
      <c r="AA15" s="36">
        <f t="shared" si="19"/>
        <v>0.1225</v>
      </c>
      <c r="AB15" s="36">
        <f t="shared" si="19"/>
        <v>9.026863936667967E-2</v>
      </c>
      <c r="AD15" s="42"/>
      <c r="AE15" s="37">
        <v>0</v>
      </c>
      <c r="AF15" s="37">
        <v>0.125</v>
      </c>
      <c r="AG15" s="37">
        <v>7.6999999999999999E-2</v>
      </c>
      <c r="AH15" s="43">
        <f t="shared" si="2"/>
        <v>0</v>
      </c>
      <c r="AI15" s="43">
        <f t="shared" si="11"/>
        <v>0.125</v>
      </c>
    </row>
    <row r="16" spans="1:39" x14ac:dyDescent="0.25">
      <c r="A16" s="32" t="s">
        <v>556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31.293101280000002</v>
      </c>
      <c r="M16" s="34">
        <f t="shared" si="16"/>
        <v>16.522757475840002</v>
      </c>
      <c r="N16" s="34">
        <f t="shared" si="16"/>
        <v>212.48266113930242</v>
      </c>
      <c r="O16" s="34">
        <f t="shared" si="17"/>
        <v>1.7018440200115201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0.52800000000000002</v>
      </c>
      <c r="Z16" s="56">
        <v>12.86</v>
      </c>
      <c r="AA16" s="36">
        <f t="shared" si="19"/>
        <v>6.0760000000000002E-2</v>
      </c>
      <c r="AB16" s="36">
        <f t="shared" si="19"/>
        <v>0.12074895915283124</v>
      </c>
      <c r="AD16" s="42"/>
      <c r="AE16" s="37">
        <v>0</v>
      </c>
      <c r="AF16" s="37">
        <v>6.2E-2</v>
      </c>
      <c r="AG16" s="37">
        <v>0.10299999999999999</v>
      </c>
      <c r="AH16" s="43">
        <f t="shared" si="2"/>
        <v>0</v>
      </c>
      <c r="AI16" s="43">
        <f t="shared" si="11"/>
        <v>6.2E-2</v>
      </c>
    </row>
    <row r="17" spans="1:35" x14ac:dyDescent="0.25">
      <c r="A17" s="32" t="s">
        <v>414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5.0472744</v>
      </c>
      <c r="M17" s="34">
        <f t="shared" si="16"/>
        <v>3.4573829640000002</v>
      </c>
      <c r="N17" s="34">
        <f t="shared" si="16"/>
        <v>40.900840464120002</v>
      </c>
      <c r="O17" s="34">
        <f t="shared" si="17"/>
        <v>0.22472989266000001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0.68500000000000005</v>
      </c>
      <c r="Z17" s="56">
        <v>11.83</v>
      </c>
      <c r="AA17" s="36">
        <f t="shared" si="19"/>
        <v>9.7999999999999997E-3</v>
      </c>
      <c r="AB17" s="36">
        <f t="shared" si="19"/>
        <v>7.6200799465378943E-2</v>
      </c>
      <c r="AD17" s="42"/>
      <c r="AE17" s="37">
        <v>0</v>
      </c>
      <c r="AF17" s="37">
        <v>0.01</v>
      </c>
      <c r="AG17" s="37">
        <v>6.5000000000000002E-2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700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2.5236372</v>
      </c>
      <c r="M18" s="34">
        <f t="shared" si="16"/>
        <v>1.5217532316</v>
      </c>
      <c r="N18" s="34">
        <f t="shared" si="16"/>
        <v>20.634973820496</v>
      </c>
      <c r="O18" s="34">
        <f t="shared" si="17"/>
        <v>0.1386563308974943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0.60299999999999998</v>
      </c>
      <c r="Z18" s="56">
        <v>13.56</v>
      </c>
      <c r="AA18" s="36">
        <f t="shared" si="19"/>
        <v>4.8999999999999998E-3</v>
      </c>
      <c r="AB18" s="36">
        <f t="shared" si="19"/>
        <v>0.10681731132346793</v>
      </c>
      <c r="AD18" s="42"/>
      <c r="AE18" s="37">
        <v>0</v>
      </c>
      <c r="AF18" s="37">
        <v>5.0000000000000001E-3</v>
      </c>
      <c r="AG18" s="37">
        <v>9.1116173120728922E-2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458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59.557837919999997</v>
      </c>
      <c r="M22" s="34">
        <f t="shared" ref="M22:N25" si="20">L22*Y22</f>
        <v>40.742325764313591</v>
      </c>
      <c r="N22" s="34">
        <f t="shared" si="20"/>
        <v>415.97914605364178</v>
      </c>
      <c r="O22" s="34">
        <f>M22*AG22</f>
        <v>3.7482939703168503</v>
      </c>
      <c r="Q22" s="53"/>
      <c r="R22" s="54"/>
      <c r="S22" s="55"/>
      <c r="T22" s="54"/>
      <c r="U22" s="54"/>
      <c r="V22" s="59"/>
      <c r="W22" s="60"/>
      <c r="X22" s="54"/>
      <c r="Y22" s="37">
        <v>0.68407999999999991</v>
      </c>
      <c r="Z22" s="56">
        <v>10.210000000000001</v>
      </c>
      <c r="AA22" s="36">
        <f t="shared" ref="AA22:AB25" si="21">(AF22/SUM(AF$6:AF$25))*0.98</f>
        <v>0.11563999999999999</v>
      </c>
      <c r="AB22" s="36">
        <f t="shared" si="21"/>
        <v>0.10785343924330558</v>
      </c>
      <c r="AD22" s="42"/>
      <c r="AE22" s="42"/>
      <c r="AF22" s="37">
        <v>0.11799999999999999</v>
      </c>
      <c r="AG22" s="37">
        <v>9.1999999999999998E-2</v>
      </c>
      <c r="AH22" s="43"/>
      <c r="AI22" s="43">
        <f t="shared" si="11"/>
        <v>0.11799999999999999</v>
      </c>
    </row>
    <row r="23" spans="1:35" x14ac:dyDescent="0.25">
      <c r="A23" s="32" t="s">
        <v>570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32.302556160000002</v>
      </c>
      <c r="M23" s="34">
        <f t="shared" si="20"/>
        <v>19.575349032960002</v>
      </c>
      <c r="N23" s="34">
        <f t="shared" si="20"/>
        <v>216.89486728519682</v>
      </c>
      <c r="O23" s="34">
        <f>M23*AG23</f>
        <v>1.6802121398522076</v>
      </c>
      <c r="Q23" s="53"/>
      <c r="R23" s="54"/>
      <c r="S23" s="55"/>
      <c r="T23" s="54"/>
      <c r="U23" s="54"/>
      <c r="V23" s="59"/>
      <c r="W23" s="60"/>
      <c r="X23" s="54"/>
      <c r="Y23" s="37">
        <v>0.60599999999999998</v>
      </c>
      <c r="Z23" s="56">
        <v>11.08</v>
      </c>
      <c r="AA23" s="36">
        <f t="shared" si="21"/>
        <v>6.2719999999999998E-2</v>
      </c>
      <c r="AB23" s="36">
        <f t="shared" si="21"/>
        <v>0.1006238140967671</v>
      </c>
      <c r="AD23" s="42"/>
      <c r="AE23" s="42"/>
      <c r="AF23" s="37">
        <v>6.4000000000000001E-2</v>
      </c>
      <c r="AG23" s="37">
        <v>8.5833061623736551E-2</v>
      </c>
      <c r="AH23" s="43"/>
      <c r="AI23" s="43">
        <f t="shared" si="11"/>
        <v>6.4000000000000001E-2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0.99985126562614746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1002</v>
      </c>
      <c r="E29" s="75">
        <v>0.51400000000000001</v>
      </c>
      <c r="F29" s="76">
        <f>1-E29</f>
        <v>0.48599999999999999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515.02800000000002</v>
      </c>
      <c r="E32" s="80">
        <f>SUM(E2:E4)</f>
        <v>341.39146008000006</v>
      </c>
      <c r="F32" s="80">
        <f>SUM(F2:F4)</f>
        <v>4199.9651672064001</v>
      </c>
      <c r="G32" s="80">
        <f>SUM(G2:G4)</f>
        <v>26.849223384240005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486.97199999999998</v>
      </c>
      <c r="E35" s="80">
        <f>D35*G29</f>
        <v>2020.9338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477.23255999999998</v>
      </c>
      <c r="E38" s="91">
        <f>SUM(J2:J4,J6:J11,J13:J20)</f>
        <v>2015.8856371717286</v>
      </c>
      <c r="F38" s="91">
        <f>SUM(K2:K4,K6:K11,K13:K20)</f>
        <v>16.484596613644804</v>
      </c>
      <c r="G38" s="91">
        <f>SUM(L6:L11,L13:L20,L22:L25)</f>
        <v>504.72744000000006</v>
      </c>
      <c r="H38" s="91">
        <f>SUM(M6:M11,M13:M20,M22:M25)</f>
        <v>337.01228576991355</v>
      </c>
      <c r="I38" s="91">
        <f>SUM(N6:N11,N13:N20,N22:N25)</f>
        <v>4198.5163220196664</v>
      </c>
      <c r="J38" s="91">
        <f>SUM(O6:O11,O13:O20,O22:O25)</f>
        <v>26.838553652115273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9.7394400000000019</v>
      </c>
      <c r="E39" s="92">
        <f>E35-E38</f>
        <v>5.0481628282714155</v>
      </c>
      <c r="F39" s="92">
        <f>F35-F38</f>
        <v>1.5403386355195892E-2</v>
      </c>
      <c r="G39" s="92">
        <f>SUM(D2:D4)-G38</f>
        <v>10.300559999999962</v>
      </c>
      <c r="H39" s="92">
        <f>E32-H38</f>
        <v>4.3791743100865119</v>
      </c>
      <c r="I39" s="92">
        <f>F32-I38</f>
        <v>1.4488451867337062</v>
      </c>
      <c r="J39" s="92">
        <f>G32-J38</f>
        <v>1.0669732124732434E-2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L43" s="33"/>
      <c r="M43" s="46"/>
      <c r="N43" s="47"/>
      <c r="O43" s="46"/>
      <c r="P43" s="48"/>
      <c r="S43" s="46"/>
      <c r="T43" s="48"/>
      <c r="U43" s="48"/>
      <c r="V43" s="82"/>
      <c r="W43" s="46"/>
      <c r="X43" s="65"/>
      <c r="Y43" s="65"/>
      <c r="Z43" s="82"/>
      <c r="AB43" s="33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7" priority="1" operator="lessThan">
      <formula>0</formula>
    </cfRule>
  </conditionalFormatting>
  <conditionalFormatting sqref="W28 AA28:AF28">
    <cfRule type="cellIs" dxfId="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DA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80</v>
      </c>
    </row>
    <row r="2" spans="1:39" x14ac:dyDescent="0.25">
      <c r="A2" s="32" t="s">
        <v>356</v>
      </c>
      <c r="B2" s="33" t="s">
        <v>7</v>
      </c>
      <c r="C2" s="33">
        <f>VLOOKUP($AM$1,DST!C:D,2,FALSE)</f>
        <v>10</v>
      </c>
      <c r="D2" s="34">
        <f>D$32*Q2</f>
        <v>551.82917999999995</v>
      </c>
      <c r="E2" s="34">
        <f>D2*R2</f>
        <v>360.41861641973418</v>
      </c>
      <c r="F2" s="34">
        <f>E2*S2</f>
        <v>3995.2922074491207</v>
      </c>
      <c r="G2" s="34">
        <f>E2*T2</f>
        <v>26.954512554729995</v>
      </c>
      <c r="H2" s="34">
        <f>D2*U2</f>
        <v>12.917319135767858</v>
      </c>
      <c r="I2" s="34">
        <f>D$35*W2</f>
        <v>53.873975119999997</v>
      </c>
      <c r="J2" s="34">
        <f>I2*V2</f>
        <v>328.63124823199996</v>
      </c>
      <c r="K2" s="34">
        <f>I2*X2</f>
        <v>1.1614593432239577</v>
      </c>
      <c r="L2" s="35"/>
      <c r="M2" s="35"/>
      <c r="N2" s="35"/>
      <c r="O2" s="35"/>
      <c r="Q2" s="36">
        <f>(AD2/SUM(AD$2:AD$25))</f>
        <v>0.98</v>
      </c>
      <c r="R2" s="37">
        <v>0.65313439282013719</v>
      </c>
      <c r="S2" s="38">
        <v>11.085143845056846</v>
      </c>
      <c r="T2" s="37">
        <v>7.478668228208131E-2</v>
      </c>
      <c r="U2" s="37">
        <v>2.3408184278634666E-2</v>
      </c>
      <c r="V2" s="38">
        <v>6.1</v>
      </c>
      <c r="W2" s="36">
        <f>(AE2/SUM(AE$2:AE$20))*0.98</f>
        <v>0.11368</v>
      </c>
      <c r="X2" s="37">
        <v>2.1558820202832618E-2</v>
      </c>
      <c r="Y2" s="39"/>
      <c r="Z2" s="40"/>
      <c r="AA2" s="41"/>
      <c r="AB2" s="41"/>
      <c r="AD2" s="37">
        <v>0.98</v>
      </c>
      <c r="AE2" s="37">
        <v>0.11600000000000001</v>
      </c>
      <c r="AF2" s="42"/>
      <c r="AG2" s="42"/>
      <c r="AH2" s="43">
        <f>AE2/(SUM(AE$2:AE$25))</f>
        <v>0.11600000000000001</v>
      </c>
    </row>
    <row r="3" spans="1:39" x14ac:dyDescent="0.25">
      <c r="A3" s="32" t="s">
        <v>413</v>
      </c>
      <c r="B3" s="33" t="s">
        <v>7</v>
      </c>
      <c r="C3" s="33">
        <f>VLOOKUP($AM$1,DST!C:D,2,FALSE)</f>
        <v>10</v>
      </c>
      <c r="D3" s="34">
        <f>D$32*Q3</f>
        <v>11.26182</v>
      </c>
      <c r="E3" s="34">
        <f t="shared" ref="E3:F4" si="0">D3*R3</f>
        <v>7.6300990723948559</v>
      </c>
      <c r="F3" s="34">
        <f t="shared" si="0"/>
        <v>80.421244223041768</v>
      </c>
      <c r="G3" s="34">
        <f t="shared" ref="G3:G4" si="1">E3*T3</f>
        <v>0.50938136026486158</v>
      </c>
      <c r="H3" s="34">
        <f>D3*U3</f>
        <v>0.37749982650384617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0.67751918183693716</v>
      </c>
      <c r="S3" s="38">
        <v>10.54</v>
      </c>
      <c r="T3" s="37">
        <v>6.6759468708311578E-2</v>
      </c>
      <c r="U3" s="37">
        <v>3.3520321449272514E-2</v>
      </c>
      <c r="V3" s="38">
        <v>5.2857142857142856</v>
      </c>
      <c r="W3" s="36">
        <f>(AE3/SUM(AE$2:AE$20))*0.98</f>
        <v>0</v>
      </c>
      <c r="X3" s="37">
        <v>2.8571428571428571E-2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460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168.58838765999997</v>
      </c>
      <c r="J6" s="34">
        <f t="shared" ref="J6:J11" si="4">I6*V6</f>
        <v>676.03943451659984</v>
      </c>
      <c r="K6" s="34">
        <f t="shared" ref="K6:K11" si="5">I6*X6</f>
        <v>3.877532916179999</v>
      </c>
      <c r="L6" s="34">
        <f t="shared" ref="L6:L11" si="6">((D$2+D$3+D$4)*AA6)</f>
        <v>53.527430459999977</v>
      </c>
      <c r="M6" s="34">
        <f t="shared" ref="M6:N11" si="7">L6*Y6</f>
        <v>46.732387859187668</v>
      </c>
      <c r="N6" s="34">
        <f t="shared" si="7"/>
        <v>393.01938189576828</v>
      </c>
      <c r="O6" s="34">
        <f t="shared" ref="O6:O11" si="8">M6*AG6</f>
        <v>2.9441404351288232</v>
      </c>
      <c r="Q6" s="53"/>
      <c r="R6" s="54"/>
      <c r="S6" s="55"/>
      <c r="T6" s="54"/>
      <c r="U6" s="54"/>
      <c r="V6" s="38">
        <v>4.01</v>
      </c>
      <c r="W6" s="36">
        <f t="shared" ref="W6:W11" si="9">(AE6/SUM(AE$2:AE$20))*0.98</f>
        <v>0.35574</v>
      </c>
      <c r="X6" s="37">
        <v>2.3E-2</v>
      </c>
      <c r="Y6" s="37">
        <v>0.87305494505494496</v>
      </c>
      <c r="Z6" s="56">
        <v>8.41</v>
      </c>
      <c r="AA6" s="36">
        <f t="shared" ref="AA6:AA11" si="10">(AF6/SUM(AF$6:AF$25))*0.98</f>
        <v>9.5059999999999978E-2</v>
      </c>
      <c r="AB6" s="36">
        <f t="shared" ref="AB6:AB11" si="11">(AG6/SUM(AG$6:AG$25))*0.98</f>
        <v>8.0077821011673142E-2</v>
      </c>
      <c r="AD6" s="42"/>
      <c r="AE6" s="37">
        <v>0.36299999999999999</v>
      </c>
      <c r="AF6" s="37">
        <v>9.7000000000000003E-2</v>
      </c>
      <c r="AG6" s="37">
        <v>6.3E-2</v>
      </c>
      <c r="AH6" s="43">
        <f t="shared" si="2"/>
        <v>0.36299999999999999</v>
      </c>
      <c r="AI6" s="43">
        <f>AF6/(SUM(AF$6:AF$25))</f>
        <v>9.6999999999999975E-2</v>
      </c>
    </row>
    <row r="7" spans="1:39" x14ac:dyDescent="0.25">
      <c r="A7" s="32" t="s">
        <v>346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175.09041913999999</v>
      </c>
      <c r="J7" s="34">
        <f t="shared" si="4"/>
        <v>754.6397064933999</v>
      </c>
      <c r="K7" s="34">
        <f t="shared" si="5"/>
        <v>5.7779838316200003</v>
      </c>
      <c r="L7" s="34">
        <f t="shared" si="6"/>
        <v>57.390234719999974</v>
      </c>
      <c r="M7" s="34">
        <f t="shared" si="7"/>
        <v>48.93924133279998</v>
      </c>
      <c r="N7" s="34">
        <f t="shared" si="7"/>
        <v>354.80949966279985</v>
      </c>
      <c r="O7" s="34">
        <f t="shared" si="8"/>
        <v>1.9575696533119993</v>
      </c>
      <c r="Q7" s="53"/>
      <c r="R7" s="54"/>
      <c r="S7" s="55"/>
      <c r="T7" s="54"/>
      <c r="U7" s="54"/>
      <c r="V7" s="38">
        <v>4.3099999999999996</v>
      </c>
      <c r="W7" s="36">
        <f t="shared" si="9"/>
        <v>0.36946000000000001</v>
      </c>
      <c r="X7" s="37">
        <v>3.3000000000000002E-2</v>
      </c>
      <c r="Y7" s="37">
        <v>0.85274509803921572</v>
      </c>
      <c r="Z7" s="56">
        <v>7.25</v>
      </c>
      <c r="AA7" s="36">
        <f t="shared" si="10"/>
        <v>0.10191999999999997</v>
      </c>
      <c r="AB7" s="36">
        <f t="shared" si="11"/>
        <v>5.0843060959792463E-2</v>
      </c>
      <c r="AD7" s="42"/>
      <c r="AE7" s="37">
        <v>0.377</v>
      </c>
      <c r="AF7" s="37">
        <v>0.104</v>
      </c>
      <c r="AG7" s="37">
        <v>0.04</v>
      </c>
      <c r="AH7" s="43">
        <f t="shared" si="2"/>
        <v>0.377</v>
      </c>
      <c r="AI7" s="43">
        <f t="shared" ref="AI7:AI25" si="12">AF7/(SUM(AF$6:AF$25))</f>
        <v>0.10399999999999997</v>
      </c>
    </row>
    <row r="8" spans="1:39" x14ac:dyDescent="0.25">
      <c r="A8" s="32" t="s">
        <v>399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62.233729879999984</v>
      </c>
      <c r="J8" s="34">
        <f t="shared" si="4"/>
        <v>247.06790762359995</v>
      </c>
      <c r="K8" s="34">
        <f t="shared" si="5"/>
        <v>2.1159468159199997</v>
      </c>
      <c r="L8" s="34">
        <f t="shared" si="6"/>
        <v>1.6554875399999991</v>
      </c>
      <c r="M8" s="34">
        <f t="shared" si="7"/>
        <v>1.2416156549999993</v>
      </c>
      <c r="N8" s="34">
        <f t="shared" si="7"/>
        <v>8.8030549939499938</v>
      </c>
      <c r="O8" s="34">
        <f t="shared" si="8"/>
        <v>4.7181394889999971E-2</v>
      </c>
      <c r="Q8" s="53"/>
      <c r="R8" s="54"/>
      <c r="S8" s="55"/>
      <c r="T8" s="54"/>
      <c r="U8" s="54"/>
      <c r="V8" s="38">
        <v>3.97</v>
      </c>
      <c r="W8" s="36">
        <f t="shared" si="9"/>
        <v>0.13131999999999999</v>
      </c>
      <c r="X8" s="37">
        <v>3.4000000000000002E-2</v>
      </c>
      <c r="Y8" s="37">
        <v>0.75</v>
      </c>
      <c r="Z8" s="56">
        <v>7.09</v>
      </c>
      <c r="AA8" s="36">
        <f t="shared" si="10"/>
        <v>2.939999999999999E-3</v>
      </c>
      <c r="AB8" s="36">
        <f t="shared" si="11"/>
        <v>4.8300907911802846E-2</v>
      </c>
      <c r="AD8" s="42"/>
      <c r="AE8" s="37">
        <v>0.13400000000000001</v>
      </c>
      <c r="AF8" s="37">
        <v>3.0000000000000001E-3</v>
      </c>
      <c r="AG8" s="37">
        <v>3.7999999999999999E-2</v>
      </c>
      <c r="AH8" s="43">
        <f t="shared" si="2"/>
        <v>0.13400000000000001</v>
      </c>
      <c r="AI8" s="43">
        <f t="shared" si="12"/>
        <v>2.9999999999999992E-3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116"/>
      <c r="R12" s="117"/>
      <c r="S12" s="118"/>
      <c r="T12" s="117"/>
      <c r="U12" s="117"/>
      <c r="V12" s="119"/>
      <c r="W12" s="120"/>
      <c r="X12" s="117"/>
      <c r="Y12" s="117"/>
      <c r="Z12" s="119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573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129.12802811999995</v>
      </c>
      <c r="M13" s="34">
        <f t="shared" ref="M13:N20" si="17">L13*Y13</f>
        <v>72.440823775319984</v>
      </c>
      <c r="N13" s="34">
        <f t="shared" si="17"/>
        <v>1062.7068847839441</v>
      </c>
      <c r="O13" s="34">
        <f t="shared" ref="O13:O20" si="18">M13*AG13</f>
        <v>7.5338456726332783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9">(AE13/SUM(AE$2:AE$20))*0.98</f>
        <v>0</v>
      </c>
      <c r="X13" s="37">
        <v>2.5000000000000001E-2</v>
      </c>
      <c r="Y13" s="37">
        <v>0.56100000000000005</v>
      </c>
      <c r="Z13" s="56">
        <v>14.67</v>
      </c>
      <c r="AA13" s="36">
        <f t="shared" ref="AA13:AB20" si="20">(AF13/SUM(AF$6:AF$25))*0.98</f>
        <v>0.22931999999999997</v>
      </c>
      <c r="AB13" s="36">
        <f t="shared" si="20"/>
        <v>0.13219195849546039</v>
      </c>
      <c r="AD13" s="42"/>
      <c r="AE13" s="37">
        <v>0</v>
      </c>
      <c r="AF13" s="37">
        <v>0.23400000000000001</v>
      </c>
      <c r="AG13" s="37">
        <v>0.104</v>
      </c>
      <c r="AH13" s="43">
        <f t="shared" si="2"/>
        <v>0</v>
      </c>
      <c r="AI13" s="43">
        <f t="shared" si="12"/>
        <v>0.23399999999999996</v>
      </c>
    </row>
    <row r="14" spans="1:39" x14ac:dyDescent="0.25">
      <c r="A14" s="32" t="s">
        <v>37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105.95120255999994</v>
      </c>
      <c r="M14" s="34">
        <f t="shared" si="17"/>
        <v>69.503988879359966</v>
      </c>
      <c r="N14" s="34">
        <f t="shared" si="17"/>
        <v>777.05459567124444</v>
      </c>
      <c r="O14" s="34">
        <f t="shared" si="18"/>
        <v>5.3518071437107171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0.65600000000000003</v>
      </c>
      <c r="Z14" s="56">
        <v>11.18</v>
      </c>
      <c r="AA14" s="36">
        <f t="shared" si="20"/>
        <v>0.18815999999999994</v>
      </c>
      <c r="AB14" s="36">
        <f t="shared" si="20"/>
        <v>9.7872892347600493E-2</v>
      </c>
      <c r="AD14" s="42"/>
      <c r="AE14" s="37">
        <v>0</v>
      </c>
      <c r="AF14" s="37">
        <v>0.192</v>
      </c>
      <c r="AG14" s="37">
        <v>7.6999999999999999E-2</v>
      </c>
      <c r="AH14" s="43">
        <f t="shared" si="2"/>
        <v>0</v>
      </c>
      <c r="AI14" s="43">
        <f t="shared" si="12"/>
        <v>0.19199999999999995</v>
      </c>
    </row>
    <row r="15" spans="1:39" x14ac:dyDescent="0.25">
      <c r="A15" s="32" t="s">
        <v>459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4.6443081999999993</v>
      </c>
      <c r="J15" s="34">
        <f t="shared" si="14"/>
        <v>29.607464774999997</v>
      </c>
      <c r="K15" s="34">
        <f t="shared" si="15"/>
        <v>5.8053852499999996E-2</v>
      </c>
      <c r="L15" s="34">
        <f t="shared" si="16"/>
        <v>72.289622579999971</v>
      </c>
      <c r="M15" s="34">
        <f t="shared" si="17"/>
        <v>44.747276377019979</v>
      </c>
      <c r="N15" s="34">
        <f t="shared" si="17"/>
        <v>587.97921159404257</v>
      </c>
      <c r="O15" s="34">
        <f t="shared" si="18"/>
        <v>3.9377603211777581</v>
      </c>
      <c r="Q15" s="53"/>
      <c r="R15" s="54"/>
      <c r="S15" s="55"/>
      <c r="T15" s="54"/>
      <c r="U15" s="54"/>
      <c r="V15" s="38">
        <v>6.375</v>
      </c>
      <c r="W15" s="36">
        <f t="shared" si="19"/>
        <v>9.7999999999999997E-3</v>
      </c>
      <c r="X15" s="37">
        <v>1.2500000000000001E-2</v>
      </c>
      <c r="Y15" s="37">
        <v>0.61899999999999999</v>
      </c>
      <c r="Z15" s="56">
        <v>13.14</v>
      </c>
      <c r="AA15" s="36">
        <f t="shared" si="20"/>
        <v>0.12837999999999997</v>
      </c>
      <c r="AB15" s="36">
        <f t="shared" si="20"/>
        <v>0.11185473411154342</v>
      </c>
      <c r="AD15" s="42"/>
      <c r="AE15" s="37">
        <v>0.01</v>
      </c>
      <c r="AF15" s="37">
        <v>0.13100000000000001</v>
      </c>
      <c r="AG15" s="37">
        <v>8.7999999999999995E-2</v>
      </c>
      <c r="AH15" s="43">
        <f t="shared" si="2"/>
        <v>0.01</v>
      </c>
      <c r="AI15" s="43">
        <f t="shared" si="12"/>
        <v>0.13099999999999998</v>
      </c>
    </row>
    <row r="16" spans="1:39" x14ac:dyDescent="0.25">
      <c r="A16" s="32" t="s">
        <v>701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34.213409159999983</v>
      </c>
      <c r="M16" s="34">
        <f t="shared" si="17"/>
        <v>20.596472314319989</v>
      </c>
      <c r="N16" s="34">
        <f t="shared" si="17"/>
        <v>261.98712783815029</v>
      </c>
      <c r="O16" s="34">
        <f t="shared" si="18"/>
        <v>1.8536825082887989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0.60199999999999998</v>
      </c>
      <c r="Z16" s="56">
        <v>12.72</v>
      </c>
      <c r="AA16" s="36">
        <f t="shared" si="20"/>
        <v>6.0759999999999988E-2</v>
      </c>
      <c r="AB16" s="36">
        <f t="shared" si="20"/>
        <v>0.11439688715953304</v>
      </c>
      <c r="AD16" s="42"/>
      <c r="AE16" s="37">
        <v>0</v>
      </c>
      <c r="AF16" s="37">
        <v>6.2E-2</v>
      </c>
      <c r="AG16" s="37">
        <v>0.09</v>
      </c>
      <c r="AH16" s="43">
        <f t="shared" si="2"/>
        <v>0</v>
      </c>
      <c r="AI16" s="43">
        <f t="shared" si="12"/>
        <v>6.1999999999999986E-2</v>
      </c>
    </row>
    <row r="17" spans="1:35" x14ac:dyDescent="0.25">
      <c r="A17" s="32" t="s">
        <v>560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8.2774376999999966</v>
      </c>
      <c r="M17" s="34">
        <f t="shared" si="17"/>
        <v>5.1733985624999974</v>
      </c>
      <c r="N17" s="34">
        <f t="shared" si="17"/>
        <v>57.528192014999966</v>
      </c>
      <c r="O17" s="34">
        <f t="shared" si="18"/>
        <v>0.54320684906249972</v>
      </c>
      <c r="Q17" s="53"/>
      <c r="R17" s="54"/>
      <c r="S17" s="55"/>
      <c r="T17" s="54"/>
      <c r="U17" s="54"/>
      <c r="V17" s="38">
        <v>4.0711369872180949</v>
      </c>
      <c r="W17" s="36">
        <f t="shared" si="19"/>
        <v>0</v>
      </c>
      <c r="X17" s="37">
        <v>1.3384193267750786E-2</v>
      </c>
      <c r="Y17" s="37">
        <v>0.625</v>
      </c>
      <c r="Z17" s="56">
        <v>11.12</v>
      </c>
      <c r="AA17" s="36">
        <f t="shared" si="20"/>
        <v>1.4699999999999996E-2</v>
      </c>
      <c r="AB17" s="36">
        <f t="shared" si="20"/>
        <v>0.13346303501945522</v>
      </c>
      <c r="AD17" s="42"/>
      <c r="AE17" s="37">
        <v>0</v>
      </c>
      <c r="AF17" s="37">
        <v>1.4999999999999999E-2</v>
      </c>
      <c r="AG17" s="37">
        <v>0.105</v>
      </c>
      <c r="AH17" s="43">
        <f t="shared" si="2"/>
        <v>0</v>
      </c>
      <c r="AI17" s="43">
        <f t="shared" si="12"/>
        <v>1.4999999999999996E-2</v>
      </c>
    </row>
    <row r="18" spans="1:35" x14ac:dyDescent="0.25">
      <c r="A18" s="32" t="s">
        <v>702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5.5182917999999974</v>
      </c>
      <c r="M18" s="34">
        <f t="shared" si="17"/>
        <v>3.3551214143999983</v>
      </c>
      <c r="N18" s="34">
        <f t="shared" si="17"/>
        <v>35.832696705791982</v>
      </c>
      <c r="O18" s="34">
        <f t="shared" si="18"/>
        <v>0.18453167779199992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0.60799999999999998</v>
      </c>
      <c r="Z18" s="56">
        <v>10.68</v>
      </c>
      <c r="AA18" s="36">
        <f t="shared" si="20"/>
        <v>9.7999999999999979E-3</v>
      </c>
      <c r="AB18" s="36">
        <f t="shared" si="20"/>
        <v>6.9909208819714644E-2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9.9999999999999985E-3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333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73.393280939999983</v>
      </c>
      <c r="M22" s="34">
        <f t="shared" ref="M22:N25" si="21">L22*Y22</f>
        <v>48.586351982279993</v>
      </c>
      <c r="N22" s="34">
        <f t="shared" si="21"/>
        <v>469.83002366864753</v>
      </c>
      <c r="O22" s="34">
        <f>M22*AG22</f>
        <v>2.7694220629899595</v>
      </c>
      <c r="Q22" s="53"/>
      <c r="R22" s="54"/>
      <c r="S22" s="55"/>
      <c r="T22" s="54"/>
      <c r="U22" s="54"/>
      <c r="V22" s="59"/>
      <c r="W22" s="60"/>
      <c r="X22" s="54"/>
      <c r="Y22" s="37">
        <v>0.66200000000000003</v>
      </c>
      <c r="Z22" s="56">
        <v>9.67</v>
      </c>
      <c r="AA22" s="36">
        <f t="shared" ref="AA22:AB25" si="22">(AF22/SUM(AF$6:AF$25))*0.98</f>
        <v>0.13033999999999998</v>
      </c>
      <c r="AB22" s="36">
        <f t="shared" si="22"/>
        <v>7.2451361867704261E-2</v>
      </c>
      <c r="AD22" s="42"/>
      <c r="AE22" s="42"/>
      <c r="AF22" s="37">
        <v>0.13300000000000001</v>
      </c>
      <c r="AG22" s="37">
        <v>5.7000000000000002E-2</v>
      </c>
      <c r="AH22" s="43"/>
      <c r="AI22" s="43">
        <f t="shared" si="12"/>
        <v>0.13299999999999998</v>
      </c>
    </row>
    <row r="23" spans="1:35" x14ac:dyDescent="0.25">
      <c r="A23" s="32" t="s">
        <v>400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10.484754419999994</v>
      </c>
      <c r="M23" s="34">
        <f t="shared" si="21"/>
        <v>6.1964898622199964</v>
      </c>
      <c r="N23" s="34">
        <f t="shared" si="21"/>
        <v>64.38152966846576</v>
      </c>
      <c r="O23" s="34">
        <f>M23*AG23</f>
        <v>0.33461045255987981</v>
      </c>
      <c r="Q23" s="53"/>
      <c r="R23" s="54"/>
      <c r="S23" s="55"/>
      <c r="T23" s="54"/>
      <c r="U23" s="54"/>
      <c r="V23" s="59"/>
      <c r="W23" s="60"/>
      <c r="X23" s="54"/>
      <c r="Y23" s="37">
        <v>0.59099999999999997</v>
      </c>
      <c r="Z23" s="56">
        <v>10.39</v>
      </c>
      <c r="AA23" s="36">
        <f t="shared" si="22"/>
        <v>1.8619999999999994E-2</v>
      </c>
      <c r="AB23" s="36">
        <f t="shared" si="22"/>
        <v>6.8638132295719828E-2</v>
      </c>
      <c r="AD23" s="42"/>
      <c r="AE23" s="42"/>
      <c r="AF23" s="37">
        <v>1.9E-2</v>
      </c>
      <c r="AG23" s="37">
        <v>5.3999999999999999E-2</v>
      </c>
      <c r="AH23" s="43"/>
      <c r="AI23" s="43">
        <f t="shared" si="12"/>
        <v>1.8999999999999996E-2</v>
      </c>
    </row>
    <row r="24" spans="1:35" x14ac:dyDescent="0.25"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1037</v>
      </c>
      <c r="E29" s="75">
        <v>0.54300000000000004</v>
      </c>
      <c r="F29" s="76">
        <f>1-E29</f>
        <v>0.45699999999999996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563.09100000000001</v>
      </c>
      <c r="E32" s="80">
        <f>SUM(E2:E4)</f>
        <v>368.04871549212902</v>
      </c>
      <c r="F32" s="80">
        <f>SUM(F2:F4)</f>
        <v>4075.7134516721626</v>
      </c>
      <c r="G32" s="80">
        <f>SUM(G2:G4)</f>
        <v>27.463893914994856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473.90899999999993</v>
      </c>
      <c r="E35" s="80">
        <f>D35*G29</f>
        <v>2037.8086999999996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66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66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464.43081999999998</v>
      </c>
      <c r="E38" s="91">
        <f>SUM(J2:J4,J6:J11,J13:J20)</f>
        <v>2035.9857616405995</v>
      </c>
      <c r="F38" s="91">
        <f>SUM(K2:K4,K6:K11,K13:K20)</f>
        <v>12.990976759443956</v>
      </c>
      <c r="G38" s="91">
        <f>SUM(L6:L11,L13:L20,L22:L25)</f>
        <v>551.82917999999972</v>
      </c>
      <c r="H38" s="91">
        <f>SUM(M6:M11,M13:M20,M22:M25)</f>
        <v>367.5131680144076</v>
      </c>
      <c r="I38" s="91">
        <f>SUM(N6:N11,N13:N20,N22:N25)</f>
        <v>4073.9321984978046</v>
      </c>
      <c r="J38" s="91">
        <f>SUM(O6:O11,O13:O20,O22:O25)</f>
        <v>27.457758171545713</v>
      </c>
      <c r="V38" s="82"/>
      <c r="X38" s="65"/>
      <c r="Y38" s="65"/>
      <c r="Z38" s="66"/>
      <c r="AG38" s="65"/>
    </row>
    <row r="39" spans="1:33" ht="15" thickTop="1" x14ac:dyDescent="0.25">
      <c r="D39" s="92">
        <f>D35-D38</f>
        <v>9.4781799999999521</v>
      </c>
      <c r="E39" s="92">
        <f>E35-E38</f>
        <v>1.822938359400041</v>
      </c>
      <c r="F39" s="92">
        <f>F35-F38</f>
        <v>9.0232405560435325E-3</v>
      </c>
      <c r="G39" s="92">
        <f>SUM(D2:D4)-G38</f>
        <v>11.261820000000171</v>
      </c>
      <c r="H39" s="92">
        <f>E32-H38</f>
        <v>0.53554747772142264</v>
      </c>
      <c r="I39" s="92">
        <f>F32-I38</f>
        <v>1.7812531743579711</v>
      </c>
      <c r="J39" s="92">
        <f>G32-J38</f>
        <v>6.1357434491426943E-3</v>
      </c>
      <c r="V39" s="82"/>
      <c r="X39" s="65"/>
      <c r="Y39" s="65"/>
      <c r="Z39" s="66"/>
      <c r="AG39" s="65"/>
    </row>
    <row r="40" spans="1:33" x14ac:dyDescent="0.25">
      <c r="V40" s="82"/>
      <c r="X40" s="65"/>
      <c r="Y40" s="65"/>
      <c r="Z40" s="66"/>
      <c r="AG40" s="65"/>
    </row>
    <row r="41" spans="1:33" x14ac:dyDescent="0.25">
      <c r="V41" s="82"/>
      <c r="X41" s="65"/>
      <c r="Y41" s="65"/>
      <c r="Z41" s="66"/>
      <c r="AG41" s="65"/>
    </row>
    <row r="42" spans="1:33" x14ac:dyDescent="0.25">
      <c r="V42" s="82"/>
      <c r="X42" s="65"/>
      <c r="Y42" s="65"/>
      <c r="Z42" s="66"/>
      <c r="AG42" s="65"/>
    </row>
    <row r="43" spans="1:33" x14ac:dyDescent="0.25">
      <c r="V43" s="82"/>
      <c r="X43" s="65"/>
      <c r="Y43" s="65"/>
      <c r="Z43" s="66"/>
      <c r="AG43" s="65"/>
    </row>
    <row r="44" spans="1:33" x14ac:dyDescent="0.25">
      <c r="V44" s="82"/>
      <c r="X44" s="65"/>
      <c r="Y44" s="65"/>
      <c r="Z44" s="66"/>
      <c r="AG44" s="65"/>
    </row>
    <row r="45" spans="1:33" x14ac:dyDescent="0.25">
      <c r="V45" s="82"/>
      <c r="X45" s="65"/>
      <c r="Y45" s="65"/>
      <c r="Z45" s="66"/>
      <c r="AG45" s="65"/>
    </row>
    <row r="46" spans="1:33" x14ac:dyDescent="0.25">
      <c r="V46" s="82"/>
      <c r="X46" s="65"/>
      <c r="Y46" s="65"/>
      <c r="Z46" s="66"/>
      <c r="AG46" s="65"/>
    </row>
    <row r="47" spans="1:33" x14ac:dyDescent="0.25">
      <c r="V47" s="82"/>
      <c r="X47" s="65"/>
      <c r="Y47" s="65"/>
      <c r="Z47" s="66"/>
      <c r="AG47" s="65"/>
    </row>
    <row r="48" spans="1:33" x14ac:dyDescent="0.25">
      <c r="V48" s="82"/>
      <c r="X48" s="65"/>
      <c r="Y48" s="65"/>
      <c r="Z48" s="66"/>
      <c r="AG48" s="65"/>
    </row>
    <row r="49" spans="22:33" x14ac:dyDescent="0.25">
      <c r="V49" s="82"/>
      <c r="X49" s="65"/>
      <c r="Y49" s="65"/>
      <c r="Z49" s="66"/>
      <c r="AG49" s="65"/>
    </row>
    <row r="50" spans="22:33" x14ac:dyDescent="0.25">
      <c r="V50" s="82"/>
      <c r="X50" s="65"/>
      <c r="Y50" s="65"/>
      <c r="Z50" s="66"/>
      <c r="AG50" s="65"/>
    </row>
    <row r="51" spans="22:33" x14ac:dyDescent="0.25">
      <c r="X51" s="48"/>
      <c r="Y51" s="65"/>
      <c r="Z51" s="66"/>
      <c r="AG51" s="65"/>
    </row>
    <row r="52" spans="22:33" x14ac:dyDescent="0.25">
      <c r="X52" s="48"/>
      <c r="Y52" s="65"/>
      <c r="Z52" s="66"/>
      <c r="AG52" s="65"/>
    </row>
    <row r="53" spans="22:33" x14ac:dyDescent="0.25">
      <c r="X53" s="48"/>
      <c r="Y53" s="65"/>
      <c r="Z53" s="66"/>
      <c r="AG53" s="65"/>
    </row>
    <row r="54" spans="22:33" x14ac:dyDescent="0.25">
      <c r="X54" s="48"/>
      <c r="Y54" s="65"/>
      <c r="Z54" s="66"/>
      <c r="AG54" s="65"/>
    </row>
    <row r="55" spans="22:33" x14ac:dyDescent="0.25">
      <c r="X55" s="48"/>
      <c r="Y55" s="65"/>
      <c r="Z55" s="66"/>
      <c r="AG55" s="65"/>
    </row>
    <row r="56" spans="22:33" x14ac:dyDescent="0.25">
      <c r="X56" s="48"/>
      <c r="Y56" s="48"/>
      <c r="Z56" s="66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" priority="1" operator="lessThan">
      <formula>0</formula>
    </cfRule>
  </conditionalFormatting>
  <conditionalFormatting sqref="W28 AA28:AF28">
    <cfRule type="cellIs" dxfId="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theme="4" tint="0.399975585192419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81</v>
      </c>
    </row>
    <row r="2" spans="1:39" x14ac:dyDescent="0.25">
      <c r="A2" s="32" t="s">
        <v>505</v>
      </c>
      <c r="B2" s="33" t="s">
        <v>7</v>
      </c>
      <c r="C2" s="33">
        <f>VLOOKUP($AM$1,DST!C:D,2,FALSE)</f>
        <v>9</v>
      </c>
      <c r="D2" s="34">
        <f>D$32*Q2</f>
        <v>549.23904000000005</v>
      </c>
      <c r="E2" s="34">
        <f>D2*R2</f>
        <v>348.21755136000002</v>
      </c>
      <c r="F2" s="34">
        <f>E2*S2</f>
        <v>3774.6782567424002</v>
      </c>
      <c r="G2" s="34">
        <f>E2*T2</f>
        <v>22.982358389760002</v>
      </c>
      <c r="H2" s="34">
        <f>D2*U2</f>
        <v>9.1409335663914177</v>
      </c>
      <c r="I2" s="34">
        <f>D$35*W2</f>
        <v>50.439110399999997</v>
      </c>
      <c r="J2" s="34">
        <f>I2*V2</f>
        <v>212.48358773351441</v>
      </c>
      <c r="K2" s="34">
        <f>I2*X2</f>
        <v>2.6228337407999995</v>
      </c>
      <c r="L2" s="35"/>
      <c r="M2" s="35"/>
      <c r="N2" s="35"/>
      <c r="O2" s="35"/>
      <c r="Q2" s="36">
        <f>(AD2/SUM(AD$2:AD$25))</f>
        <v>0.98</v>
      </c>
      <c r="R2" s="37">
        <v>0.63400000000000001</v>
      </c>
      <c r="S2" s="38">
        <v>10.84</v>
      </c>
      <c r="T2" s="37">
        <v>6.6000000000000003E-2</v>
      </c>
      <c r="U2" s="37">
        <v>1.6642905730793311E-2</v>
      </c>
      <c r="V2" s="38">
        <v>4.2126751651336507</v>
      </c>
      <c r="W2" s="36">
        <f>(AE2/SUM(AE$2:AE$20))*0.98</f>
        <v>0.11270000000000001</v>
      </c>
      <c r="X2" s="37">
        <v>5.1999999999999998E-2</v>
      </c>
      <c r="Y2" s="39"/>
      <c r="Z2" s="40"/>
      <c r="AA2" s="41"/>
      <c r="AB2" s="41"/>
      <c r="AD2" s="37">
        <v>0.98</v>
      </c>
      <c r="AE2" s="37">
        <v>0.115</v>
      </c>
      <c r="AF2" s="42"/>
      <c r="AG2" s="42"/>
      <c r="AH2" s="43">
        <f>AE2/(SUM(AE$2:AE$25))</f>
        <v>0.115</v>
      </c>
    </row>
    <row r="3" spans="1:39" x14ac:dyDescent="0.25">
      <c r="A3" s="32" t="s">
        <v>647</v>
      </c>
      <c r="B3" s="33" t="s">
        <v>7</v>
      </c>
      <c r="C3" s="33">
        <f>VLOOKUP($AM$1,DST!C:D,2,FALSE)</f>
        <v>9</v>
      </c>
      <c r="D3" s="34">
        <f>D$32*Q3</f>
        <v>11.208960000000003</v>
      </c>
      <c r="E3" s="34">
        <f t="shared" ref="E3:F4" si="0">D3*R3</f>
        <v>7.2528564705882372</v>
      </c>
      <c r="F3" s="34">
        <f t="shared" si="0"/>
        <v>75.792350117647075</v>
      </c>
      <c r="G3" s="34">
        <f t="shared" ref="G3:G4" si="1">E3*T3</f>
        <v>0.37714853647058832</v>
      </c>
      <c r="H3" s="34">
        <f>D3*U3</f>
        <v>0.32967529411764712</v>
      </c>
      <c r="I3" s="34">
        <f>D$35*W3</f>
        <v>2.1930047999999998</v>
      </c>
      <c r="J3" s="34">
        <f>I3*V3</f>
        <v>8.2237679999999997</v>
      </c>
      <c r="K3" s="34">
        <f>I3*X3</f>
        <v>6.09168E-2</v>
      </c>
      <c r="L3" s="35"/>
      <c r="M3" s="35"/>
      <c r="N3" s="35"/>
      <c r="O3" s="35"/>
      <c r="Q3" s="36">
        <f>(AD3/SUM(AD$2:AD$25))</f>
        <v>0.02</v>
      </c>
      <c r="R3" s="37">
        <v>0.6470588235294118</v>
      </c>
      <c r="S3" s="38">
        <v>10.45</v>
      </c>
      <c r="T3" s="37">
        <v>5.1999999999999998E-2</v>
      </c>
      <c r="U3" s="37">
        <v>2.9411764705882353E-2</v>
      </c>
      <c r="V3" s="38">
        <v>3.75</v>
      </c>
      <c r="W3" s="36">
        <f>(AE3/SUM(AE$2:AE$20))*0.98</f>
        <v>4.8999999999999998E-3</v>
      </c>
      <c r="X3" s="37">
        <v>2.777777777777778E-2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20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231.14270592</v>
      </c>
      <c r="J6" s="34">
        <f t="shared" ref="J6:J11" si="4">I6*V6</f>
        <v>1007.7821978112</v>
      </c>
      <c r="K6" s="34">
        <f t="shared" ref="K6:K11" si="5">I6*X6</f>
        <v>6.0097103539200001</v>
      </c>
      <c r="L6" s="34">
        <f t="shared" ref="L6:L11" si="6">((D$2+D$3+D$4)*AA6)</f>
        <v>42.840645120000005</v>
      </c>
      <c r="M6" s="34">
        <f t="shared" ref="M6:N11" si="7">L6*Y6</f>
        <v>32.473209000960004</v>
      </c>
      <c r="N6" s="34">
        <f t="shared" si="7"/>
        <v>218.21996448645123</v>
      </c>
      <c r="O6" s="34">
        <f t="shared" ref="O6:O11" si="8">M6*AG6</f>
        <v>1.0391426880307202</v>
      </c>
      <c r="Q6" s="53"/>
      <c r="R6" s="54"/>
      <c r="S6" s="55"/>
      <c r="T6" s="54"/>
      <c r="U6" s="54"/>
      <c r="V6" s="38">
        <v>4.3600000000000003</v>
      </c>
      <c r="W6" s="36">
        <f t="shared" ref="W6:W11" si="9">(AE6/SUM(AE$2:AE$20))*0.98</f>
        <v>0.51646000000000003</v>
      </c>
      <c r="X6" s="37">
        <v>2.5999999999999999E-2</v>
      </c>
      <c r="Y6" s="37">
        <v>0.75800000000000001</v>
      </c>
      <c r="Z6" s="56">
        <v>6.72</v>
      </c>
      <c r="AA6" s="36">
        <f t="shared" ref="AA6:AA11" si="10">(AF6/SUM(AF$6:AF$25))*0.98</f>
        <v>7.6439999999999994E-2</v>
      </c>
      <c r="AB6" s="36">
        <f t="shared" ref="AB6:AB11" si="11">(AG6/SUM(AG$6:AG$25))*0.98</f>
        <v>4.6528189910979213E-2</v>
      </c>
      <c r="AD6" s="42"/>
      <c r="AE6" s="37">
        <v>0.52700000000000002</v>
      </c>
      <c r="AF6" s="37">
        <v>7.8E-2</v>
      </c>
      <c r="AG6" s="37">
        <v>3.2000000000000001E-2</v>
      </c>
      <c r="AH6" s="43">
        <f t="shared" si="2"/>
        <v>0.52700000000000002</v>
      </c>
      <c r="AI6" s="43">
        <f>AF6/(SUM(AF$6:AF$25))</f>
        <v>7.8E-2</v>
      </c>
    </row>
    <row r="7" spans="1:39" x14ac:dyDescent="0.25">
      <c r="A7" s="32" t="s">
        <v>401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75.000764160000003</v>
      </c>
      <c r="J7" s="34">
        <f t="shared" si="4"/>
        <v>303.00308720640004</v>
      </c>
      <c r="K7" s="34">
        <f t="shared" si="5"/>
        <v>1.80001833984</v>
      </c>
      <c r="L7" s="34">
        <f t="shared" si="6"/>
        <v>34.602059520000005</v>
      </c>
      <c r="M7" s="34">
        <f t="shared" si="7"/>
        <v>25.160553700446318</v>
      </c>
      <c r="N7" s="34">
        <f t="shared" si="7"/>
        <v>167.82089318197694</v>
      </c>
      <c r="O7" s="34">
        <f t="shared" si="8"/>
        <v>0.85545882581517485</v>
      </c>
      <c r="Q7" s="53"/>
      <c r="R7" s="54"/>
      <c r="S7" s="55"/>
      <c r="T7" s="54"/>
      <c r="U7" s="54"/>
      <c r="V7" s="38">
        <v>4.04</v>
      </c>
      <c r="W7" s="36">
        <f t="shared" si="9"/>
        <v>0.16758000000000001</v>
      </c>
      <c r="X7" s="37">
        <v>2.4E-2</v>
      </c>
      <c r="Y7" s="37">
        <v>0.72714035087719298</v>
      </c>
      <c r="Z7" s="56">
        <v>6.67</v>
      </c>
      <c r="AA7" s="36">
        <f t="shared" si="10"/>
        <v>6.1739999999999996E-2</v>
      </c>
      <c r="AB7" s="36">
        <f t="shared" si="11"/>
        <v>4.9436201780415426E-2</v>
      </c>
      <c r="AD7" s="42"/>
      <c r="AE7" s="37">
        <v>0.17100000000000001</v>
      </c>
      <c r="AF7" s="37">
        <v>6.3E-2</v>
      </c>
      <c r="AG7" s="37">
        <v>3.4000000000000002E-2</v>
      </c>
      <c r="AH7" s="43">
        <f t="shared" si="2"/>
        <v>0.17100000000000001</v>
      </c>
      <c r="AI7" s="43">
        <f t="shared" ref="AI7:AI25" si="12">AF7/(SUM(AF$6:AF$25))</f>
        <v>6.3E-2</v>
      </c>
    </row>
    <row r="8" spans="1:39" x14ac:dyDescent="0.25">
      <c r="A8" s="32" t="s">
        <v>656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71.053355519999997</v>
      </c>
      <c r="J8" s="34">
        <f t="shared" si="4"/>
        <v>302.68729451519999</v>
      </c>
      <c r="K8" s="34">
        <f t="shared" si="5"/>
        <v>2.1316006655999997</v>
      </c>
      <c r="L8" s="34">
        <f t="shared" si="6"/>
        <v>8.2385856000000004</v>
      </c>
      <c r="M8" s="34">
        <f t="shared" si="7"/>
        <v>6.014167488</v>
      </c>
      <c r="N8" s="34">
        <f t="shared" si="7"/>
        <v>37.347980100480001</v>
      </c>
      <c r="O8" s="34">
        <f t="shared" si="8"/>
        <v>0.18042502463999999</v>
      </c>
      <c r="Q8" s="53"/>
      <c r="R8" s="54"/>
      <c r="S8" s="55"/>
      <c r="T8" s="54"/>
      <c r="U8" s="54"/>
      <c r="V8" s="38">
        <v>4.26</v>
      </c>
      <c r="W8" s="36">
        <f t="shared" si="9"/>
        <v>0.15876000000000001</v>
      </c>
      <c r="X8" s="37">
        <v>0.03</v>
      </c>
      <c r="Y8" s="37">
        <v>0.73</v>
      </c>
      <c r="Z8" s="56">
        <v>6.21</v>
      </c>
      <c r="AA8" s="36">
        <f t="shared" si="10"/>
        <v>1.47E-2</v>
      </c>
      <c r="AB8" s="36">
        <f t="shared" si="11"/>
        <v>4.3620178041543015E-2</v>
      </c>
      <c r="AD8" s="42"/>
      <c r="AE8" s="37">
        <v>0.16200000000000001</v>
      </c>
      <c r="AF8" s="37">
        <v>1.4999999999999999E-2</v>
      </c>
      <c r="AG8" s="37">
        <v>0.03</v>
      </c>
      <c r="AH8" s="43">
        <f t="shared" si="2"/>
        <v>0.16200000000000001</v>
      </c>
      <c r="AI8" s="43">
        <f t="shared" si="12"/>
        <v>1.4999999999999999E-2</v>
      </c>
    </row>
    <row r="9" spans="1:39" x14ac:dyDescent="0.25"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703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130.71889152</v>
      </c>
      <c r="M13" s="34">
        <f t="shared" ref="M13:N20" si="17">L13*Y13</f>
        <v>80.784274959360005</v>
      </c>
      <c r="N13" s="34">
        <f t="shared" si="17"/>
        <v>1075.2386997090816</v>
      </c>
      <c r="O13" s="34">
        <f t="shared" ref="O13:O20" si="18">M13*AG13</f>
        <v>6.4627419967488002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0.61799999999999999</v>
      </c>
      <c r="Z13" s="56">
        <v>13.31</v>
      </c>
      <c r="AA13" s="36">
        <f t="shared" ref="AA13:AB20" si="20">(AF13/SUM(AF$6:AF$25))*0.98</f>
        <v>0.23323999999999998</v>
      </c>
      <c r="AB13" s="36">
        <f t="shared" si="20"/>
        <v>0.11632047477744804</v>
      </c>
      <c r="AD13" s="42"/>
      <c r="AE13" s="37">
        <v>0</v>
      </c>
      <c r="AF13" s="37">
        <v>0.23799999999999999</v>
      </c>
      <c r="AG13" s="37">
        <v>0.08</v>
      </c>
      <c r="AH13" s="43">
        <f t="shared" si="2"/>
        <v>0</v>
      </c>
      <c r="AI13" s="43">
        <f t="shared" si="12"/>
        <v>0.23799999999999999</v>
      </c>
    </row>
    <row r="14" spans="1:39" x14ac:dyDescent="0.25">
      <c r="A14" s="32" t="s">
        <v>340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3"/>
        <v>4.3860095999999995</v>
      </c>
      <c r="J14" s="34">
        <f t="shared" si="14"/>
        <v>23.809766399999994</v>
      </c>
      <c r="K14" s="34">
        <f t="shared" si="15"/>
        <v>0.12531455999999999</v>
      </c>
      <c r="L14" s="34">
        <f t="shared" si="16"/>
        <v>115.34019840000001</v>
      </c>
      <c r="M14" s="34">
        <f t="shared" si="17"/>
        <v>76.470551539200002</v>
      </c>
      <c r="N14" s="34">
        <f t="shared" si="17"/>
        <v>827.4113676541441</v>
      </c>
      <c r="O14" s="34">
        <f t="shared" si="18"/>
        <v>4.6647036438912002</v>
      </c>
      <c r="Q14" s="53"/>
      <c r="R14" s="54"/>
      <c r="S14" s="55"/>
      <c r="T14" s="54"/>
      <c r="U14" s="54"/>
      <c r="V14" s="38">
        <v>5.4285714285714279</v>
      </c>
      <c r="W14" s="36">
        <f t="shared" si="19"/>
        <v>9.7999999999999997E-3</v>
      </c>
      <c r="X14" s="37">
        <v>2.8571428571428571E-2</v>
      </c>
      <c r="Y14" s="37">
        <v>0.66300000000000003</v>
      </c>
      <c r="Z14" s="56">
        <v>10.82</v>
      </c>
      <c r="AA14" s="36">
        <f t="shared" si="20"/>
        <v>0.20579999999999998</v>
      </c>
      <c r="AB14" s="36">
        <f t="shared" si="20"/>
        <v>8.8694362017804132E-2</v>
      </c>
      <c r="AD14" s="42"/>
      <c r="AE14" s="37">
        <v>0.01</v>
      </c>
      <c r="AF14" s="37">
        <v>0.21</v>
      </c>
      <c r="AG14" s="37">
        <v>6.0999999999999999E-2</v>
      </c>
      <c r="AH14" s="43">
        <f t="shared" si="2"/>
        <v>0.01</v>
      </c>
      <c r="AI14" s="43">
        <f t="shared" si="12"/>
        <v>0.21</v>
      </c>
    </row>
    <row r="15" spans="1:39" x14ac:dyDescent="0.25">
      <c r="A15" s="32" t="s">
        <v>361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80.738138880000008</v>
      </c>
      <c r="M15" s="34">
        <f t="shared" si="17"/>
        <v>43.517856856320009</v>
      </c>
      <c r="N15" s="34">
        <f t="shared" si="17"/>
        <v>617.08321022261771</v>
      </c>
      <c r="O15" s="34">
        <f t="shared" si="18"/>
        <v>3.6554999759308808</v>
      </c>
      <c r="Q15" s="53"/>
      <c r="R15" s="54"/>
      <c r="S15" s="55"/>
      <c r="T15" s="54"/>
      <c r="U15" s="54"/>
      <c r="V15" s="38">
        <v>4.875</v>
      </c>
      <c r="W15" s="36">
        <f t="shared" si="19"/>
        <v>0</v>
      </c>
      <c r="X15" s="37">
        <v>1.2500000000000001E-2</v>
      </c>
      <c r="Y15" s="37">
        <v>0.53900000000000003</v>
      </c>
      <c r="Z15" s="56">
        <v>14.18</v>
      </c>
      <c r="AA15" s="36">
        <f t="shared" si="20"/>
        <v>0.14405999999999999</v>
      </c>
      <c r="AB15" s="36">
        <f t="shared" si="20"/>
        <v>0.12213649851632044</v>
      </c>
      <c r="AD15" s="42"/>
      <c r="AE15" s="37">
        <v>0</v>
      </c>
      <c r="AF15" s="37">
        <v>0.14699999999999999</v>
      </c>
      <c r="AG15" s="37">
        <v>8.4000000000000005E-2</v>
      </c>
      <c r="AH15" s="43">
        <f t="shared" si="2"/>
        <v>0</v>
      </c>
      <c r="AI15" s="43">
        <f t="shared" si="12"/>
        <v>0.14699999999999999</v>
      </c>
    </row>
    <row r="16" spans="1:39" x14ac:dyDescent="0.25">
      <c r="A16" s="32" t="s">
        <v>561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29.658908160000006</v>
      </c>
      <c r="M16" s="34">
        <f t="shared" si="17"/>
        <v>17.943639436800002</v>
      </c>
      <c r="N16" s="34">
        <f t="shared" si="17"/>
        <v>239.54758648128001</v>
      </c>
      <c r="O16" s="34">
        <f t="shared" si="18"/>
        <v>1.5610966310016001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0.60499999999999998</v>
      </c>
      <c r="Z16" s="56">
        <v>13.35</v>
      </c>
      <c r="AA16" s="36">
        <f t="shared" si="20"/>
        <v>5.2920000000000002E-2</v>
      </c>
      <c r="AB16" s="36">
        <f t="shared" si="20"/>
        <v>0.12649851632047474</v>
      </c>
      <c r="AD16" s="42"/>
      <c r="AE16" s="37">
        <v>0</v>
      </c>
      <c r="AF16" s="37">
        <v>5.3999999999999999E-2</v>
      </c>
      <c r="AG16" s="37">
        <v>8.6999999999999994E-2</v>
      </c>
      <c r="AH16" s="43">
        <f t="shared" si="2"/>
        <v>0</v>
      </c>
      <c r="AI16" s="43">
        <f t="shared" si="12"/>
        <v>5.3999999999999999E-2</v>
      </c>
    </row>
    <row r="17" spans="1:35" x14ac:dyDescent="0.25">
      <c r="A17" s="32" t="s">
        <v>562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3"/>
        <v>4.3860095999999995</v>
      </c>
      <c r="J17" s="34">
        <f t="shared" si="14"/>
        <v>18.365849940778077</v>
      </c>
      <c r="K17" s="34">
        <f t="shared" si="15"/>
        <v>0.24117726801997885</v>
      </c>
      <c r="L17" s="34">
        <f t="shared" si="16"/>
        <v>13.730976000000004</v>
      </c>
      <c r="M17" s="34">
        <f t="shared" si="17"/>
        <v>9.0761751360000034</v>
      </c>
      <c r="N17" s="34">
        <f t="shared" si="17"/>
        <v>85.924693191770871</v>
      </c>
      <c r="O17" s="34">
        <f t="shared" si="18"/>
        <v>0.58995138384000023</v>
      </c>
      <c r="Q17" s="53"/>
      <c r="R17" s="54"/>
      <c r="S17" s="55"/>
      <c r="T17" s="54"/>
      <c r="U17" s="54"/>
      <c r="V17" s="38">
        <v>4.1873711222105117</v>
      </c>
      <c r="W17" s="36">
        <f t="shared" si="19"/>
        <v>9.7999999999999997E-3</v>
      </c>
      <c r="X17" s="37">
        <v>5.498785684827933E-2</v>
      </c>
      <c r="Y17" s="37">
        <v>0.66100000000000003</v>
      </c>
      <c r="Z17" s="56">
        <v>9.4670598467141396</v>
      </c>
      <c r="AA17" s="36">
        <f t="shared" si="20"/>
        <v>2.4500000000000001E-2</v>
      </c>
      <c r="AB17" s="36">
        <f t="shared" si="20"/>
        <v>9.4510385756676543E-2</v>
      </c>
      <c r="AD17" s="42"/>
      <c r="AE17" s="37">
        <v>0.01</v>
      </c>
      <c r="AF17" s="37">
        <v>2.5000000000000001E-2</v>
      </c>
      <c r="AG17" s="37">
        <v>6.5000000000000002E-2</v>
      </c>
      <c r="AH17" s="43">
        <f t="shared" si="2"/>
        <v>0.01</v>
      </c>
      <c r="AI17" s="43">
        <f t="shared" si="12"/>
        <v>2.5000000000000001E-2</v>
      </c>
    </row>
    <row r="18" spans="1:35" x14ac:dyDescent="0.25">
      <c r="A18" s="32" t="s">
        <v>648</v>
      </c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8.2385856000000004</v>
      </c>
      <c r="M18" s="34">
        <f t="shared" si="17"/>
        <v>5.0502529728000001</v>
      </c>
      <c r="N18" s="34">
        <f t="shared" si="17"/>
        <v>56.461828235904001</v>
      </c>
      <c r="O18" s="34">
        <f t="shared" si="18"/>
        <v>0.35856796106879996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0.61299999999999999</v>
      </c>
      <c r="Z18" s="56">
        <v>11.18</v>
      </c>
      <c r="AA18" s="36">
        <f t="shared" si="20"/>
        <v>1.47E-2</v>
      </c>
      <c r="AB18" s="36">
        <f t="shared" si="20"/>
        <v>0.10323442136498512</v>
      </c>
      <c r="AD18" s="42"/>
      <c r="AE18" s="37">
        <v>0</v>
      </c>
      <c r="AF18" s="37">
        <v>1.4999999999999999E-2</v>
      </c>
      <c r="AG18" s="37">
        <v>7.0999999999999994E-2</v>
      </c>
      <c r="AH18" s="43">
        <f t="shared" si="2"/>
        <v>0</v>
      </c>
      <c r="AI18" s="43">
        <f t="shared" si="12"/>
        <v>1.4999999999999999E-2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563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62.064011520000015</v>
      </c>
      <c r="M22" s="34">
        <f t="shared" ref="M22:N25" si="21">L22*Y22</f>
        <v>43.568936087040008</v>
      </c>
      <c r="N22" s="34">
        <f t="shared" si="21"/>
        <v>378.02372776164873</v>
      </c>
      <c r="O22" s="34">
        <f>M22*AG22</f>
        <v>3.0498255260928007</v>
      </c>
      <c r="Q22" s="53"/>
      <c r="R22" s="54"/>
      <c r="S22" s="55"/>
      <c r="T22" s="54"/>
      <c r="U22" s="54"/>
      <c r="V22" s="59"/>
      <c r="W22" s="60"/>
      <c r="X22" s="54"/>
      <c r="Y22" s="37">
        <v>0.70199999999999996</v>
      </c>
      <c r="Z22" s="56">
        <v>8.6764507401890736</v>
      </c>
      <c r="AA22" s="36">
        <f t="shared" ref="AA22:AB25" si="22">(AF22/SUM(AF$6:AF$25))*0.98</f>
        <v>0.11074000000000001</v>
      </c>
      <c r="AB22" s="36">
        <f t="shared" si="22"/>
        <v>0.10178041543026706</v>
      </c>
      <c r="AD22" s="42"/>
      <c r="AE22" s="42"/>
      <c r="AF22" s="37">
        <v>0.113</v>
      </c>
      <c r="AG22" s="37">
        <v>7.0000000000000007E-2</v>
      </c>
      <c r="AH22" s="43"/>
      <c r="AI22" s="43">
        <f t="shared" si="12"/>
        <v>0.113</v>
      </c>
    </row>
    <row r="23" spans="1:35" x14ac:dyDescent="0.25">
      <c r="A23" s="32" t="s">
        <v>339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23.068039680000005</v>
      </c>
      <c r="M23" s="34">
        <f t="shared" si="21"/>
        <v>15.335882163476761</v>
      </c>
      <c r="N23" s="34">
        <f t="shared" si="21"/>
        <v>146.15095701793351</v>
      </c>
      <c r="O23" s="34">
        <f>M23*AG23</f>
        <v>0.92015292980860564</v>
      </c>
      <c r="Q23" s="53"/>
      <c r="R23" s="54"/>
      <c r="S23" s="55"/>
      <c r="T23" s="54"/>
      <c r="U23" s="54"/>
      <c r="V23" s="59"/>
      <c r="W23" s="60"/>
      <c r="X23" s="54"/>
      <c r="Y23" s="37">
        <v>0.66481081081081084</v>
      </c>
      <c r="Z23" s="56">
        <v>9.5299999999999994</v>
      </c>
      <c r="AA23" s="36">
        <f t="shared" si="22"/>
        <v>4.1160000000000002E-2</v>
      </c>
      <c r="AB23" s="36">
        <f t="shared" si="22"/>
        <v>8.7240356083086029E-2</v>
      </c>
      <c r="AD23" s="42"/>
      <c r="AE23" s="42"/>
      <c r="AF23" s="37">
        <v>4.2000000000000003E-2</v>
      </c>
      <c r="AG23" s="37">
        <v>0.06</v>
      </c>
      <c r="AH23" s="43"/>
      <c r="AI23" s="43">
        <f t="shared" si="12"/>
        <v>4.2000000000000003E-2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0.97999999999999987</v>
      </c>
      <c r="AB28" s="36">
        <f>SUM(AB6:AB25)</f>
        <v>0.97999999999999965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0.55600000000000005</v>
      </c>
      <c r="F29" s="76">
        <f>1-E29</f>
        <v>0.44399999999999995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560.44800000000009</v>
      </c>
      <c r="E32" s="80">
        <f>SUM(E2:E4)</f>
        <v>355.47040783058827</v>
      </c>
      <c r="F32" s="80">
        <f>SUM(F2:F4)</f>
        <v>3850.4706068600472</v>
      </c>
      <c r="G32" s="80">
        <f>SUM(G2:G4)</f>
        <v>23.359506926230591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447.55199999999996</v>
      </c>
      <c r="E35" s="80">
        <f>D35*G29</f>
        <v>1879.7184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438.6009600000001</v>
      </c>
      <c r="E38" s="91">
        <f>SUM(J2:J4,J6:J11,J13:J20)</f>
        <v>1876.3555516070926</v>
      </c>
      <c r="F38" s="91">
        <f>SUM(K2:K4,K6:K11,K13:K20)</f>
        <v>12.991571728179977</v>
      </c>
      <c r="G38" s="91">
        <f>SUM(L6:L11,L13:L20,L22:L25)</f>
        <v>549.23904000000005</v>
      </c>
      <c r="H38" s="91">
        <f>SUM(M6:M11,M13:M20,M22:M25)</f>
        <v>355.39549934040321</v>
      </c>
      <c r="I38" s="91">
        <f>SUM(N6:N11,N13:N20,N22:N25)</f>
        <v>3849.2309080432892</v>
      </c>
      <c r="J38" s="91">
        <f>SUM(O6:O11,O13:O20,O22:O25)</f>
        <v>23.337566586868579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8.951039999999864</v>
      </c>
      <c r="E39" s="92">
        <f>E35-E38</f>
        <v>3.3628483929073809</v>
      </c>
      <c r="F39" s="92">
        <f>F35-F38</f>
        <v>8.4282718200228146E-3</v>
      </c>
      <c r="G39" s="92">
        <f>SUM(D2:D4)-G38</f>
        <v>11.208960000000047</v>
      </c>
      <c r="H39" s="92">
        <f>E32-H38</f>
        <v>7.4908490185066512E-2</v>
      </c>
      <c r="I39" s="92">
        <f>F32-I38</f>
        <v>1.2396988167579366</v>
      </c>
      <c r="J39" s="92">
        <f>G32-J38</f>
        <v>2.194033936201123E-2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3" priority="1" operator="lessThan">
      <formula>0</formula>
    </cfRule>
  </conditionalFormatting>
  <conditionalFormatting sqref="W28 AA28:AF28">
    <cfRule type="cellIs" dxfId="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84</v>
      </c>
    </row>
    <row r="2" spans="1:39" x14ac:dyDescent="0.25">
      <c r="A2" s="32" t="s">
        <v>421</v>
      </c>
      <c r="B2" s="33" t="s">
        <v>7</v>
      </c>
      <c r="C2" s="33">
        <f>VLOOKUP($AM$1,DST!C:D,2,FALSE)</f>
        <v>7</v>
      </c>
      <c r="D2" s="34">
        <f>D$32*Q2</f>
        <v>482.58289999999994</v>
      </c>
      <c r="E2" s="34">
        <f>D2*R2</f>
        <v>319.10744445753329</v>
      </c>
      <c r="F2" s="34">
        <f>E2*S2</f>
        <v>3518.5626973932303</v>
      </c>
      <c r="G2" s="34">
        <f>E2*T2</f>
        <v>22.337521112027332</v>
      </c>
      <c r="H2" s="34">
        <f>D2*U2</f>
        <v>9.1155950210989563</v>
      </c>
      <c r="I2" s="34">
        <f>D$35*W2</f>
        <v>129.95258640000006</v>
      </c>
      <c r="J2" s="34">
        <f>I2*V2</f>
        <v>734.23211316000038</v>
      </c>
      <c r="K2" s="34">
        <f>I2*X2</f>
        <v>4.808245696800002</v>
      </c>
      <c r="L2" s="35"/>
      <c r="M2" s="35"/>
      <c r="N2" s="35"/>
      <c r="O2" s="35"/>
      <c r="Q2" s="36">
        <f>(AD2/SUM(AD$2:AD$25))</f>
        <v>0.95</v>
      </c>
      <c r="R2" s="37">
        <v>0.66124896770592856</v>
      </c>
      <c r="S2" s="38">
        <v>11.026263280615753</v>
      </c>
      <c r="T2" s="37">
        <v>7.0000000000000007E-2</v>
      </c>
      <c r="U2" s="37">
        <v>1.8889179498691226E-2</v>
      </c>
      <c r="V2" s="38">
        <v>5.65</v>
      </c>
      <c r="W2" s="36">
        <f>(AE2/SUM(AE$2:AE$20))*0.98</f>
        <v>0.25480000000000008</v>
      </c>
      <c r="X2" s="37">
        <v>3.6999999999999998E-2</v>
      </c>
      <c r="Y2" s="39"/>
      <c r="Z2" s="40"/>
      <c r="AA2" s="41"/>
      <c r="AB2" s="41"/>
      <c r="AD2" s="37">
        <v>0.95</v>
      </c>
      <c r="AE2" s="37">
        <v>0.26</v>
      </c>
      <c r="AF2" s="42"/>
      <c r="AG2" s="42"/>
      <c r="AH2" s="43">
        <f>AE2/(SUM(AE$2:AE$25))</f>
        <v>0.26000000000000006</v>
      </c>
    </row>
    <row r="3" spans="1:39" x14ac:dyDescent="0.25">
      <c r="A3" s="32" t="s">
        <v>121</v>
      </c>
      <c r="B3" s="33" t="s">
        <v>7</v>
      </c>
      <c r="C3" s="33">
        <f>VLOOKUP($AM$1,DST!C:D,2,FALSE)</f>
        <v>7</v>
      </c>
      <c r="D3" s="34">
        <f>D$32*Q3</f>
        <v>25.399100000000001</v>
      </c>
      <c r="E3" s="34">
        <f t="shared" ref="E3:F4" si="0">D3*R3</f>
        <v>16.507009111068687</v>
      </c>
      <c r="F3" s="34">
        <f t="shared" si="0"/>
        <v>191.81144587061812</v>
      </c>
      <c r="G3" s="34">
        <f t="shared" ref="G3:G4" si="1">E3*T3</f>
        <v>1.2503162322118277</v>
      </c>
      <c r="H3" s="34">
        <f>D3*U3</f>
        <v>0.62814216439281578</v>
      </c>
      <c r="I3" s="34">
        <f>D$35*W3</f>
        <v>4.9981764000000011</v>
      </c>
      <c r="J3" s="34">
        <f>I3*V3</f>
        <v>31.521258817216651</v>
      </c>
      <c r="K3" s="34">
        <f>I3*X3</f>
        <v>0.12310190559540891</v>
      </c>
      <c r="L3" s="35"/>
      <c r="M3" s="35"/>
      <c r="N3" s="35"/>
      <c r="O3" s="35"/>
      <c r="Q3" s="36">
        <f>(AD3/SUM(AD$2:AD$25))</f>
        <v>0.05</v>
      </c>
      <c r="R3" s="37">
        <v>0.64990527660699338</v>
      </c>
      <c r="S3" s="38">
        <v>11.62</v>
      </c>
      <c r="T3" s="37">
        <v>7.5744565463008978E-2</v>
      </c>
      <c r="U3" s="37">
        <v>2.4730882763279633E-2</v>
      </c>
      <c r="V3" s="38">
        <v>6.3065518890483023</v>
      </c>
      <c r="W3" s="36">
        <f>(AE3/SUM(AE$2:AE$20))*0.98</f>
        <v>9.8000000000000014E-3</v>
      </c>
      <c r="X3" s="37">
        <v>2.4629363940698229E-2</v>
      </c>
      <c r="Y3" s="39"/>
      <c r="Z3" s="40"/>
      <c r="AA3" s="41"/>
      <c r="AB3" s="41"/>
      <c r="AD3" s="37">
        <v>0.05</v>
      </c>
      <c r="AE3" s="37">
        <v>0.01</v>
      </c>
      <c r="AF3" s="42"/>
      <c r="AG3" s="42"/>
      <c r="AH3" s="43">
        <f t="shared" ref="AH3:AH20" si="2">AE3/(SUM(AE$2:AE$25))</f>
        <v>1.0000000000000002E-2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2"/>
      <c r="AE5" s="52"/>
      <c r="AF5" s="51"/>
      <c r="AG5" s="51"/>
      <c r="AH5" s="43"/>
    </row>
    <row r="6" spans="1:39" x14ac:dyDescent="0.25">
      <c r="A6" s="32" t="s">
        <v>564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9" si="3">D$35*W6</f>
        <v>151.44474492000003</v>
      </c>
      <c r="J6" s="34">
        <f t="shared" ref="J6:J9" si="4">I6*V6</f>
        <v>682.10886620784333</v>
      </c>
      <c r="K6" s="34">
        <f t="shared" ref="K6:K9" si="5">I6*X6</f>
        <v>5.720327142783229</v>
      </c>
      <c r="L6" s="34">
        <f t="shared" ref="L6:L9" si="6">((D$2+D$3+D$4)*AA6)</f>
        <v>20.410716759999996</v>
      </c>
      <c r="M6" s="34">
        <f t="shared" ref="M6:M9" si="7">L6*Y6</f>
        <v>15.165162552679996</v>
      </c>
      <c r="N6" s="34">
        <f t="shared" ref="N6:N9" si="8">M6*Z6</f>
        <v>108.88586712824237</v>
      </c>
      <c r="O6" s="34">
        <f t="shared" ref="O6:O11" si="9">M6*AG6</f>
        <v>0.45306709700952691</v>
      </c>
      <c r="Q6" s="53"/>
      <c r="R6" s="54"/>
      <c r="S6" s="55"/>
      <c r="T6" s="54"/>
      <c r="U6" s="54"/>
      <c r="V6" s="38">
        <v>4.5040114569057126</v>
      </c>
      <c r="W6" s="36">
        <f t="shared" ref="W6:W9" si="10">(AE6/SUM(AE$2:AE$20))*0.98</f>
        <v>0.29694000000000004</v>
      </c>
      <c r="X6" s="37">
        <v>3.7771711034311324E-2</v>
      </c>
      <c r="Y6" s="37">
        <v>0.74299999999999999</v>
      </c>
      <c r="Z6" s="56">
        <v>7.18</v>
      </c>
      <c r="AA6" s="36">
        <f t="shared" ref="AA6:AA9" si="11">(AF6/SUM(AF$6:AF$25))*0.98</f>
        <v>4.018E-2</v>
      </c>
      <c r="AB6" s="36">
        <f t="shared" ref="AB6:AB9" si="12">(AG6/SUM(AG$6:AG$25))*0.98</f>
        <v>3.9865094699784824E-2</v>
      </c>
      <c r="AD6" s="114"/>
      <c r="AE6" s="37">
        <v>0.30299999999999999</v>
      </c>
      <c r="AF6" s="37">
        <v>4.1000000000000002E-2</v>
      </c>
      <c r="AG6" s="37">
        <v>2.9875518672199172E-2</v>
      </c>
      <c r="AH6" s="43">
        <f t="shared" si="2"/>
        <v>0.30300000000000005</v>
      </c>
      <c r="AI6" s="43">
        <f>AF6/(SUM(AF$6:AF$25))</f>
        <v>4.1000000000000002E-2</v>
      </c>
    </row>
    <row r="7" spans="1:39" x14ac:dyDescent="0.25">
      <c r="A7" s="32" t="s">
        <v>334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107.96061024000002</v>
      </c>
      <c r="J7" s="34">
        <f t="shared" si="4"/>
        <v>457.75298741760014</v>
      </c>
      <c r="K7" s="34">
        <f t="shared" si="5"/>
        <v>3.1308576969600006</v>
      </c>
      <c r="L7" s="34">
        <f t="shared" si="6"/>
        <v>51.275703079999985</v>
      </c>
      <c r="M7" s="34">
        <f t="shared" si="7"/>
        <v>41.430768088639994</v>
      </c>
      <c r="N7" s="34">
        <f t="shared" si="8"/>
        <v>283.38645372629753</v>
      </c>
      <c r="O7" s="34">
        <f t="shared" si="9"/>
        <v>1.7369826536675053</v>
      </c>
      <c r="Q7" s="53"/>
      <c r="R7" s="54"/>
      <c r="S7" s="55"/>
      <c r="T7" s="54"/>
      <c r="U7" s="54"/>
      <c r="V7" s="38">
        <v>4.24</v>
      </c>
      <c r="W7" s="36">
        <f t="shared" si="10"/>
        <v>0.21168000000000003</v>
      </c>
      <c r="X7" s="37">
        <v>2.9000000000000001E-2</v>
      </c>
      <c r="Y7" s="37">
        <v>0.80800000000000005</v>
      </c>
      <c r="Z7" s="56">
        <v>6.84</v>
      </c>
      <c r="AA7" s="36">
        <f t="shared" si="11"/>
        <v>0.10093999999999999</v>
      </c>
      <c r="AB7" s="36">
        <f t="shared" si="12"/>
        <v>5.5943526940459939E-2</v>
      </c>
      <c r="AD7" s="114"/>
      <c r="AE7" s="37">
        <v>0.216</v>
      </c>
      <c r="AF7" s="37">
        <v>0.10299999999999999</v>
      </c>
      <c r="AG7" s="37">
        <v>4.1924944523144693E-2</v>
      </c>
      <c r="AH7" s="43">
        <f t="shared" si="2"/>
        <v>0.21600000000000003</v>
      </c>
      <c r="AI7" s="43">
        <f t="shared" ref="AI7:AI25" si="13">AF7/(SUM(AF$6:AF$25))</f>
        <v>0.10299999999999999</v>
      </c>
    </row>
    <row r="8" spans="1:39" x14ac:dyDescent="0.25">
      <c r="A8" s="32" t="s">
        <v>655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87.967904640000015</v>
      </c>
      <c r="J8" s="34">
        <f t="shared" si="4"/>
        <v>379.14166899840001</v>
      </c>
      <c r="K8" s="34">
        <f t="shared" si="5"/>
        <v>2.9029408531200005</v>
      </c>
      <c r="L8" s="34">
        <f t="shared" si="6"/>
        <v>7.4673353999999987</v>
      </c>
      <c r="M8" s="34">
        <f t="shared" si="7"/>
        <v>5.4362201711999987</v>
      </c>
      <c r="N8" s="34">
        <f t="shared" si="8"/>
        <v>37.020659365871985</v>
      </c>
      <c r="O8" s="34">
        <f t="shared" si="9"/>
        <v>0.15532057631999999</v>
      </c>
      <c r="Q8" s="53"/>
      <c r="R8" s="54"/>
      <c r="S8" s="55"/>
      <c r="T8" s="54"/>
      <c r="U8" s="54"/>
      <c r="V8" s="38">
        <v>4.3099999999999996</v>
      </c>
      <c r="W8" s="36">
        <f t="shared" si="10"/>
        <v>0.17248000000000002</v>
      </c>
      <c r="X8" s="37">
        <v>3.3000000000000002E-2</v>
      </c>
      <c r="Y8" s="37">
        <v>0.72799999999999998</v>
      </c>
      <c r="Z8" s="56">
        <v>6.81</v>
      </c>
      <c r="AA8" s="36">
        <f t="shared" si="11"/>
        <v>1.47E-2</v>
      </c>
      <c r="AB8" s="36">
        <f t="shared" si="12"/>
        <v>3.8124951677175174E-2</v>
      </c>
      <c r="AD8" s="114"/>
      <c r="AE8" s="37">
        <v>0.17599999999999999</v>
      </c>
      <c r="AF8" s="37">
        <v>1.4999999999999999E-2</v>
      </c>
      <c r="AG8" s="37">
        <v>2.8571428571428574E-2</v>
      </c>
      <c r="AH8" s="43">
        <f t="shared" si="2"/>
        <v>0.17600000000000002</v>
      </c>
      <c r="AI8" s="43">
        <f t="shared" si="13"/>
        <v>1.4999999999999999E-2</v>
      </c>
    </row>
    <row r="9" spans="1:39" x14ac:dyDescent="0.25">
      <c r="A9" s="32" t="s">
        <v>595</v>
      </c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12.495441000000003</v>
      </c>
      <c r="J9" s="34">
        <f t="shared" si="4"/>
        <v>49.981764000000013</v>
      </c>
      <c r="K9" s="34">
        <f t="shared" si="5"/>
        <v>0.27489970200000008</v>
      </c>
      <c r="L9" s="34">
        <f t="shared" si="6"/>
        <v>9.9564471999999977</v>
      </c>
      <c r="M9" s="34">
        <f t="shared" si="7"/>
        <v>7.7162465799999982</v>
      </c>
      <c r="N9" s="34">
        <f t="shared" si="8"/>
        <v>57.163071949212657</v>
      </c>
      <c r="O9" s="34">
        <f t="shared" si="9"/>
        <v>0.23148739739999993</v>
      </c>
      <c r="Q9" s="53"/>
      <c r="R9" s="54"/>
      <c r="S9" s="55"/>
      <c r="T9" s="54"/>
      <c r="U9" s="54"/>
      <c r="V9" s="38">
        <v>4</v>
      </c>
      <c r="W9" s="36">
        <f t="shared" si="10"/>
        <v>2.4500000000000004E-2</v>
      </c>
      <c r="X9" s="37">
        <v>2.1999999999999999E-2</v>
      </c>
      <c r="Y9" s="37">
        <v>0.77500000000000002</v>
      </c>
      <c r="Z9" s="56">
        <v>7.4081447963800908</v>
      </c>
      <c r="AA9" s="36">
        <f t="shared" si="11"/>
        <v>1.9599999999999999E-2</v>
      </c>
      <c r="AB9" s="36">
        <f t="shared" si="12"/>
        <v>4.003119926103392E-2</v>
      </c>
      <c r="AD9" s="114"/>
      <c r="AE9" s="37">
        <v>2.5000000000000001E-2</v>
      </c>
      <c r="AF9" s="37">
        <v>0.02</v>
      </c>
      <c r="AG9" s="37">
        <v>0.03</v>
      </c>
      <c r="AH9" s="43">
        <f t="shared" si="2"/>
        <v>2.5000000000000005E-2</v>
      </c>
      <c r="AI9" s="43">
        <f t="shared" si="13"/>
        <v>0.02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ref="I10:I11" si="14">D$35*W10</f>
        <v>0</v>
      </c>
      <c r="J10" s="34">
        <f t="shared" ref="J10:J11" si="15">I10*V10</f>
        <v>0</v>
      </c>
      <c r="K10" s="34">
        <f t="shared" ref="K10:K11" si="16">I10*X10</f>
        <v>0</v>
      </c>
      <c r="L10" s="34">
        <f t="shared" ref="L10:L11" si="17">((D$2+D$3+D$4)*AA10)</f>
        <v>0</v>
      </c>
      <c r="M10" s="34">
        <f t="shared" ref="M10:N11" si="18">L10*Y10</f>
        <v>0</v>
      </c>
      <c r="N10" s="34">
        <f t="shared" si="18"/>
        <v>0</v>
      </c>
      <c r="O10" s="34">
        <f t="shared" si="9"/>
        <v>0</v>
      </c>
      <c r="Q10" s="53"/>
      <c r="R10" s="54"/>
      <c r="S10" s="55"/>
      <c r="T10" s="54"/>
      <c r="U10" s="54"/>
      <c r="V10" s="38">
        <v>0</v>
      </c>
      <c r="W10" s="36">
        <f t="shared" ref="W10:W11" si="19">(AE10/SUM(AE$2:AE$20))*0.98</f>
        <v>0</v>
      </c>
      <c r="X10" s="37">
        <v>0</v>
      </c>
      <c r="Y10" s="37">
        <v>0</v>
      </c>
      <c r="Z10" s="56">
        <v>0</v>
      </c>
      <c r="AA10" s="36">
        <f t="shared" ref="AA10:AA11" si="20">(AF10/SUM(AF$6:AF$25))*0.98</f>
        <v>0</v>
      </c>
      <c r="AB10" s="36">
        <f t="shared" ref="AB10:AB11" si="21">(AG10/SUM(AG$6:AG$25))*0.98</f>
        <v>0</v>
      </c>
      <c r="AD10" s="114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3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14"/>
        <v>0</v>
      </c>
      <c r="J11" s="34">
        <f t="shared" si="15"/>
        <v>0</v>
      </c>
      <c r="K11" s="34">
        <f t="shared" si="16"/>
        <v>0</v>
      </c>
      <c r="L11" s="34">
        <f t="shared" si="17"/>
        <v>0</v>
      </c>
      <c r="M11" s="34">
        <f t="shared" si="18"/>
        <v>0</v>
      </c>
      <c r="N11" s="34">
        <f t="shared" si="18"/>
        <v>0</v>
      </c>
      <c r="O11" s="34">
        <f t="shared" si="9"/>
        <v>0</v>
      </c>
      <c r="Q11" s="53"/>
      <c r="R11" s="54"/>
      <c r="S11" s="55"/>
      <c r="T11" s="54"/>
      <c r="U11" s="54"/>
      <c r="V11" s="38">
        <v>0</v>
      </c>
      <c r="W11" s="36">
        <f t="shared" si="19"/>
        <v>0</v>
      </c>
      <c r="X11" s="37">
        <v>0</v>
      </c>
      <c r="Y11" s="37">
        <v>0</v>
      </c>
      <c r="Z11" s="56">
        <v>0</v>
      </c>
      <c r="AA11" s="36">
        <f t="shared" si="20"/>
        <v>0</v>
      </c>
      <c r="AB11" s="36">
        <f t="shared" si="21"/>
        <v>0</v>
      </c>
      <c r="AD11" s="114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3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45"/>
      <c r="AD12" s="52"/>
      <c r="AE12" s="51"/>
      <c r="AF12" s="46"/>
      <c r="AG12" s="46"/>
      <c r="AH12" s="43"/>
      <c r="AI12" s="43"/>
    </row>
    <row r="13" spans="1:39" x14ac:dyDescent="0.25">
      <c r="A13" s="32" t="s">
        <v>34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22">D$35*W13</f>
        <v>0</v>
      </c>
      <c r="J13" s="34">
        <f t="shared" ref="J13:J20" si="23">I13*V13</f>
        <v>0</v>
      </c>
      <c r="K13" s="34">
        <f t="shared" ref="K13:K20" si="24">I13*X13</f>
        <v>0</v>
      </c>
      <c r="L13" s="34">
        <f t="shared" ref="L13:L20" si="25">((D$2+D$3+D$4)*AA13)</f>
        <v>125.45123471999997</v>
      </c>
      <c r="M13" s="34">
        <f t="shared" ref="M13:N20" si="26">L13*Y13</f>
        <v>82.67236368047999</v>
      </c>
      <c r="N13" s="34">
        <f t="shared" si="26"/>
        <v>1124.3441460545278</v>
      </c>
      <c r="O13" s="34">
        <f t="shared" ref="O13:O20" si="27">M13*AG13</f>
        <v>7.7712021859651195</v>
      </c>
      <c r="Q13" s="53"/>
      <c r="R13" s="54"/>
      <c r="S13" s="55"/>
      <c r="T13" s="54"/>
      <c r="U13" s="54"/>
      <c r="V13" s="38">
        <v>3</v>
      </c>
      <c r="W13" s="36">
        <f t="shared" ref="W13:W20" si="28">(AE13/SUM(AE$2:AE$20))*0.98</f>
        <v>0</v>
      </c>
      <c r="X13" s="37">
        <v>7.0000000000000001E-3</v>
      </c>
      <c r="Y13" s="37">
        <v>0.65900000000000003</v>
      </c>
      <c r="Z13" s="56">
        <v>13.6</v>
      </c>
      <c r="AA13" s="36">
        <f t="shared" ref="AA13:AB20" si="29">(AF13/SUM(AF$6:AF$25))*0.98</f>
        <v>0.24695999999999999</v>
      </c>
      <c r="AB13" s="36">
        <f t="shared" si="29"/>
        <v>0.12543109101790628</v>
      </c>
      <c r="AD13" s="114"/>
      <c r="AE13" s="37">
        <v>0</v>
      </c>
      <c r="AF13" s="37">
        <v>0.252</v>
      </c>
      <c r="AG13" s="37">
        <v>9.4E-2</v>
      </c>
      <c r="AH13" s="43">
        <f t="shared" si="2"/>
        <v>0</v>
      </c>
      <c r="AI13" s="43">
        <f t="shared" si="13"/>
        <v>0.252</v>
      </c>
    </row>
    <row r="14" spans="1:39" x14ac:dyDescent="0.25">
      <c r="A14" s="32" t="s">
        <v>704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22"/>
        <v>0</v>
      </c>
      <c r="J14" s="34">
        <f t="shared" si="23"/>
        <v>0</v>
      </c>
      <c r="K14" s="34">
        <f t="shared" si="24"/>
        <v>0</v>
      </c>
      <c r="L14" s="34">
        <f t="shared" si="25"/>
        <v>71.686419839999985</v>
      </c>
      <c r="M14" s="34">
        <f t="shared" si="26"/>
        <v>49.320256849919986</v>
      </c>
      <c r="N14" s="34">
        <f t="shared" si="26"/>
        <v>574.5809923015679</v>
      </c>
      <c r="O14" s="34">
        <f t="shared" si="27"/>
        <v>3.6003787500441589</v>
      </c>
      <c r="Q14" s="53"/>
      <c r="R14" s="54"/>
      <c r="S14" s="55"/>
      <c r="T14" s="54"/>
      <c r="U14" s="54"/>
      <c r="V14" s="38">
        <v>5.5</v>
      </c>
      <c r="W14" s="36">
        <f t="shared" si="28"/>
        <v>0</v>
      </c>
      <c r="X14" s="37">
        <v>7.0000000000000001E-3</v>
      </c>
      <c r="Y14" s="37">
        <v>0.68799999999999994</v>
      </c>
      <c r="Z14" s="56">
        <v>11.65</v>
      </c>
      <c r="AA14" s="36">
        <f t="shared" si="29"/>
        <v>0.14112</v>
      </c>
      <c r="AB14" s="36">
        <f t="shared" si="29"/>
        <v>9.7409251535182539E-2</v>
      </c>
      <c r="AD14" s="114"/>
      <c r="AE14" s="37">
        <v>0</v>
      </c>
      <c r="AF14" s="37">
        <v>0.14399999999999999</v>
      </c>
      <c r="AG14" s="37">
        <v>7.2999999999999995E-2</v>
      </c>
      <c r="AH14" s="43">
        <f t="shared" si="2"/>
        <v>0</v>
      </c>
      <c r="AI14" s="43">
        <f t="shared" si="13"/>
        <v>0.14399999999999999</v>
      </c>
    </row>
    <row r="15" spans="1:39" x14ac:dyDescent="0.25">
      <c r="A15" s="32" t="s">
        <v>145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22"/>
        <v>0</v>
      </c>
      <c r="J15" s="34">
        <f t="shared" si="23"/>
        <v>0</v>
      </c>
      <c r="K15" s="34">
        <f t="shared" si="24"/>
        <v>0</v>
      </c>
      <c r="L15" s="34">
        <f t="shared" si="25"/>
        <v>42.812722959999988</v>
      </c>
      <c r="M15" s="34">
        <f t="shared" si="26"/>
        <v>22.348241385119994</v>
      </c>
      <c r="N15" s="34">
        <f t="shared" si="26"/>
        <v>281.14087662480955</v>
      </c>
      <c r="O15" s="34">
        <f t="shared" si="27"/>
        <v>1.7878593108095995</v>
      </c>
      <c r="Q15" s="53"/>
      <c r="R15" s="54"/>
      <c r="S15" s="55"/>
      <c r="T15" s="54"/>
      <c r="U15" s="54"/>
      <c r="V15" s="38">
        <v>4.666666666666667</v>
      </c>
      <c r="W15" s="36">
        <f t="shared" si="28"/>
        <v>0</v>
      </c>
      <c r="X15" s="37">
        <v>7.0000000000000001E-3</v>
      </c>
      <c r="Y15" s="37">
        <v>0.52200000000000002</v>
      </c>
      <c r="Z15" s="56">
        <v>12.58</v>
      </c>
      <c r="AA15" s="36">
        <f t="shared" si="29"/>
        <v>8.4279999999999994E-2</v>
      </c>
      <c r="AB15" s="36">
        <f t="shared" si="29"/>
        <v>0.10674986469609048</v>
      </c>
      <c r="AD15" s="114"/>
      <c r="AE15" s="37">
        <v>0</v>
      </c>
      <c r="AF15" s="37">
        <v>8.5999999999999993E-2</v>
      </c>
      <c r="AG15" s="37">
        <v>0.08</v>
      </c>
      <c r="AH15" s="43">
        <f t="shared" si="2"/>
        <v>0</v>
      </c>
      <c r="AI15" s="43">
        <f t="shared" si="13"/>
        <v>8.5999999999999993E-2</v>
      </c>
    </row>
    <row r="16" spans="1:39" x14ac:dyDescent="0.25">
      <c r="A16" s="32" t="s">
        <v>565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22"/>
        <v>4.9981764000000011</v>
      </c>
      <c r="J16" s="34">
        <f t="shared" si="23"/>
        <v>29.989058400000005</v>
      </c>
      <c r="K16" s="34">
        <f t="shared" si="24"/>
        <v>3.498723480000001E-2</v>
      </c>
      <c r="L16" s="34">
        <f t="shared" si="25"/>
        <v>25.886762719999993</v>
      </c>
      <c r="M16" s="34">
        <f t="shared" si="26"/>
        <v>13.279909275359996</v>
      </c>
      <c r="N16" s="34">
        <f t="shared" si="26"/>
        <v>175.29480243475194</v>
      </c>
      <c r="O16" s="34">
        <f t="shared" si="27"/>
        <v>1.0889525605795198</v>
      </c>
      <c r="Q16" s="53"/>
      <c r="R16" s="54"/>
      <c r="S16" s="55"/>
      <c r="T16" s="54"/>
      <c r="U16" s="54"/>
      <c r="V16" s="38">
        <v>6</v>
      </c>
      <c r="W16" s="36">
        <f t="shared" si="28"/>
        <v>9.8000000000000014E-3</v>
      </c>
      <c r="X16" s="37">
        <v>7.0000000000000001E-3</v>
      </c>
      <c r="Y16" s="37">
        <v>0.51300000000000001</v>
      </c>
      <c r="Z16" s="56">
        <v>13.2</v>
      </c>
      <c r="AA16" s="36">
        <f t="shared" si="29"/>
        <v>5.0959999999999998E-2</v>
      </c>
      <c r="AB16" s="36">
        <f t="shared" si="29"/>
        <v>0.10941861131349274</v>
      </c>
      <c r="AD16" s="114"/>
      <c r="AE16" s="37">
        <v>0.01</v>
      </c>
      <c r="AF16" s="37">
        <v>5.1999999999999998E-2</v>
      </c>
      <c r="AG16" s="37">
        <v>8.2000000000000003E-2</v>
      </c>
      <c r="AH16" s="43">
        <f t="shared" si="2"/>
        <v>1.0000000000000002E-2</v>
      </c>
      <c r="AI16" s="43">
        <f t="shared" si="13"/>
        <v>5.1999999999999998E-2</v>
      </c>
    </row>
    <row r="17" spans="1:35" x14ac:dyDescent="0.25">
      <c r="A17" s="32" t="s">
        <v>615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22"/>
        <v>0</v>
      </c>
      <c r="J17" s="34">
        <f t="shared" si="23"/>
        <v>0</v>
      </c>
      <c r="K17" s="34">
        <f t="shared" si="24"/>
        <v>0</v>
      </c>
      <c r="L17" s="34">
        <f t="shared" si="25"/>
        <v>29.371519239999994</v>
      </c>
      <c r="M17" s="34">
        <f t="shared" si="26"/>
        <v>18.063484332599995</v>
      </c>
      <c r="N17" s="34">
        <f t="shared" si="26"/>
        <v>229.76752071067193</v>
      </c>
      <c r="O17" s="34">
        <f t="shared" si="27"/>
        <v>1.2473787627294641</v>
      </c>
      <c r="Q17" s="53"/>
      <c r="R17" s="54"/>
      <c r="S17" s="55"/>
      <c r="T17" s="54"/>
      <c r="U17" s="54"/>
      <c r="V17" s="38">
        <v>3</v>
      </c>
      <c r="W17" s="36">
        <f t="shared" si="28"/>
        <v>0</v>
      </c>
      <c r="X17" s="37">
        <v>7.0000000000000001E-3</v>
      </c>
      <c r="Y17" s="37">
        <v>0.61499999999999999</v>
      </c>
      <c r="Z17" s="56">
        <v>12.72</v>
      </c>
      <c r="AA17" s="36">
        <f t="shared" si="29"/>
        <v>5.7819999999999996E-2</v>
      </c>
      <c r="AB17" s="36">
        <f t="shared" si="29"/>
        <v>9.2145507266441093E-2</v>
      </c>
      <c r="AD17" s="114"/>
      <c r="AE17" s="37">
        <v>0</v>
      </c>
      <c r="AF17" s="37">
        <v>5.8999999999999997E-2</v>
      </c>
      <c r="AG17" s="37">
        <v>6.9055268616047827E-2</v>
      </c>
      <c r="AH17" s="43">
        <f t="shared" si="2"/>
        <v>0</v>
      </c>
      <c r="AI17" s="43">
        <f t="shared" si="13"/>
        <v>5.8999999999999997E-2</v>
      </c>
    </row>
    <row r="18" spans="1:35" x14ac:dyDescent="0.25">
      <c r="A18" s="32" t="s">
        <v>461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22"/>
        <v>0</v>
      </c>
      <c r="J18" s="34">
        <f t="shared" si="23"/>
        <v>0</v>
      </c>
      <c r="K18" s="34">
        <f t="shared" si="24"/>
        <v>0</v>
      </c>
      <c r="L18" s="34">
        <f t="shared" si="25"/>
        <v>12.445558999999998</v>
      </c>
      <c r="M18" s="34">
        <f t="shared" si="26"/>
        <v>7.9651577599999985</v>
      </c>
      <c r="N18" s="34">
        <f t="shared" si="26"/>
        <v>94.307467878399976</v>
      </c>
      <c r="O18" s="34">
        <f t="shared" si="27"/>
        <v>0.59738683199999987</v>
      </c>
      <c r="Q18" s="53"/>
      <c r="R18" s="54"/>
      <c r="S18" s="55"/>
      <c r="T18" s="54"/>
      <c r="U18" s="54"/>
      <c r="V18" s="38">
        <v>3</v>
      </c>
      <c r="W18" s="36">
        <f t="shared" si="28"/>
        <v>0</v>
      </c>
      <c r="X18" s="37">
        <v>7.0000000000000001E-3</v>
      </c>
      <c r="Y18" s="37">
        <v>0.64</v>
      </c>
      <c r="Z18" s="56">
        <v>11.84</v>
      </c>
      <c r="AA18" s="36">
        <f t="shared" si="29"/>
        <v>2.4500000000000001E-2</v>
      </c>
      <c r="AB18" s="36">
        <f t="shared" si="29"/>
        <v>0.10007799815258481</v>
      </c>
      <c r="AD18" s="114"/>
      <c r="AE18" s="37">
        <v>0</v>
      </c>
      <c r="AF18" s="37">
        <v>2.5000000000000001E-2</v>
      </c>
      <c r="AG18" s="37">
        <v>7.4999999999999997E-2</v>
      </c>
      <c r="AH18" s="43">
        <f t="shared" si="2"/>
        <v>0</v>
      </c>
      <c r="AI18" s="43">
        <f t="shared" si="13"/>
        <v>2.5000000000000001E-2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0</v>
      </c>
      <c r="M19" s="34">
        <f t="shared" si="26"/>
        <v>0</v>
      </c>
      <c r="N19" s="34">
        <f t="shared" si="26"/>
        <v>0</v>
      </c>
      <c r="O19" s="34">
        <f t="shared" si="27"/>
        <v>0</v>
      </c>
      <c r="Q19" s="53"/>
      <c r="R19" s="54"/>
      <c r="S19" s="55"/>
      <c r="T19" s="54"/>
      <c r="U19" s="54"/>
      <c r="V19" s="38">
        <v>0</v>
      </c>
      <c r="W19" s="36">
        <f t="shared" si="28"/>
        <v>0</v>
      </c>
      <c r="X19" s="37">
        <v>0</v>
      </c>
      <c r="Y19" s="37">
        <v>0</v>
      </c>
      <c r="Z19" s="56">
        <v>0</v>
      </c>
      <c r="AA19" s="36">
        <f t="shared" si="29"/>
        <v>0</v>
      </c>
      <c r="AB19" s="36">
        <f t="shared" si="29"/>
        <v>0</v>
      </c>
      <c r="AD19" s="114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3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22"/>
        <v>0</v>
      </c>
      <c r="J20" s="34">
        <f t="shared" si="23"/>
        <v>0</v>
      </c>
      <c r="K20" s="34">
        <f t="shared" si="24"/>
        <v>0</v>
      </c>
      <c r="L20" s="34">
        <f t="shared" si="25"/>
        <v>0</v>
      </c>
      <c r="M20" s="34">
        <f t="shared" si="26"/>
        <v>0</v>
      </c>
      <c r="N20" s="34">
        <f t="shared" si="26"/>
        <v>0</v>
      </c>
      <c r="O20" s="34">
        <f t="shared" si="27"/>
        <v>0</v>
      </c>
      <c r="Q20" s="53"/>
      <c r="R20" s="54"/>
      <c r="S20" s="55"/>
      <c r="T20" s="54"/>
      <c r="U20" s="54"/>
      <c r="V20" s="38">
        <v>0</v>
      </c>
      <c r="W20" s="36">
        <f t="shared" si="28"/>
        <v>0</v>
      </c>
      <c r="X20" s="37">
        <v>0</v>
      </c>
      <c r="Y20" s="37">
        <v>0</v>
      </c>
      <c r="Z20" s="56">
        <v>0</v>
      </c>
      <c r="AA20" s="36">
        <f t="shared" si="29"/>
        <v>0</v>
      </c>
      <c r="AB20" s="36">
        <f t="shared" si="29"/>
        <v>0</v>
      </c>
      <c r="AD20" s="114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3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5"/>
      <c r="AD21" s="52"/>
      <c r="AE21" s="51"/>
      <c r="AF21" s="46"/>
      <c r="AG21" s="46"/>
      <c r="AH21" s="43"/>
      <c r="AI21" s="43"/>
    </row>
    <row r="22" spans="1:35" x14ac:dyDescent="0.25">
      <c r="A22" s="32" t="s">
        <v>571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87.118912999999978</v>
      </c>
      <c r="M22" s="34">
        <f t="shared" ref="M22:N25" si="30">L22*Y22</f>
        <v>62.290022794999985</v>
      </c>
      <c r="N22" s="34">
        <f t="shared" si="30"/>
        <v>650.30783797979984</v>
      </c>
      <c r="O22" s="34">
        <f>M22*AG22</f>
        <v>4.2980115728549997</v>
      </c>
      <c r="Q22" s="53"/>
      <c r="R22" s="54"/>
      <c r="S22" s="55"/>
      <c r="T22" s="54"/>
      <c r="U22" s="54"/>
      <c r="V22" s="59"/>
      <c r="W22" s="60"/>
      <c r="X22" s="54"/>
      <c r="Y22" s="37">
        <v>0.71499999999999997</v>
      </c>
      <c r="Z22" s="56">
        <v>10.44</v>
      </c>
      <c r="AA22" s="36">
        <f t="shared" ref="AA22:AB25" si="31">(AF22/SUM(AF$6:AF$25))*0.98</f>
        <v>0.17149999999999999</v>
      </c>
      <c r="AB22" s="36">
        <f t="shared" si="31"/>
        <v>9.2071758300378045E-2</v>
      </c>
      <c r="AD22" s="114"/>
      <c r="AE22" s="42"/>
      <c r="AF22" s="37">
        <v>0.17499999999999999</v>
      </c>
      <c r="AG22" s="37">
        <v>6.9000000000000006E-2</v>
      </c>
      <c r="AH22" s="43"/>
      <c r="AI22" s="43">
        <f t="shared" si="13"/>
        <v>0.17499999999999999</v>
      </c>
    </row>
    <row r="23" spans="1:35" x14ac:dyDescent="0.25">
      <c r="A23" s="32" t="s">
        <v>437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13.939026079999998</v>
      </c>
      <c r="M23" s="34">
        <f t="shared" si="30"/>
        <v>9.785196308159998</v>
      </c>
      <c r="N23" s="34">
        <f t="shared" si="30"/>
        <v>92.719709704010924</v>
      </c>
      <c r="O23" s="34">
        <f>M23*AG23</f>
        <v>0.60668217110591982</v>
      </c>
      <c r="Q23" s="53"/>
      <c r="R23" s="54"/>
      <c r="S23" s="55"/>
      <c r="T23" s="54"/>
      <c r="U23" s="54"/>
      <c r="V23" s="59"/>
      <c r="W23" s="60"/>
      <c r="X23" s="54"/>
      <c r="Y23" s="37">
        <v>0.70199999999999996</v>
      </c>
      <c r="Z23" s="56">
        <v>9.4755083887985769</v>
      </c>
      <c r="AA23" s="36">
        <f t="shared" si="31"/>
        <v>2.7439999999999999E-2</v>
      </c>
      <c r="AB23" s="36">
        <f t="shared" si="31"/>
        <v>8.2731145139470108E-2</v>
      </c>
      <c r="AD23" s="114"/>
      <c r="AE23" s="42"/>
      <c r="AF23" s="37">
        <v>2.8000000000000001E-2</v>
      </c>
      <c r="AG23" s="37">
        <v>6.2E-2</v>
      </c>
      <c r="AH23" s="43"/>
      <c r="AI23" s="43">
        <f t="shared" si="13"/>
        <v>2.8000000000000001E-2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ref="M24" si="32">L24*Y24</f>
        <v>0</v>
      </c>
      <c r="N24" s="34">
        <f t="shared" ref="N24" si="33">M24*Z24</f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31"/>
        <v>0</v>
      </c>
      <c r="AB24" s="36">
        <f t="shared" si="31"/>
        <v>0</v>
      </c>
      <c r="AD24" s="114"/>
      <c r="AE24" s="42"/>
      <c r="AF24" s="37">
        <v>0</v>
      </c>
      <c r="AG24" s="37">
        <v>0</v>
      </c>
      <c r="AH24" s="43"/>
      <c r="AI24" s="43">
        <f t="shared" si="13"/>
        <v>0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0"/>
        <v>0</v>
      </c>
      <c r="N25" s="34">
        <f t="shared" si="3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1"/>
        <v>0</v>
      </c>
      <c r="AB25" s="36">
        <f t="shared" si="31"/>
        <v>0</v>
      </c>
      <c r="AD25" s="114"/>
      <c r="AE25" s="42"/>
      <c r="AF25" s="37">
        <v>0</v>
      </c>
      <c r="AG25" s="37">
        <v>0</v>
      </c>
      <c r="AH25" s="43"/>
      <c r="AI25" s="43">
        <f t="shared" si="13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0.98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1018</v>
      </c>
      <c r="E29" s="75">
        <v>0.499</v>
      </c>
      <c r="F29" s="76">
        <f>1-E29</f>
        <v>0.501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507.98199999999997</v>
      </c>
      <c r="E32" s="80">
        <f>SUM(E2:E4)</f>
        <v>335.61445356860196</v>
      </c>
      <c r="F32" s="80">
        <f>SUM(F2:F4)</f>
        <v>3710.3741432638485</v>
      </c>
      <c r="G32" s="80">
        <f>SUM(G2:G4)</f>
        <v>23.587837344239158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510.01800000000003</v>
      </c>
      <c r="E35" s="80">
        <f>D35*G29</f>
        <v>2371.5837000000001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29" t="s">
        <v>212</v>
      </c>
      <c r="G37" s="23" t="s">
        <v>209</v>
      </c>
      <c r="H37" s="23" t="s">
        <v>210</v>
      </c>
      <c r="I37" s="23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499.81764000000015</v>
      </c>
      <c r="E38" s="91">
        <f>SUM(J2:J4,J6:J11,J13:J20)</f>
        <v>2364.7277170010607</v>
      </c>
      <c r="F38" s="91">
        <f>SUM(K2:K4,K6:K11,K13:K20)</f>
        <v>16.995360232058637</v>
      </c>
      <c r="G38" s="91">
        <f>SUM(L6:L11,L13:L20,L22:L25)</f>
        <v>497.82235999999989</v>
      </c>
      <c r="H38" s="91">
        <f>SUM(M6:M11,M13:M20,M22:M25)</f>
        <v>335.4730297791599</v>
      </c>
      <c r="I38" s="91">
        <f>SUM(N6:N11,N13:N20,N22:N25)</f>
        <v>3708.9194058581643</v>
      </c>
      <c r="J38" s="91">
        <f>SUM(O6:O11,O13:O20,O22:O25)</f>
        <v>23.574709870485815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10.200359999999876</v>
      </c>
      <c r="E39" s="92">
        <f>E35-E38</f>
        <v>6.855982998939453</v>
      </c>
      <c r="F39" s="92">
        <f>F35-F38</f>
        <v>4.6397679413630044E-3</v>
      </c>
      <c r="G39" s="92">
        <f>SUM(D2:D4)-G38</f>
        <v>10.159640000000024</v>
      </c>
      <c r="H39" s="92">
        <f>E32-H38</f>
        <v>0.14142378944205802</v>
      </c>
      <c r="I39" s="92">
        <f>F32-I38</f>
        <v>1.4547374056842273</v>
      </c>
      <c r="J39" s="92">
        <f>G32-J38</f>
        <v>1.3127473753343111E-2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" priority="1" operator="lessThan">
      <formula>0</formula>
    </cfRule>
  </conditionalFormatting>
  <conditionalFormatting sqref="W28 AA28:AF28">
    <cfRule type="cellIs" dxfId="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C87D"/>
  </sheetPr>
  <dimension ref="A1:AA66"/>
  <sheetViews>
    <sheetView showGridLines="0" topLeftCell="B1" zoomScaleNormal="100" workbookViewId="0">
      <selection activeCell="B1" sqref="B1"/>
    </sheetView>
  </sheetViews>
  <sheetFormatPr defaultColWidth="8.85546875" defaultRowHeight="14.25" x14ac:dyDescent="0.25"/>
  <cols>
    <col min="1" max="1" width="8.7109375" style="58" hidden="1" customWidth="1"/>
    <col min="2" max="2" width="23" style="100" bestFit="1" customWidth="1"/>
    <col min="3" max="3" width="12.85546875" style="96" bestFit="1" customWidth="1"/>
    <col min="4" max="4" width="9" style="44" bestFit="1" customWidth="1"/>
    <col min="5" max="5" width="11.7109375" style="44" bestFit="1" customWidth="1"/>
    <col min="6" max="6" width="8.85546875" style="44" bestFit="1" customWidth="1"/>
    <col min="7" max="7" width="13.28515625" style="44" bestFit="1" customWidth="1"/>
    <col min="8" max="9" width="14.140625" style="44" bestFit="1" customWidth="1"/>
    <col min="10" max="10" width="12.42578125" style="44" bestFit="1" customWidth="1"/>
    <col min="11" max="11" width="13.28515625" style="44" bestFit="1" customWidth="1"/>
    <col min="12" max="13" width="12.42578125" style="44" bestFit="1" customWidth="1"/>
    <col min="14" max="14" width="12.85546875" style="44" bestFit="1" customWidth="1"/>
    <col min="15" max="17" width="14" style="44" bestFit="1" customWidth="1"/>
    <col min="18" max="18" width="12.42578125" style="44" bestFit="1" customWidth="1"/>
    <col min="19" max="19" width="12.42578125" style="50" bestFit="1" customWidth="1"/>
    <col min="20" max="34" width="9.7109375" style="58" customWidth="1"/>
    <col min="35" max="16384" width="8.85546875" style="58"/>
  </cols>
  <sheetData>
    <row r="1" spans="1:27" s="134" customFormat="1" ht="28.5" x14ac:dyDescent="0.25">
      <c r="A1" s="94" t="s">
        <v>253</v>
      </c>
      <c r="B1" s="134" t="s">
        <v>118</v>
      </c>
      <c r="C1" s="134" t="s">
        <v>352</v>
      </c>
      <c r="D1" s="93" t="s">
        <v>87</v>
      </c>
      <c r="E1" s="94" t="s">
        <v>165</v>
      </c>
      <c r="F1" s="94" t="s">
        <v>2</v>
      </c>
      <c r="G1" s="94" t="s">
        <v>180</v>
      </c>
      <c r="H1" s="94" t="s">
        <v>179</v>
      </c>
      <c r="I1" s="94" t="s">
        <v>166</v>
      </c>
      <c r="J1" s="94" t="s">
        <v>167</v>
      </c>
      <c r="K1" s="94" t="s">
        <v>177</v>
      </c>
      <c r="L1" s="94" t="s">
        <v>194</v>
      </c>
      <c r="M1" s="94" t="s">
        <v>195</v>
      </c>
      <c r="N1" s="94" t="s">
        <v>196</v>
      </c>
      <c r="O1" s="94" t="s">
        <v>197</v>
      </c>
      <c r="P1" s="94" t="s">
        <v>199</v>
      </c>
      <c r="Q1" s="94" t="s">
        <v>200</v>
      </c>
      <c r="R1" s="94" t="s">
        <v>198</v>
      </c>
      <c r="S1" s="94" t="s">
        <v>178</v>
      </c>
    </row>
    <row r="2" spans="1:27" x14ac:dyDescent="0.25">
      <c r="A2" s="95" t="s">
        <v>254</v>
      </c>
      <c r="B2" s="58" t="s">
        <v>464</v>
      </c>
      <c r="C2" s="50" t="s">
        <v>52</v>
      </c>
      <c r="D2" s="96">
        <v>14</v>
      </c>
      <c r="E2" s="44">
        <v>34.200000000000003</v>
      </c>
      <c r="F2" s="44">
        <v>10.566666666666666</v>
      </c>
      <c r="G2" s="44">
        <v>13.985714285714288</v>
      </c>
      <c r="H2" s="44">
        <v>9.85</v>
      </c>
      <c r="I2" s="97"/>
      <c r="J2" s="44">
        <v>2.15</v>
      </c>
      <c r="K2" s="44">
        <v>26.178431372549017</v>
      </c>
      <c r="L2" s="97"/>
      <c r="M2" s="97"/>
      <c r="N2" s="97"/>
      <c r="O2" s="97"/>
      <c r="P2" s="97"/>
      <c r="Q2" s="97"/>
      <c r="R2" s="97"/>
      <c r="S2" s="44">
        <v>366.60784313725486</v>
      </c>
      <c r="T2" s="98"/>
      <c r="U2" s="98"/>
      <c r="V2" s="98"/>
      <c r="W2" s="98"/>
      <c r="X2" s="98"/>
      <c r="Y2" s="98"/>
      <c r="Z2" s="98"/>
      <c r="AA2" s="99"/>
    </row>
    <row r="3" spans="1:27" x14ac:dyDescent="0.25">
      <c r="A3" s="95" t="s">
        <v>259</v>
      </c>
      <c r="B3" s="58" t="s">
        <v>465</v>
      </c>
      <c r="C3" s="50" t="s">
        <v>53</v>
      </c>
      <c r="D3" s="96">
        <v>11</v>
      </c>
      <c r="E3" s="44">
        <v>45.6</v>
      </c>
      <c r="F3" s="44">
        <v>13.4</v>
      </c>
      <c r="G3" s="44">
        <v>16.55</v>
      </c>
      <c r="H3" s="44">
        <v>11.5</v>
      </c>
      <c r="I3" s="97"/>
      <c r="J3" s="44">
        <v>2.25</v>
      </c>
      <c r="K3" s="44">
        <v>22.350980392156863</v>
      </c>
      <c r="L3" s="97"/>
      <c r="M3" s="97"/>
      <c r="N3" s="97"/>
      <c r="O3" s="97"/>
      <c r="P3" s="97"/>
      <c r="Q3" s="97"/>
      <c r="R3" s="97"/>
      <c r="S3" s="44">
        <v>337.68431372549026</v>
      </c>
      <c r="T3" s="98"/>
      <c r="U3" s="98"/>
      <c r="V3" s="98"/>
      <c r="W3" s="98"/>
      <c r="X3" s="98"/>
      <c r="Y3" s="98"/>
      <c r="Z3" s="98"/>
      <c r="AA3" s="99"/>
    </row>
    <row r="4" spans="1:27" x14ac:dyDescent="0.25">
      <c r="A4" s="95" t="s">
        <v>260</v>
      </c>
      <c r="B4" s="58" t="s">
        <v>466</v>
      </c>
      <c r="C4" s="50" t="s">
        <v>54</v>
      </c>
      <c r="D4" s="96">
        <v>13</v>
      </c>
      <c r="E4" s="44">
        <v>43.4</v>
      </c>
      <c r="F4" s="44">
        <v>12.6</v>
      </c>
      <c r="G4" s="44">
        <v>16.235714285714288</v>
      </c>
      <c r="H4" s="44">
        <v>11.4</v>
      </c>
      <c r="I4" s="97"/>
      <c r="J4" s="44">
        <v>2.25</v>
      </c>
      <c r="K4" s="44">
        <v>19.970588235294116</v>
      </c>
      <c r="L4" s="97"/>
      <c r="M4" s="97"/>
      <c r="N4" s="97"/>
      <c r="O4" s="97"/>
      <c r="P4" s="97"/>
      <c r="Q4" s="97"/>
      <c r="R4" s="97"/>
      <c r="S4" s="44">
        <v>330.26666666666665</v>
      </c>
      <c r="T4" s="98"/>
      <c r="U4" s="98"/>
      <c r="V4" s="98"/>
      <c r="W4" s="98"/>
      <c r="X4" s="98"/>
      <c r="Y4" s="98"/>
      <c r="Z4" s="98"/>
      <c r="AA4" s="99"/>
    </row>
    <row r="5" spans="1:27" x14ac:dyDescent="0.25">
      <c r="A5" s="95" t="s">
        <v>261</v>
      </c>
      <c r="B5" s="58" t="s">
        <v>467</v>
      </c>
      <c r="C5" s="50" t="s">
        <v>55</v>
      </c>
      <c r="D5" s="96">
        <v>7</v>
      </c>
      <c r="E5" s="44">
        <v>41.7</v>
      </c>
      <c r="F5" s="44">
        <v>13.5</v>
      </c>
      <c r="G5" s="44">
        <v>15.228571428571428</v>
      </c>
      <c r="H5" s="44">
        <v>10.65</v>
      </c>
      <c r="I5" s="97"/>
      <c r="J5" s="44">
        <v>2.6</v>
      </c>
      <c r="K5" s="44">
        <v>21.405882352941177</v>
      </c>
      <c r="L5" s="97"/>
      <c r="M5" s="97"/>
      <c r="N5" s="97"/>
      <c r="O5" s="97"/>
      <c r="P5" s="97"/>
      <c r="Q5" s="97"/>
      <c r="R5" s="97"/>
      <c r="S5" s="44">
        <v>334.80784313725491</v>
      </c>
      <c r="T5" s="98"/>
      <c r="U5" s="98"/>
      <c r="V5" s="98"/>
      <c r="W5" s="98"/>
      <c r="X5" s="98"/>
      <c r="Y5" s="98"/>
      <c r="Z5" s="98"/>
      <c r="AA5" s="99"/>
    </row>
    <row r="6" spans="1:27" x14ac:dyDescent="0.25">
      <c r="A6" s="95" t="s">
        <v>262</v>
      </c>
      <c r="B6" s="58" t="s">
        <v>468</v>
      </c>
      <c r="C6" s="50" t="s">
        <v>56</v>
      </c>
      <c r="D6" s="96">
        <v>5</v>
      </c>
      <c r="E6" s="44">
        <v>37.5</v>
      </c>
      <c r="F6" s="44">
        <v>11.700000000000001</v>
      </c>
      <c r="G6" s="44">
        <v>13.107142857142858</v>
      </c>
      <c r="H6" s="44">
        <v>9.0500000000000007</v>
      </c>
      <c r="I6" s="97"/>
      <c r="J6" s="44">
        <v>2</v>
      </c>
      <c r="K6" s="44">
        <v>22.821568627450983</v>
      </c>
      <c r="L6" s="97"/>
      <c r="M6" s="97"/>
      <c r="N6" s="97"/>
      <c r="O6" s="97"/>
      <c r="P6" s="97"/>
      <c r="Q6" s="97"/>
      <c r="R6" s="97"/>
      <c r="S6" s="44">
        <v>346.70392156862749</v>
      </c>
      <c r="T6" s="98"/>
      <c r="U6" s="98"/>
      <c r="V6" s="98"/>
      <c r="W6" s="98"/>
      <c r="X6" s="98"/>
      <c r="Y6" s="98"/>
      <c r="Z6" s="98"/>
      <c r="AA6" s="99"/>
    </row>
    <row r="7" spans="1:27" x14ac:dyDescent="0.25">
      <c r="A7" s="95" t="s">
        <v>255</v>
      </c>
      <c r="B7" s="58" t="s">
        <v>469</v>
      </c>
      <c r="C7" s="50" t="s">
        <v>57</v>
      </c>
      <c r="D7" s="96">
        <v>10</v>
      </c>
      <c r="E7" s="44">
        <v>40.4</v>
      </c>
      <c r="F7" s="44">
        <v>14.933333333333332</v>
      </c>
      <c r="G7" s="44">
        <v>18.707142857142856</v>
      </c>
      <c r="H7" s="44">
        <v>13</v>
      </c>
      <c r="I7" s="97"/>
      <c r="J7" s="44">
        <v>2.4500000000000002</v>
      </c>
      <c r="K7" s="44">
        <v>21.407843137254901</v>
      </c>
      <c r="L7" s="97"/>
      <c r="M7" s="97"/>
      <c r="N7" s="97"/>
      <c r="O7" s="97"/>
      <c r="P7" s="97"/>
      <c r="Q7" s="97"/>
      <c r="R7" s="97"/>
      <c r="S7" s="44">
        <v>347.09019607843135</v>
      </c>
      <c r="T7" s="98"/>
      <c r="U7" s="98"/>
      <c r="V7" s="98"/>
      <c r="W7" s="98"/>
      <c r="X7" s="98"/>
      <c r="Y7" s="98"/>
      <c r="Z7" s="98"/>
      <c r="AA7" s="99"/>
    </row>
    <row r="8" spans="1:27" x14ac:dyDescent="0.25">
      <c r="A8" s="95" t="s">
        <v>257</v>
      </c>
      <c r="B8" s="58" t="s">
        <v>470</v>
      </c>
      <c r="C8" s="50" t="s">
        <v>58</v>
      </c>
      <c r="D8" s="96">
        <v>6</v>
      </c>
      <c r="E8" s="44">
        <v>36.799999999999997</v>
      </c>
      <c r="F8" s="44">
        <v>11.766666666666666</v>
      </c>
      <c r="G8" s="44">
        <v>13.735714285714288</v>
      </c>
      <c r="H8" s="44">
        <v>9.6</v>
      </c>
      <c r="I8" s="97"/>
      <c r="J8" s="44">
        <v>2.5</v>
      </c>
      <c r="K8" s="44">
        <v>24.556862745098041</v>
      </c>
      <c r="L8" s="97"/>
      <c r="M8" s="97"/>
      <c r="N8" s="97"/>
      <c r="O8" s="97"/>
      <c r="P8" s="97"/>
      <c r="Q8" s="97"/>
      <c r="R8" s="97"/>
      <c r="S8" s="44">
        <v>360.11764705882354</v>
      </c>
      <c r="T8" s="98"/>
      <c r="U8" s="98"/>
      <c r="V8" s="98"/>
      <c r="W8" s="98"/>
      <c r="X8" s="98"/>
      <c r="Y8" s="98"/>
      <c r="Z8" s="98"/>
      <c r="AA8" s="99"/>
    </row>
    <row r="9" spans="1:27" x14ac:dyDescent="0.25">
      <c r="A9" s="95" t="s">
        <v>256</v>
      </c>
      <c r="B9" s="58" t="s">
        <v>471</v>
      </c>
      <c r="C9" s="50" t="s">
        <v>59</v>
      </c>
      <c r="D9" s="96">
        <v>11</v>
      </c>
      <c r="E9" s="44">
        <v>40.200000000000003</v>
      </c>
      <c r="F9" s="44">
        <v>12.200000000000001</v>
      </c>
      <c r="G9" s="44">
        <v>16.807142857142857</v>
      </c>
      <c r="H9" s="44">
        <v>11.75</v>
      </c>
      <c r="I9" s="97"/>
      <c r="J9" s="44">
        <v>2.5</v>
      </c>
      <c r="K9" s="44">
        <v>20.956862745098039</v>
      </c>
      <c r="L9" s="97"/>
      <c r="M9" s="97"/>
      <c r="N9" s="97"/>
      <c r="O9" s="97"/>
      <c r="P9" s="97"/>
      <c r="Q9" s="97"/>
      <c r="R9" s="97"/>
      <c r="S9" s="44">
        <v>317.35490196078433</v>
      </c>
      <c r="T9" s="98"/>
      <c r="U9" s="98"/>
      <c r="V9" s="98"/>
      <c r="W9" s="98"/>
      <c r="X9" s="98"/>
      <c r="Y9" s="98"/>
      <c r="Z9" s="98"/>
      <c r="AA9" s="99"/>
    </row>
    <row r="10" spans="1:27" x14ac:dyDescent="0.25">
      <c r="A10" s="95" t="s">
        <v>258</v>
      </c>
      <c r="B10" s="58" t="s">
        <v>472</v>
      </c>
      <c r="C10" s="50" t="s">
        <v>60</v>
      </c>
      <c r="D10" s="96">
        <v>14</v>
      </c>
      <c r="E10" s="44">
        <v>38.5</v>
      </c>
      <c r="F10" s="44">
        <v>9.8666666666666671</v>
      </c>
      <c r="G10" s="44">
        <v>13.385714285714286</v>
      </c>
      <c r="H10" s="44">
        <v>9.35</v>
      </c>
      <c r="I10" s="97"/>
      <c r="J10" s="44">
        <v>2.2999999999999998</v>
      </c>
      <c r="K10" s="44">
        <v>25.584313725490198</v>
      </c>
      <c r="L10" s="97"/>
      <c r="M10" s="97"/>
      <c r="N10" s="97"/>
      <c r="O10" s="97"/>
      <c r="P10" s="97"/>
      <c r="Q10" s="97"/>
      <c r="R10" s="97"/>
      <c r="S10" s="44">
        <v>366.23725490196074</v>
      </c>
      <c r="T10" s="98"/>
      <c r="U10" s="98"/>
      <c r="V10" s="98"/>
      <c r="W10" s="98"/>
      <c r="X10" s="98"/>
      <c r="Y10" s="98"/>
      <c r="Z10" s="98"/>
      <c r="AA10" s="99"/>
    </row>
    <row r="11" spans="1:27" x14ac:dyDescent="0.25">
      <c r="A11" s="95" t="s">
        <v>263</v>
      </c>
      <c r="B11" s="58" t="s">
        <v>473</v>
      </c>
      <c r="C11" s="50" t="s">
        <v>61</v>
      </c>
      <c r="D11" s="96">
        <v>10</v>
      </c>
      <c r="E11" s="44">
        <v>56</v>
      </c>
      <c r="F11" s="44">
        <v>13.9</v>
      </c>
      <c r="G11" s="44">
        <v>17.221428571428575</v>
      </c>
      <c r="H11" s="44">
        <v>11.95</v>
      </c>
      <c r="I11" s="97"/>
      <c r="J11" s="44">
        <v>2.6500000000000004</v>
      </c>
      <c r="K11" s="44">
        <v>18.16078431372549</v>
      </c>
      <c r="L11" s="97"/>
      <c r="M11" s="97"/>
      <c r="N11" s="97"/>
      <c r="O11" s="97"/>
      <c r="P11" s="97"/>
      <c r="Q11" s="97"/>
      <c r="R11" s="97"/>
      <c r="S11" s="44">
        <v>307.86274509803923</v>
      </c>
      <c r="T11" s="98"/>
      <c r="U11" s="98"/>
      <c r="V11" s="98"/>
      <c r="W11" s="98"/>
      <c r="X11" s="98"/>
      <c r="Y11" s="98"/>
      <c r="Z11" s="98"/>
      <c r="AA11" s="99"/>
    </row>
    <row r="12" spans="1:27" x14ac:dyDescent="0.25">
      <c r="A12" s="95" t="s">
        <v>264</v>
      </c>
      <c r="B12" s="58" t="s">
        <v>474</v>
      </c>
      <c r="C12" s="50" t="s">
        <v>62</v>
      </c>
      <c r="D12" s="96">
        <v>6</v>
      </c>
      <c r="E12" s="44">
        <v>44.8</v>
      </c>
      <c r="F12" s="44">
        <v>13.366666666666667</v>
      </c>
      <c r="G12" s="44">
        <v>15.778571428571428</v>
      </c>
      <c r="H12" s="44">
        <v>10.95</v>
      </c>
      <c r="I12" s="97"/>
      <c r="J12" s="44">
        <v>2.3499999999999996</v>
      </c>
      <c r="K12" s="44">
        <v>21.333333333333336</v>
      </c>
      <c r="L12" s="97"/>
      <c r="M12" s="97"/>
      <c r="N12" s="97"/>
      <c r="O12" s="97"/>
      <c r="P12" s="97"/>
      <c r="Q12" s="97"/>
      <c r="R12" s="97"/>
      <c r="S12" s="44">
        <v>337.23137254901962</v>
      </c>
      <c r="T12" s="98"/>
      <c r="U12" s="98"/>
      <c r="V12" s="98"/>
      <c r="W12" s="98"/>
      <c r="X12" s="98"/>
      <c r="Y12" s="98"/>
      <c r="Z12" s="98"/>
      <c r="AA12" s="99"/>
    </row>
    <row r="13" spans="1:27" x14ac:dyDescent="0.25">
      <c r="A13" s="95" t="s">
        <v>265</v>
      </c>
      <c r="B13" s="58" t="s">
        <v>475</v>
      </c>
      <c r="C13" s="50" t="s">
        <v>63</v>
      </c>
      <c r="D13" s="96">
        <v>11</v>
      </c>
      <c r="E13" s="44">
        <v>39.9</v>
      </c>
      <c r="F13" s="44">
        <v>11.9</v>
      </c>
      <c r="G13" s="44">
        <v>15.321428571428571</v>
      </c>
      <c r="H13" s="44">
        <v>10.8</v>
      </c>
      <c r="I13" s="97"/>
      <c r="J13" s="44">
        <v>1.95</v>
      </c>
      <c r="K13" s="44">
        <v>21.386274509803922</v>
      </c>
      <c r="L13" s="97"/>
      <c r="M13" s="97"/>
      <c r="N13" s="97"/>
      <c r="O13" s="97"/>
      <c r="P13" s="97"/>
      <c r="Q13" s="97"/>
      <c r="R13" s="97"/>
      <c r="S13" s="44">
        <v>335.6196078431372</v>
      </c>
      <c r="T13" s="98"/>
      <c r="U13" s="98"/>
      <c r="V13" s="98"/>
      <c r="W13" s="98"/>
      <c r="X13" s="98"/>
      <c r="Y13" s="98"/>
      <c r="Z13" s="98"/>
      <c r="AA13" s="99"/>
    </row>
    <row r="14" spans="1:27" x14ac:dyDescent="0.25">
      <c r="A14" s="95" t="s">
        <v>266</v>
      </c>
      <c r="B14" s="58" t="s">
        <v>476</v>
      </c>
      <c r="C14" s="50" t="s">
        <v>64</v>
      </c>
      <c r="D14" s="96">
        <v>8</v>
      </c>
      <c r="E14" s="44">
        <v>48.4</v>
      </c>
      <c r="F14" s="44">
        <v>16.133333333333333</v>
      </c>
      <c r="G14" s="44">
        <v>20.935714285714287</v>
      </c>
      <c r="H14" s="44">
        <v>14.45</v>
      </c>
      <c r="I14" s="97"/>
      <c r="J14" s="44">
        <v>2.75</v>
      </c>
      <c r="K14" s="44">
        <v>18.323529411764707</v>
      </c>
      <c r="L14" s="97"/>
      <c r="M14" s="97"/>
      <c r="N14" s="97"/>
      <c r="O14" s="97"/>
      <c r="P14" s="97"/>
      <c r="Q14" s="97"/>
      <c r="R14" s="97"/>
      <c r="S14" s="44">
        <v>307.62745098039215</v>
      </c>
      <c r="T14" s="98"/>
      <c r="U14" s="98"/>
      <c r="V14" s="98"/>
      <c r="W14" s="98"/>
      <c r="X14" s="98"/>
      <c r="Y14" s="98"/>
      <c r="Z14" s="98"/>
      <c r="AA14" s="99"/>
    </row>
    <row r="15" spans="1:27" x14ac:dyDescent="0.25">
      <c r="A15" s="95" t="s">
        <v>267</v>
      </c>
      <c r="B15" s="58" t="s">
        <v>477</v>
      </c>
      <c r="C15" s="50" t="s">
        <v>65</v>
      </c>
      <c r="D15" s="96">
        <v>13</v>
      </c>
      <c r="E15" s="44">
        <v>39.5</v>
      </c>
      <c r="F15" s="44">
        <v>12.966666666666667</v>
      </c>
      <c r="G15" s="44">
        <v>14.978571428571428</v>
      </c>
      <c r="H15" s="44">
        <v>10.5</v>
      </c>
      <c r="I15" s="97"/>
      <c r="J15" s="44">
        <v>2.15</v>
      </c>
      <c r="K15" s="44">
        <v>22.380392156862747</v>
      </c>
      <c r="L15" s="97"/>
      <c r="M15" s="97"/>
      <c r="N15" s="97"/>
      <c r="O15" s="97"/>
      <c r="P15" s="97"/>
      <c r="Q15" s="97"/>
      <c r="R15" s="97"/>
      <c r="S15" s="44">
        <v>344.11764705882354</v>
      </c>
      <c r="T15" s="98"/>
      <c r="U15" s="98"/>
      <c r="V15" s="98"/>
      <c r="W15" s="98"/>
      <c r="X15" s="98"/>
      <c r="Y15" s="98"/>
      <c r="Z15" s="98"/>
      <c r="AA15" s="99"/>
    </row>
    <row r="16" spans="1:27" x14ac:dyDescent="0.25">
      <c r="A16" s="95" t="s">
        <v>268</v>
      </c>
      <c r="B16" s="58" t="s">
        <v>478</v>
      </c>
      <c r="C16" s="50" t="s">
        <v>83</v>
      </c>
      <c r="D16" s="96">
        <v>7</v>
      </c>
      <c r="E16" s="44">
        <v>39.6</v>
      </c>
      <c r="F16" s="44">
        <v>14.366666666666667</v>
      </c>
      <c r="G16" s="44">
        <v>17.871428571428574</v>
      </c>
      <c r="H16" s="44">
        <v>12.4</v>
      </c>
      <c r="I16" s="97"/>
      <c r="J16" s="44">
        <v>2.65</v>
      </c>
      <c r="K16" s="44">
        <v>20.594117647058823</v>
      </c>
      <c r="L16" s="97"/>
      <c r="M16" s="97"/>
      <c r="N16" s="97"/>
      <c r="O16" s="97"/>
      <c r="P16" s="97"/>
      <c r="Q16" s="97"/>
      <c r="R16" s="97"/>
      <c r="S16" s="44">
        <v>331.29999999999995</v>
      </c>
      <c r="T16" s="98"/>
      <c r="U16" s="98"/>
      <c r="V16" s="98"/>
      <c r="W16" s="98"/>
      <c r="X16" s="98"/>
      <c r="Y16" s="98"/>
      <c r="Z16" s="98"/>
      <c r="AA16" s="99"/>
    </row>
    <row r="17" spans="1:27" x14ac:dyDescent="0.25">
      <c r="A17" s="95" t="s">
        <v>269</v>
      </c>
      <c r="B17" s="58" t="s">
        <v>479</v>
      </c>
      <c r="C17" s="50" t="s">
        <v>67</v>
      </c>
      <c r="D17" s="96">
        <v>5</v>
      </c>
      <c r="E17" s="44">
        <v>39.4</v>
      </c>
      <c r="F17" s="44">
        <v>11.700000000000001</v>
      </c>
      <c r="G17" s="44">
        <v>14.364285714285716</v>
      </c>
      <c r="H17" s="44">
        <v>9.9499999999999993</v>
      </c>
      <c r="I17" s="97"/>
      <c r="J17" s="44">
        <v>1.95</v>
      </c>
      <c r="K17" s="44">
        <v>20.984313725490196</v>
      </c>
      <c r="L17" s="97"/>
      <c r="M17" s="97"/>
      <c r="N17" s="97"/>
      <c r="O17" s="97"/>
      <c r="P17" s="97"/>
      <c r="Q17" s="97"/>
      <c r="R17" s="97"/>
      <c r="S17" s="44">
        <v>332.84901960784316</v>
      </c>
      <c r="T17" s="98"/>
      <c r="U17" s="98"/>
      <c r="V17" s="98"/>
      <c r="W17" s="98"/>
      <c r="X17" s="98"/>
      <c r="Y17" s="98"/>
      <c r="Z17" s="98"/>
      <c r="AA17" s="99"/>
    </row>
    <row r="18" spans="1:27" x14ac:dyDescent="0.25">
      <c r="A18" s="95" t="s">
        <v>270</v>
      </c>
      <c r="B18" s="58" t="s">
        <v>480</v>
      </c>
      <c r="C18" s="50" t="s">
        <v>115</v>
      </c>
      <c r="D18" s="96">
        <v>13</v>
      </c>
      <c r="E18" s="44">
        <v>37.9</v>
      </c>
      <c r="F18" s="44">
        <v>9.9666666666666668</v>
      </c>
      <c r="G18" s="44">
        <v>13.785714285714286</v>
      </c>
      <c r="H18" s="44">
        <v>9.5500000000000007</v>
      </c>
      <c r="I18" s="97"/>
      <c r="J18" s="44">
        <v>1.9500000000000002</v>
      </c>
      <c r="K18" s="44">
        <v>24.678431372549017</v>
      </c>
      <c r="L18" s="97"/>
      <c r="M18" s="97"/>
      <c r="N18" s="97"/>
      <c r="O18" s="97"/>
      <c r="P18" s="97"/>
      <c r="Q18" s="97"/>
      <c r="R18" s="97"/>
      <c r="S18" s="44">
        <v>352.23333333333335</v>
      </c>
      <c r="T18" s="98"/>
      <c r="U18" s="98"/>
      <c r="V18" s="98"/>
      <c r="W18" s="98"/>
      <c r="X18" s="98"/>
      <c r="Y18" s="98"/>
      <c r="Z18" s="98"/>
      <c r="AA18" s="99"/>
    </row>
    <row r="19" spans="1:27" x14ac:dyDescent="0.25">
      <c r="A19" s="95" t="s">
        <v>271</v>
      </c>
      <c r="B19" s="58" t="s">
        <v>481</v>
      </c>
      <c r="C19" s="50" t="s">
        <v>68</v>
      </c>
      <c r="D19" s="96">
        <v>7</v>
      </c>
      <c r="E19" s="44">
        <v>46.1</v>
      </c>
      <c r="F19" s="44">
        <v>14.866666666666667</v>
      </c>
      <c r="G19" s="44">
        <v>16.657142857142858</v>
      </c>
      <c r="H19" s="44">
        <v>11.5</v>
      </c>
      <c r="I19" s="97"/>
      <c r="J19" s="44">
        <v>2</v>
      </c>
      <c r="K19" s="44">
        <v>20.482352941176469</v>
      </c>
      <c r="L19" s="97"/>
      <c r="M19" s="97"/>
      <c r="N19" s="97"/>
      <c r="O19" s="97"/>
      <c r="P19" s="97"/>
      <c r="Q19" s="97"/>
      <c r="R19" s="97"/>
      <c r="S19" s="44">
        <v>326.34509803921566</v>
      </c>
      <c r="T19" s="98"/>
      <c r="U19" s="98"/>
      <c r="V19" s="98"/>
      <c r="W19" s="98"/>
      <c r="X19" s="98"/>
      <c r="Y19" s="98"/>
      <c r="Z19" s="98"/>
      <c r="AA19" s="99"/>
    </row>
    <row r="20" spans="1:27" x14ac:dyDescent="0.25">
      <c r="A20" s="95" t="s">
        <v>272</v>
      </c>
      <c r="B20" s="58" t="s">
        <v>482</v>
      </c>
      <c r="C20" s="50" t="s">
        <v>69</v>
      </c>
      <c r="D20" s="96">
        <v>11</v>
      </c>
      <c r="E20" s="44">
        <v>49.2</v>
      </c>
      <c r="F20" s="44">
        <v>14.666666666666666</v>
      </c>
      <c r="G20" s="44">
        <v>18.578571428571429</v>
      </c>
      <c r="H20" s="44">
        <v>13.05</v>
      </c>
      <c r="I20" s="97"/>
      <c r="J20" s="44">
        <v>2.5</v>
      </c>
      <c r="K20" s="44">
        <v>19.270588235294117</v>
      </c>
      <c r="L20" s="97"/>
      <c r="M20" s="97"/>
      <c r="N20" s="97"/>
      <c r="O20" s="97"/>
      <c r="P20" s="97"/>
      <c r="Q20" s="97"/>
      <c r="R20" s="97"/>
      <c r="S20" s="44">
        <v>318.43529411764712</v>
      </c>
      <c r="T20" s="98"/>
      <c r="U20" s="98"/>
      <c r="V20" s="98"/>
      <c r="W20" s="98"/>
      <c r="X20" s="98"/>
      <c r="Y20" s="98"/>
      <c r="Z20" s="98"/>
      <c r="AA20" s="99"/>
    </row>
    <row r="21" spans="1:27" x14ac:dyDescent="0.25">
      <c r="A21" s="95" t="s">
        <v>273</v>
      </c>
      <c r="B21" s="58" t="s">
        <v>483</v>
      </c>
      <c r="C21" s="50" t="s">
        <v>70</v>
      </c>
      <c r="D21" s="96">
        <v>6</v>
      </c>
      <c r="E21" s="44">
        <v>40.700000000000003</v>
      </c>
      <c r="F21" s="44">
        <v>10.666666666666666</v>
      </c>
      <c r="G21" s="44">
        <v>15.064285714285715</v>
      </c>
      <c r="H21" s="44">
        <v>10.55</v>
      </c>
      <c r="I21" s="97"/>
      <c r="J21" s="44">
        <v>2.0499999999999998</v>
      </c>
      <c r="K21" s="44">
        <v>24.498039215686276</v>
      </c>
      <c r="L21" s="97"/>
      <c r="M21" s="97"/>
      <c r="N21" s="97"/>
      <c r="O21" s="97"/>
      <c r="P21" s="97"/>
      <c r="Q21" s="97"/>
      <c r="R21" s="97"/>
      <c r="S21" s="44">
        <v>358.18431372549026</v>
      </c>
      <c r="T21" s="98"/>
      <c r="U21" s="98"/>
      <c r="V21" s="98"/>
      <c r="W21" s="98"/>
      <c r="X21" s="98"/>
      <c r="Y21" s="98"/>
      <c r="Z21" s="98"/>
      <c r="AA21" s="99"/>
    </row>
    <row r="22" spans="1:27" x14ac:dyDescent="0.25">
      <c r="A22" s="95" t="s">
        <v>274</v>
      </c>
      <c r="B22" s="58" t="s">
        <v>484</v>
      </c>
      <c r="C22" s="50" t="s">
        <v>71</v>
      </c>
      <c r="D22" s="96">
        <v>6</v>
      </c>
      <c r="E22" s="44">
        <v>46.9</v>
      </c>
      <c r="F22" s="44">
        <v>13.466666666666667</v>
      </c>
      <c r="G22" s="44">
        <v>19.764285714285716</v>
      </c>
      <c r="H22" s="44">
        <v>13.8</v>
      </c>
      <c r="I22" s="97"/>
      <c r="J22" s="44">
        <v>2.4500000000000002</v>
      </c>
      <c r="K22" s="44">
        <v>20.045098039215684</v>
      </c>
      <c r="L22" s="97"/>
      <c r="M22" s="97"/>
      <c r="N22" s="97"/>
      <c r="O22" s="97"/>
      <c r="P22" s="97"/>
      <c r="Q22" s="97"/>
      <c r="R22" s="97"/>
      <c r="S22" s="44">
        <v>323.59607843137258</v>
      </c>
      <c r="T22" s="98"/>
      <c r="U22" s="98"/>
      <c r="V22" s="98"/>
      <c r="W22" s="98"/>
      <c r="X22" s="98"/>
      <c r="Y22" s="98"/>
      <c r="Z22" s="98"/>
      <c r="AA22" s="99"/>
    </row>
    <row r="23" spans="1:27" x14ac:dyDescent="0.25">
      <c r="A23" s="95" t="s">
        <v>275</v>
      </c>
      <c r="B23" s="58" t="s">
        <v>485</v>
      </c>
      <c r="C23" s="50" t="s">
        <v>72</v>
      </c>
      <c r="D23" s="96">
        <v>11</v>
      </c>
      <c r="E23" s="44">
        <v>40.700000000000003</v>
      </c>
      <c r="F23" s="44">
        <v>12.233333333333334</v>
      </c>
      <c r="G23" s="44">
        <v>16.607142857142858</v>
      </c>
      <c r="H23" s="44">
        <v>11.7</v>
      </c>
      <c r="I23" s="97"/>
      <c r="J23" s="44">
        <v>2.5</v>
      </c>
      <c r="K23" s="44">
        <v>19.994117647058825</v>
      </c>
      <c r="L23" s="97"/>
      <c r="M23" s="97"/>
      <c r="N23" s="97"/>
      <c r="O23" s="97"/>
      <c r="P23" s="97"/>
      <c r="Q23" s="97"/>
      <c r="R23" s="97"/>
      <c r="S23" s="44">
        <v>320.9470588235294</v>
      </c>
      <c r="T23" s="98"/>
      <c r="U23" s="98"/>
      <c r="V23" s="98"/>
      <c r="W23" s="98"/>
      <c r="X23" s="98"/>
      <c r="Y23" s="98"/>
      <c r="Z23" s="98"/>
      <c r="AA23" s="99"/>
    </row>
    <row r="24" spans="1:27" x14ac:dyDescent="0.25">
      <c r="A24" s="95" t="s">
        <v>276</v>
      </c>
      <c r="B24" s="58" t="s">
        <v>486</v>
      </c>
      <c r="C24" s="50" t="s">
        <v>73</v>
      </c>
      <c r="D24" s="96">
        <v>8</v>
      </c>
      <c r="E24" s="44">
        <v>42.8</v>
      </c>
      <c r="F24" s="44">
        <v>12.533333333333333</v>
      </c>
      <c r="G24" s="44">
        <v>15.885714285714286</v>
      </c>
      <c r="H24" s="44">
        <v>11.2</v>
      </c>
      <c r="I24" s="97"/>
      <c r="J24" s="44">
        <v>2.2999999999999998</v>
      </c>
      <c r="K24" s="44">
        <v>21.880392156862747</v>
      </c>
      <c r="L24" s="97"/>
      <c r="M24" s="97"/>
      <c r="N24" s="97"/>
      <c r="O24" s="97"/>
      <c r="P24" s="97"/>
      <c r="Q24" s="97"/>
      <c r="R24" s="97"/>
      <c r="S24" s="44">
        <v>334.67058823529413</v>
      </c>
      <c r="T24" s="98"/>
      <c r="U24" s="98"/>
      <c r="V24" s="98"/>
      <c r="W24" s="98"/>
      <c r="X24" s="98"/>
      <c r="Y24" s="98"/>
      <c r="Z24" s="98"/>
      <c r="AA24" s="99"/>
    </row>
    <row r="25" spans="1:27" x14ac:dyDescent="0.25">
      <c r="A25" s="95" t="s">
        <v>277</v>
      </c>
      <c r="B25" s="58" t="s">
        <v>487</v>
      </c>
      <c r="C25" s="50" t="s">
        <v>74</v>
      </c>
      <c r="D25" s="96">
        <v>8</v>
      </c>
      <c r="E25" s="44">
        <v>40.4</v>
      </c>
      <c r="F25" s="44">
        <v>10.333333333333334</v>
      </c>
      <c r="G25" s="44">
        <v>14.257142857142858</v>
      </c>
      <c r="H25" s="44">
        <v>9.8000000000000007</v>
      </c>
      <c r="I25" s="97"/>
      <c r="J25" s="44">
        <v>2.4000000000000004</v>
      </c>
      <c r="K25" s="44">
        <v>23.756862745098037</v>
      </c>
      <c r="L25" s="97"/>
      <c r="M25" s="97"/>
      <c r="N25" s="97"/>
      <c r="O25" s="97"/>
      <c r="P25" s="97"/>
      <c r="Q25" s="97"/>
      <c r="R25" s="97"/>
      <c r="S25" s="44">
        <v>356.15098039215684</v>
      </c>
      <c r="T25" s="98"/>
      <c r="U25" s="98"/>
      <c r="V25" s="98"/>
      <c r="W25" s="98"/>
      <c r="X25" s="98"/>
      <c r="Y25" s="98"/>
      <c r="Z25" s="98"/>
      <c r="AA25" s="99"/>
    </row>
    <row r="26" spans="1:27" x14ac:dyDescent="0.25">
      <c r="A26" s="95" t="s">
        <v>278</v>
      </c>
      <c r="B26" s="58" t="s">
        <v>488</v>
      </c>
      <c r="C26" s="50" t="s">
        <v>75</v>
      </c>
      <c r="D26" s="96">
        <v>13</v>
      </c>
      <c r="E26" s="44">
        <v>35.200000000000003</v>
      </c>
      <c r="F26" s="44">
        <v>9.4666666666666668</v>
      </c>
      <c r="G26" s="44">
        <v>12.885714285714286</v>
      </c>
      <c r="H26" s="44">
        <v>8.75</v>
      </c>
      <c r="I26" s="97"/>
      <c r="J26" s="44">
        <v>2.5999999999999996</v>
      </c>
      <c r="K26" s="44">
        <v>25.468627450980392</v>
      </c>
      <c r="L26" s="97"/>
      <c r="M26" s="97"/>
      <c r="N26" s="97"/>
      <c r="O26" s="97"/>
      <c r="P26" s="97"/>
      <c r="Q26" s="97"/>
      <c r="R26" s="97"/>
      <c r="S26" s="44">
        <v>354.82941176470587</v>
      </c>
      <c r="T26" s="98"/>
      <c r="U26" s="98"/>
      <c r="V26" s="98"/>
      <c r="W26" s="98"/>
      <c r="X26" s="98"/>
      <c r="Y26" s="98"/>
      <c r="Z26" s="98"/>
      <c r="AA26" s="99"/>
    </row>
    <row r="27" spans="1:27" x14ac:dyDescent="0.25">
      <c r="A27" s="95" t="s">
        <v>279</v>
      </c>
      <c r="B27" s="58" t="s">
        <v>489</v>
      </c>
      <c r="C27" s="50" t="s">
        <v>76</v>
      </c>
      <c r="D27" s="96">
        <v>10</v>
      </c>
      <c r="E27" s="44">
        <v>43.4</v>
      </c>
      <c r="F27" s="44">
        <v>13.633333333333333</v>
      </c>
      <c r="G27" s="44">
        <v>17.557142857142857</v>
      </c>
      <c r="H27" s="44">
        <v>12.25</v>
      </c>
      <c r="I27" s="97"/>
      <c r="J27" s="44">
        <v>2.5</v>
      </c>
      <c r="K27" s="44">
        <v>18.852941176470587</v>
      </c>
      <c r="L27" s="97"/>
      <c r="M27" s="97"/>
      <c r="N27" s="97"/>
      <c r="O27" s="97"/>
      <c r="P27" s="97"/>
      <c r="Q27" s="97"/>
      <c r="R27" s="97"/>
      <c r="S27" s="44">
        <v>318.74117647058819</v>
      </c>
      <c r="T27" s="98"/>
      <c r="U27" s="98"/>
      <c r="V27" s="98"/>
      <c r="W27" s="98"/>
      <c r="X27" s="98"/>
      <c r="Y27" s="98"/>
      <c r="Z27" s="98"/>
      <c r="AA27" s="99"/>
    </row>
    <row r="28" spans="1:27" x14ac:dyDescent="0.25">
      <c r="A28" s="95" t="s">
        <v>280</v>
      </c>
      <c r="B28" s="58" t="s">
        <v>490</v>
      </c>
      <c r="C28" s="50" t="s">
        <v>77</v>
      </c>
      <c r="D28" s="96">
        <v>9</v>
      </c>
      <c r="E28" s="44">
        <v>46.2</v>
      </c>
      <c r="F28" s="44">
        <v>14.1</v>
      </c>
      <c r="G28" s="44">
        <v>20.114285714285714</v>
      </c>
      <c r="H28" s="44">
        <v>14.15</v>
      </c>
      <c r="I28" s="97"/>
      <c r="J28" s="44">
        <v>2.4500000000000002</v>
      </c>
      <c r="K28" s="44">
        <v>19.609803921568624</v>
      </c>
      <c r="L28" s="97"/>
      <c r="M28" s="97"/>
      <c r="N28" s="97"/>
      <c r="O28" s="97"/>
      <c r="P28" s="97"/>
      <c r="Q28" s="97"/>
      <c r="R28" s="97"/>
      <c r="S28" s="44">
        <v>332.1196078431372</v>
      </c>
      <c r="T28" s="98"/>
      <c r="U28" s="98"/>
      <c r="V28" s="98"/>
      <c r="W28" s="98"/>
      <c r="X28" s="98"/>
      <c r="Y28" s="98"/>
      <c r="Z28" s="98"/>
      <c r="AA28" s="99"/>
    </row>
    <row r="29" spans="1:27" x14ac:dyDescent="0.25">
      <c r="A29" s="95" t="s">
        <v>281</v>
      </c>
      <c r="B29" s="58" t="s">
        <v>491</v>
      </c>
      <c r="C29" s="50" t="s">
        <v>79</v>
      </c>
      <c r="D29" s="96">
        <v>8</v>
      </c>
      <c r="E29" s="44">
        <v>35.799999999999997</v>
      </c>
      <c r="F29" s="44">
        <v>10.633333333333333</v>
      </c>
      <c r="G29" s="44">
        <v>15.200000000000001</v>
      </c>
      <c r="H29" s="44">
        <v>10.5</v>
      </c>
      <c r="I29" s="97"/>
      <c r="J29" s="44">
        <v>2.15</v>
      </c>
      <c r="K29" s="44">
        <v>23.041176470588233</v>
      </c>
      <c r="L29" s="97"/>
      <c r="M29" s="97"/>
      <c r="N29" s="97"/>
      <c r="O29" s="97"/>
      <c r="P29" s="97"/>
      <c r="Q29" s="97"/>
      <c r="R29" s="97"/>
      <c r="S29" s="44">
        <v>344.20588235294116</v>
      </c>
      <c r="T29" s="98"/>
      <c r="U29" s="98"/>
      <c r="V29" s="98"/>
      <c r="W29" s="98"/>
      <c r="X29" s="98"/>
      <c r="Y29" s="98"/>
      <c r="Z29" s="98"/>
      <c r="AA29" s="99"/>
    </row>
    <row r="30" spans="1:27" x14ac:dyDescent="0.25">
      <c r="A30" s="95" t="s">
        <v>282</v>
      </c>
      <c r="B30" s="58" t="s">
        <v>492</v>
      </c>
      <c r="C30" s="50" t="s">
        <v>78</v>
      </c>
      <c r="D30" s="96">
        <v>11</v>
      </c>
      <c r="E30" s="44">
        <v>47.4</v>
      </c>
      <c r="F30" s="44">
        <v>15</v>
      </c>
      <c r="G30" s="44">
        <v>18.535714285714285</v>
      </c>
      <c r="H30" s="44">
        <v>13.05</v>
      </c>
      <c r="I30" s="97"/>
      <c r="J30" s="44">
        <v>3.45</v>
      </c>
      <c r="K30" s="44">
        <v>18.099999999999998</v>
      </c>
      <c r="L30" s="97"/>
      <c r="M30" s="97"/>
      <c r="N30" s="97"/>
      <c r="O30" s="97"/>
      <c r="P30" s="97"/>
      <c r="Q30" s="97"/>
      <c r="R30" s="97"/>
      <c r="S30" s="44">
        <v>312.64705882352939</v>
      </c>
      <c r="T30" s="98"/>
      <c r="U30" s="98"/>
      <c r="V30" s="98"/>
      <c r="W30" s="98"/>
      <c r="X30" s="98"/>
      <c r="Y30" s="98"/>
      <c r="Z30" s="98"/>
      <c r="AA30" s="99"/>
    </row>
    <row r="31" spans="1:27" x14ac:dyDescent="0.25">
      <c r="A31" s="95" t="s">
        <v>283</v>
      </c>
      <c r="B31" s="58" t="s">
        <v>493</v>
      </c>
      <c r="C31" s="50" t="s">
        <v>80</v>
      </c>
      <c r="D31" s="96">
        <v>10</v>
      </c>
      <c r="E31" s="44">
        <v>39.799999999999997</v>
      </c>
      <c r="F31" s="44">
        <v>11.166666666666666</v>
      </c>
      <c r="G31" s="44">
        <v>14.25</v>
      </c>
      <c r="H31" s="44">
        <v>10.050000000000001</v>
      </c>
      <c r="I31" s="97"/>
      <c r="J31" s="44">
        <v>2.25</v>
      </c>
      <c r="K31" s="44">
        <v>22.599999999999998</v>
      </c>
      <c r="L31" s="97"/>
      <c r="M31" s="97"/>
      <c r="N31" s="97"/>
      <c r="O31" s="97"/>
      <c r="P31" s="97"/>
      <c r="Q31" s="97"/>
      <c r="R31" s="97"/>
      <c r="S31" s="44">
        <v>344.35490196078428</v>
      </c>
      <c r="T31" s="98"/>
      <c r="U31" s="98"/>
      <c r="V31" s="98"/>
      <c r="W31" s="98"/>
      <c r="X31" s="98"/>
      <c r="Y31" s="98"/>
      <c r="Z31" s="98"/>
      <c r="AA31" s="99"/>
    </row>
    <row r="32" spans="1:27" x14ac:dyDescent="0.25">
      <c r="A32" s="95" t="s">
        <v>284</v>
      </c>
      <c r="B32" s="58" t="s">
        <v>494</v>
      </c>
      <c r="C32" s="50" t="s">
        <v>81</v>
      </c>
      <c r="D32" s="96">
        <v>9</v>
      </c>
      <c r="E32" s="44">
        <v>40.9</v>
      </c>
      <c r="F32" s="44">
        <v>10.166666666666666</v>
      </c>
      <c r="G32" s="44">
        <v>13.692857142857143</v>
      </c>
      <c r="H32" s="44">
        <v>9.65</v>
      </c>
      <c r="I32" s="97"/>
      <c r="J32" s="44">
        <v>2.25</v>
      </c>
      <c r="K32" s="44">
        <v>24.774509803921571</v>
      </c>
      <c r="L32" s="97"/>
      <c r="M32" s="97"/>
      <c r="N32" s="97"/>
      <c r="O32" s="97"/>
      <c r="P32" s="97"/>
      <c r="Q32" s="97"/>
      <c r="R32" s="97"/>
      <c r="S32" s="44">
        <v>352.34313725490193</v>
      </c>
      <c r="T32" s="98"/>
      <c r="U32" s="98"/>
      <c r="V32" s="98"/>
      <c r="W32" s="98"/>
      <c r="X32" s="98"/>
      <c r="Y32" s="98"/>
      <c r="Z32" s="98"/>
      <c r="AA32" s="99"/>
    </row>
    <row r="33" spans="1:27" x14ac:dyDescent="0.25">
      <c r="A33" s="95" t="s">
        <v>285</v>
      </c>
      <c r="B33" s="58" t="s">
        <v>495</v>
      </c>
      <c r="C33" s="50" t="s">
        <v>84</v>
      </c>
      <c r="D33" s="96">
        <v>7</v>
      </c>
      <c r="E33" s="44">
        <v>40.299999999999997</v>
      </c>
      <c r="F33" s="44">
        <v>9.7666666666666675</v>
      </c>
      <c r="G33" s="44">
        <v>13.585714285714285</v>
      </c>
      <c r="H33" s="44">
        <v>9.5</v>
      </c>
      <c r="I33" s="97"/>
      <c r="J33" s="44">
        <v>2.2000000000000002</v>
      </c>
      <c r="K33" s="44">
        <v>24.799999999999997</v>
      </c>
      <c r="L33" s="97"/>
      <c r="M33" s="97"/>
      <c r="N33" s="97"/>
      <c r="O33" s="97"/>
      <c r="P33" s="97"/>
      <c r="Q33" s="97"/>
      <c r="R33" s="97"/>
      <c r="S33" s="44">
        <v>364.25098039215686</v>
      </c>
      <c r="T33" s="98"/>
      <c r="U33" s="98"/>
      <c r="V33" s="98"/>
      <c r="W33" s="98"/>
      <c r="X33" s="98"/>
      <c r="Y33" s="98"/>
      <c r="Z33" s="98"/>
      <c r="AA33" s="99"/>
    </row>
    <row r="35" spans="1:27" x14ac:dyDescent="0.25">
      <c r="R35" s="57"/>
    </row>
    <row r="36" spans="1:27" x14ac:dyDescent="0.25">
      <c r="R36" s="57"/>
    </row>
    <row r="37" spans="1:27" x14ac:dyDescent="0.25">
      <c r="R37" s="57"/>
    </row>
    <row r="38" spans="1:27" x14ac:dyDescent="0.25">
      <c r="R38" s="57"/>
    </row>
    <row r="39" spans="1:27" x14ac:dyDescent="0.25">
      <c r="R39" s="57"/>
    </row>
    <row r="40" spans="1:27" x14ac:dyDescent="0.25">
      <c r="R40" s="57"/>
    </row>
    <row r="41" spans="1:27" x14ac:dyDescent="0.25">
      <c r="R41" s="57"/>
    </row>
    <row r="42" spans="1:27" x14ac:dyDescent="0.25">
      <c r="R42" s="57"/>
    </row>
    <row r="43" spans="1:27" x14ac:dyDescent="0.25">
      <c r="R43" s="57"/>
    </row>
    <row r="44" spans="1:27" x14ac:dyDescent="0.25">
      <c r="R44" s="57"/>
    </row>
    <row r="45" spans="1:27" x14ac:dyDescent="0.25">
      <c r="R45" s="57"/>
    </row>
    <row r="46" spans="1:27" x14ac:dyDescent="0.25">
      <c r="R46" s="57"/>
    </row>
    <row r="47" spans="1:27" x14ac:dyDescent="0.25">
      <c r="R47" s="57"/>
    </row>
    <row r="48" spans="1:27" x14ac:dyDescent="0.25">
      <c r="R48" s="57"/>
    </row>
    <row r="49" spans="18:18" x14ac:dyDescent="0.25">
      <c r="R49" s="57"/>
    </row>
    <row r="50" spans="18:18" x14ac:dyDescent="0.25">
      <c r="R50" s="57"/>
    </row>
    <row r="51" spans="18:18" x14ac:dyDescent="0.25">
      <c r="R51" s="57"/>
    </row>
    <row r="52" spans="18:18" x14ac:dyDescent="0.25">
      <c r="R52" s="57"/>
    </row>
    <row r="53" spans="18:18" x14ac:dyDescent="0.25">
      <c r="R53" s="57"/>
    </row>
    <row r="54" spans="18:18" x14ac:dyDescent="0.25">
      <c r="R54" s="57"/>
    </row>
    <row r="55" spans="18:18" x14ac:dyDescent="0.25">
      <c r="R55" s="57"/>
    </row>
    <row r="56" spans="18:18" x14ac:dyDescent="0.25">
      <c r="R56" s="57"/>
    </row>
    <row r="57" spans="18:18" x14ac:dyDescent="0.25">
      <c r="R57" s="57"/>
    </row>
    <row r="58" spans="18:18" x14ac:dyDescent="0.25">
      <c r="R58" s="57"/>
    </row>
    <row r="59" spans="18:18" x14ac:dyDescent="0.25">
      <c r="R59" s="57"/>
    </row>
    <row r="60" spans="18:18" x14ac:dyDescent="0.25">
      <c r="R60" s="57"/>
    </row>
    <row r="61" spans="18:18" x14ac:dyDescent="0.25">
      <c r="R61" s="57"/>
    </row>
    <row r="62" spans="18:18" x14ac:dyDescent="0.25">
      <c r="R62" s="57"/>
    </row>
    <row r="63" spans="18:18" x14ac:dyDescent="0.25">
      <c r="R63" s="57"/>
    </row>
    <row r="64" spans="18:18" x14ac:dyDescent="0.25">
      <c r="R64" s="57"/>
    </row>
    <row r="65" spans="18:18" x14ac:dyDescent="0.25">
      <c r="R65" s="57"/>
    </row>
    <row r="66" spans="18:18" x14ac:dyDescent="0.25">
      <c r="R66" s="57"/>
    </row>
  </sheetData>
  <sheetProtection selectLockedCells="1"/>
  <sortState xmlns:xlrd2="http://schemas.microsoft.com/office/spreadsheetml/2017/richdata2" ref="B2:S66">
    <sortCondition ref="B2:B66"/>
  </sortState>
  <phoneticPr fontId="7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5900-233B-45CA-B354-BE2F1CA3AB81}">
  <sheetPr>
    <tabColor theme="9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58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37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37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VLOOKUP(TableQBRanks304034[[#This Row],[RK]],Rankings!A:T,3,FALSE)</f>
        <v>Josh Allen</v>
      </c>
      <c r="C2" s="58" t="str">
        <f>IFERROR(INDEX(TableQBCalcPts[TM],MATCH(TableQBRanks304034[[#This Row],[Player]],TableQBCalcPts[PLAYER],0)),"")</f>
        <v>BUF</v>
      </c>
      <c r="D2" s="58">
        <f>IFERROR(INDEX(TableQBCalcPts[BYE],MATCH(TableQBRanks304034[[#This Row],[Player]],TableQBCalcPts[PLAYER],0)),"")</f>
        <v>7</v>
      </c>
      <c r="E2" s="100">
        <f>VLOOKUP(TableQBRanks304034[[#This Row],[Player]],QB!B:O,4,FALSE)</f>
        <v>515.96819999999991</v>
      </c>
      <c r="F2" s="100">
        <f>VLOOKUP(TableQBRanks304034[[#This Row],[Player]],QB!B:O,5,FALSE)</f>
        <v>346.46237053878565</v>
      </c>
      <c r="G2" s="100">
        <f>VLOOKUP(TableQBRanks304034[[#This Row],[Player]],QB!B:O,6,FALSE)</f>
        <v>4001.6403797229746</v>
      </c>
      <c r="H2" s="100">
        <f>VLOOKUP(TableQBRanks304034[[#This Row],[Player]],QB!B:O,7,FALSE)</f>
        <v>27.370527272564068</v>
      </c>
      <c r="I2" s="100">
        <f>VLOOKUP(TableQBRanks304034[[#This Row],[Player]],QB!B:O,8,FALSE)</f>
        <v>11.143251191832489</v>
      </c>
      <c r="J2" s="100">
        <f>VLOOKUP(TableQBRanks304034[[#This Row],[Player]],QB!B:O,9,FALSE)</f>
        <v>105.7124432</v>
      </c>
      <c r="K2" s="100">
        <f>VLOOKUP(TableQBRanks304034[[#This Row],[Player]],QB!B:O,10,FALSE)</f>
        <v>538.18209884132466</v>
      </c>
      <c r="L2" s="100">
        <f>VLOOKUP(TableQBRanks304034[[#This Row],[Player]],QB!B:O,11,FALSE)</f>
        <v>11.659311123198451</v>
      </c>
      <c r="M2" s="95">
        <f>VLOOKUP(TableQBRanks304034[[#This Row],[Player]],QB!B:O,13,FALSE)</f>
        <v>471.56584130967269</v>
      </c>
      <c r="N2" s="140">
        <f>IF(VLOOKUP(TableQBRanks304034[[#This Row],[Player]],'Ranks w Proj'!$B:$N,13,FALSE)&lt;0,0,VLOOKUP(TableQBRanks304034[[#This Row],[Player]],'Ranks w Proj'!$B:$N,13,FALSE))</f>
        <v>40.077402131621454</v>
      </c>
      <c r="P2" s="58">
        <v>1</v>
      </c>
      <c r="Q2" s="58" t="str">
        <f>VLOOKUP(TableRBRanks314135[[#This Row],[RK]],Rankings!A:AI,23,FALSE)</f>
        <v>Bijan Robinson</v>
      </c>
      <c r="R2" s="58" t="str">
        <f>IFERROR(INDEX(TableRBCalcPts[TM],MATCH(TableRBRanks314135[[#This Row],[Player]],TableRBCalcPts[PLAYER],0)),"")</f>
        <v>ATL</v>
      </c>
      <c r="S2" s="58">
        <f>IFERROR(INDEX(TableRBCalcPts[BYE],MATCH(TableRBRanks314135[[#This Row],[Player]],TableRBCalcPts[PLAYER],0)),"")</f>
        <v>11</v>
      </c>
      <c r="T2" s="100">
        <f>VLOOKUP(TableRBRanks314135[[#This Row],[Player]],RB!B:O,4,FALSE)</f>
        <v>264.86942944000003</v>
      </c>
      <c r="U2" s="100">
        <f>VLOOKUP(TableRBRanks314135[[#This Row],[Player]],RB!B:O,5,FALSE)</f>
        <v>1287.2654270784003</v>
      </c>
      <c r="V2" s="100">
        <f>VLOOKUP(TableRBRanks314135[[#This Row],[Player]],RB!B:O,6,FALSE)</f>
        <v>10.065038318720001</v>
      </c>
      <c r="W2" s="100">
        <f>VLOOKUP(TableRBRanks314135[[#This Row],[Player]],RB!B:O,7,FALSE)</f>
        <v>102.17828880000003</v>
      </c>
      <c r="X2" s="100">
        <f>VLOOKUP(TableRBRanks314135[[#This Row],[Player]],RB!B:O,8,FALSE)</f>
        <v>76.394583552176854</v>
      </c>
      <c r="Y2" s="100">
        <f>VLOOKUP(TableRBRanks314135[[#This Row],[Player]],RB!B:O,9,FALSE)</f>
        <v>737.62506684720006</v>
      </c>
      <c r="Z2" s="100">
        <f>VLOOKUP(TableRBRanks314135[[#This Row],[Player]],RB!B:O,10,FALSE)</f>
        <v>3.6379056015915796</v>
      </c>
      <c r="AA2" s="95">
        <f>VLOOKUP(TableRBRanks314135[[#This Row],[Player]],RB!B:O,14,FALSE)</f>
        <v>322.90400469051792</v>
      </c>
      <c r="AB2" s="190">
        <f>TableRBRanks314135[[#This Row],[FPS]]+(TableRBRanks314135[[#This Row],[REC]]*0.5)</f>
        <v>361.10129646660636</v>
      </c>
      <c r="AD2" s="58">
        <v>1</v>
      </c>
      <c r="AE2" s="58" t="str">
        <f>VLOOKUP(TableWRRanks324236[[#This Row],[RK]],Rankings!A:AI,28,FALSE)</f>
        <v>Puka Nacua</v>
      </c>
      <c r="AF2" s="58" t="str">
        <f>IFERROR(INDEX(TableWRCalcPts[TM],MATCH(TableWRRanks324236[[#This Row],[Player]],TableWRCalcPts[PLAYER],0)),"")</f>
        <v>LAR</v>
      </c>
      <c r="AG2" s="58">
        <f>IFERROR(INDEX(TableWRCalcPts[BYE],MATCH(TableWRRanks324236[[#This Row],[Player]],TableWRCalcPts[PLAYER],0)),"")</f>
        <v>11</v>
      </c>
      <c r="AH2" s="100">
        <f>VLOOKUP(TableWRRanks324236[[#This Row],[Player]],WR!B:O,4,FALSE)</f>
        <v>80.681953432518583</v>
      </c>
      <c r="AI2" s="100">
        <f>VLOOKUP(TableWRRanks324236[[#This Row],[Player]],WR!B:O,5,FALSE)</f>
        <v>0.80502599893730076</v>
      </c>
      <c r="AJ2" s="100">
        <f>VLOOKUP(TableWRRanks324236[[#This Row],[Player]],WR!B:O,6,FALSE)</f>
        <v>173.0302048136553</v>
      </c>
      <c r="AK2" s="100">
        <f>VLOOKUP(TableWRRanks324236[[#This Row],[Player]],WR!B:O,7,FALSE)</f>
        <v>122.85144541769526</v>
      </c>
      <c r="AL2" s="100">
        <f>VLOOKUP(TableWRRanks324236[[#This Row],[Player]],WR!B:O,8,FALSE)</f>
        <v>1600.7543337925692</v>
      </c>
      <c r="AM2" s="100">
        <f>VLOOKUP(TableWRRanks324236[[#This Row],[Player]],WR!B:O,9,FALSE)</f>
        <v>9.0910069609094482</v>
      </c>
      <c r="AN2" s="95">
        <f>VLOOKUP(TableWRRanks324236[[#This Row],[Player]],WR!B:O,13,FALSE)</f>
        <v>288.94554919043696</v>
      </c>
      <c r="AO2" s="190">
        <f>TableWRRanks324236[[#This Row],[FPS]]+(TableWRRanks324236[[#This Row],[REC]]*0.5)</f>
        <v>350.37127189928458</v>
      </c>
      <c r="AQ2" s="58">
        <v>1</v>
      </c>
      <c r="AR2" s="58" t="str">
        <f>VLOOKUP(TableTERanks334337[[#This Row],[RK]],Rankings!A:AI,33,FALSE)</f>
        <v>Brock Bowers</v>
      </c>
      <c r="AS2" s="58" t="str">
        <f>IFERROR(INDEX(TableTECalcPts[TM],MATCH(TableTERanks334337[[#This Row],[Player]],TableTECalcPts[PLAYER],0)),"")</f>
        <v>LV</v>
      </c>
      <c r="AT2" s="58">
        <f>IFERROR(INDEX(TableTECalcPts[BYE],MATCH(TableTERanks334337[[#This Row],[Player]],TableTECalcPts[PLAYER],0)),"")</f>
        <v>13</v>
      </c>
      <c r="AU2" s="100">
        <f>VLOOKUP(TableTERanks334337[[#This Row],[Player]],TE!B:O,4,FALSE)</f>
        <v>136.61925984000001</v>
      </c>
      <c r="AV2" s="100">
        <f>VLOOKUP(TableTERanks334337[[#This Row],[Player]],TE!B:O,5,FALSE)</f>
        <v>94.540527809280007</v>
      </c>
      <c r="AW2" s="100">
        <f>VLOOKUP(TableTERanks334337[[#This Row],[Player]],TE!B:O,6,FALSE)</f>
        <v>1016.8526900232712</v>
      </c>
      <c r="AX2" s="100">
        <f>VLOOKUP(TableTERanks334337[[#This Row],[Player]],TE!B:O,7,FALSE)</f>
        <v>6.7123774744588802</v>
      </c>
      <c r="AY2" s="95">
        <f>VLOOKUP(TableTERanks334337[[#This Row],[Player]],TE!B:O,11,FALSE)</f>
        <v>189.22979775372039</v>
      </c>
      <c r="AZ2" s="190">
        <f>TableTERanks334337[[#This Row],[FPS]]+(TableTERanks334337[[#This Row],[REC]]*0.5)</f>
        <v>236.50006165836038</v>
      </c>
    </row>
    <row r="3" spans="1:52" x14ac:dyDescent="0.25">
      <c r="A3" s="58">
        <v>2</v>
      </c>
      <c r="B3" s="58" t="str">
        <f>VLOOKUP(TableQBRanks304034[[#This Row],[RK]],Rankings!A:T,3,FALSE)</f>
        <v>Drake Maye</v>
      </c>
      <c r="C3" s="58" t="str">
        <f>IFERROR(INDEX(TableQBCalcPts[TM],MATCH(TableQBRanks304034[[#This Row],[Player]],TableQBCalcPts[PLAYER],0)),"")</f>
        <v>NE</v>
      </c>
      <c r="D3" s="58">
        <f>IFERROR(INDEX(TableQBCalcPts[BYE],MATCH(TableQBRanks304034[[#This Row],[Player]],TableQBCalcPts[PLAYER],0)),"")</f>
        <v>11</v>
      </c>
      <c r="E3" s="100">
        <f>VLOOKUP(TableQBRanks304034[[#This Row],[Player]],QB!B:O,4,FALSE)</f>
        <v>545.37979999999993</v>
      </c>
      <c r="F3" s="100">
        <f>VLOOKUP(TableQBRanks304034[[#This Row],[Player]],QB!B:O,5,FALSE)</f>
        <v>383.40199939999991</v>
      </c>
      <c r="G3" s="100">
        <f>VLOOKUP(TableQBRanks304034[[#This Row],[Player]],QB!B:O,6,FALSE)</f>
        <v>4412.9570130939992</v>
      </c>
      <c r="H3" s="100">
        <f>VLOOKUP(TableQBRanks304034[[#This Row],[Player]],QB!B:O,7,FALSE)</f>
        <v>29.905355953199994</v>
      </c>
      <c r="I3" s="100">
        <f>VLOOKUP(TableQBRanks304034[[#This Row],[Player]],QB!B:O,8,FALSE)</f>
        <v>11.850977386295915</v>
      </c>
      <c r="J3" s="100">
        <f>VLOOKUP(TableQBRanks304034[[#This Row],[Player]],QB!B:O,9,FALSE)</f>
        <v>86.66193899999999</v>
      </c>
      <c r="K3" s="100">
        <f>VLOOKUP(TableQBRanks304034[[#This Row],[Player]],QB!B:O,10,FALSE)</f>
        <v>416.84392658999991</v>
      </c>
      <c r="L3" s="100">
        <f>VLOOKUP(TableQBRanks304034[[#This Row],[Player]],QB!B:O,11,FALSE)</f>
        <v>3.6398014379999997</v>
      </c>
      <c r="M3" s="95">
        <f>VLOOKUP(TableQBRanks304034[[#This Row],[Player]],QB!B:O,13,FALSE)</f>
        <v>445.96284008366393</v>
      </c>
      <c r="N3" s="140">
        <f>IF(VLOOKUP(TableQBRanks304034[[#This Row],[Player]],'Ranks w Proj'!$B:$N,13,FALSE)&lt;0,0,VLOOKUP(TableQBRanks304034[[#This Row],[Player]],'Ranks w Proj'!$B:$N,13,FALSE))</f>
        <v>34.159683353746708</v>
      </c>
      <c r="P3" s="58">
        <v>2</v>
      </c>
      <c r="Q3" s="58" t="str">
        <f>VLOOKUP(TableRBRanks314135[[#This Row],[RK]],Rankings!A:AI,23,FALSE)</f>
        <v>Jahmyr Gibbs</v>
      </c>
      <c r="R3" s="58" t="str">
        <f>IFERROR(INDEX(TableRBCalcPts[TM],MATCH(TableRBRanks314135[[#This Row],[Player]],TableRBCalcPts[PLAYER],0)),"")</f>
        <v>DET</v>
      </c>
      <c r="S3" s="58">
        <f>IFERROR(INDEX(TableRBCalcPts[BYE],MATCH(TableRBRanks314135[[#This Row],[Player]],TableRBCalcPts[PLAYER],0)),"")</f>
        <v>6</v>
      </c>
      <c r="T3" s="100">
        <f>VLOOKUP(TableRBRanks314135[[#This Row],[Player]],RB!B:O,4,FALSE)</f>
        <v>260.11842080000002</v>
      </c>
      <c r="U3" s="100">
        <f>VLOOKUP(TableRBRanks314135[[#This Row],[Player]],RB!B:O,5,FALSE)</f>
        <v>1279.782630336</v>
      </c>
      <c r="V3" s="100">
        <f>VLOOKUP(TableRBRanks314135[[#This Row],[Player]],RB!B:O,6,FALSE)</f>
        <v>13.526157881600001</v>
      </c>
      <c r="W3" s="100">
        <f>VLOOKUP(TableRBRanks314135[[#This Row],[Player]],RB!B:O,7,FALSE)</f>
        <v>93.666047999999975</v>
      </c>
      <c r="X3" s="100">
        <f>VLOOKUP(TableRBRanks314135[[#This Row],[Player]],RB!B:O,8,FALSE)</f>
        <v>72.778519295999985</v>
      </c>
      <c r="Y3" s="100">
        <f>VLOOKUP(TableRBRanks314135[[#This Row],[Player]],RB!B:O,9,FALSE)</f>
        <v>575.01351531904493</v>
      </c>
      <c r="Z3" s="100">
        <f>VLOOKUP(TableRBRanks314135[[#This Row],[Player]],RB!B:O,10,FALSE)</f>
        <v>3.5207265372926151</v>
      </c>
      <c r="AA3" s="95">
        <f>VLOOKUP(TableRBRanks314135[[#This Row],[Player]],RB!B:O,14,FALSE)</f>
        <v>324.15018072686019</v>
      </c>
      <c r="AB3" s="190">
        <f>TableRBRanks314135[[#This Row],[FPS]]+(TableRBRanks314135[[#This Row],[REC]]*0.5)</f>
        <v>360.53944037486019</v>
      </c>
      <c r="AD3" s="58">
        <v>2</v>
      </c>
      <c r="AE3" s="58" t="str">
        <f>VLOOKUP(TableWRRanks324236[[#This Row],[RK]],Rankings!A:AI,28,FALSE)</f>
        <v>Jaxon Smith-Njigba</v>
      </c>
      <c r="AF3" s="58" t="str">
        <f>IFERROR(INDEX(TableWRCalcPts[TM],MATCH(TableWRRanks324236[[#This Row],[Player]],TableWRCalcPts[PLAYER],0)),"")</f>
        <v>SEA</v>
      </c>
      <c r="AG3" s="58">
        <f>IFERROR(INDEX(TableWRCalcPts[BYE],MATCH(TableWRRanks324236[[#This Row],[Player]],TableWRCalcPts[PLAYER],0)),"")</f>
        <v>11</v>
      </c>
      <c r="AH3" s="100">
        <f>VLOOKUP(TableWRRanks324236[[#This Row],[Player]],WR!B:O,4,FALSE)</f>
        <v>29.701884942186943</v>
      </c>
      <c r="AI3" s="100">
        <f>VLOOKUP(TableWRRanks324236[[#This Row],[Player]],WR!B:O,5,FALSE)</f>
        <v>6.7405473662896301E-2</v>
      </c>
      <c r="AJ3" s="100">
        <f>VLOOKUP(TableWRRanks324236[[#This Row],[Player]],WR!B:O,6,FALSE)</f>
        <v>166.05532776000001</v>
      </c>
      <c r="AK3" s="100">
        <f>VLOOKUP(TableWRRanks324236[[#This Row],[Player]],WR!B:O,7,FALSE)</f>
        <v>119.72589131496001</v>
      </c>
      <c r="AL3" s="100">
        <f>VLOOKUP(TableWRRanks324236[[#This Row],[Player]],WR!B:O,8,FALSE)</f>
        <v>1773.1404503745578</v>
      </c>
      <c r="AM3" s="100">
        <f>VLOOKUP(TableWRRanks324236[[#This Row],[Player]],WR!B:O,9,FALSE)</f>
        <v>9.9372489791416818</v>
      </c>
      <c r="AN3" s="95">
        <f>VLOOKUP(TableWRRanks324236[[#This Row],[Player]],WR!B:O,13,FALSE)</f>
        <v>300.17510590598198</v>
      </c>
      <c r="AO3" s="190">
        <f>TableWRRanks324236[[#This Row],[FPS]]+(TableWRRanks324236[[#This Row],[REC]]*0.5)</f>
        <v>360.03805156346198</v>
      </c>
      <c r="AQ3" s="58">
        <v>2</v>
      </c>
      <c r="AR3" s="58" t="str">
        <f>VLOOKUP(TableTERanks334337[[#This Row],[RK]],Rankings!A:AI,33,FALSE)</f>
        <v>Trey McBride</v>
      </c>
      <c r="AS3" s="58" t="str">
        <f>IFERROR(INDEX(TableTECalcPts[TM],MATCH(TableTERanks334337[[#This Row],[Player]],TableTECalcPts[PLAYER],0)),"")</f>
        <v>ARI</v>
      </c>
      <c r="AT3" s="58">
        <f>IFERROR(INDEX(TableTECalcPts[BYE],MATCH(TableTERanks334337[[#This Row],[Player]],TableTECalcPts[PLAYER],0)),"")</f>
        <v>14</v>
      </c>
      <c r="AU3" s="100">
        <f>VLOOKUP(TableTERanks334337[[#This Row],[Player]],TE!B:O,4,FALSE)</f>
        <v>140.09546880000002</v>
      </c>
      <c r="AV3" s="100">
        <f>VLOOKUP(TableTERanks334337[[#This Row],[Player]],TE!B:O,5,FALSE)</f>
        <v>97.851594983020078</v>
      </c>
      <c r="AW3" s="100">
        <f>VLOOKUP(TableTERanks334337[[#This Row],[Player]],TE!B:O,6,FALSE)</f>
        <v>972.64485413121952</v>
      </c>
      <c r="AX3" s="100">
        <f>VLOOKUP(TableTERanks334337[[#This Row],[Player]],TE!B:O,7,FALSE)</f>
        <v>6.1646504839302647</v>
      </c>
      <c r="AY3" s="95">
        <f>VLOOKUP(TableTERanks334337[[#This Row],[Player]],TE!B:O,11,FALSE)</f>
        <v>183.17818580821358</v>
      </c>
      <c r="AZ3" s="190">
        <f>TableTERanks334337[[#This Row],[FPS]]+(TableTERanks334337[[#This Row],[REC]]*0.5)</f>
        <v>232.10398329972361</v>
      </c>
    </row>
    <row r="4" spans="1:52" x14ac:dyDescent="0.25">
      <c r="A4" s="58">
        <v>3</v>
      </c>
      <c r="B4" s="58" t="str">
        <f>VLOOKUP(TableQBRanks304034[[#This Row],[RK]],Rankings!A:T,3,FALSE)</f>
        <v>Lamar Jackson</v>
      </c>
      <c r="C4" s="58" t="str">
        <f>IFERROR(INDEX(TableQBCalcPts[TM],MATCH(TableQBRanks304034[[#This Row],[Player]],TableQBCalcPts[PLAYER],0)),"")</f>
        <v>BAL</v>
      </c>
      <c r="D4" s="58">
        <f>IFERROR(INDEX(TableQBCalcPts[BYE],MATCH(TableQBRanks304034[[#This Row],[Player]],TableQBCalcPts[PLAYER],0)),"")</f>
        <v>13</v>
      </c>
      <c r="E4" s="100">
        <f>VLOOKUP(TableQBRanks304034[[#This Row],[Player]],QB!B:O,4,FALSE)</f>
        <v>455.57439999999997</v>
      </c>
      <c r="F4" s="100">
        <f>VLOOKUP(TableQBRanks304034[[#This Row],[Player]],QB!B:O,5,FALSE)</f>
        <v>294.66200484712675</v>
      </c>
      <c r="G4" s="100">
        <f>VLOOKUP(TableQBRanks304034[[#This Row],[Player]],QB!B:O,6,FALSE)</f>
        <v>3653.8088601043719</v>
      </c>
      <c r="H4" s="100">
        <f>VLOOKUP(TableQBRanks304034[[#This Row],[Player]],QB!B:O,7,FALSE)</f>
        <v>27.509901520511995</v>
      </c>
      <c r="I4" s="100">
        <f>VLOOKUP(TableQBRanks304034[[#This Row],[Player]],QB!B:O,8,FALSE)</f>
        <v>8.6775547780125564</v>
      </c>
      <c r="J4" s="100">
        <f>VLOOKUP(TableQBRanks304034[[#This Row],[Player]],QB!B:O,9,FALSE)</f>
        <v>127.95454966421661</v>
      </c>
      <c r="K4" s="100">
        <f>VLOOKUP(TableQBRanks304034[[#This Row],[Player]],QB!B:O,10,FALSE)</f>
        <v>723.43585354761888</v>
      </c>
      <c r="L4" s="100">
        <f>VLOOKUP(TableQBRanks304034[[#This Row],[Player]],QB!B:O,11,FALSE)</f>
        <v>3.5060651957753577</v>
      </c>
      <c r="M4" s="95">
        <f>VLOOKUP(TableQBRanks304034[[#This Row],[Player]],QB!B:O,13,FALSE)</f>
        <v>425.38038576336101</v>
      </c>
      <c r="N4" s="140">
        <f>IF(VLOOKUP(TableQBRanks304034[[#This Row],[Player]],'Ranks w Proj'!$B:$N,13,FALSE)&lt;0,0,VLOOKUP(TableQBRanks304034[[#This Row],[Player]],'Ranks w Proj'!$B:$N,13,FALSE))</f>
        <v>28.94425009689326</v>
      </c>
      <c r="P4" s="58">
        <v>3</v>
      </c>
      <c r="Q4" s="58" t="str">
        <f>VLOOKUP(TableRBRanks314135[[#This Row],[RK]],Rankings!A:AI,23,FALSE)</f>
        <v>Christian McCaffrey</v>
      </c>
      <c r="R4" s="58" t="str">
        <f>IFERROR(INDEX(TableRBCalcPts[TM],MATCH(TableRBRanks314135[[#This Row],[Player]],TableRBCalcPts[PLAYER],0)),"")</f>
        <v>SF</v>
      </c>
      <c r="S4" s="58">
        <f>IFERROR(INDEX(TableRBCalcPts[BYE],MATCH(TableRBRanks314135[[#This Row],[Player]],TableRBCalcPts[PLAYER],0)),"")</f>
        <v>8</v>
      </c>
      <c r="T4" s="100">
        <f>VLOOKUP(TableRBRanks314135[[#This Row],[Player]],RB!B:O,4,FALSE)</f>
        <v>254.66866432</v>
      </c>
      <c r="U4" s="100">
        <f>VLOOKUP(TableRBRanks314135[[#This Row],[Player]],RB!B:O,5,FALSE)</f>
        <v>1049.2348969984</v>
      </c>
      <c r="V4" s="100">
        <f>VLOOKUP(TableRBRanks314135[[#This Row],[Player]],RB!B:O,6,FALSE)</f>
        <v>8.9812697224945435</v>
      </c>
      <c r="W4" s="100">
        <f>VLOOKUP(TableRBRanks314135[[#This Row],[Player]],RB!B:O,7,FALSE)</f>
        <v>100.92519808</v>
      </c>
      <c r="X4" s="100">
        <f>VLOOKUP(TableRBRanks314135[[#This Row],[Player]],RB!B:O,8,FALSE)</f>
        <v>82.85958762368</v>
      </c>
      <c r="Y4" s="100">
        <f>VLOOKUP(TableRBRanks314135[[#This Row],[Player]],RB!B:O,9,FALSE)</f>
        <v>752.20054293276496</v>
      </c>
      <c r="Z4" s="100">
        <f>VLOOKUP(TableRBRanks314135[[#This Row],[Player]],RB!B:O,10,FALSE)</f>
        <v>5.3858731955392001</v>
      </c>
      <c r="AA4" s="95">
        <f>VLOOKUP(TableRBRanks314135[[#This Row],[Player]],RB!B:O,14,FALSE)</f>
        <v>307.77619531315895</v>
      </c>
      <c r="AB4" s="190">
        <f>TableRBRanks314135[[#This Row],[FPS]]+(TableRBRanks314135[[#This Row],[REC]]*0.5)</f>
        <v>349.20598912499895</v>
      </c>
      <c r="AD4" s="58">
        <v>3</v>
      </c>
      <c r="AE4" s="58" t="str">
        <f>VLOOKUP(TableWRRanks324236[[#This Row],[RK]],Rankings!A:AI,28,FALSE)</f>
        <v>Ja'Marr Chase</v>
      </c>
      <c r="AF4" s="58" t="str">
        <f>IFERROR(INDEX(TableWRCalcPts[TM],MATCH(TableWRRanks324236[[#This Row],[Player]],TableWRCalcPts[PLAYER],0)),"")</f>
        <v>CIN</v>
      </c>
      <c r="AG4" s="58">
        <f>IFERROR(INDEX(TableWRCalcPts[BYE],MATCH(TableWRRanks324236[[#This Row],[Player]],TableWRCalcPts[PLAYER],0)),"")</f>
        <v>6</v>
      </c>
      <c r="AH4" s="100">
        <f>VLOOKUP(TableWRRanks324236[[#This Row],[Player]],WR!B:O,4,FALSE)</f>
        <v>14.884963338313767</v>
      </c>
      <c r="AI4" s="100">
        <f>VLOOKUP(TableWRRanks324236[[#This Row],[Player]],WR!B:O,5,FALSE)</f>
        <v>4.8294128068303098E-2</v>
      </c>
      <c r="AJ4" s="100">
        <f>VLOOKUP(TableWRRanks324236[[#This Row],[Player]],WR!B:O,6,FALSE)</f>
        <v>189.1810375</v>
      </c>
      <c r="AK4" s="100">
        <f>VLOOKUP(TableWRRanks324236[[#This Row],[Player]],WR!B:O,7,FALSE)</f>
        <v>130.50871869868942</v>
      </c>
      <c r="AL4" s="100">
        <f>VLOOKUP(TableWRRanks324236[[#This Row],[Player]],WR!B:O,8,FALSE)</f>
        <v>1621.4955597299952</v>
      </c>
      <c r="AM4" s="100">
        <f>VLOOKUP(TableWRRanks324236[[#This Row],[Player]],WR!B:O,9,FALSE)</f>
        <v>11.615275964183358</v>
      </c>
      <c r="AN4" s="95">
        <f>VLOOKUP(TableWRRanks324236[[#This Row],[Player]],WR!B:O,13,FALSE)</f>
        <v>298.87383220968559</v>
      </c>
      <c r="AO4" s="190">
        <f>TableWRRanks324236[[#This Row],[FPS]]+(TableWRRanks324236[[#This Row],[REC]]*0.5)</f>
        <v>364.12819155903031</v>
      </c>
      <c r="AQ4" s="58">
        <v>3</v>
      </c>
      <c r="AR4" s="58" t="str">
        <f>VLOOKUP(TableTERanks334337[[#This Row],[RK]],Rankings!A:AI,33,FALSE)</f>
        <v>Colston Loveland</v>
      </c>
      <c r="AS4" s="58" t="str">
        <f>IFERROR(INDEX(TableTECalcPts[TM],MATCH(TableTERanks334337[[#This Row],[Player]],TableTECalcPts[PLAYER],0)),"")</f>
        <v>CHI</v>
      </c>
      <c r="AT4" s="58">
        <f>IFERROR(INDEX(TableTECalcPts[BYE],MATCH(TableTERanks334337[[#This Row],[Player]],TableTECalcPts[PLAYER],0)),"")</f>
        <v>10</v>
      </c>
      <c r="AU4" s="100">
        <f>VLOOKUP(TableTERanks334337[[#This Row],[Player]],TE!B:O,4,FALSE)</f>
        <v>122.93785616000001</v>
      </c>
      <c r="AV4" s="100">
        <f>VLOOKUP(TableTERanks334337[[#This Row],[Player]],TE!B:O,5,FALSE)</f>
        <v>83.843617901120012</v>
      </c>
      <c r="AW4" s="100">
        <f>VLOOKUP(TableTERanks334337[[#This Row],[Player]],TE!B:O,6,FALSE)</f>
        <v>1012.8309042455297</v>
      </c>
      <c r="AX4" s="100">
        <f>VLOOKUP(TableTERanks334337[[#This Row],[Player]],TE!B:O,7,FALSE)</f>
        <v>8.3843617901120009</v>
      </c>
      <c r="AY4" s="95">
        <f>VLOOKUP(TableTERanks334337[[#This Row],[Player]],TE!B:O,11,FALSE)</f>
        <v>193.51107011578497</v>
      </c>
      <c r="AZ4" s="190">
        <f>TableTERanks334337[[#This Row],[FPS]]+(TableTERanks334337[[#This Row],[REC]]*0.5)</f>
        <v>235.43287906634498</v>
      </c>
    </row>
    <row r="5" spans="1:52" x14ac:dyDescent="0.25">
      <c r="A5" s="58">
        <v>4</v>
      </c>
      <c r="B5" s="58" t="str">
        <f>VLOOKUP(TableQBRanks304034[[#This Row],[RK]],Rankings!A:T,3,FALSE)</f>
        <v>Jayden Daniels</v>
      </c>
      <c r="C5" s="58" t="str">
        <f>IFERROR(INDEX(TableQBCalcPts[TM],MATCH(TableQBRanks304034[[#This Row],[Player]],TableQBCalcPts[PLAYER],0)),"")</f>
        <v>WSH</v>
      </c>
      <c r="D5" s="58">
        <f>IFERROR(INDEX(TableQBCalcPts[BYE],MATCH(TableQBRanks304034[[#This Row],[Player]],TableQBCalcPts[PLAYER],0)),"")</f>
        <v>7</v>
      </c>
      <c r="E5" s="100">
        <f>VLOOKUP(TableQBRanks304034[[#This Row],[Player]],QB!B:O,4,FALSE)</f>
        <v>482.58289999999994</v>
      </c>
      <c r="F5" s="100">
        <f>VLOOKUP(TableQBRanks304034[[#This Row],[Player]],QB!B:O,5,FALSE)</f>
        <v>319.10744445753329</v>
      </c>
      <c r="G5" s="100">
        <f>VLOOKUP(TableQBRanks304034[[#This Row],[Player]],QB!B:O,6,FALSE)</f>
        <v>3518.5626973932303</v>
      </c>
      <c r="H5" s="100">
        <f>VLOOKUP(TableQBRanks304034[[#This Row],[Player]],QB!B:O,7,FALSE)</f>
        <v>22.337521112027332</v>
      </c>
      <c r="I5" s="100">
        <f>VLOOKUP(TableQBRanks304034[[#This Row],[Player]],QB!B:O,8,FALSE)</f>
        <v>9.1155950210989563</v>
      </c>
      <c r="J5" s="100">
        <f>VLOOKUP(TableQBRanks304034[[#This Row],[Player]],QB!B:O,9,FALSE)</f>
        <v>129.95258640000006</v>
      </c>
      <c r="K5" s="100">
        <f>VLOOKUP(TableQBRanks304034[[#This Row],[Player]],QB!B:O,10,FALSE)</f>
        <v>734.23211316000038</v>
      </c>
      <c r="L5" s="100">
        <f>VLOOKUP(TableQBRanks304034[[#This Row],[Player]],QB!B:O,11,FALSE)</f>
        <v>4.808245696800002</v>
      </c>
      <c r="M5" s="95">
        <f>VLOOKUP(TableQBRanks304034[[#This Row],[Player]],QB!B:O,13,FALSE)</f>
        <v>399.83546948934764</v>
      </c>
      <c r="N5" s="140">
        <f>IF(VLOOKUP(TableQBRanks304034[[#This Row],[Player]],'Ranks w Proj'!$B:$N,13,FALSE)&lt;0,0,VLOOKUP(TableQBRanks304034[[#This Row],[Player]],'Ranks w Proj'!$B:$N,13,FALSE))</f>
        <v>19.812211630289035</v>
      </c>
      <c r="P5" s="58">
        <v>4</v>
      </c>
      <c r="Q5" s="58" t="str">
        <f>VLOOKUP(TableRBRanks314135[[#This Row],[RK]],Rankings!A:AI,23,FALSE)</f>
        <v>Jonathan Taylor</v>
      </c>
      <c r="R5" s="58" t="str">
        <f>IFERROR(INDEX(TableRBCalcPts[TM],MATCH(TableRBRanks314135[[#This Row],[Player]],TableRBCalcPts[PLAYER],0)),"")</f>
        <v>IND</v>
      </c>
      <c r="S5" s="58">
        <f>IFERROR(INDEX(TableRBCalcPts[BYE],MATCH(TableRBRanks314135[[#This Row],[Player]],TableRBCalcPts[PLAYER],0)),"")</f>
        <v>13</v>
      </c>
      <c r="T5" s="100">
        <f>VLOOKUP(TableRBRanks314135[[#This Row],[Player]],RB!B:O,4,FALSE)</f>
        <v>303.2034544</v>
      </c>
      <c r="U5" s="100">
        <f>VLOOKUP(TableRBRanks314135[[#This Row],[Player]],RB!B:O,5,FALSE)</f>
        <v>1452.6606494689795</v>
      </c>
      <c r="V5" s="100">
        <f>VLOOKUP(TableRBRanks314135[[#This Row],[Player]],RB!B:O,6,FALSE)</f>
        <v>13.251572502380769</v>
      </c>
      <c r="W5" s="100">
        <f>VLOOKUP(TableRBRanks314135[[#This Row],[Player]],RB!B:O,7,FALSE)</f>
        <v>56.964969599999996</v>
      </c>
      <c r="X5" s="100">
        <f>VLOOKUP(TableRBRanks314135[[#This Row],[Player]],RB!B:O,8,FALSE)</f>
        <v>43.655331304608843</v>
      </c>
      <c r="Y5" s="100">
        <f>VLOOKUP(TableRBRanks314135[[#This Row],[Player]],RB!B:O,9,FALSE)</f>
        <v>331.16475852092032</v>
      </c>
      <c r="Z5" s="100">
        <f>VLOOKUP(TableRBRanks314135[[#This Row],[Player]],RB!B:O,10,FALSE)</f>
        <v>1.3533152704428741</v>
      </c>
      <c r="AA5" s="95">
        <f>VLOOKUP(TableRBRanks314135[[#This Row],[Player]],RB!B:O,14,FALSE)</f>
        <v>287.83953308823624</v>
      </c>
      <c r="AB5" s="190">
        <f>TableRBRanks314135[[#This Row],[FPS]]+(TableRBRanks314135[[#This Row],[REC]]*0.5)</f>
        <v>309.66719874054064</v>
      </c>
      <c r="AD5" s="58">
        <v>4</v>
      </c>
      <c r="AE5" s="58" t="str">
        <f>VLOOKUP(TableWRRanks324236[[#This Row],[RK]],Rankings!A:AI,28,FALSE)</f>
        <v>Amon-Ra St. Brown</v>
      </c>
      <c r="AF5" s="58" t="str">
        <f>IFERROR(INDEX(TableWRCalcPts[TM],MATCH(TableWRRanks324236[[#This Row],[Player]],TableWRCalcPts[PLAYER],0)),"")</f>
        <v>DET</v>
      </c>
      <c r="AG5" s="58">
        <f>IFERROR(INDEX(TableWRCalcPts[BYE],MATCH(TableWRRanks324236[[#This Row],[Player]],TableWRCalcPts[PLAYER],0)),"")</f>
        <v>6</v>
      </c>
      <c r="AH5" s="100">
        <f>VLOOKUP(TableWRRanks324236[[#This Row],[Player]],WR!B:O,4,FALSE)</f>
        <v>10.987722675575707</v>
      </c>
      <c r="AI5" s="100">
        <f>VLOOKUP(TableWRRanks324236[[#This Row],[Player]],WR!B:O,5,FALSE)</f>
        <v>2.6346927574275147E-2</v>
      </c>
      <c r="AJ5" s="100">
        <f>VLOOKUP(TableWRRanks324236[[#This Row],[Player]],WR!B:O,6,FALSE)</f>
        <v>172.69677599999994</v>
      </c>
      <c r="AK5" s="100">
        <f>VLOOKUP(TableWRRanks324236[[#This Row],[Player]],WR!B:O,7,FALSE)</f>
        <v>120.54234964799996</v>
      </c>
      <c r="AL5" s="100">
        <f>VLOOKUP(TableWRRanks324236[[#This Row],[Player]],WR!B:O,8,FALSE)</f>
        <v>1423.6051493428795</v>
      </c>
      <c r="AM5" s="100">
        <f>VLOOKUP(TableWRRanks324236[[#This Row],[Player]],WR!B:O,9,FALSE)</f>
        <v>9.8844726711359971</v>
      </c>
      <c r="AN5" s="95">
        <f>VLOOKUP(TableWRRanks324236[[#This Row],[Player]],WR!B:O,13,FALSE)</f>
        <v>263.19537961810715</v>
      </c>
      <c r="AO5" s="190">
        <f>TableWRRanks324236[[#This Row],[FPS]]+(TableWRRanks324236[[#This Row],[REC]]*0.5)</f>
        <v>323.46655444210711</v>
      </c>
      <c r="AQ5" s="58">
        <v>4</v>
      </c>
      <c r="AR5" s="58" t="str">
        <f>VLOOKUP(TableTERanks334337[[#This Row],[RK]],Rankings!A:AI,33,FALSE)</f>
        <v>Tyler Warren</v>
      </c>
      <c r="AS5" s="58" t="str">
        <f>IFERROR(INDEX(TableTECalcPts[TM],MATCH(TableTERanks334337[[#This Row],[Player]],TableTECalcPts[PLAYER],0)),"")</f>
        <v>IND</v>
      </c>
      <c r="AT5" s="58">
        <f>IFERROR(INDEX(TableTECalcPts[BYE],MATCH(TableTERanks334337[[#This Row],[Player]],TableTECalcPts[PLAYER],0)),"")</f>
        <v>13</v>
      </c>
      <c r="AU5" s="100">
        <f>VLOOKUP(TableTERanks334337[[#This Row],[Player]],TE!B:O,4,FALSE)</f>
        <v>118.63346879999999</v>
      </c>
      <c r="AV5" s="100">
        <f>VLOOKUP(TableTERanks334337[[#This Row],[Player]],TE!B:O,5,FALSE)</f>
        <v>87.076966099199993</v>
      </c>
      <c r="AW5" s="100">
        <f>VLOOKUP(TableTERanks334337[[#This Row],[Player]],TE!B:O,6,FALSE)</f>
        <v>902.98813844870381</v>
      </c>
      <c r="AX5" s="100">
        <f>VLOOKUP(TableTERanks334337[[#This Row],[Player]],TE!B:O,7,FALSE)</f>
        <v>5.7470797625471999</v>
      </c>
      <c r="AY5" s="95">
        <f>VLOOKUP(TableTERanks334337[[#This Row],[Player]],TE!B:O,11,FALSE)</f>
        <v>168.31977546975355</v>
      </c>
      <c r="AZ5" s="190">
        <f>TableTERanks334337[[#This Row],[FPS]]+(TableTERanks334337[[#This Row],[REC]]*0.5)</f>
        <v>211.85825851935354</v>
      </c>
    </row>
    <row r="6" spans="1:52" x14ac:dyDescent="0.25">
      <c r="A6" s="58">
        <v>5</v>
      </c>
      <c r="B6" s="58" t="str">
        <f>VLOOKUP(TableQBRanks304034[[#This Row],[RK]],Rankings!A:T,3,FALSE)</f>
        <v>Joe Burrow</v>
      </c>
      <c r="C6" s="58" t="str">
        <f>IFERROR(INDEX(TableQBCalcPts[TM],MATCH(TableQBRanks304034[[#This Row],[Player]],TableQBCalcPts[PLAYER],0)),"")</f>
        <v>CIN</v>
      </c>
      <c r="D6" s="58">
        <f>IFERROR(INDEX(TableQBCalcPts[BYE],MATCH(TableQBRanks304034[[#This Row],[Player]],TableQBCalcPts[PLAYER],0)),"")</f>
        <v>6</v>
      </c>
      <c r="E6" s="100">
        <f>VLOOKUP(TableQBRanks304034[[#This Row],[Player]],QB!B:O,4,FALSE)</f>
        <v>613.34375</v>
      </c>
      <c r="F6" s="100">
        <f>VLOOKUP(TableQBRanks304034[[#This Row],[Player]],QB!B:O,5,FALSE)</f>
        <v>419.80440510814873</v>
      </c>
      <c r="G6" s="100">
        <f>VLOOKUP(TableQBRanks304034[[#This Row],[Player]],QB!B:O,6,FALSE)</f>
        <v>4542.2836632701692</v>
      </c>
      <c r="H6" s="100">
        <f>VLOOKUP(TableQBRanks304034[[#This Row],[Player]],QB!B:O,7,FALSE)</f>
        <v>36.103178839300789</v>
      </c>
      <c r="I6" s="100">
        <f>VLOOKUP(TableQBRanks304034[[#This Row],[Player]],QB!B:O,8,FALSE)</f>
        <v>11.04144846541895</v>
      </c>
      <c r="J6" s="100">
        <f>VLOOKUP(TableQBRanks304034[[#This Row],[Player]],QB!B:O,9,FALSE)</f>
        <v>37.203494999999997</v>
      </c>
      <c r="K6" s="100">
        <f>VLOOKUP(TableQBRanks304034[[#This Row],[Player]],QB!B:O,10,FALSE)</f>
        <v>131.04229460580694</v>
      </c>
      <c r="L6" s="100">
        <f>VLOOKUP(TableQBRanks304034[[#This Row],[Player]],QB!B:O,11,FALSE)</f>
        <v>1.078901355</v>
      </c>
      <c r="M6" s="95">
        <f>VLOOKUP(TableQBRanks304034[[#This Row],[Player]],QB!B:O,13,FALSE)</f>
        <v>448.82704920258811</v>
      </c>
      <c r="N6" s="140">
        <f>IF(VLOOKUP(TableQBRanks304034[[#This Row],[Player]],'Ranks w Proj'!$B:$N,13,FALSE)&lt;0,0,VLOOKUP(TableQBRanks304034[[#This Row],[Player]],'Ranks w Proj'!$B:$N,13,FALSE))</f>
        <v>35.720992523403901</v>
      </c>
      <c r="P6" s="58">
        <v>5</v>
      </c>
      <c r="Q6" s="58" t="str">
        <f>VLOOKUP(TableRBRanks314135[[#This Row],[RK]],Rankings!A:AI,23,FALSE)</f>
        <v>James Cook</v>
      </c>
      <c r="R6" s="58" t="str">
        <f>IFERROR(INDEX(TableRBCalcPts[TM],MATCH(TableRBRanks314135[[#This Row],[Player]],TableRBCalcPts[PLAYER],0)),"")</f>
        <v>BUF</v>
      </c>
      <c r="S6" s="58">
        <f>IFERROR(INDEX(TableRBCalcPts[BYE],MATCH(TableRBRanks314135[[#This Row],[Player]],TableRBCalcPts[PLAYER],0)),"")</f>
        <v>7</v>
      </c>
      <c r="T6" s="100">
        <f>VLOOKUP(TableRBRanks314135[[#This Row],[Player]],RB!B:O,4,FALSE)</f>
        <v>275.25126719999997</v>
      </c>
      <c r="U6" s="100">
        <f>VLOOKUP(TableRBRanks314135[[#This Row],[Player]],RB!B:O,5,FALSE)</f>
        <v>1356.9887472959997</v>
      </c>
      <c r="V6" s="100">
        <f>VLOOKUP(TableRBRanks314135[[#This Row],[Player]],RB!B:O,6,FALSE)</f>
        <v>9.9643321198835419</v>
      </c>
      <c r="W6" s="100">
        <f>VLOOKUP(TableRBRanks314135[[#This Row],[Player]],RB!B:O,7,FALSE)</f>
        <v>45.968075999999989</v>
      </c>
      <c r="X6" s="100">
        <f>VLOOKUP(TableRBRanks314135[[#This Row],[Player]],RB!B:O,8,FALSE)</f>
        <v>34.768849644722884</v>
      </c>
      <c r="Y6" s="100">
        <f>VLOOKUP(TableRBRanks314135[[#This Row],[Player]],RB!B:O,9,FALSE)</f>
        <v>281.62768212225535</v>
      </c>
      <c r="Z6" s="100">
        <f>VLOOKUP(TableRBRanks314135[[#This Row],[Player]],RB!B:O,10,FALSE)</f>
        <v>1.9945345104578305</v>
      </c>
      <c r="AA6" s="95">
        <f>VLOOKUP(TableRBRanks314135[[#This Row],[Player]],RB!B:O,14,FALSE)</f>
        <v>252.99926754623516</v>
      </c>
      <c r="AB6" s="190">
        <f>TableRBRanks314135[[#This Row],[FPS]]+(TableRBRanks314135[[#This Row],[REC]]*0.5)</f>
        <v>270.3836923685966</v>
      </c>
      <c r="AD6" s="58">
        <v>5</v>
      </c>
      <c r="AE6" s="58" t="str">
        <f>VLOOKUP(TableWRRanks324236[[#This Row],[RK]],Rankings!A:AI,28,FALSE)</f>
        <v>Justin Jefferson</v>
      </c>
      <c r="AF6" s="58" t="str">
        <f>IFERROR(INDEX(TableWRCalcPts[TM],MATCH(TableWRRanks324236[[#This Row],[Player]],TableWRCalcPts[PLAYER],0)),"")</f>
        <v>MIN</v>
      </c>
      <c r="AG6" s="58">
        <f>IFERROR(INDEX(TableWRCalcPts[BYE],MATCH(TableWRRanks324236[[#This Row],[Player]],TableWRCalcPts[PLAYER],0)),"")</f>
        <v>6</v>
      </c>
      <c r="AH6" s="100">
        <f>VLOOKUP(TableWRRanks324236[[#This Row],[Player]],WR!B:O,4,FALSE)</f>
        <v>0</v>
      </c>
      <c r="AI6" s="100">
        <f>VLOOKUP(TableWRRanks324236[[#This Row],[Player]],WR!B:O,5,FALSE)</f>
        <v>0</v>
      </c>
      <c r="AJ6" s="100">
        <f>VLOOKUP(TableWRRanks324236[[#This Row],[Player]],WR!B:O,6,FALSE)</f>
        <v>152.61732863999998</v>
      </c>
      <c r="AK6" s="100">
        <f>VLOOKUP(TableWRRanks324236[[#This Row],[Player]],WR!B:O,7,FALSE)</f>
        <v>101.33790621695999</v>
      </c>
      <c r="AL6" s="100">
        <f>VLOOKUP(TableWRRanks324236[[#This Row],[Player]],WR!B:O,8,FALSE)</f>
        <v>1263.6836905254911</v>
      </c>
      <c r="AM6" s="100">
        <f>VLOOKUP(TableWRRanks324236[[#This Row],[Player]],WR!B:O,9,FALSE)</f>
        <v>7.7016808724889589</v>
      </c>
      <c r="AN6" s="95">
        <f>VLOOKUP(TableWRRanks324236[[#This Row],[Player]],WR!B:O,13,FALSE)</f>
        <v>223.24740739596288</v>
      </c>
      <c r="AO6" s="190">
        <f>TableWRRanks324236[[#This Row],[FPS]]+(TableWRRanks324236[[#This Row],[REC]]*0.5)</f>
        <v>273.91636050444288</v>
      </c>
      <c r="AQ6" s="58">
        <v>5</v>
      </c>
      <c r="AR6" s="58" t="str">
        <f>VLOOKUP(TableTERanks334337[[#This Row],[RK]],Rankings!A:AI,33,FALSE)</f>
        <v>Tucker Kraft</v>
      </c>
      <c r="AS6" s="58" t="str">
        <f>IFERROR(INDEX(TableTECalcPts[TM],MATCH(TableTERanks334337[[#This Row],[Player]],TableTECalcPts[PLAYER],0)),"")</f>
        <v>GB</v>
      </c>
      <c r="AT6" s="58">
        <f>IFERROR(INDEX(TableTECalcPts[BYE],MATCH(TableTERanks334337[[#This Row],[Player]],TableTECalcPts[PLAYER],0)),"")</f>
        <v>11</v>
      </c>
      <c r="AU6" s="100">
        <f>VLOOKUP(TableTERanks334337[[#This Row],[Player]],TE!B:O,4,FALSE)</f>
        <v>92.354636623115567</v>
      </c>
      <c r="AV6" s="100">
        <f>VLOOKUP(TableTERanks334337[[#This Row],[Player]],TE!B:O,5,FALSE)</f>
        <v>66.144135726810134</v>
      </c>
      <c r="AW6" s="100">
        <f>VLOOKUP(TableTERanks334337[[#This Row],[Player]],TE!B:O,6,FALSE)</f>
        <v>815.55719351156893</v>
      </c>
      <c r="AX6" s="100">
        <f>VLOOKUP(TableTERanks334337[[#This Row],[Player]],TE!B:O,7,FALSE)</f>
        <v>6.4159811655005834</v>
      </c>
      <c r="AY6" s="95">
        <f>VLOOKUP(TableTERanks334337[[#This Row],[Player]],TE!B:O,11,FALSE)</f>
        <v>153.12367420756547</v>
      </c>
      <c r="AZ6" s="190">
        <f>TableTERanks334337[[#This Row],[FPS]]+(TableTERanks334337[[#This Row],[REC]]*0.5)</f>
        <v>186.19574207097054</v>
      </c>
    </row>
    <row r="7" spans="1:52" x14ac:dyDescent="0.25">
      <c r="A7" s="58">
        <v>6</v>
      </c>
      <c r="B7" s="58" t="str">
        <f>VLOOKUP(TableQBRanks304034[[#This Row],[RK]],Rankings!A:T,3,FALSE)</f>
        <v>Jalen Hurts</v>
      </c>
      <c r="C7" s="58" t="str">
        <f>IFERROR(INDEX(TableQBCalcPts[TM],MATCH(TableQBRanks304034[[#This Row],[Player]],TableQBCalcPts[PLAYER],0)),"")</f>
        <v>PHI</v>
      </c>
      <c r="D7" s="58">
        <f>IFERROR(INDEX(TableQBCalcPts[BYE],MATCH(TableQBRanks304034[[#This Row],[Player]],TableQBCalcPts[PLAYER],0)),"")</f>
        <v>10</v>
      </c>
      <c r="E7" s="100">
        <f>VLOOKUP(TableQBRanks304034[[#This Row],[Player]],QB!B:O,4,FALSE)</f>
        <v>480.31367999999998</v>
      </c>
      <c r="F7" s="100">
        <f>VLOOKUP(TableQBRanks304034[[#This Row],[Player]],QB!B:O,5,FALSE)</f>
        <v>315.3586330461053</v>
      </c>
      <c r="G7" s="100">
        <f>VLOOKUP(TableQBRanks304034[[#This Row],[Player]],QB!B:O,6,FALSE)</f>
        <v>3538.3238627773017</v>
      </c>
      <c r="H7" s="100">
        <f>VLOOKUP(TableQBRanks304034[[#This Row],[Player]],QB!B:O,7,FALSE)</f>
        <v>24.913332010642318</v>
      </c>
      <c r="I7" s="100">
        <f>VLOOKUP(TableQBRanks304034[[#This Row],[Player]],QB!B:O,8,FALSE)</f>
        <v>8.0550783346701191</v>
      </c>
      <c r="J7" s="100">
        <f>VLOOKUP(TableQBRanks304034[[#This Row],[Player]],QB!B:O,9,FALSE)</f>
        <v>108.73328928000001</v>
      </c>
      <c r="K7" s="100">
        <f>VLOOKUP(TableQBRanks304034[[#This Row],[Player]],QB!B:O,10,FALSE)</f>
        <v>444.46017109093691</v>
      </c>
      <c r="L7" s="100">
        <f>VLOOKUP(TableQBRanks304034[[#This Row],[Player]],QB!B:O,11,FALSE)</f>
        <v>8.8073964316800009</v>
      </c>
      <c r="M7" s="95">
        <f>VLOOKUP(TableQBRanks304034[[#This Row],[Player]],QB!B:O,13,FALSE)</f>
        <v>411.78412724406013</v>
      </c>
      <c r="N7" s="140">
        <f>IF(VLOOKUP(TableQBRanks304034[[#This Row],[Player]],'Ranks w Proj'!$B:$N,13,FALSE)&lt;0,0,VLOOKUP(TableQBRanks304034[[#This Row],[Player]],'Ranks w Proj'!$B:$N,13,FALSE))</f>
        <v>22.694225670429237</v>
      </c>
      <c r="P7" s="58">
        <v>6</v>
      </c>
      <c r="Q7" s="58" t="str">
        <f>VLOOKUP(TableRBRanks314135[[#This Row],[RK]],Rankings!A:AI,23,FALSE)</f>
        <v>Chase Brown</v>
      </c>
      <c r="R7" s="58" t="str">
        <f>IFERROR(INDEX(TableRBCalcPts[TM],MATCH(TableRBRanks314135[[#This Row],[Player]],TableRBCalcPts[PLAYER],0)),"")</f>
        <v>CIN</v>
      </c>
      <c r="S7" s="58">
        <f>IFERROR(INDEX(TableRBCalcPts[BYE],MATCH(TableRBRanks314135[[#This Row],[Player]],TableRBCalcPts[PLAYER],0)),"")</f>
        <v>6</v>
      </c>
      <c r="T7" s="100">
        <f>VLOOKUP(TableRBRanks314135[[#This Row],[Player]],RB!B:O,4,FALSE)</f>
        <v>230.81351999999998</v>
      </c>
      <c r="U7" s="100">
        <f>VLOOKUP(TableRBRanks314135[[#This Row],[Player]],RB!B:O,5,FALSE)</f>
        <v>1010.9632175999999</v>
      </c>
      <c r="V7" s="100">
        <f>VLOOKUP(TableRBRanks314135[[#This Row],[Player]],RB!B:O,6,FALSE)</f>
        <v>6.6935920800000002</v>
      </c>
      <c r="W7" s="100">
        <f>VLOOKUP(TableRBRanks314135[[#This Row],[Player]],RB!B:O,7,FALSE)</f>
        <v>85.416187500000007</v>
      </c>
      <c r="X7" s="100">
        <f>VLOOKUP(TableRBRanks314135[[#This Row],[Player]],RB!B:O,8,FALSE)</f>
        <v>71.363433367549675</v>
      </c>
      <c r="Y7" s="100">
        <f>VLOOKUP(TableRBRanks314135[[#This Row],[Player]],RB!B:O,9,FALSE)</f>
        <v>490.7282533733445</v>
      </c>
      <c r="Z7" s="100">
        <f>VLOOKUP(TableRBRanks314135[[#This Row],[Player]],RB!B:O,10,FALSE)</f>
        <v>3.7786763741721856</v>
      </c>
      <c r="AA7" s="95">
        <f>VLOOKUP(TableRBRanks314135[[#This Row],[Player]],RB!B:O,14,FALSE)</f>
        <v>248.68447450614235</v>
      </c>
      <c r="AB7" s="190">
        <f>TableRBRanks314135[[#This Row],[FPS]]+(TableRBRanks314135[[#This Row],[REC]]*0.5)</f>
        <v>284.36619118991717</v>
      </c>
      <c r="AD7" s="58">
        <v>6</v>
      </c>
      <c r="AE7" s="58" t="str">
        <f>VLOOKUP(TableWRRanks324236[[#This Row],[RK]],Rankings!A:AI,28,FALSE)</f>
        <v>A.J. Brown</v>
      </c>
      <c r="AF7" s="58" t="str">
        <f>IFERROR(INDEX(TableWRCalcPts[TM],MATCH(TableWRRanks324236[[#This Row],[Player]],TableWRCalcPts[PLAYER],0)),"")</f>
        <v>NE</v>
      </c>
      <c r="AG7" s="58">
        <f>IFERROR(INDEX(TableWRCalcPts[BYE],MATCH(TableWRRanks324236[[#This Row],[Player]],TableWRCalcPts[PLAYER],0)),"")</f>
        <v>11</v>
      </c>
      <c r="AH7" s="100">
        <f>VLOOKUP(TableWRRanks324236[[#This Row],[Player]],WR!B:O,4,FALSE)</f>
        <v>0</v>
      </c>
      <c r="AI7" s="100">
        <f>VLOOKUP(TableWRRanks324236[[#This Row],[Player]],WR!B:O,5,FALSE)</f>
        <v>0</v>
      </c>
      <c r="AJ7" s="100">
        <f>VLOOKUP(TableWRRanks324236[[#This Row],[Player]],WR!B:O,6,FALSE)</f>
        <v>134.16343079999993</v>
      </c>
      <c r="AK7" s="100">
        <f>VLOOKUP(TableWRRanks324236[[#This Row],[Player]],WR!B:O,7,FALSE)</f>
        <v>85.462105419599951</v>
      </c>
      <c r="AL7" s="100">
        <f>VLOOKUP(TableWRRanks324236[[#This Row],[Player]],WR!B:O,8,FALSE)</f>
        <v>1244.3282549093753</v>
      </c>
      <c r="AM7" s="100">
        <f>VLOOKUP(TableWRRanks324236[[#This Row],[Player]],WR!B:O,9,FALSE)</f>
        <v>8.9735210690579947</v>
      </c>
      <c r="AN7" s="95">
        <f>VLOOKUP(TableWRRanks324236[[#This Row],[Player]],WR!B:O,13,FALSE)</f>
        <v>221.00500461508548</v>
      </c>
      <c r="AO7" s="190">
        <f>TableWRRanks324236[[#This Row],[FPS]]+(TableWRRanks324236[[#This Row],[REC]]*0.5)</f>
        <v>263.73605732488545</v>
      </c>
      <c r="AQ7" s="58">
        <v>6</v>
      </c>
      <c r="AR7" s="58" t="str">
        <f>VLOOKUP(TableTERanks334337[[#This Row],[RK]],Rankings!A:AI,33,FALSE)</f>
        <v>George Kittle</v>
      </c>
      <c r="AS7" s="58" t="str">
        <f>IFERROR(INDEX(TableTECalcPts[TM],MATCH(TableTERanks334337[[#This Row],[Player]],TableTECalcPts[PLAYER],0)),"")</f>
        <v>SF</v>
      </c>
      <c r="AT7" s="58">
        <f>IFERROR(INDEX(TableTECalcPts[BYE],MATCH(TableTERanks334337[[#This Row],[Player]],TableTECalcPts[PLAYER],0)),"")</f>
        <v>8</v>
      </c>
      <c r="AU7" s="100">
        <f>VLOOKUP(TableTERanks334337[[#This Row],[Player]],TE!B:O,4,FALSE)</f>
        <v>86.967457920000015</v>
      </c>
      <c r="AV7" s="100">
        <f>VLOOKUP(TableTERanks334337[[#This Row],[Player]],TE!B:O,5,FALSE)</f>
        <v>67.834617177600009</v>
      </c>
      <c r="AW7" s="100">
        <f>VLOOKUP(TableTERanks334337[[#This Row],[Player]],TE!B:O,6,FALSE)</f>
        <v>796.37840566502416</v>
      </c>
      <c r="AX7" s="100">
        <f>VLOOKUP(TableTERanks334337[[#This Row],[Player]],TE!B:O,7,FALSE)</f>
        <v>6.9191309521152009</v>
      </c>
      <c r="AY7" s="95">
        <f>VLOOKUP(TableTERanks334337[[#This Row],[Player]],TE!B:O,11,FALSE)</f>
        <v>155.06993486799362</v>
      </c>
      <c r="AZ7" s="190">
        <f>TableTERanks334337[[#This Row],[FPS]]+(TableTERanks334337[[#This Row],[REC]]*0.5)</f>
        <v>188.98724345679364</v>
      </c>
    </row>
    <row r="8" spans="1:52" x14ac:dyDescent="0.25">
      <c r="A8" s="58">
        <v>7</v>
      </c>
      <c r="B8" s="58" t="str">
        <f>VLOOKUP(TableQBRanks304034[[#This Row],[RK]],Rankings!A:T,3,FALSE)</f>
        <v>Dak Prescott</v>
      </c>
      <c r="C8" s="58" t="str">
        <f>IFERROR(INDEX(TableQBCalcPts[TM],MATCH(TableQBRanks304034[[#This Row],[Player]],TableQBCalcPts[PLAYER],0)),"")</f>
        <v>DAL</v>
      </c>
      <c r="D8" s="58">
        <f>IFERROR(INDEX(TableQBCalcPts[BYE],MATCH(TableQBRanks304034[[#This Row],[Player]],TableQBCalcPts[PLAYER],0)),"")</f>
        <v>14</v>
      </c>
      <c r="E8" s="100">
        <f>VLOOKUP(TableQBRanks304034[[#This Row],[Player]],QB!B:O,4,FALSE)</f>
        <v>602.76369999999997</v>
      </c>
      <c r="F8" s="100">
        <f>VLOOKUP(TableQBRanks304034[[#This Row],[Player]],QB!B:O,5,FALSE)</f>
        <v>405.58246881758657</v>
      </c>
      <c r="G8" s="100">
        <f>VLOOKUP(TableQBRanks304034[[#This Row],[Player]],QB!B:O,6,FALSE)</f>
        <v>4542.5236507569689</v>
      </c>
      <c r="H8" s="100">
        <f>VLOOKUP(TableQBRanks304034[[#This Row],[Player]],QB!B:O,7,FALSE)</f>
        <v>31.229850098954167</v>
      </c>
      <c r="I8" s="100">
        <f>VLOOKUP(TableQBRanks304034[[#This Row],[Player]],QB!B:O,8,FALSE)</f>
        <v>12.267773740200933</v>
      </c>
      <c r="J8" s="100">
        <f>VLOOKUP(TableQBRanks304034[[#This Row],[Player]],QB!B:O,9,FALSE)</f>
        <v>46.131584100000005</v>
      </c>
      <c r="K8" s="100">
        <f>VLOOKUP(TableQBRanks304034[[#This Row],[Player]],QB!B:O,10,FALSE)</f>
        <v>168.88968348237614</v>
      </c>
      <c r="L8" s="100">
        <f>VLOOKUP(TableQBRanks304034[[#This Row],[Player]],QB!B:O,11,FALSE)</f>
        <v>1.6670136111378264</v>
      </c>
      <c r="M8" s="95">
        <f>VLOOKUP(TableQBRanks304034[[#This Row],[Player]],QB!B:O,13,FALSE)</f>
        <v>424.26156978062608</v>
      </c>
      <c r="N8" s="140">
        <f>IF(VLOOKUP(TableQBRanks304034[[#This Row],[Player]],'Ranks w Proj'!$B:$N,13,FALSE)&lt;0,0,VLOOKUP(TableQBRanks304034[[#This Row],[Player]],'Ranks w Proj'!$B:$N,13,FALSE))</f>
        <v>26.377587629938926</v>
      </c>
      <c r="P8" s="58">
        <v>7</v>
      </c>
      <c r="Q8" s="58" t="str">
        <f>VLOOKUP(TableRBRanks314135[[#This Row],[RK]],Rankings!A:AI,23,FALSE)</f>
        <v>De'Von Achane</v>
      </c>
      <c r="R8" s="58" t="str">
        <f>IFERROR(INDEX(TableRBCalcPts[TM],MATCH(TableRBRanks314135[[#This Row],[Player]],TableRBCalcPts[PLAYER],0)),"")</f>
        <v>MIA</v>
      </c>
      <c r="S8" s="58">
        <f>IFERROR(INDEX(TableRBCalcPts[BYE],MATCH(TableRBRanks314135[[#This Row],[Player]],TableRBCalcPts[PLAYER],0)),"")</f>
        <v>6</v>
      </c>
      <c r="T8" s="100">
        <f>VLOOKUP(TableRBRanks314135[[#This Row],[Player]],RB!B:O,4,FALSE)</f>
        <v>251.27361063396268</v>
      </c>
      <c r="U8" s="100">
        <f>VLOOKUP(TableRBRanks314135[[#This Row],[Player]],RB!B:O,5,FALSE)</f>
        <v>1193.5496505113226</v>
      </c>
      <c r="V8" s="100">
        <f>VLOOKUP(TableRBRanks314135[[#This Row],[Player]],RB!B:O,6,FALSE)</f>
        <v>6.0305666552151047</v>
      </c>
      <c r="W8" s="100">
        <f>VLOOKUP(TableRBRanks314135[[#This Row],[Player]],RB!B:O,7,FALSE)</f>
        <v>78.79152959999999</v>
      </c>
      <c r="X8" s="100">
        <f>VLOOKUP(TableRBRanks314135[[#This Row],[Player]],RB!B:O,8,FALSE)</f>
        <v>61.772559206399997</v>
      </c>
      <c r="Y8" s="100">
        <f>VLOOKUP(TableRBRanks314135[[#This Row],[Player]],RB!B:O,9,FALSE)</f>
        <v>451.55740779878397</v>
      </c>
      <c r="Z8" s="100">
        <f>VLOOKUP(TableRBRanks314135[[#This Row],[Player]],RB!B:O,10,FALSE)</f>
        <v>2.9650828419071997</v>
      </c>
      <c r="AA8" s="95">
        <f>VLOOKUP(TableRBRanks314135[[#This Row],[Player]],RB!B:O,14,FALSE)</f>
        <v>249.37088241694448</v>
      </c>
      <c r="AB8" s="190">
        <f>TableRBRanks314135[[#This Row],[FPS]]+(TableRBRanks314135[[#This Row],[REC]]*0.5)</f>
        <v>280.25716202014451</v>
      </c>
      <c r="AD8" s="58">
        <v>7</v>
      </c>
      <c r="AE8" s="58" t="str">
        <f>VLOOKUP(TableWRRanks324236[[#This Row],[RK]],Rankings!A:AI,28,FALSE)</f>
        <v>Drake London</v>
      </c>
      <c r="AF8" s="58" t="str">
        <f>IFERROR(INDEX(TableWRCalcPts[TM],MATCH(TableWRRanks324236[[#This Row],[Player]],TableWRCalcPts[PLAYER],0)),"")</f>
        <v>ATL</v>
      </c>
      <c r="AG8" s="58">
        <f>IFERROR(INDEX(TableWRCalcPts[BYE],MATCH(TableWRRanks324236[[#This Row],[Player]],TableWRCalcPts[PLAYER],0)),"")</f>
        <v>11</v>
      </c>
      <c r="AH8" s="100">
        <f>VLOOKUP(TableWRRanks324236[[#This Row],[Player]],WR!B:O,4,FALSE)</f>
        <v>0</v>
      </c>
      <c r="AI8" s="100">
        <f>VLOOKUP(TableWRRanks324236[[#This Row],[Player]],WR!B:O,5,FALSE)</f>
        <v>0</v>
      </c>
      <c r="AJ8" s="100">
        <f>VLOOKUP(TableWRRanks324236[[#This Row],[Player]],WR!B:O,6,FALSE)</f>
        <v>158.37634764000006</v>
      </c>
      <c r="AK8" s="100">
        <f>VLOOKUP(TableWRRanks324236[[#This Row],[Player]],WR!B:O,7,FALSE)</f>
        <v>101.04410979432004</v>
      </c>
      <c r="AL8" s="100">
        <f>VLOOKUP(TableWRRanks324236[[#This Row],[Player]],WR!B:O,8,FALSE)</f>
        <v>1316.60475061999</v>
      </c>
      <c r="AM8" s="100">
        <f>VLOOKUP(TableWRRanks324236[[#This Row],[Player]],WR!B:O,9,FALSE)</f>
        <v>7.7803964541626423</v>
      </c>
      <c r="AN8" s="95">
        <f>VLOOKUP(TableWRRanks324236[[#This Row],[Player]],WR!B:O,13,FALSE)</f>
        <v>228.86490868413486</v>
      </c>
      <c r="AO8" s="190">
        <f>TableWRRanks324236[[#This Row],[FPS]]+(TableWRRanks324236[[#This Row],[REC]]*0.5)</f>
        <v>279.38696358129488</v>
      </c>
      <c r="AQ8" s="58">
        <v>7</v>
      </c>
      <c r="AR8" s="58" t="str">
        <f>VLOOKUP(TableTERanks334337[[#This Row],[RK]],Rankings!A:AI,33,FALSE)</f>
        <v>Harold Fannin</v>
      </c>
      <c r="AS8" s="58" t="str">
        <f>IFERROR(INDEX(TableTECalcPts[TM],MATCH(TableTERanks334337[[#This Row],[Player]],TableTECalcPts[PLAYER],0)),"")</f>
        <v>CLE</v>
      </c>
      <c r="AT8" s="58">
        <f>IFERROR(INDEX(TableTECalcPts[BYE],MATCH(TableTERanks334337[[#This Row],[Player]],TableTECalcPts[PLAYER],0)),"")</f>
        <v>11</v>
      </c>
      <c r="AU8" s="100">
        <f>VLOOKUP(TableTERanks334337[[#This Row],[Player]],TE!B:O,4,FALSE)</f>
        <v>119.247282</v>
      </c>
      <c r="AV8" s="100">
        <f>VLOOKUP(TableTERanks334337[[#This Row],[Player]],TE!B:O,5,FALSE)</f>
        <v>77.987722427999998</v>
      </c>
      <c r="AW8" s="100">
        <f>VLOOKUP(TableTERanks334337[[#This Row],[Player]],TE!B:O,6,FALSE)</f>
        <v>822.62324703441573</v>
      </c>
      <c r="AX8" s="100">
        <f>VLOOKUP(TableTERanks334337[[#This Row],[Player]],TE!B:O,7,FALSE)</f>
        <v>5.4591405699600006</v>
      </c>
      <c r="AY8" s="95">
        <f>VLOOKUP(TableTERanks334337[[#This Row],[Player]],TE!B:O,11,FALSE)</f>
        <v>154.01102933720159</v>
      </c>
      <c r="AZ8" s="190">
        <f>TableTERanks334337[[#This Row],[FPS]]+(TableTERanks334337[[#This Row],[REC]]*0.5)</f>
        <v>193.00489055120158</v>
      </c>
    </row>
    <row r="9" spans="1:52" x14ac:dyDescent="0.25">
      <c r="A9" s="58">
        <v>8</v>
      </c>
      <c r="B9" s="58" t="str">
        <f>VLOOKUP(TableQBRanks304034[[#This Row],[RK]],Rankings!A:T,3,FALSE)</f>
        <v>Jaxson Dart</v>
      </c>
      <c r="C9" s="58" t="str">
        <f>IFERROR(INDEX(TableQBCalcPts[TM],MATCH(TableQBRanks304034[[#This Row],[Player]],TableQBCalcPts[PLAYER],0)),"")</f>
        <v>NYG</v>
      </c>
      <c r="D9" s="58">
        <f>IFERROR(INDEX(TableQBCalcPts[BYE],MATCH(TableQBRanks304034[[#This Row],[Player]],TableQBCalcPts[PLAYER],0)),"")</f>
        <v>8</v>
      </c>
      <c r="E9" s="100">
        <f>VLOOKUP(TableQBRanks304034[[#This Row],[Player]],QB!B:O,4,FALSE)</f>
        <v>479.28354999999999</v>
      </c>
      <c r="F9" s="100">
        <f>VLOOKUP(TableQBRanks304034[[#This Row],[Player]],QB!B:O,5,FALSE)</f>
        <v>308.94051789906553</v>
      </c>
      <c r="G9" s="100">
        <f>VLOOKUP(TableQBRanks304034[[#This Row],[Player]],QB!B:O,6,FALSE)</f>
        <v>3355.0940243838513</v>
      </c>
      <c r="H9" s="100">
        <f>VLOOKUP(TableQBRanks304034[[#This Row],[Player]],QB!B:O,7,FALSE)</f>
        <v>22.243717288732718</v>
      </c>
      <c r="I9" s="100">
        <f>VLOOKUP(TableQBRanks304034[[#This Row],[Player]],QB!B:O,8,FALSE)</f>
        <v>8.4071869948781188</v>
      </c>
      <c r="J9" s="100">
        <f>VLOOKUP(TableQBRanks304034[[#This Row],[Player]],QB!B:O,9,FALSE)</f>
        <v>98.681278359999993</v>
      </c>
      <c r="K9" s="100">
        <f>VLOOKUP(TableQBRanks304034[[#This Row],[Player]],QB!B:O,10,FALSE)</f>
        <v>556.56240995039991</v>
      </c>
      <c r="L9" s="100">
        <f>VLOOKUP(TableQBRanks304034[[#This Row],[Player]],QB!B:O,11,FALSE)</f>
        <v>7.6971397120799994</v>
      </c>
      <c r="M9" s="95">
        <f>VLOOKUP(TableQBRanks304034[[#This Row],[Player]],QB!B:O,13,FALSE)</f>
        <v>391.99200877029875</v>
      </c>
      <c r="N9" s="140">
        <f>IF(VLOOKUP(TableQBRanks304034[[#This Row],[Player]],'Ranks w Proj'!$B:$N,13,FALSE)&lt;0,0,VLOOKUP(TableQBRanks304034[[#This Row],[Player]],'Ranks w Proj'!$B:$N,13,FALSE))</f>
        <v>18.062150228510593</v>
      </c>
      <c r="P9" s="58">
        <v>8</v>
      </c>
      <c r="Q9" s="58" t="str">
        <f>VLOOKUP(TableRBRanks314135[[#This Row],[RK]],Rankings!A:AI,23,FALSE)</f>
        <v>Ashton Jeanty</v>
      </c>
      <c r="R9" s="58" t="str">
        <f>IFERROR(INDEX(TableRBCalcPts[TM],MATCH(TableRBRanks314135[[#This Row],[Player]],TableRBCalcPts[PLAYER],0)),"")</f>
        <v>LV</v>
      </c>
      <c r="S9" s="58">
        <f>IFERROR(INDEX(TableRBCalcPts[BYE],MATCH(TableRBRanks314135[[#This Row],[Player]],TableRBCalcPts[PLAYER],0)),"")</f>
        <v>13</v>
      </c>
      <c r="T9" s="100">
        <f>VLOOKUP(TableRBRanks314135[[#This Row],[Player]],RB!B:O,4,FALSE)</f>
        <v>275.88197951999996</v>
      </c>
      <c r="U9" s="100">
        <f>VLOOKUP(TableRBRanks314135[[#This Row],[Player]],RB!B:O,5,FALSE)</f>
        <v>1144.910215008</v>
      </c>
      <c r="V9" s="100">
        <f>VLOOKUP(TableRBRanks314135[[#This Row],[Player]],RB!B:O,6,FALSE)</f>
        <v>7.772515406074942</v>
      </c>
      <c r="W9" s="100">
        <f>VLOOKUP(TableRBRanks314135[[#This Row],[Player]],RB!B:O,7,FALSE)</f>
        <v>71.303279039999993</v>
      </c>
      <c r="X9" s="100">
        <f>VLOOKUP(TableRBRanks314135[[#This Row],[Player]],RB!B:O,8,FALSE)</f>
        <v>50.482721560319995</v>
      </c>
      <c r="Y9" s="100">
        <f>VLOOKUP(TableRBRanks314135[[#This Row],[Player]],RB!B:O,9,FALSE)</f>
        <v>351.86456927543037</v>
      </c>
      <c r="Z9" s="100">
        <f>VLOOKUP(TableRBRanks314135[[#This Row],[Player]],RB!B:O,10,FALSE)</f>
        <v>1.9183434192921598</v>
      </c>
      <c r="AA9" s="95">
        <f>VLOOKUP(TableRBRanks314135[[#This Row],[Player]],RB!B:O,14,FALSE)</f>
        <v>233.06399216070568</v>
      </c>
      <c r="AB9" s="190">
        <f>TableRBRanks314135[[#This Row],[FPS]]+(TableRBRanks314135[[#This Row],[REC]]*0.5)</f>
        <v>258.3053529408657</v>
      </c>
      <c r="AD9" s="58">
        <v>8</v>
      </c>
      <c r="AE9" s="58" t="str">
        <f>VLOOKUP(TableWRRanks324236[[#This Row],[RK]],Rankings!A:AI,28,FALSE)</f>
        <v>CeeDee Lamb</v>
      </c>
      <c r="AF9" s="58" t="str">
        <f>IFERROR(INDEX(TableWRCalcPts[TM],MATCH(TableWRRanks324236[[#This Row],[Player]],TableWRCalcPts[PLAYER],0)),"")</f>
        <v>DAL</v>
      </c>
      <c r="AG9" s="58">
        <f>IFERROR(INDEX(TableWRCalcPts[BYE],MATCH(TableWRRanks324236[[#This Row],[Player]],TableWRCalcPts[PLAYER],0)),"")</f>
        <v>14</v>
      </c>
      <c r="AH9" s="100">
        <f>VLOOKUP(TableWRRanks324236[[#This Row],[Player]],WR!B:O,4,FALSE)</f>
        <v>0</v>
      </c>
      <c r="AI9" s="100">
        <f>VLOOKUP(TableWRRanks324236[[#This Row],[Player]],WR!B:O,5,FALSE)</f>
        <v>0</v>
      </c>
      <c r="AJ9" s="100">
        <f>VLOOKUP(TableWRRanks324236[[#This Row],[Player]],WR!B:O,6,FALSE)</f>
        <v>154.30750719999998</v>
      </c>
      <c r="AK9" s="100">
        <f>VLOOKUP(TableWRRanks324236[[#This Row],[Player]],WR!B:O,7,FALSE)</f>
        <v>97.522344550399978</v>
      </c>
      <c r="AL9" s="100">
        <f>VLOOKUP(TableWRRanks324236[[#This Row],[Player]],WR!B:O,8,FALSE)</f>
        <v>1311.8247996280857</v>
      </c>
      <c r="AM9" s="100">
        <f>VLOOKUP(TableWRRanks324236[[#This Row],[Player]],WR!B:O,9,FALSE)</f>
        <v>7.2166534967295979</v>
      </c>
      <c r="AN9" s="95">
        <f>VLOOKUP(TableWRRanks324236[[#This Row],[Player]],WR!B:O,13,FALSE)</f>
        <v>223.24357321838613</v>
      </c>
      <c r="AO9" s="190">
        <f>TableWRRanks324236[[#This Row],[FPS]]+(TableWRRanks324236[[#This Row],[REC]]*0.5)</f>
        <v>272.00474549358614</v>
      </c>
      <c r="AQ9" s="58">
        <v>8</v>
      </c>
      <c r="AR9" s="58" t="str">
        <f>VLOOKUP(TableTERanks334337[[#This Row],[RK]],Rankings!A:AI,33,FALSE)</f>
        <v>Sam LaPorta</v>
      </c>
      <c r="AS9" s="58" t="str">
        <f>IFERROR(INDEX(TableTECalcPts[TM],MATCH(TableTERanks334337[[#This Row],[Player]],TableTECalcPts[PLAYER],0)),"")</f>
        <v>DET</v>
      </c>
      <c r="AT9" s="58">
        <f>IFERROR(INDEX(TableTECalcPts[BYE],MATCH(TableTERanks334337[[#This Row],[Player]],TableTECalcPts[PLAYER],0)),"")</f>
        <v>6</v>
      </c>
      <c r="AU9" s="100">
        <f>VLOOKUP(TableTERanks334337[[#This Row],[Player]],TE!B:O,4,FALSE)</f>
        <v>101.86182719999996</v>
      </c>
      <c r="AV9" s="100">
        <f>VLOOKUP(TableTERanks334337[[#This Row],[Player]],TE!B:O,5,FALSE)</f>
        <v>75.275890300799972</v>
      </c>
      <c r="AW9" s="100">
        <f>VLOOKUP(TableTERanks334337[[#This Row],[Player]],TE!B:O,6,FALSE)</f>
        <v>825.77651659977573</v>
      </c>
      <c r="AX9" s="100">
        <f>VLOOKUP(TableTERanks334337[[#This Row],[Player]],TE!B:O,7,FALSE)</f>
        <v>5.9467953337631982</v>
      </c>
      <c r="AY9" s="95">
        <f>VLOOKUP(TableTERanks334337[[#This Row],[Player]],TE!B:O,11,FALSE)</f>
        <v>155.89636881295675</v>
      </c>
      <c r="AZ9" s="190">
        <f>TableTERanks334337[[#This Row],[FPS]]+(TableTERanks334337[[#This Row],[REC]]*0.5)</f>
        <v>193.53431396335674</v>
      </c>
    </row>
    <row r="10" spans="1:52" x14ac:dyDescent="0.25">
      <c r="A10" s="58">
        <v>9</v>
      </c>
      <c r="B10" s="58" t="str">
        <f>VLOOKUP(TableQBRanks304034[[#This Row],[RK]],Rankings!A:T,3,FALSE)</f>
        <v>Trevor Lawrence</v>
      </c>
      <c r="C10" s="58" t="str">
        <f>IFERROR(INDEX(TableQBCalcPts[TM],MATCH(TableQBRanks304034[[#This Row],[Player]],TableQBCalcPts[PLAYER],0)),"")</f>
        <v>JAX</v>
      </c>
      <c r="D10" s="58">
        <f>IFERROR(INDEX(TableQBCalcPts[BYE],MATCH(TableQBRanks304034[[#This Row],[Player]],TableQBCalcPts[PLAYER],0)),"")</f>
        <v>7</v>
      </c>
      <c r="E10" s="100">
        <f>VLOOKUP(TableQBRanks304034[[#This Row],[Player]],QB!B:O,4,FALSE)</f>
        <v>565.38405</v>
      </c>
      <c r="F10" s="100">
        <f>VLOOKUP(TableQBRanks304034[[#This Row],[Player]],QB!B:O,5,FALSE)</f>
        <v>348.84195884999997</v>
      </c>
      <c r="G10" s="100">
        <f>VLOOKUP(TableQBRanks304034[[#This Row],[Player]],QB!B:O,6,FALSE)</f>
        <v>4018.6593659519995</v>
      </c>
      <c r="H10" s="100">
        <f>VLOOKUP(TableQBRanks304034[[#This Row],[Player]],QB!B:O,7,FALSE)</f>
        <v>26.17068504618894</v>
      </c>
      <c r="I10" s="100">
        <f>VLOOKUP(TableQBRanks304034[[#This Row],[Player]],QB!B:O,8,FALSE)</f>
        <v>13.253447540661002</v>
      </c>
      <c r="J10" s="100">
        <f>VLOOKUP(TableQBRanks304034[[#This Row],[Player]],QB!B:O,9,FALSE)</f>
        <v>74.940732299999993</v>
      </c>
      <c r="K10" s="100">
        <f>VLOOKUP(TableQBRanks304034[[#This Row],[Player]],QB!B:O,10,FALSE)</f>
        <v>337.36719955313924</v>
      </c>
      <c r="L10" s="100">
        <f>VLOOKUP(TableQBRanks304034[[#This Row],[Player]],QB!B:O,11,FALSE)</f>
        <v>6.0402230233800003</v>
      </c>
      <c r="M10" s="95">
        <f>VLOOKUP(TableQBRanks304034[[#This Row],[Player]],QB!B:O,13,FALSE)</f>
        <v>409.37929135514651</v>
      </c>
      <c r="N10" s="140">
        <f>IF(VLOOKUP(TableQBRanks304034[[#This Row],[Player]],'Ranks w Proj'!$B:$N,13,FALSE)&lt;0,0,VLOOKUP(TableQBRanks304034[[#This Row],[Player]],'Ranks w Proj'!$B:$N,13,FALSE))</f>
        <v>22.23405575955822</v>
      </c>
      <c r="P10" s="58">
        <v>9</v>
      </c>
      <c r="Q10" s="58" t="str">
        <f>VLOOKUP(TableRBRanks314135[[#This Row],[RK]],Rankings!A:AI,23,FALSE)</f>
        <v>Derrick Henry</v>
      </c>
      <c r="R10" s="58" t="str">
        <f>IFERROR(INDEX(TableRBCalcPts[TM],MATCH(TableRBRanks314135[[#This Row],[Player]],TableRBCalcPts[PLAYER],0)),"")</f>
        <v>BAL</v>
      </c>
      <c r="S10" s="58">
        <f>IFERROR(INDEX(TableRBCalcPts[BYE],MATCH(TableRBRanks314135[[#This Row],[Player]],TableRBCalcPts[PLAYER],0)),"")</f>
        <v>13</v>
      </c>
      <c r="T10" s="100">
        <f>VLOOKUP(TableRBRanks314135[[#This Row],[Player]],RB!B:O,4,FALSE)</f>
        <v>281.9247546543528</v>
      </c>
      <c r="U10" s="100">
        <f>VLOOKUP(TableRBRanks314135[[#This Row],[Player]],RB!B:O,5,FALSE)</f>
        <v>1413.2204856259643</v>
      </c>
      <c r="V10" s="100">
        <f>VLOOKUP(TableRBRanks314135[[#This Row],[Player]],RB!B:O,6,FALSE)</f>
        <v>11.113038933805319</v>
      </c>
      <c r="W10" s="100">
        <f>VLOOKUP(TableRBRanks314135[[#This Row],[Player]],RB!B:O,7,FALSE)</f>
        <v>25.847852799999995</v>
      </c>
      <c r="X10" s="100">
        <f>VLOOKUP(TableRBRanks314135[[#This Row],[Player]],RB!B:O,8,FALSE)</f>
        <v>18.452265156863994</v>
      </c>
      <c r="Y10" s="100">
        <f>VLOOKUP(TableRBRanks314135[[#This Row],[Player]],RB!B:O,9,FALSE)</f>
        <v>177.21666981521065</v>
      </c>
      <c r="Z10" s="100">
        <f>VLOOKUP(TableRBRanks314135[[#This Row],[Player]],RB!B:O,10,FALSE)</f>
        <v>0.97797005331379172</v>
      </c>
      <c r="AA10" s="95">
        <f>VLOOKUP(TableRBRanks314135[[#This Row],[Player]],RB!B:O,14,FALSE)</f>
        <v>240.81590204526415</v>
      </c>
      <c r="AB10" s="190">
        <f>TableRBRanks314135[[#This Row],[FPS]]+(TableRBRanks314135[[#This Row],[REC]]*0.5)</f>
        <v>250.04203462369614</v>
      </c>
      <c r="AD10" s="58">
        <v>9</v>
      </c>
      <c r="AE10" s="58" t="str">
        <f>VLOOKUP(TableWRRanks324236[[#This Row],[RK]],Rankings!A:AI,28,FALSE)</f>
        <v>George Pickens</v>
      </c>
      <c r="AF10" s="58" t="str">
        <f>IFERROR(INDEX(TableWRCalcPts[TM],MATCH(TableWRRanks324236[[#This Row],[Player]],TableWRCalcPts[PLAYER],0)),"")</f>
        <v>DAL</v>
      </c>
      <c r="AG10" s="58">
        <f>IFERROR(INDEX(TableWRCalcPts[BYE],MATCH(TableWRRanks324236[[#This Row],[Player]],TableWRCalcPts[PLAYER],0)),"")</f>
        <v>14</v>
      </c>
      <c r="AH10" s="100">
        <f>VLOOKUP(TableWRRanks324236[[#This Row],[Player]],WR!B:O,4,FALSE)</f>
        <v>0</v>
      </c>
      <c r="AI10" s="100">
        <f>VLOOKUP(TableWRRanks324236[[#This Row],[Player]],WR!B:O,5,FALSE)</f>
        <v>0</v>
      </c>
      <c r="AJ10" s="100">
        <f>VLOOKUP(TableWRRanks324236[[#This Row],[Player]],WR!B:O,6,FALSE)</f>
        <v>139.23841469999999</v>
      </c>
      <c r="AK10" s="100">
        <f>VLOOKUP(TableWRRanks324236[[#This Row],[Player]],WR!B:O,7,FALSE)</f>
        <v>91.758115287300001</v>
      </c>
      <c r="AL10" s="100">
        <f>VLOOKUP(TableWRRanks324236[[#This Row],[Player]],WR!B:O,8,FALSE)</f>
        <v>1343.3095698179657</v>
      </c>
      <c r="AM10" s="100">
        <f>VLOOKUP(TableWRRanks324236[[#This Row],[Player]],WR!B:O,9,FALSE)</f>
        <v>8.7170209522935007</v>
      </c>
      <c r="AN10" s="95">
        <f>VLOOKUP(TableWRRanks324236[[#This Row],[Player]],WR!B:O,13,FALSE)</f>
        <v>232.51214033920755</v>
      </c>
      <c r="AO10" s="190">
        <f>TableWRRanks324236[[#This Row],[FPS]]+(TableWRRanks324236[[#This Row],[REC]]*0.5)</f>
        <v>278.39119798285753</v>
      </c>
      <c r="AQ10" s="58">
        <v>9</v>
      </c>
      <c r="AR10" s="58" t="str">
        <f>VLOOKUP(TableTERanks334337[[#This Row],[RK]],Rankings!A:AI,33,FALSE)</f>
        <v>Travis Kelce</v>
      </c>
      <c r="AS10" s="58" t="str">
        <f>IFERROR(INDEX(TableTECalcPts[TM],MATCH(TableTERanks334337[[#This Row],[Player]],TableTECalcPts[PLAYER],0)),"")</f>
        <v>KC</v>
      </c>
      <c r="AT10" s="58">
        <f>IFERROR(INDEX(TableTECalcPts[BYE],MATCH(TableTERanks334337[[#This Row],[Player]],TableTECalcPts[PLAYER],0)),"")</f>
        <v>5</v>
      </c>
      <c r="AU10" s="100">
        <f>VLOOKUP(TableTERanks334337[[#This Row],[Player]],TE!B:O,4,FALSE)</f>
        <v>106.55672299999999</v>
      </c>
      <c r="AV10" s="100">
        <f>VLOOKUP(TableTERanks334337[[#This Row],[Player]],TE!B:O,5,FALSE)</f>
        <v>73.630695592999984</v>
      </c>
      <c r="AW10" s="100">
        <f>VLOOKUP(TableTERanks334337[[#This Row],[Player]],TE!B:O,6,FALSE)</f>
        <v>781.9579871976598</v>
      </c>
      <c r="AX10" s="100">
        <f>VLOOKUP(TableTERanks334337[[#This Row],[Player]],TE!B:O,7,FALSE)</f>
        <v>5.4486714738819986</v>
      </c>
      <c r="AY10" s="95">
        <f>VLOOKUP(TableTERanks334337[[#This Row],[Player]],TE!B:O,11,FALSE)</f>
        <v>147.70317535955797</v>
      </c>
      <c r="AZ10" s="190">
        <f>TableTERanks334337[[#This Row],[FPS]]+(TableTERanks334337[[#This Row],[REC]]*0.5)</f>
        <v>184.51852315605797</v>
      </c>
    </row>
    <row r="11" spans="1:52" x14ac:dyDescent="0.25">
      <c r="A11" s="58">
        <v>10</v>
      </c>
      <c r="B11" s="58" t="str">
        <f>VLOOKUP(TableQBRanks304034[[#This Row],[RK]],Rankings!A:T,3,FALSE)</f>
        <v>Patrick Mahomes</v>
      </c>
      <c r="C11" s="58" t="str">
        <f>IFERROR(INDEX(TableQBCalcPts[TM],MATCH(TableQBRanks304034[[#This Row],[Player]],TableQBCalcPts[PLAYER],0)),"")</f>
        <v>KC</v>
      </c>
      <c r="D11" s="58">
        <f>IFERROR(INDEX(TableQBCalcPts[BYE],MATCH(TableQBRanks304034[[#This Row],[Player]],TableQBCalcPts[PLAYER],0)),"")</f>
        <v>5</v>
      </c>
      <c r="E11" s="100">
        <f>VLOOKUP(TableQBRanks304034[[#This Row],[Player]],QB!B:O,4,FALSE)</f>
        <v>567.55374999999992</v>
      </c>
      <c r="F11" s="100">
        <f>VLOOKUP(TableQBRanks304034[[#This Row],[Player]],QB!B:O,5,FALSE)</f>
        <v>369.37652327206109</v>
      </c>
      <c r="G11" s="100">
        <f>VLOOKUP(TableQBRanks304034[[#This Row],[Player]],QB!B:O,6,FALSE)</f>
        <v>4051.9940332102506</v>
      </c>
      <c r="H11" s="100">
        <f>VLOOKUP(TableQBRanks304034[[#This Row],[Player]],QB!B:O,7,FALSE)</f>
        <v>30.288874908309012</v>
      </c>
      <c r="I11" s="100">
        <f>VLOOKUP(TableQBRanks304034[[#This Row],[Player]],QB!B:O,8,FALSE)</f>
        <v>12.108582487817603</v>
      </c>
      <c r="J11" s="100">
        <f>VLOOKUP(TableQBRanks304034[[#This Row],[Player]],QB!B:O,9,FALSE)</f>
        <v>56.256655000000009</v>
      </c>
      <c r="K11" s="100">
        <f>VLOOKUP(TableQBRanks304034[[#This Row],[Player]],QB!B:O,10,FALSE)</f>
        <v>327.35795325263115</v>
      </c>
      <c r="L11" s="100">
        <f>VLOOKUP(TableQBRanks304034[[#This Row],[Player]],QB!B:O,11,FALSE)</f>
        <v>2.6440627850000005</v>
      </c>
      <c r="M11" s="95">
        <f>VLOOKUP(TableQBRanks304034[[#This Row],[Player]],QB!B:O,13,FALSE)</f>
        <v>417.24225265291568</v>
      </c>
      <c r="N11" s="140">
        <f>IF(VLOOKUP(TableQBRanks304034[[#This Row],[Player]],'Ranks w Proj'!$B:$N,13,FALSE)&lt;0,0,VLOOKUP(TableQBRanks304034[[#This Row],[Player]],'Ranks w Proj'!$B:$N,13,FALSE))</f>
        <v>24.766975066461786</v>
      </c>
      <c r="P11" s="58">
        <v>10</v>
      </c>
      <c r="Q11" s="58" t="str">
        <f>VLOOKUP(TableRBRanks314135[[#This Row],[RK]],Rankings!A:AI,23,FALSE)</f>
        <v>Omarion Hampton</v>
      </c>
      <c r="R11" s="58" t="str">
        <f>IFERROR(INDEX(TableRBCalcPts[TM],MATCH(TableRBRanks314135[[#This Row],[Player]],TableRBCalcPts[PLAYER],0)),"")</f>
        <v>LAC</v>
      </c>
      <c r="S11" s="58">
        <f>IFERROR(INDEX(TableRBCalcPts[BYE],MATCH(TableRBRanks314135[[#This Row],[Player]],TableRBCalcPts[PLAYER],0)),"")</f>
        <v>7</v>
      </c>
      <c r="T11" s="100">
        <f>VLOOKUP(TableRBRanks314135[[#This Row],[Player]],RB!B:O,4,FALSE)</f>
        <v>245.76099547999996</v>
      </c>
      <c r="U11" s="100">
        <f>VLOOKUP(TableRBRanks314135[[#This Row],[Player]],RB!B:O,5,FALSE)</f>
        <v>1059.2298905187997</v>
      </c>
      <c r="V11" s="100">
        <f>VLOOKUP(TableRBRanks314135[[#This Row],[Player]],RB!B:O,6,FALSE)</f>
        <v>9.3401261782654164</v>
      </c>
      <c r="W11" s="100">
        <f>VLOOKUP(TableRBRanks314135[[#This Row],[Player]],RB!B:O,7,FALSE)</f>
        <v>60.081101079999996</v>
      </c>
      <c r="X11" s="100">
        <f>VLOOKUP(TableRBRanks314135[[#This Row],[Player]],RB!B:O,8,FALSE)</f>
        <v>50.502220518281199</v>
      </c>
      <c r="Y11" s="100">
        <f>VLOOKUP(TableRBRanks314135[[#This Row],[Player]],RB!B:O,9,FALSE)</f>
        <v>354.52558803833398</v>
      </c>
      <c r="Z11" s="100">
        <f>VLOOKUP(TableRBRanks314135[[#This Row],[Player]],RB!B:O,10,FALSE)</f>
        <v>1.7349038609381815</v>
      </c>
      <c r="AA11" s="95">
        <f>VLOOKUP(TableRBRanks314135[[#This Row],[Player]],RB!B:O,14,FALSE)</f>
        <v>233.07683835007555</v>
      </c>
      <c r="AB11" s="190">
        <f>TableRBRanks314135[[#This Row],[FPS]]+(TableRBRanks314135[[#This Row],[REC]]*0.5)</f>
        <v>258.32794860921615</v>
      </c>
      <c r="AD11" s="58">
        <v>10</v>
      </c>
      <c r="AE11" s="58" t="str">
        <f>VLOOKUP(TableWRRanks324236[[#This Row],[RK]],Rankings!A:AI,28,FALSE)</f>
        <v>Nico Collins</v>
      </c>
      <c r="AF11" s="58" t="str">
        <f>IFERROR(INDEX(TableWRCalcPts[TM],MATCH(TableWRRanks324236[[#This Row],[Player]],TableWRCalcPts[PLAYER],0)),"")</f>
        <v>HOU</v>
      </c>
      <c r="AG11" s="58">
        <f>IFERROR(INDEX(TableWRCalcPts[BYE],MATCH(TableWRRanks324236[[#This Row],[Player]],TableWRCalcPts[PLAYER],0)),"")</f>
        <v>8</v>
      </c>
      <c r="AH11" s="100">
        <f>VLOOKUP(TableWRRanks324236[[#This Row],[Player]],WR!B:O,4,FALSE)</f>
        <v>0</v>
      </c>
      <c r="AI11" s="100">
        <f>VLOOKUP(TableWRRanks324236[[#This Row],[Player]],WR!B:O,5,FALSE)</f>
        <v>0</v>
      </c>
      <c r="AJ11" s="100">
        <f>VLOOKUP(TableWRRanks324236[[#This Row],[Player]],WR!B:O,6,FALSE)</f>
        <v>144.36713591999998</v>
      </c>
      <c r="AK11" s="100">
        <f>VLOOKUP(TableWRRanks324236[[#This Row],[Player]],WR!B:O,7,FALSE)</f>
        <v>86.447767364422631</v>
      </c>
      <c r="AL11" s="100">
        <f>VLOOKUP(TableWRRanks324236[[#This Row],[Player]],WR!B:O,8,FALSE)</f>
        <v>1272.5111356043012</v>
      </c>
      <c r="AM11" s="100">
        <f>VLOOKUP(TableWRRanks324236[[#This Row],[Player]],WR!B:O,9,FALSE)</f>
        <v>7.0022691565182331</v>
      </c>
      <c r="AN11" s="95">
        <f>VLOOKUP(TableWRRanks324236[[#This Row],[Player]],WR!B:O,13,FALSE)</f>
        <v>212.48861218175085</v>
      </c>
      <c r="AO11" s="190">
        <f>TableWRRanks324236[[#This Row],[FPS]]+(TableWRRanks324236[[#This Row],[REC]]*0.5)</f>
        <v>255.71249586396218</v>
      </c>
      <c r="AQ11" s="58">
        <v>10</v>
      </c>
      <c r="AR11" s="58" t="str">
        <f>VLOOKUP(TableTERanks334337[[#This Row],[RK]],Rankings!A:AI,33,FALSE)</f>
        <v>Kyle Pitts</v>
      </c>
      <c r="AS11" s="58" t="str">
        <f>IFERROR(INDEX(TableTECalcPts[TM],MATCH(TableTERanks334337[[#This Row],[Player]],TableTECalcPts[PLAYER],0)),"")</f>
        <v>ATL</v>
      </c>
      <c r="AT11" s="58">
        <f>IFERROR(INDEX(TableTECalcPts[BYE],MATCH(TableTERanks334337[[#This Row],[Player]],TableTECalcPts[PLAYER],0)),"")</f>
        <v>11</v>
      </c>
      <c r="AU11" s="100">
        <f>VLOOKUP(TableTERanks334337[[#This Row],[Player]],TE!B:O,4,FALSE)</f>
        <v>108.42251756000002</v>
      </c>
      <c r="AV11" s="100">
        <f>VLOOKUP(TableTERanks334337[[#This Row],[Player]],TE!B:O,5,FALSE)</f>
        <v>73.503679893626185</v>
      </c>
      <c r="AW11" s="100">
        <f>VLOOKUP(TableTERanks334337[[#This Row],[Player]],TE!B:O,6,FALSE)</f>
        <v>806.69339349943709</v>
      </c>
      <c r="AX11" s="100">
        <f>VLOOKUP(TableTERanks334337[[#This Row],[Player]],TE!B:O,7,FALSE)</f>
        <v>3.9691987142558141</v>
      </c>
      <c r="AY11" s="95">
        <f>VLOOKUP(TableTERanks334337[[#This Row],[Player]],TE!B:O,11,FALSE)</f>
        <v>141.2363715822917</v>
      </c>
      <c r="AZ11" s="190">
        <f>TableTERanks334337[[#This Row],[FPS]]+(TableTERanks334337[[#This Row],[REC]]*0.5)</f>
        <v>177.98821152910477</v>
      </c>
    </row>
    <row r="12" spans="1:52" x14ac:dyDescent="0.25">
      <c r="A12" s="58">
        <v>11</v>
      </c>
      <c r="B12" s="58" t="str">
        <f>VLOOKUP(TableQBRanks304034[[#This Row],[RK]],Rankings!A:T,3,FALSE)</f>
        <v>Caleb Williams</v>
      </c>
      <c r="C12" s="58" t="str">
        <f>IFERROR(INDEX(TableQBCalcPts[TM],MATCH(TableQBRanks304034[[#This Row],[Player]],TableQBCalcPts[PLAYER],0)),"")</f>
        <v>CHI</v>
      </c>
      <c r="D12" s="58">
        <f>IFERROR(INDEX(TableQBCalcPts[BYE],MATCH(TableQBRanks304034[[#This Row],[Player]],TableQBCalcPts[PLAYER],0)),"")</f>
        <v>10</v>
      </c>
      <c r="E12" s="100">
        <f>VLOOKUP(TableQBRanks304034[[#This Row],[Player]],QB!B:O,4,FALSE)</f>
        <v>563.9351200000001</v>
      </c>
      <c r="F12" s="100">
        <f>VLOOKUP(TableQBRanks304034[[#This Row],[Player]],QB!B:O,5,FALSE)</f>
        <v>342.87255296000006</v>
      </c>
      <c r="G12" s="100">
        <f>VLOOKUP(TableQBRanks304034[[#This Row],[Player]],QB!B:O,6,FALSE)</f>
        <v>4087.0408312832005</v>
      </c>
      <c r="H12" s="100">
        <f>VLOOKUP(TableQBRanks304034[[#This Row],[Player]],QB!B:O,7,FALSE)</f>
        <v>27.587748593545736</v>
      </c>
      <c r="I12" s="100">
        <f>VLOOKUP(TableQBRanks304034[[#This Row],[Player]],QB!B:O,8,FALSE)</f>
        <v>8.1560842475057171</v>
      </c>
      <c r="J12" s="100">
        <f>VLOOKUP(TableQBRanks304034[[#This Row],[Player]],QB!B:O,9,FALSE)</f>
        <v>67.718607599999984</v>
      </c>
      <c r="K12" s="100">
        <f>VLOOKUP(TableQBRanks304034[[#This Row],[Player]],QB!B:O,10,FALSE)</f>
        <v>346.77774832403907</v>
      </c>
      <c r="L12" s="100">
        <f>VLOOKUP(TableQBRanks304034[[#This Row],[Player]],QB!B:O,11,FALSE)</f>
        <v>2.7764629115999995</v>
      </c>
      <c r="M12" s="95">
        <f>VLOOKUP(TableQBRanks304034[[#This Row],[Player]],QB!B:O,13,FALSE)</f>
        <v>406.47584816310064</v>
      </c>
      <c r="N12" s="140">
        <f>IF(VLOOKUP(TableQBRanks304034[[#This Row],[Player]],'Ranks w Proj'!$B:$N,13,FALSE)&lt;0,0,VLOOKUP(TableQBRanks304034[[#This Row],[Player]],'Ranks w Proj'!$B:$N,13,FALSE))</f>
        <v>21.687693246487889</v>
      </c>
      <c r="P12" s="58">
        <v>11</v>
      </c>
      <c r="Q12" s="58" t="str">
        <f>VLOOKUP(TableRBRanks314135[[#This Row],[RK]],Rankings!A:AI,23,FALSE)</f>
        <v>Saquon Barkley</v>
      </c>
      <c r="R12" s="58" t="str">
        <f>IFERROR(INDEX(TableRBCalcPts[TM],MATCH(TableRBRanks314135[[#This Row],[Player]],TableRBCalcPts[PLAYER],0)),"")</f>
        <v>PHI</v>
      </c>
      <c r="S12" s="58">
        <f>IFERROR(INDEX(TableRBCalcPts[BYE],MATCH(TableRBRanks314135[[#This Row],[Player]],TableRBCalcPts[PLAYER],0)),"")</f>
        <v>10</v>
      </c>
      <c r="T12" s="100">
        <f>VLOOKUP(TableRBRanks314135[[#This Row],[Player]],RB!B:O,4,FALSE)</f>
        <v>308.61065928000005</v>
      </c>
      <c r="U12" s="100">
        <f>VLOOKUP(TableRBRanks314135[[#This Row],[Player]],RB!B:O,5,FALSE)</f>
        <v>1320.8536217184003</v>
      </c>
      <c r="V12" s="100">
        <f>VLOOKUP(TableRBRanks314135[[#This Row],[Player]],RB!B:O,6,FALSE)</f>
        <v>9.2583197784000006</v>
      </c>
      <c r="W12" s="100">
        <f>VLOOKUP(TableRBRanks314135[[#This Row],[Player]],RB!B:O,7,FALSE)</f>
        <v>44.188858559999993</v>
      </c>
      <c r="X12" s="100">
        <f>VLOOKUP(TableRBRanks314135[[#This Row],[Player]],RB!B:O,8,FALSE)</f>
        <v>29.923019353693945</v>
      </c>
      <c r="Y12" s="100">
        <f>VLOOKUP(TableRBRanks314135[[#This Row],[Player]],RB!B:O,9,FALSE)</f>
        <v>221.13111302379824</v>
      </c>
      <c r="Z12" s="100">
        <f>VLOOKUP(TableRBRanks314135[[#This Row],[Player]],RB!B:O,10,FALSE)</f>
        <v>1.5559970063920852</v>
      </c>
      <c r="AA12" s="95">
        <f>VLOOKUP(TableRBRanks314135[[#This Row],[Player]],RB!B:O,14,FALSE)</f>
        <v>234.04588385981933</v>
      </c>
      <c r="AB12" s="190">
        <f>TableRBRanks314135[[#This Row],[FPS]]+(TableRBRanks314135[[#This Row],[REC]]*0.5)</f>
        <v>249.00739353666631</v>
      </c>
      <c r="AD12" s="58">
        <v>11</v>
      </c>
      <c r="AE12" s="58" t="str">
        <f>VLOOKUP(TableWRRanks324236[[#This Row],[RK]],Rankings!A:AI,28,FALSE)</f>
        <v>Chris Olave</v>
      </c>
      <c r="AF12" s="58" t="str">
        <f>IFERROR(INDEX(TableWRCalcPts[TM],MATCH(TableWRRanks324236[[#This Row],[Player]],TableWRCalcPts[PLAYER],0)),"")</f>
        <v>NO</v>
      </c>
      <c r="AG12" s="58">
        <f>IFERROR(INDEX(TableWRCalcPts[BYE],MATCH(TableWRRanks324236[[#This Row],[Player]],TableWRCalcPts[PLAYER],0)),"")</f>
        <v>8</v>
      </c>
      <c r="AH12" s="100">
        <f>VLOOKUP(TableWRRanks324236[[#This Row],[Player]],WR!B:O,4,FALSE)</f>
        <v>0</v>
      </c>
      <c r="AI12" s="100">
        <f>VLOOKUP(TableWRRanks324236[[#This Row],[Player]],WR!B:O,5,FALSE)</f>
        <v>0</v>
      </c>
      <c r="AJ12" s="100">
        <f>VLOOKUP(TableWRRanks324236[[#This Row],[Player]],WR!B:O,6,FALSE)</f>
        <v>137.60868352000003</v>
      </c>
      <c r="AK12" s="100">
        <f>VLOOKUP(TableWRRanks324236[[#This Row],[Player]],WR!B:O,7,FALSE)</f>
        <v>86.005427200000014</v>
      </c>
      <c r="AL12" s="100">
        <f>VLOOKUP(TableWRRanks324236[[#This Row],[Player]],WR!B:O,8,FALSE)</f>
        <v>1075.9278942720002</v>
      </c>
      <c r="AM12" s="100">
        <f>VLOOKUP(TableWRRanks324236[[#This Row],[Player]],WR!B:O,9,FALSE)</f>
        <v>7.1384504576000012</v>
      </c>
      <c r="AN12" s="95">
        <f>VLOOKUP(TableWRRanks324236[[#This Row],[Player]],WR!B:O,13,FALSE)</f>
        <v>193.42620577280005</v>
      </c>
      <c r="AO12" s="190">
        <f>TableWRRanks324236[[#This Row],[FPS]]+(TableWRRanks324236[[#This Row],[REC]]*0.5)</f>
        <v>236.42891937280007</v>
      </c>
      <c r="AQ12" s="58">
        <v>11</v>
      </c>
      <c r="AR12" s="58" t="str">
        <f>VLOOKUP(TableTERanks334337[[#This Row],[RK]],Rankings!A:AI,33,FALSE)</f>
        <v>Jake Ferguson</v>
      </c>
      <c r="AS12" s="58" t="str">
        <f>IFERROR(INDEX(TableTECalcPts[TM],MATCH(TableTERanks334337[[#This Row],[Player]],TableTECalcPts[PLAYER],0)),"")</f>
        <v>DAL</v>
      </c>
      <c r="AT12" s="58">
        <f>IFERROR(INDEX(TableTECalcPts[BYE],MATCH(TableTERanks334337[[#This Row],[Player]],TableTECalcPts[PLAYER],0)),"")</f>
        <v>14</v>
      </c>
      <c r="AU12" s="100">
        <f>VLOOKUP(TableTERanks334337[[#This Row],[Player]],TE!B:O,4,FALSE)</f>
        <v>100.0587742</v>
      </c>
      <c r="AV12" s="100">
        <f>VLOOKUP(TableTERanks334337[[#This Row],[Player]],TE!B:O,5,FALSE)</f>
        <v>74.564451091063063</v>
      </c>
      <c r="AW12" s="100">
        <f>VLOOKUP(TableTERanks334337[[#This Row],[Player]],TE!B:O,6,FALSE)</f>
        <v>606.75060624015089</v>
      </c>
      <c r="AX12" s="100">
        <f>VLOOKUP(TableTERanks334337[[#This Row],[Player]],TE!B:O,7,FALSE)</f>
        <v>6.2634138916492974</v>
      </c>
      <c r="AY12" s="95">
        <f>VLOOKUP(TableTERanks334337[[#This Row],[Player]],TE!B:O,11,FALSE)</f>
        <v>135.53776951944241</v>
      </c>
      <c r="AZ12" s="190">
        <f>TableTERanks334337[[#This Row],[FPS]]+(TableTERanks334337[[#This Row],[REC]]*0.5)</f>
        <v>172.81999506497394</v>
      </c>
    </row>
    <row r="13" spans="1:52" x14ac:dyDescent="0.25">
      <c r="A13" s="58">
        <v>12</v>
      </c>
      <c r="B13" s="58" t="str">
        <f>VLOOKUP(TableQBRanks304034[[#This Row],[RK]],Rankings!A:T,3,FALSE)</f>
        <v>Justin Herbert</v>
      </c>
      <c r="C13" s="58" t="str">
        <f>IFERROR(INDEX(TableQBCalcPts[TM],MATCH(TableQBRanks304034[[#This Row],[Player]],TableQBCalcPts[PLAYER],0)),"")</f>
        <v>LAC</v>
      </c>
      <c r="D13" s="58">
        <f>IFERROR(INDEX(TableQBCalcPts[BYE],MATCH(TableQBRanks304034[[#This Row],[Player]],TableQBCalcPts[PLAYER],0)),"")</f>
        <v>7</v>
      </c>
      <c r="E13" s="100">
        <f>VLOOKUP(TableQBRanks304034[[#This Row],[Player]],QB!B:O,4,FALSE)</f>
        <v>531.69115999999997</v>
      </c>
      <c r="F13" s="100">
        <f>VLOOKUP(TableQBRanks304034[[#This Row],[Player]],QB!B:O,5,FALSE)</f>
        <v>352.22829470099089</v>
      </c>
      <c r="G13" s="100">
        <f>VLOOKUP(TableQBRanks304034[[#This Row],[Player]],QB!B:O,6,FALSE)</f>
        <v>4029.1470687418719</v>
      </c>
      <c r="H13" s="100">
        <f>VLOOKUP(TableQBRanks304034[[#This Row],[Player]],QB!B:O,7,FALSE)</f>
        <v>26.430355388976508</v>
      </c>
      <c r="I13" s="100">
        <f>VLOOKUP(TableQBRanks304034[[#This Row],[Player]],QB!B:O,8,FALSE)</f>
        <v>10.075406373377627</v>
      </c>
      <c r="J13" s="100">
        <f>VLOOKUP(TableQBRanks304034[[#This Row],[Player]],QB!B:O,9,FALSE)</f>
        <v>71.8862144</v>
      </c>
      <c r="K13" s="100">
        <f>VLOOKUP(TableQBRanks304034[[#This Row],[Player]],QB!B:O,10,FALSE)</f>
        <v>384.4700904988764</v>
      </c>
      <c r="L13" s="100">
        <f>VLOOKUP(TableQBRanks304034[[#This Row],[Player]],QB!B:O,11,FALSE)</f>
        <v>2.0128140031999999</v>
      </c>
      <c r="M13" s="95">
        <f>VLOOKUP(TableQBRanks304034[[#This Row],[Player]],QB!B:O,13,FALSE)</f>
        <v>395.41933124934303</v>
      </c>
      <c r="N13" s="140">
        <f>IF(VLOOKUP(TableQBRanks304034[[#This Row],[Player]],'Ranks w Proj'!$B:$N,13,FALSE)&lt;0,0,VLOOKUP(TableQBRanks304034[[#This Row],[Player]],'Ranks w Proj'!$B:$N,13,FALSE))</f>
        <v>18.880958958839273</v>
      </c>
      <c r="P13" s="58">
        <v>12</v>
      </c>
      <c r="Q13" s="58" t="str">
        <f>VLOOKUP(TableRBRanks314135[[#This Row],[RK]],Rankings!A:AI,23,FALSE)</f>
        <v>Kenneth Walker</v>
      </c>
      <c r="R13" s="58" t="str">
        <f>IFERROR(INDEX(TableRBCalcPts[TM],MATCH(TableRBRanks314135[[#This Row],[Player]],TableRBCalcPts[PLAYER],0)),"")</f>
        <v>KC</v>
      </c>
      <c r="S13" s="58">
        <f>IFERROR(INDEX(TableRBCalcPts[BYE],MATCH(TableRBRanks314135[[#This Row],[Player]],TableRBCalcPts[PLAYER],0)),"")</f>
        <v>5</v>
      </c>
      <c r="T13" s="100">
        <f>VLOOKUP(TableRBRanks314135[[#This Row],[Player]],RB!B:O,4,FALSE)</f>
        <v>263.54079150000001</v>
      </c>
      <c r="U13" s="100">
        <f>VLOOKUP(TableRBRanks314135[[#This Row],[Player]],RB!B:O,5,FALSE)</f>
        <v>1131.4315892972611</v>
      </c>
      <c r="V13" s="100">
        <f>VLOOKUP(TableRBRanks314135[[#This Row],[Player]],RB!B:O,6,FALSE)</f>
        <v>9.223927702500001</v>
      </c>
      <c r="W13" s="100">
        <f>VLOOKUP(TableRBRanks314135[[#This Row],[Player]],RB!B:O,7,FALSE)</f>
        <v>53.278361499999995</v>
      </c>
      <c r="X13" s="100">
        <f>VLOOKUP(TableRBRanks314135[[#This Row],[Player]],RB!B:O,8,FALSE)</f>
        <v>40.118606209499994</v>
      </c>
      <c r="Y13" s="100">
        <f>VLOOKUP(TableRBRanks314135[[#This Row],[Player]],RB!B:O,9,FALSE)</f>
        <v>323.7802601893066</v>
      </c>
      <c r="Z13" s="100">
        <f>VLOOKUP(TableRBRanks314135[[#This Row],[Player]],RB!B:O,10,FALSE)</f>
        <v>2.0460489166844997</v>
      </c>
      <c r="AA13" s="95">
        <f>VLOOKUP(TableRBRanks314135[[#This Row],[Player]],RB!B:O,14,FALSE)</f>
        <v>233.20034776851375</v>
      </c>
      <c r="AB13" s="190">
        <f>TableRBRanks314135[[#This Row],[FPS]]+(TableRBRanks314135[[#This Row],[REC]]*0.5)</f>
        <v>253.25965087326375</v>
      </c>
      <c r="AD13" s="58">
        <v>12</v>
      </c>
      <c r="AE13" s="58" t="str">
        <f>VLOOKUP(TableWRRanks324236[[#This Row],[RK]],Rankings!A:AI,28,FALSE)</f>
        <v>Tetairoa McMillan</v>
      </c>
      <c r="AF13" s="58" t="str">
        <f>IFERROR(INDEX(TableWRCalcPts[TM],MATCH(TableWRRanks324236[[#This Row],[Player]],TableWRCalcPts[PLAYER],0)),"")</f>
        <v>CAR</v>
      </c>
      <c r="AG13" s="58">
        <f>IFERROR(INDEX(TableWRCalcPts[BYE],MATCH(TableWRRanks324236[[#This Row],[Player]],TableWRCalcPts[PLAYER],0)),"")</f>
        <v>5</v>
      </c>
      <c r="AH13" s="100">
        <f>VLOOKUP(TableWRRanks324236[[#This Row],[Player]],WR!B:O,4,FALSE)</f>
        <v>0</v>
      </c>
      <c r="AI13" s="100">
        <f>VLOOKUP(TableWRRanks324236[[#This Row],[Player]],WR!B:O,5,FALSE)</f>
        <v>0</v>
      </c>
      <c r="AJ13" s="100">
        <f>VLOOKUP(TableWRRanks324236[[#This Row],[Player]],WR!B:O,6,FALSE)</f>
        <v>148.61523599999998</v>
      </c>
      <c r="AK13" s="100">
        <f>VLOOKUP(TableWRRanks324236[[#This Row],[Player]],WR!B:O,7,FALSE)</f>
        <v>84.666360677684196</v>
      </c>
      <c r="AL13" s="100">
        <f>VLOOKUP(TableWRRanks324236[[#This Row],[Player]],WR!B:O,8,FALSE)</f>
        <v>1213.2689485112146</v>
      </c>
      <c r="AM13" s="100">
        <f>VLOOKUP(TableWRRanks324236[[#This Row],[Player]],WR!B:O,9,FALSE)</f>
        <v>7.3659733789585244</v>
      </c>
      <c r="AN13" s="95">
        <f>VLOOKUP(TableWRRanks324236[[#This Row],[Player]],WR!B:O,13,FALSE)</f>
        <v>207.85591546371469</v>
      </c>
      <c r="AO13" s="190">
        <f>TableWRRanks324236[[#This Row],[FPS]]+(TableWRRanks324236[[#This Row],[REC]]*0.5)</f>
        <v>250.18909580255678</v>
      </c>
      <c r="AQ13" s="58">
        <v>12</v>
      </c>
      <c r="AR13" s="58" t="str">
        <f>VLOOKUP(TableTERanks334337[[#This Row],[RK]],Rankings!A:AI,33,FALSE)</f>
        <v>Isaiah Likely</v>
      </c>
      <c r="AS13" s="58" t="str">
        <f>IFERROR(INDEX(TableTECalcPts[TM],MATCH(TableTERanks334337[[#This Row],[Player]],TableTECalcPts[PLAYER],0)),"")</f>
        <v>NYG</v>
      </c>
      <c r="AT13" s="58">
        <f>IFERROR(INDEX(TableTECalcPts[BYE],MATCH(TableTERanks334337[[#This Row],[Player]],TableTECalcPts[PLAYER],0)),"")</f>
        <v>8</v>
      </c>
      <c r="AU13" s="100">
        <f>VLOOKUP(TableTERanks334337[[#This Row],[Player]],TE!B:O,4,FALSE)</f>
        <v>99.378182820000006</v>
      </c>
      <c r="AV13" s="100">
        <f>VLOOKUP(TableTERanks334337[[#This Row],[Player]],TE!B:O,5,FALSE)</f>
        <v>72.033140364044769</v>
      </c>
      <c r="AW13" s="100">
        <f>VLOOKUP(TableTERanks334337[[#This Row],[Player]],TE!B:O,6,FALSE)</f>
        <v>787.32222417900925</v>
      </c>
      <c r="AX13" s="100">
        <f>VLOOKUP(TableTERanks334337[[#This Row],[Player]],TE!B:O,7,FALSE)</f>
        <v>5.6906180887595372</v>
      </c>
      <c r="AY13" s="95">
        <f>VLOOKUP(TableTERanks334337[[#This Row],[Player]],TE!B:O,11,FALSE)</f>
        <v>148.89250113248056</v>
      </c>
      <c r="AZ13" s="190">
        <f>TableTERanks334337[[#This Row],[FPS]]+(TableTERanks334337[[#This Row],[REC]]*0.5)</f>
        <v>184.90907131450294</v>
      </c>
    </row>
    <row r="14" spans="1:52" x14ac:dyDescent="0.25">
      <c r="A14" s="58">
        <v>13</v>
      </c>
      <c r="B14" s="58" t="str">
        <f>VLOOKUP(TableQBRanks304034[[#This Row],[RK]],Rankings!A:T,3,FALSE)</f>
        <v>Brock Purdy</v>
      </c>
      <c r="C14" s="58" t="str">
        <f>IFERROR(INDEX(TableQBCalcPts[TM],MATCH(TableQBRanks304034[[#This Row],[Player]],TableQBCalcPts[PLAYER],0)),"")</f>
        <v>SF</v>
      </c>
      <c r="D14" s="58">
        <f>IFERROR(INDEX(TableQBCalcPts[BYE],MATCH(TableQBRanks304034[[#This Row],[Player]],TableQBCalcPts[PLAYER],0)),"")</f>
        <v>8</v>
      </c>
      <c r="E14" s="100">
        <f>VLOOKUP(TableQBRanks304034[[#This Row],[Player]],QB!B:O,4,FALSE)</f>
        <v>536.83616000000006</v>
      </c>
      <c r="F14" s="100">
        <f>VLOOKUP(TableQBRanks304034[[#This Row],[Player]],QB!B:O,5,FALSE)</f>
        <v>361.29073568000007</v>
      </c>
      <c r="G14" s="100">
        <f>VLOOKUP(TableQBRanks304034[[#This Row],[Player]],QB!B:O,6,FALSE)</f>
        <v>4295.7468472352011</v>
      </c>
      <c r="H14" s="100">
        <f>VLOOKUP(TableQBRanks304034[[#This Row],[Player]],QB!B:O,7,FALSE)</f>
        <v>29.625840325760006</v>
      </c>
      <c r="I14" s="100">
        <f>VLOOKUP(TableQBRanks304034[[#This Row],[Player]],QB!B:O,8,FALSE)</f>
        <v>15.441805867686105</v>
      </c>
      <c r="J14" s="100">
        <f>VLOOKUP(TableQBRanks304034[[#This Row],[Player]],QB!B:O,9,FALSE)</f>
        <v>64.131889919999992</v>
      </c>
      <c r="K14" s="100">
        <f>VLOOKUP(TableQBRanks304034[[#This Row],[Player]],QB!B:O,10,FALSE)</f>
        <v>275.80616229242338</v>
      </c>
      <c r="L14" s="100">
        <f>VLOOKUP(TableQBRanks304034[[#This Row],[Player]],QB!B:O,11,FALSE)</f>
        <v>3.9495945227970899</v>
      </c>
      <c r="M14" s="95">
        <f>VLOOKUP(TableQBRanks304034[[#This Row],[Player]],QB!B:O,13,FALSE)</f>
        <v>421.55036691030688</v>
      </c>
      <c r="N14" s="140">
        <f>IF(VLOOKUP(TableQBRanks304034[[#This Row],[Player]],'Ranks w Proj'!$B:$N,13,FALSE)&lt;0,0,VLOOKUP(TableQBRanks304034[[#This Row],[Player]],'Ranks w Proj'!$B:$N,13,FALSE))</f>
        <v>25.622801754329171</v>
      </c>
      <c r="P14" s="58">
        <v>13</v>
      </c>
      <c r="Q14" s="58" t="str">
        <f>VLOOKUP(TableRBRanks314135[[#This Row],[RK]],Rankings!A:AI,23,FALSE)</f>
        <v>Kyren Williams</v>
      </c>
      <c r="R14" s="58" t="str">
        <f>IFERROR(INDEX(TableRBCalcPts[TM],MATCH(TableRBRanks314135[[#This Row],[Player]],TableRBCalcPts[PLAYER],0)),"")</f>
        <v>LAR</v>
      </c>
      <c r="S14" s="58">
        <f>IFERROR(INDEX(TableRBCalcPts[BYE],MATCH(TableRBRanks314135[[#This Row],[Player]],TableRBCalcPts[PLAYER],0)),"")</f>
        <v>11</v>
      </c>
      <c r="T14" s="100">
        <f>VLOOKUP(TableRBRanks314135[[#This Row],[Player]],RB!B:O,4,FALSE)</f>
        <v>243.83066399999998</v>
      </c>
      <c r="U14" s="100">
        <f>VLOOKUP(TableRBRanks314135[[#This Row],[Player]],RB!B:O,5,FALSE)</f>
        <v>1119.18274776</v>
      </c>
      <c r="V14" s="100">
        <f>VLOOKUP(TableRBRanks314135[[#This Row],[Player]],RB!B:O,6,FALSE)</f>
        <v>10.728549215999999</v>
      </c>
      <c r="W14" s="100">
        <f>VLOOKUP(TableRBRanks314135[[#This Row],[Player]],RB!B:O,7,FALSE)</f>
        <v>39.582072996587819</v>
      </c>
      <c r="X14" s="100">
        <f>VLOOKUP(TableRBRanks314135[[#This Row],[Player]],RB!B:O,8,FALSE)</f>
        <v>28.30118219256029</v>
      </c>
      <c r="Y14" s="100">
        <f>VLOOKUP(TableRBRanks314135[[#This Row],[Player]],RB!B:O,9,FALSE)</f>
        <v>209.71176004687175</v>
      </c>
      <c r="Z14" s="100">
        <f>VLOOKUP(TableRBRanks314135[[#This Row],[Player]],RB!B:O,10,FALSE)</f>
        <v>1.8112756603238587</v>
      </c>
      <c r="AA14" s="95">
        <f>VLOOKUP(TableRBRanks314135[[#This Row],[Player]],RB!B:O,14,FALSE)</f>
        <v>222.27899113491048</v>
      </c>
      <c r="AB14" s="190">
        <f>TableRBRanks314135[[#This Row],[FPS]]+(TableRBRanks314135[[#This Row],[REC]]*0.5)</f>
        <v>236.42958223119064</v>
      </c>
      <c r="AD14" s="58">
        <v>13</v>
      </c>
      <c r="AE14" s="58" t="str">
        <f>VLOOKUP(TableWRRanks324236[[#This Row],[RK]],Rankings!A:AI,28,FALSE)</f>
        <v>Zay Flowers</v>
      </c>
      <c r="AF14" s="58" t="str">
        <f>IFERROR(INDEX(TableWRCalcPts[TM],MATCH(TableWRRanks324236[[#This Row],[Player]],TableWRCalcPts[PLAYER],0)),"")</f>
        <v>BAL</v>
      </c>
      <c r="AG14" s="58">
        <f>IFERROR(INDEX(TableWRCalcPts[BYE],MATCH(TableWRRanks324236[[#This Row],[Player]],TableWRCalcPts[PLAYER],0)),"")</f>
        <v>13</v>
      </c>
      <c r="AH14" s="100">
        <f>VLOOKUP(TableWRRanks324236[[#This Row],[Player]],WR!B:O,4,FALSE)</f>
        <v>56.413694630198776</v>
      </c>
      <c r="AI14" s="100">
        <f>VLOOKUP(TableWRRanks324236[[#This Row],[Player]],WR!B:O,5,FALSE)</f>
        <v>0.26872532932368426</v>
      </c>
      <c r="AJ14" s="100">
        <f>VLOOKUP(TableWRRanks324236[[#This Row],[Player]],WR!B:O,6,FALSE)</f>
        <v>122.65981056</v>
      </c>
      <c r="AK14" s="100">
        <f>VLOOKUP(TableWRRanks324236[[#This Row],[Player]],WR!B:O,7,FALSE)</f>
        <v>82.022021242617427</v>
      </c>
      <c r="AL14" s="100">
        <f>VLOOKUP(TableWRRanks324236[[#This Row],[Player]],WR!B:O,8,FALSE)</f>
        <v>1157.1558788318523</v>
      </c>
      <c r="AM14" s="100">
        <f>VLOOKUP(TableWRRanks324236[[#This Row],[Player]],WR!B:O,9,FALSE)</f>
        <v>6.8078277631372472</v>
      </c>
      <c r="AN14" s="95">
        <f>VLOOKUP(TableWRRanks324236[[#This Row],[Player]],WR!B:O,13,FALSE)</f>
        <v>204.82728652227939</v>
      </c>
      <c r="AO14" s="190">
        <f>TableWRRanks324236[[#This Row],[FPS]]+(TableWRRanks324236[[#This Row],[REC]]*0.5)</f>
        <v>245.83829714358811</v>
      </c>
      <c r="AQ14" s="58">
        <v>13</v>
      </c>
      <c r="AR14" s="58" t="str">
        <f>VLOOKUP(TableTERanks334337[[#This Row],[RK]],Rankings!A:AI,33,FALSE)</f>
        <v>Dalton Kincaid</v>
      </c>
      <c r="AS14" s="58" t="str">
        <f>IFERROR(INDEX(TableTECalcPts[TM],MATCH(TableTERanks334337[[#This Row],[Player]],TableTECalcPts[PLAYER],0)),"")</f>
        <v>BUF</v>
      </c>
      <c r="AT14" s="58">
        <f>IFERROR(INDEX(TableTECalcPts[BYE],MATCH(TableTERanks334337[[#This Row],[Player]],TableTECalcPts[PLAYER],0)),"")</f>
        <v>7</v>
      </c>
      <c r="AU14" s="100">
        <f>VLOOKUP(TableTERanks334337[[#This Row],[Player]],TE!B:O,4,FALSE)</f>
        <v>88.871613599999961</v>
      </c>
      <c r="AV14" s="100">
        <f>VLOOKUP(TableTERanks334337[[#This Row],[Player]],TE!B:O,5,FALSE)</f>
        <v>61.143670156799971</v>
      </c>
      <c r="AW14" s="100">
        <f>VLOOKUP(TableTERanks334337[[#This Row],[Player]],TE!B:O,6,FALSE)</f>
        <v>742.28415570355173</v>
      </c>
      <c r="AX14" s="100">
        <f>VLOOKUP(TableTERanks334337[[#This Row],[Player]],TE!B:O,7,FALSE)</f>
        <v>5.4417866439551972</v>
      </c>
      <c r="AY14" s="95">
        <f>VLOOKUP(TableTERanks334337[[#This Row],[Player]],TE!B:O,11,FALSE)</f>
        <v>137.45097051248635</v>
      </c>
      <c r="AZ14" s="190">
        <f>TableTERanks334337[[#This Row],[FPS]]+(TableTERanks334337[[#This Row],[REC]]*0.5)</f>
        <v>168.02280559088632</v>
      </c>
    </row>
    <row r="15" spans="1:52" x14ac:dyDescent="0.25">
      <c r="A15" s="58">
        <v>14</v>
      </c>
      <c r="B15" s="58" t="str">
        <f>VLOOKUP(TableQBRanks304034[[#This Row],[RK]],Rankings!A:T,3,FALSE)</f>
        <v>Bo Nix</v>
      </c>
      <c r="C15" s="58" t="str">
        <f>IFERROR(INDEX(TableQBCalcPts[TM],MATCH(TableQBRanks304034[[#This Row],[Player]],TableQBCalcPts[PLAYER],0)),"")</f>
        <v>DEN</v>
      </c>
      <c r="D15" s="58">
        <f>IFERROR(INDEX(TableQBCalcPts[BYE],MATCH(TableQBRanks304034[[#This Row],[Player]],TableQBCalcPts[PLAYER],0)),"")</f>
        <v>10</v>
      </c>
      <c r="E15" s="100">
        <f>VLOOKUP(TableQBRanks304034[[#This Row],[Player]],QB!B:O,4,FALSE)</f>
        <v>570.67164000000014</v>
      </c>
      <c r="F15" s="100">
        <f>VLOOKUP(TableQBRanks304034[[#This Row],[Player]],QB!B:O,5,FALSE)</f>
        <v>369.92991785531984</v>
      </c>
      <c r="G15" s="100">
        <f>VLOOKUP(TableQBRanks304034[[#This Row],[Player]],QB!B:O,6,FALSE)</f>
        <v>3913.8585309092841</v>
      </c>
      <c r="H15" s="100">
        <f>VLOOKUP(TableQBRanks304034[[#This Row],[Player]],QB!B:O,7,FALSE)</f>
        <v>26.265024167727706</v>
      </c>
      <c r="I15" s="100">
        <f>VLOOKUP(TableQBRanks304034[[#This Row],[Player]],QB!B:O,8,FALSE)</f>
        <v>11.445045289519861</v>
      </c>
      <c r="J15" s="100">
        <f>VLOOKUP(TableQBRanks304034[[#This Row],[Player]],QB!B:O,9,FALSE)</f>
        <v>81.722009879999987</v>
      </c>
      <c r="K15" s="100">
        <f>VLOOKUP(TableQBRanks304034[[#This Row],[Player]],QB!B:O,10,FALSE)</f>
        <v>353.06822370358316</v>
      </c>
      <c r="L15" s="100">
        <f>VLOOKUP(TableQBRanks304034[[#This Row],[Player]],QB!B:O,11,FALSE)</f>
        <v>4.273902009493125</v>
      </c>
      <c r="M15" s="95">
        <f>VLOOKUP(TableQBRanks304034[[#This Row],[Player]],QB!B:O,13,FALSE)</f>
        <v>400.64266716606681</v>
      </c>
      <c r="N15" s="140">
        <f>IF(VLOOKUP(TableQBRanks304034[[#This Row],[Player]],'Ranks w Proj'!$B:$N,13,FALSE)&lt;0,0,VLOOKUP(TableQBRanks304034[[#This Row],[Player]],'Ranks w Proj'!$B:$N,13,FALSE))</f>
        <v>20.192760077259251</v>
      </c>
      <c r="P15" s="58">
        <v>14</v>
      </c>
      <c r="Q15" s="58" t="str">
        <f>VLOOKUP(TableRBRanks314135[[#This Row],[RK]],Rankings!A:AI,23,FALSE)</f>
        <v>Josh Jacobs</v>
      </c>
      <c r="R15" s="58" t="str">
        <f>IFERROR(INDEX(TableRBCalcPts[TM],MATCH(TableRBRanks314135[[#This Row],[Player]],TableRBCalcPts[PLAYER],0)),"")</f>
        <v>GB</v>
      </c>
      <c r="S15" s="58">
        <f>IFERROR(INDEX(TableRBCalcPts[BYE],MATCH(TableRBRanks314135[[#This Row],[Player]],TableRBCalcPts[PLAYER],0)),"")</f>
        <v>11</v>
      </c>
      <c r="T15" s="100">
        <f>VLOOKUP(TableRBRanks314135[[#This Row],[Player]],RB!B:O,4,FALSE)</f>
        <v>244.29464303999998</v>
      </c>
      <c r="U15" s="100">
        <f>VLOOKUP(TableRBRanks314135[[#This Row],[Player]],RB!B:O,5,FALSE)</f>
        <v>992.89385363042413</v>
      </c>
      <c r="V15" s="100">
        <f>VLOOKUP(TableRBRanks314135[[#This Row],[Player]],RB!B:O,6,FALSE)</f>
        <v>11.237553579839998</v>
      </c>
      <c r="W15" s="100">
        <f>VLOOKUP(TableRBRanks314135[[#This Row],[Player]],RB!B:O,7,FALSE)</f>
        <v>45.916429507537686</v>
      </c>
      <c r="X15" s="100">
        <f>VLOOKUP(TableRBRanks314135[[#This Row],[Player]],RB!B:O,8,FALSE)</f>
        <v>34.693487474221634</v>
      </c>
      <c r="Y15" s="100">
        <f>VLOOKUP(TableRBRanks314135[[#This Row],[Player]],RB!B:O,9,FALSE)</f>
        <v>264.40452323508913</v>
      </c>
      <c r="Z15" s="100">
        <f>VLOOKUP(TableRBRanks314135[[#This Row],[Player]],RB!B:O,10,FALSE)</f>
        <v>1.1790050215303887</v>
      </c>
      <c r="AA15" s="95">
        <f>VLOOKUP(TableRBRanks314135[[#This Row],[Player]],RB!B:O,14,FALSE)</f>
        <v>217.57593303188446</v>
      </c>
      <c r="AB15" s="190">
        <f>TableRBRanks314135[[#This Row],[FPS]]+(TableRBRanks314135[[#This Row],[REC]]*0.5)</f>
        <v>234.92267676899527</v>
      </c>
      <c r="AD15" s="58">
        <v>14</v>
      </c>
      <c r="AE15" s="58" t="str">
        <f>VLOOKUP(TableWRRanks324236[[#This Row],[RK]],Rankings!A:AI,28,FALSE)</f>
        <v>DeVonta Smith</v>
      </c>
      <c r="AF15" s="58" t="str">
        <f>IFERROR(INDEX(TableWRCalcPts[TM],MATCH(TableWRRanks324236[[#This Row],[Player]],TableWRCalcPts[PLAYER],0)),"")</f>
        <v>PHI</v>
      </c>
      <c r="AG15" s="58">
        <f>IFERROR(INDEX(TableWRCalcPts[BYE],MATCH(TableWRRanks324236[[#This Row],[Player]],TableWRCalcPts[PLAYER],0)),"")</f>
        <v>10</v>
      </c>
      <c r="AH15" s="100">
        <f>VLOOKUP(TableWRRanks324236[[#This Row],[Player]],WR!B:O,4,FALSE)</f>
        <v>0</v>
      </c>
      <c r="AI15" s="100">
        <f>VLOOKUP(TableWRRanks324236[[#This Row],[Player]],WR!B:O,5,FALSE)</f>
        <v>0</v>
      </c>
      <c r="AJ15" s="100">
        <f>VLOOKUP(TableWRRanks324236[[#This Row],[Player]],WR!B:O,6,FALSE)</f>
        <v>126.32249784000001</v>
      </c>
      <c r="AK15" s="100">
        <f>VLOOKUP(TableWRRanks324236[[#This Row],[Player]],WR!B:O,7,FALSE)</f>
        <v>86.025621029040011</v>
      </c>
      <c r="AL15" s="100">
        <f>VLOOKUP(TableWRRanks324236[[#This Row],[Player]],WR!B:O,8,FALSE)</f>
        <v>1107.149742643745</v>
      </c>
      <c r="AM15" s="100">
        <f>VLOOKUP(TableWRRanks324236[[#This Row],[Player]],WR!B:O,9,FALSE)</f>
        <v>7.39820340849744</v>
      </c>
      <c r="AN15" s="95">
        <f>VLOOKUP(TableWRRanks324236[[#This Row],[Player]],WR!B:O,13,FALSE)</f>
        <v>198.11700522987917</v>
      </c>
      <c r="AO15" s="190">
        <f>TableWRRanks324236[[#This Row],[FPS]]+(TableWRRanks324236[[#This Row],[REC]]*0.5)</f>
        <v>241.12981574439917</v>
      </c>
      <c r="AQ15" s="58">
        <v>14</v>
      </c>
      <c r="AR15" s="58" t="str">
        <f>VLOOKUP(TableTERanks334337[[#This Row],[RK]],Rankings!A:AI,33,FALSE)</f>
        <v>Dallas Goedert</v>
      </c>
      <c r="AS15" s="58" t="str">
        <f>IFERROR(INDEX(TableTECalcPts[TM],MATCH(TableTERanks334337[[#This Row],[Player]],TableTECalcPts[PLAYER],0)),"")</f>
        <v>PHI</v>
      </c>
      <c r="AT15" s="58">
        <f>IFERROR(INDEX(TableTECalcPts[BYE],MATCH(TableTERanks334337[[#This Row],[Player]],TableTECalcPts[PLAYER],0)),"")</f>
        <v>10</v>
      </c>
      <c r="AU15" s="100">
        <f>VLOOKUP(TableTERanks334337[[#This Row],[Player]],TE!B:O,4,FALSE)</f>
        <v>78.771443520000005</v>
      </c>
      <c r="AV15" s="100">
        <f>VLOOKUP(TableTERanks334337[[#This Row],[Player]],TE!B:O,5,FALSE)</f>
        <v>55.376324794559999</v>
      </c>
      <c r="AW15" s="100">
        <f>VLOOKUP(TableTERanks334337[[#This Row],[Player]],TE!B:O,6,FALSE)</f>
        <v>558.71150776058289</v>
      </c>
      <c r="AX15" s="100">
        <f>VLOOKUP(TableTERanks334337[[#This Row],[Player]],TE!B:O,7,FALSE)</f>
        <v>5.0946218810995196</v>
      </c>
      <c r="AY15" s="95">
        <f>VLOOKUP(TableTERanks334337[[#This Row],[Player]],TE!B:O,11,FALSE)</f>
        <v>114.12704445993541</v>
      </c>
      <c r="AZ15" s="190">
        <f>TableTERanks334337[[#This Row],[FPS]]+(TableTERanks334337[[#This Row],[REC]]*0.5)</f>
        <v>141.8152068572154</v>
      </c>
    </row>
    <row r="16" spans="1:52" x14ac:dyDescent="0.25">
      <c r="A16" s="58">
        <v>15</v>
      </c>
      <c r="B16" s="58" t="str">
        <f>VLOOKUP(TableQBRanks304034[[#This Row],[RK]],Rankings!A:T,3,FALSE)</f>
        <v>Matthew Stafford</v>
      </c>
      <c r="C16" s="58" t="str">
        <f>IFERROR(INDEX(TableQBCalcPts[TM],MATCH(TableQBRanks304034[[#This Row],[Player]],TableQBCalcPts[PLAYER],0)),"")</f>
        <v>LAR</v>
      </c>
      <c r="D16" s="58">
        <f>IFERROR(INDEX(TableQBCalcPts[BYE],MATCH(TableQBRanks304034[[#This Row],[Player]],TableQBCalcPts[PLAYER],0)),"")</f>
        <v>11</v>
      </c>
      <c r="E16" s="100">
        <f>VLOOKUP(TableQBRanks304034[[#This Row],[Player]],QB!B:O,4,FALSE)</f>
        <v>571.03200000000004</v>
      </c>
      <c r="F16" s="100">
        <f>VLOOKUP(TableQBRanks304034[[#This Row],[Player]],QB!B:O,5,FALSE)</f>
        <v>371.74183200000004</v>
      </c>
      <c r="G16" s="100">
        <f>VLOOKUP(TableQBRanks304034[[#This Row],[Player]],QB!B:O,6,FALSE)</f>
        <v>4323.3575061600004</v>
      </c>
      <c r="H16" s="100">
        <f>VLOOKUP(TableQBRanks304034[[#This Row],[Player]],QB!B:O,7,FALSE)</f>
        <v>34.571990376000002</v>
      </c>
      <c r="I16" s="100">
        <f>VLOOKUP(TableQBRanks304034[[#This Row],[Player]],QB!B:O,8,FALSE)</f>
        <v>9.7587304586020061</v>
      </c>
      <c r="J16" s="100">
        <f>VLOOKUP(TableQBRanks304034[[#This Row],[Player]],QB!B:O,9,FALSE)</f>
        <v>24.427479999999996</v>
      </c>
      <c r="K16" s="100">
        <f>VLOOKUP(TableQBRanks304034[[#This Row],[Player]],QB!B:O,10,FALSE)</f>
        <v>31.922274999999996</v>
      </c>
      <c r="L16" s="100">
        <f>VLOOKUP(TableQBRanks304034[[#This Row],[Player]],QB!B:O,11,FALSE)</f>
        <v>0.6014341666666666</v>
      </c>
      <c r="M16" s="95">
        <f>VLOOKUP(TableQBRanks304034[[#This Row],[Player]],QB!B:O,13,FALSE)</f>
        <v>414.58252774379804</v>
      </c>
      <c r="N16" s="140">
        <f>IF(VLOOKUP(TableQBRanks304034[[#This Row],[Player]],'Ranks w Proj'!$B:$N,13,FALSE)&lt;0,0,VLOOKUP(TableQBRanks304034[[#This Row],[Player]],'Ranks w Proj'!$B:$N,13,FALSE))</f>
        <v>23.277172890013631</v>
      </c>
      <c r="P16" s="58">
        <v>15</v>
      </c>
      <c r="Q16" s="58" t="str">
        <f>VLOOKUP(TableRBRanks314135[[#This Row],[RK]],Rankings!A:AI,23,FALSE)</f>
        <v>Jeremiyah Love</v>
      </c>
      <c r="R16" s="58" t="str">
        <f>IFERROR(INDEX(TableRBCalcPts[TM],MATCH(TableRBRanks314135[[#This Row],[Player]],TableRBCalcPts[PLAYER],0)),"")</f>
        <v>ARI</v>
      </c>
      <c r="S16" s="58">
        <f>IFERROR(INDEX(TableRBCalcPts[BYE],MATCH(TableRBRanks314135[[#This Row],[Player]],TableRBCalcPts[PLAYER],0)),"")</f>
        <v>14</v>
      </c>
      <c r="T16" s="100">
        <f>VLOOKUP(TableRBRanks314135[[#This Row],[Player]],RB!B:O,4,FALSE)</f>
        <v>225.39168960000001</v>
      </c>
      <c r="U16" s="100">
        <f>VLOOKUP(TableRBRanks314135[[#This Row],[Player]],RB!B:O,5,FALSE)</f>
        <v>1007.3544595648907</v>
      </c>
      <c r="V16" s="100">
        <f>VLOOKUP(TableRBRanks314135[[#This Row],[Player]],RB!B:O,6,FALSE)</f>
        <v>6.0855756192000001</v>
      </c>
      <c r="W16" s="100">
        <f>VLOOKUP(TableRBRanks314135[[#This Row],[Player]],RB!B:O,7,FALSE)</f>
        <v>67.823996800000003</v>
      </c>
      <c r="X16" s="100">
        <f>VLOOKUP(TableRBRanks314135[[#This Row],[Player]],RB!B:O,8,FALSE)</f>
        <v>52.631135339598316</v>
      </c>
      <c r="Y16" s="100">
        <f>VLOOKUP(TableRBRanks314135[[#This Row],[Player]],RB!B:O,9,FALSE)</f>
        <v>394.73351504698735</v>
      </c>
      <c r="Z16" s="100">
        <f>VLOOKUP(TableRBRanks314135[[#This Row],[Player]],RB!B:O,10,FALSE)</f>
        <v>1.9473520075651376</v>
      </c>
      <c r="AA16" s="95">
        <f>VLOOKUP(TableRBRanks314135[[#This Row],[Player]],RB!B:O,14,FALSE)</f>
        <v>214.72193089157778</v>
      </c>
      <c r="AB16" s="190">
        <f>TableRBRanks314135[[#This Row],[FPS]]+(TableRBRanks314135[[#This Row],[REC]]*0.5)</f>
        <v>241.03749856137694</v>
      </c>
      <c r="AD16" s="58">
        <v>15</v>
      </c>
      <c r="AE16" s="58" t="str">
        <f>VLOOKUP(TableWRRanks324236[[#This Row],[RK]],Rankings!A:AI,28,FALSE)</f>
        <v>Tee Higgins</v>
      </c>
      <c r="AF16" s="58" t="str">
        <f>IFERROR(INDEX(TableWRCalcPts[TM],MATCH(TableWRRanks324236[[#This Row],[Player]],TableWRCalcPts[PLAYER],0)),"")</f>
        <v>CIN</v>
      </c>
      <c r="AG16" s="58">
        <f>IFERROR(INDEX(TableWRCalcPts[BYE],MATCH(TableWRRanks324236[[#This Row],[Player]],TableWRCalcPts[PLAYER],0)),"")</f>
        <v>6</v>
      </c>
      <c r="AH16" s="100">
        <f>VLOOKUP(TableWRRanks324236[[#This Row],[Player]],WR!B:O,4,FALSE)</f>
        <v>0</v>
      </c>
      <c r="AI16" s="100">
        <f>VLOOKUP(TableWRRanks324236[[#This Row],[Player]],WR!B:O,5,FALSE)</f>
        <v>0</v>
      </c>
      <c r="AJ16" s="100">
        <f>VLOOKUP(TableWRRanks324236[[#This Row],[Player]],WR!B:O,6,FALSE)</f>
        <v>128.44063750000001</v>
      </c>
      <c r="AK16" s="100">
        <f>VLOOKUP(TableWRRanks324236[[#This Row],[Player]],WR!B:O,7,FALSE)</f>
        <v>80.556362332031256</v>
      </c>
      <c r="AL16" s="100">
        <f>VLOOKUP(TableWRRanks324236[[#This Row],[Player]],WR!B:O,8,FALSE)</f>
        <v>1081.7836240677084</v>
      </c>
      <c r="AM16" s="100">
        <f>VLOOKUP(TableWRRanks324236[[#This Row],[Player]],WR!B:O,9,FALSE)</f>
        <v>10.311214378500001</v>
      </c>
      <c r="AN16" s="95">
        <f>VLOOKUP(TableWRRanks324236[[#This Row],[Player]],WR!B:O,13,FALSE)</f>
        <v>210.32382984378648</v>
      </c>
      <c r="AO16" s="190">
        <f>TableWRRanks324236[[#This Row],[FPS]]+(TableWRRanks324236[[#This Row],[REC]]*0.5)</f>
        <v>250.60201100980211</v>
      </c>
      <c r="AQ16" s="58">
        <v>15</v>
      </c>
      <c r="AR16" s="58" t="str">
        <f>VLOOKUP(TableTERanks334337[[#This Row],[RK]],Rankings!A:AI,33,FALSE)</f>
        <v>Mark Andrews</v>
      </c>
      <c r="AS16" s="58" t="str">
        <f>IFERROR(INDEX(TableTECalcPts[TM],MATCH(TableTERanks334337[[#This Row],[Player]],TableTECalcPts[PLAYER],0)),"")</f>
        <v>BAL</v>
      </c>
      <c r="AT16" s="58">
        <f>IFERROR(INDEX(TableTECalcPts[BYE],MATCH(TableTERanks334337[[#This Row],[Player]],TableTECalcPts[PLAYER],0)),"")</f>
        <v>13</v>
      </c>
      <c r="AU16" s="100">
        <f>VLOOKUP(TableTERanks334337[[#This Row],[Player]],TE!B:O,4,FALSE)</f>
        <v>84.12301183999999</v>
      </c>
      <c r="AV16" s="100">
        <f>VLOOKUP(TableTERanks334337[[#This Row],[Player]],TE!B:O,5,FALSE)</f>
        <v>56.303566443035386</v>
      </c>
      <c r="AW16" s="100">
        <f>VLOOKUP(TableTERanks334337[[#This Row],[Player]],TE!B:O,6,FALSE)</f>
        <v>600.92286879987364</v>
      </c>
      <c r="AX16" s="100">
        <f>VLOOKUP(TableTERanks334337[[#This Row],[Player]],TE!B:O,7,FALSE)</f>
        <v>6.7564279731642465</v>
      </c>
      <c r="AY16" s="95">
        <f>VLOOKUP(TableTERanks334337[[#This Row],[Player]],TE!B:O,11,FALSE)</f>
        <v>128.78263794049053</v>
      </c>
      <c r="AZ16" s="190">
        <f>TableTERanks334337[[#This Row],[FPS]]+(TableTERanks334337[[#This Row],[REC]]*0.5)</f>
        <v>156.93442116200822</v>
      </c>
    </row>
    <row r="17" spans="1:52" x14ac:dyDescent="0.25">
      <c r="A17" s="58">
        <v>16</v>
      </c>
      <c r="B17" s="58" t="str">
        <f>VLOOKUP(TableQBRanks304034[[#This Row],[RK]],Rankings!A:T,3,FALSE)</f>
        <v>Kyler Murray</v>
      </c>
      <c r="C17" s="58" t="str">
        <f>IFERROR(INDEX(TableQBCalcPts[TM],MATCH(TableQBRanks304034[[#This Row],[Player]],TableQBCalcPts[PLAYER],0)),"")</f>
        <v>MIN</v>
      </c>
      <c r="D17" s="58">
        <f>IFERROR(INDEX(TableQBCalcPts[BYE],MATCH(TableQBRanks304034[[#This Row],[Player]],TableQBCalcPts[PLAYER],0)),"")</f>
        <v>6</v>
      </c>
      <c r="E17" s="100">
        <f>VLOOKUP(TableQBRanks304034[[#This Row],[Player]],QB!B:O,4,FALSE)</f>
        <v>513.69920000000002</v>
      </c>
      <c r="F17" s="100">
        <f>VLOOKUP(TableQBRanks304034[[#This Row],[Player]],QB!B:O,5,FALSE)</f>
        <v>349.842312690303</v>
      </c>
      <c r="G17" s="100">
        <f>VLOOKUP(TableQBRanks304034[[#This Row],[Player]],QB!B:O,6,FALSE)</f>
        <v>3673.3442832481815</v>
      </c>
      <c r="H17" s="100">
        <f>VLOOKUP(TableQBRanks304034[[#This Row],[Player]],QB!B:O,7,FALSE)</f>
        <v>22.739750324869696</v>
      </c>
      <c r="I17" s="100">
        <f>VLOOKUP(TableQBRanks304034[[#This Row],[Player]],QB!B:O,8,FALSE)</f>
        <v>10.218902894788569</v>
      </c>
      <c r="J17" s="100">
        <f>VLOOKUP(TableQBRanks304034[[#This Row],[Player]],QB!B:O,9,FALSE)</f>
        <v>77.734775999999982</v>
      </c>
      <c r="K17" s="100">
        <f>VLOOKUP(TableQBRanks304034[[#This Row],[Player]],QB!B:O,10,FALSE)</f>
        <v>466.85013550489185</v>
      </c>
      <c r="L17" s="100">
        <f>VLOOKUP(TableQBRanks304034[[#This Row],[Player]],QB!B:O,11,FALSE)</f>
        <v>3.7312692479999994</v>
      </c>
      <c r="M17" s="95">
        <f>VLOOKUP(TableQBRanks304034[[#This Row],[Player]],QB!B:O,13,FALSE)</f>
        <v>377.21023069187635</v>
      </c>
      <c r="N17" s="140">
        <f>IF(VLOOKUP(TableQBRanks304034[[#This Row],[Player]],'Ranks w Proj'!$B:$N,13,FALSE)&lt;0,0,VLOOKUP(TableQBRanks304034[[#This Row],[Player]],'Ranks w Proj'!$B:$N,13,FALSE))</f>
        <v>14.948735695278563</v>
      </c>
      <c r="P17" s="58">
        <v>16</v>
      </c>
      <c r="Q17" s="58" t="str">
        <f>VLOOKUP(TableRBRanks314135[[#This Row],[RK]],Rankings!A:AI,23,FALSE)</f>
        <v>Breece Hall</v>
      </c>
      <c r="R17" s="58" t="str">
        <f>IFERROR(INDEX(TableRBCalcPts[TM],MATCH(TableRBRanks314135[[#This Row],[Player]],TableRBCalcPts[PLAYER],0)),"")</f>
        <v>NYJ</v>
      </c>
      <c r="S17" s="58">
        <f>IFERROR(INDEX(TableRBCalcPts[BYE],MATCH(TableRBRanks314135[[#This Row],[Player]],TableRBCalcPts[PLAYER],0)),"")</f>
        <v>13</v>
      </c>
      <c r="T17" s="100">
        <f>VLOOKUP(TableRBRanks314135[[#This Row],[Player]],RB!B:O,4,FALSE)</f>
        <v>227.64955080000004</v>
      </c>
      <c r="U17" s="100">
        <f>VLOOKUP(TableRBRanks314135[[#This Row],[Player]],RB!B:O,5,FALSE)</f>
        <v>1013.0405010600002</v>
      </c>
      <c r="V17" s="100">
        <f>VLOOKUP(TableRBRanks314135[[#This Row],[Player]],RB!B:O,6,FALSE)</f>
        <v>6.0582160827732814</v>
      </c>
      <c r="W17" s="100">
        <f>VLOOKUP(TableRBRanks314135[[#This Row],[Player]],RB!B:O,7,FALSE)</f>
        <v>63.459983635032508</v>
      </c>
      <c r="X17" s="100">
        <f>VLOOKUP(TableRBRanks314135[[#This Row],[Player]],RB!B:O,8,FALSE)</f>
        <v>50.28863098644387</v>
      </c>
      <c r="Y17" s="100">
        <f>VLOOKUP(TableRBRanks314135[[#This Row],[Player]],RB!B:O,9,FALSE)</f>
        <v>439.2112076408128</v>
      </c>
      <c r="Z17" s="100">
        <f>VLOOKUP(TableRBRanks314135[[#This Row],[Player]],RB!B:O,10,FALSE)</f>
        <v>2.1624111324170863</v>
      </c>
      <c r="AA17" s="95">
        <f>VLOOKUP(TableRBRanks314135[[#This Row],[Player]],RB!B:O,14,FALSE)</f>
        <v>219.69324965444545</v>
      </c>
      <c r="AB17" s="190">
        <f>TableRBRanks314135[[#This Row],[FPS]]+(TableRBRanks314135[[#This Row],[REC]]*0.5)</f>
        <v>244.83756514766739</v>
      </c>
      <c r="AD17" s="58">
        <v>16</v>
      </c>
      <c r="AE17" s="58" t="str">
        <f>VLOOKUP(TableWRRanks324236[[#This Row],[RK]],Rankings!A:AI,28,FALSE)</f>
        <v>Rashee Rice</v>
      </c>
      <c r="AF17" s="58" t="str">
        <f>IFERROR(INDEX(TableWRCalcPts[TM],MATCH(TableWRRanks324236[[#This Row],[Player]],TableWRCalcPts[PLAYER],0)),"")</f>
        <v>KC</v>
      </c>
      <c r="AG17" s="58">
        <f>IFERROR(INDEX(TableWRCalcPts[BYE],MATCH(TableWRRanks324236[[#This Row],[Player]],TableWRCalcPts[PLAYER],0)),"")</f>
        <v>5</v>
      </c>
      <c r="AH17" s="100">
        <f>VLOOKUP(TableWRRanks324236[[#This Row],[Player]],WR!B:O,4,FALSE)</f>
        <v>27.306853604231787</v>
      </c>
      <c r="AI17" s="100">
        <f>VLOOKUP(TableWRRanks324236[[#This Row],[Player]],WR!B:O,5,FALSE)</f>
        <v>0.41619956720365475</v>
      </c>
      <c r="AJ17" s="100">
        <f>VLOOKUP(TableWRRanks324236[[#This Row],[Player]],WR!B:O,6,FALSE)</f>
        <v>128.80482999999998</v>
      </c>
      <c r="AK17" s="100">
        <f>VLOOKUP(TableWRRanks324236[[#This Row],[Player]],WR!B:O,7,FALSE)</f>
        <v>87.587284399999987</v>
      </c>
      <c r="AL17" s="100">
        <f>VLOOKUP(TableWRRanks324236[[#This Row],[Player]],WR!B:O,8,FALSE)</f>
        <v>975.90036041213159</v>
      </c>
      <c r="AM17" s="100">
        <f>VLOOKUP(TableWRRanks324236[[#This Row],[Player]],WR!B:O,9,FALSE)</f>
        <v>8.4083793023999984</v>
      </c>
      <c r="AN17" s="95">
        <f>VLOOKUP(TableWRRanks324236[[#This Row],[Player]],WR!B:O,13,FALSE)</f>
        <v>197.06183681925825</v>
      </c>
      <c r="AO17" s="190">
        <f>TableWRRanks324236[[#This Row],[FPS]]+(TableWRRanks324236[[#This Row],[REC]]*0.5)</f>
        <v>240.85547901925824</v>
      </c>
      <c r="AQ17" s="58">
        <v>16</v>
      </c>
      <c r="AR17" s="58" t="str">
        <f>VLOOKUP(TableTERanks334337[[#This Row],[RK]],Rankings!A:AI,33,FALSE)</f>
        <v>T.J. Hockenson</v>
      </c>
      <c r="AS17" s="58" t="str">
        <f>IFERROR(INDEX(TableTECalcPts[TM],MATCH(TableTERanks334337[[#This Row],[Player]],TableTECalcPts[PLAYER],0)),"")</f>
        <v>MIN</v>
      </c>
      <c r="AT17" s="58">
        <f>IFERROR(INDEX(TableTECalcPts[BYE],MATCH(TableTERanks334337[[#This Row],[Player]],TableTECalcPts[PLAYER],0)),"")</f>
        <v>6</v>
      </c>
      <c r="AU17" s="100">
        <f>VLOOKUP(TableTERanks334337[[#This Row],[Player]],TE!B:O,4,FALSE)</f>
        <v>96.445672959999996</v>
      </c>
      <c r="AV17" s="100">
        <f>VLOOKUP(TableTERanks334337[[#This Row],[Player]],TE!B:O,5,FALSE)</f>
        <v>70.415039708360226</v>
      </c>
      <c r="AW17" s="100">
        <f>VLOOKUP(TableTERanks334337[[#This Row],[Player]],TE!B:O,6,FALSE)</f>
        <v>617.05294996637326</v>
      </c>
      <c r="AX17" s="100">
        <f>VLOOKUP(TableTERanks334337[[#This Row],[Player]],TE!B:O,7,FALSE)</f>
        <v>4.2249023825016137</v>
      </c>
      <c r="AY17" s="95">
        <f>VLOOKUP(TableTERanks334337[[#This Row],[Player]],TE!B:O,11,FALSE)</f>
        <v>122.26222914582712</v>
      </c>
      <c r="AZ17" s="190">
        <f>TableTERanks334337[[#This Row],[FPS]]+(TableTERanks334337[[#This Row],[REC]]*0.5)</f>
        <v>157.46974900000723</v>
      </c>
    </row>
    <row r="18" spans="1:52" x14ac:dyDescent="0.25">
      <c r="A18" s="58">
        <v>17</v>
      </c>
      <c r="B18" s="58" t="str">
        <f>VLOOKUP(TableQBRanks304034[[#This Row],[RK]],Rankings!A:T,3,FALSE)</f>
        <v>Malik Willis</v>
      </c>
      <c r="C18" s="58" t="str">
        <f>IFERROR(INDEX(TableQBCalcPts[TM],MATCH(TableQBRanks304034[[#This Row],[Player]],TableQBCalcPts[PLAYER],0)),"")</f>
        <v>MIA</v>
      </c>
      <c r="D18" s="58">
        <f>IFERROR(INDEX(TableQBCalcPts[BYE],MATCH(TableQBRanks304034[[#This Row],[Player]],TableQBCalcPts[PLAYER],0)),"")</f>
        <v>6</v>
      </c>
      <c r="E18" s="100">
        <f>VLOOKUP(TableQBRanks304034[[#This Row],[Player]],QB!B:O,4,FALSE)</f>
        <v>487.42209000000003</v>
      </c>
      <c r="F18" s="100">
        <f>VLOOKUP(TableQBRanks304034[[#This Row],[Player]],QB!B:O,5,FALSE)</f>
        <v>321.86930607687435</v>
      </c>
      <c r="G18" s="100">
        <f>VLOOKUP(TableQBRanks304034[[#This Row],[Player]],QB!B:O,6,FALSE)</f>
        <v>3469.7511195087054</v>
      </c>
      <c r="H18" s="100">
        <f>VLOOKUP(TableQBRanks304034[[#This Row],[Player]],QB!B:O,7,FALSE)</f>
        <v>18.024681140304963</v>
      </c>
      <c r="I18" s="100">
        <f>VLOOKUP(TableQBRanks304034[[#This Row],[Player]],QB!B:O,8,FALSE)</f>
        <v>10.257034655343029</v>
      </c>
      <c r="J18" s="100">
        <f>VLOOKUP(TableQBRanks304034[[#This Row],[Player]],QB!B:O,9,FALSE)</f>
        <v>109.2995619288657</v>
      </c>
      <c r="K18" s="100">
        <f>VLOOKUP(TableQBRanks304034[[#This Row],[Player]],QB!B:O,10,FALSE)</f>
        <v>598.9615993701841</v>
      </c>
      <c r="L18" s="100">
        <f>VLOOKUP(TableQBRanks304034[[#This Row],[Player]],QB!B:O,11,FALSE)</f>
        <v>4.6998811629412245</v>
      </c>
      <c r="M18" s="95">
        <f>VLOOKUP(TableQBRanks304034[[#This Row],[Player]],QB!B:O,13,FALSE)</f>
        <v>356.96347448918812</v>
      </c>
      <c r="N18" s="140">
        <f>IF(VLOOKUP(TableQBRanks304034[[#This Row],[Player]],'Ranks w Proj'!$B:$N,13,FALSE)&lt;0,0,VLOOKUP(TableQBRanks304034[[#This Row],[Player]],'Ranks w Proj'!$B:$N,13,FALSE))</f>
        <v>9.5179705225548545</v>
      </c>
      <c r="P18" s="58">
        <v>17</v>
      </c>
      <c r="Q18" s="58" t="str">
        <f>VLOOKUP(TableRBRanks314135[[#This Row],[RK]],Rankings!A:AI,23,FALSE)</f>
        <v>Javonte Williams</v>
      </c>
      <c r="R18" s="58" t="str">
        <f>IFERROR(INDEX(TableRBCalcPts[TM],MATCH(TableRBRanks314135[[#This Row],[Player]],TableRBCalcPts[PLAYER],0)),"")</f>
        <v>DAL</v>
      </c>
      <c r="S18" s="58">
        <f>IFERROR(INDEX(TableRBCalcPts[BYE],MATCH(TableRBRanks314135[[#This Row],[Player]],TableRBCalcPts[PLAYER],0)),"")</f>
        <v>14</v>
      </c>
      <c r="T18" s="100">
        <f>VLOOKUP(TableRBRanks314135[[#This Row],[Player]],RB!B:O,4,FALSE)</f>
        <v>262.13087039999999</v>
      </c>
      <c r="U18" s="100">
        <f>VLOOKUP(TableRBRanks314135[[#This Row],[Player]],RB!B:O,5,FALSE)</f>
        <v>1195.3167690239998</v>
      </c>
      <c r="V18" s="100">
        <f>VLOOKUP(TableRBRanks314135[[#This Row],[Player]],RB!B:O,6,FALSE)</f>
        <v>9.6988422048</v>
      </c>
      <c r="W18" s="100">
        <f>VLOOKUP(TableRBRanks314135[[#This Row],[Player]],RB!B:O,7,FALSE)</f>
        <v>53.043205599999993</v>
      </c>
      <c r="X18" s="100">
        <f>VLOOKUP(TableRBRanks314135[[#This Row],[Player]],RB!B:O,8,FALSE)</f>
        <v>37.638304011733325</v>
      </c>
      <c r="Y18" s="100">
        <f>VLOOKUP(TableRBRanks314135[[#This Row],[Player]],RB!B:O,9,FALSE)</f>
        <v>191.03492454933334</v>
      </c>
      <c r="Z18" s="100">
        <f>VLOOKUP(TableRBRanks314135[[#This Row],[Player]],RB!B:O,10,FALSE)</f>
        <v>1.9195535045983994</v>
      </c>
      <c r="AA18" s="95">
        <f>VLOOKUP(TableRBRanks314135[[#This Row],[Player]],RB!B:O,14,FALSE)</f>
        <v>227.16469561959036</v>
      </c>
      <c r="AB18" s="190">
        <f>TableRBRanks314135[[#This Row],[FPS]]+(TableRBRanks314135[[#This Row],[REC]]*0.5)</f>
        <v>245.98384762545703</v>
      </c>
      <c r="AD18" s="58">
        <v>17</v>
      </c>
      <c r="AE18" s="58" t="str">
        <f>VLOOKUP(TableWRRanks324236[[#This Row],[RK]],Rankings!A:AI,28,FALSE)</f>
        <v>Emeka Egbuka</v>
      </c>
      <c r="AF18" s="58" t="str">
        <f>IFERROR(INDEX(TableWRCalcPts[TM],MATCH(TableWRRanks324236[[#This Row],[Player]],TableWRCalcPts[PLAYER],0)),"")</f>
        <v>TB</v>
      </c>
      <c r="AG18" s="58">
        <f>IFERROR(INDEX(TableWRCalcPts[BYE],MATCH(TableWRRanks324236[[#This Row],[Player]],TableWRCalcPts[PLAYER],0)),"")</f>
        <v>10</v>
      </c>
      <c r="AH18" s="100">
        <f>VLOOKUP(TableWRRanks324236[[#This Row],[Player]],WR!B:O,4,FALSE)</f>
        <v>0</v>
      </c>
      <c r="AI18" s="100">
        <f>VLOOKUP(TableWRRanks324236[[#This Row],[Player]],WR!B:O,5,FALSE)</f>
        <v>0</v>
      </c>
      <c r="AJ18" s="100">
        <f>VLOOKUP(TableWRRanks324236[[#This Row],[Player]],WR!B:O,6,FALSE)</f>
        <v>129.12802811999995</v>
      </c>
      <c r="AK18" s="100">
        <f>VLOOKUP(TableWRRanks324236[[#This Row],[Player]],WR!B:O,7,FALSE)</f>
        <v>72.440823775319984</v>
      </c>
      <c r="AL18" s="100">
        <f>VLOOKUP(TableWRRanks324236[[#This Row],[Player]],WR!B:O,8,FALSE)</f>
        <v>1062.7068847839441</v>
      </c>
      <c r="AM18" s="100">
        <f>VLOOKUP(TableWRRanks324236[[#This Row],[Player]],WR!B:O,9,FALSE)</f>
        <v>7.5338456726332783</v>
      </c>
      <c r="AN18" s="95">
        <f>VLOOKUP(TableWRRanks324236[[#This Row],[Player]],WR!B:O,13,FALSE)</f>
        <v>187.69417440185407</v>
      </c>
      <c r="AO18" s="190">
        <f>TableWRRanks324236[[#This Row],[FPS]]+(TableWRRanks324236[[#This Row],[REC]]*0.5)</f>
        <v>223.91458628951406</v>
      </c>
      <c r="AQ18" s="58">
        <v>17</v>
      </c>
      <c r="AR18" s="58" t="str">
        <f>VLOOKUP(TableTERanks334337[[#This Row],[RK]],Rankings!A:AI,33,FALSE)</f>
        <v>Chig Okonkwo</v>
      </c>
      <c r="AS18" s="58" t="str">
        <f>IFERROR(INDEX(TableTECalcPts[TM],MATCH(TableTERanks334337[[#This Row],[Player]],TableTECalcPts[PLAYER],0)),"")</f>
        <v>WSH</v>
      </c>
      <c r="AT18" s="58">
        <f>IFERROR(INDEX(TableTECalcPts[BYE],MATCH(TableTERanks334337[[#This Row],[Player]],TableTECalcPts[PLAYER],0)),"")</f>
        <v>7</v>
      </c>
      <c r="AU18" s="100">
        <f>VLOOKUP(TableTERanks334337[[#This Row],[Player]],TE!B:O,4,FALSE)</f>
        <v>87.118912999999978</v>
      </c>
      <c r="AV18" s="100">
        <f>VLOOKUP(TableTERanks334337[[#This Row],[Player]],TE!B:O,5,FALSE)</f>
        <v>62.290022794999985</v>
      </c>
      <c r="AW18" s="100">
        <f>VLOOKUP(TableTERanks334337[[#This Row],[Player]],TE!B:O,6,FALSE)</f>
        <v>650.30783797979984</v>
      </c>
      <c r="AX18" s="100">
        <f>VLOOKUP(TableTERanks334337[[#This Row],[Player]],TE!B:O,7,FALSE)</f>
        <v>4.2980115728549997</v>
      </c>
      <c r="AY18" s="95">
        <f>VLOOKUP(TableTERanks334337[[#This Row],[Player]],TE!B:O,11,FALSE)</f>
        <v>121.96386463260998</v>
      </c>
      <c r="AZ18" s="190">
        <f>TableTERanks334337[[#This Row],[FPS]]+(TableTERanks334337[[#This Row],[REC]]*0.5)</f>
        <v>153.10887603010997</v>
      </c>
    </row>
    <row r="19" spans="1:52" x14ac:dyDescent="0.25">
      <c r="A19" s="58">
        <v>18</v>
      </c>
      <c r="B19" s="58" t="str">
        <f>VLOOKUP(TableQBRanks304034[[#This Row],[RK]],Rankings!A:T,3,FALSE)</f>
        <v>Jared Goff</v>
      </c>
      <c r="C19" s="58" t="str">
        <f>IFERROR(INDEX(TableQBCalcPts[TM],MATCH(TableQBRanks304034[[#This Row],[Player]],TableQBCalcPts[PLAYER],0)),"")</f>
        <v>DET</v>
      </c>
      <c r="D19" s="58">
        <f>IFERROR(INDEX(TableQBCalcPts[BYE],MATCH(TableQBRanks304034[[#This Row],[Player]],TableQBCalcPts[PLAYER],0)),"")</f>
        <v>6</v>
      </c>
      <c r="E19" s="100">
        <f>VLOOKUP(TableQBRanks304034[[#This Row],[Player]],QB!B:O,4,FALSE)</f>
        <v>585.41279999999995</v>
      </c>
      <c r="F19" s="100">
        <f>VLOOKUP(TableQBRanks304034[[#This Row],[Player]],QB!B:O,5,FALSE)</f>
        <v>402.75215997183261</v>
      </c>
      <c r="G19" s="100">
        <f>VLOOKUP(TableQBRanks304034[[#This Row],[Player]],QB!B:O,6,FALSE)</f>
        <v>4642.5269653189362</v>
      </c>
      <c r="H19" s="100">
        <f>VLOOKUP(TableQBRanks304034[[#This Row],[Player]],QB!B:O,7,FALSE)</f>
        <v>32.220172797746606</v>
      </c>
      <c r="I19" s="100">
        <f>VLOOKUP(TableQBRanks304034[[#This Row],[Player]],QB!B:O,8,FALSE)</f>
        <v>10.980004422275686</v>
      </c>
      <c r="J19" s="100">
        <f>VLOOKUP(TableQBRanks304034[[#This Row],[Player]],QB!B:O,9,FALSE)</f>
        <v>19.431596800000001</v>
      </c>
      <c r="K19" s="100">
        <f>VLOOKUP(TableQBRanks304034[[#This Row],[Player]],QB!B:O,10,FALSE)</f>
        <v>38.992333759437948</v>
      </c>
      <c r="L19" s="100">
        <f>VLOOKUP(TableQBRanks304034[[#This Row],[Player]],QB!B:O,11,FALSE)</f>
        <v>0.49196251214456382</v>
      </c>
      <c r="M19" s="95">
        <f>VLOOKUP(TableQBRanks304034[[#This Row],[Player]],QB!B:O,13,FALSE)</f>
        <v>415.16833542295586</v>
      </c>
      <c r="N19" s="140">
        <f>IF(VLOOKUP(TableQBRanks304034[[#This Row],[Player]],'Ranks w Proj'!$B:$N,13,FALSE)&lt;0,0,VLOOKUP(TableQBRanks304034[[#This Row],[Player]],'Ranks w Proj'!$B:$N,13,FALSE))</f>
        <v>23.845131325520654</v>
      </c>
      <c r="P19" s="58">
        <v>18</v>
      </c>
      <c r="Q19" s="58" t="str">
        <f>VLOOKUP(TableRBRanks314135[[#This Row],[RK]],Rankings!A:AI,23,FALSE)</f>
        <v>D'Andre Swift</v>
      </c>
      <c r="R19" s="58" t="str">
        <f>IFERROR(INDEX(TableRBCalcPts[TM],MATCH(TableRBRanks314135[[#This Row],[Player]],TableRBCalcPts[PLAYER],0)),"")</f>
        <v>CHI</v>
      </c>
      <c r="S19" s="58">
        <f>IFERROR(INDEX(TableRBCalcPts[BYE],MATCH(TableRBRanks314135[[#This Row],[Player]],TableRBCalcPts[PLAYER],0)),"")</f>
        <v>10</v>
      </c>
      <c r="T19" s="100">
        <f>VLOOKUP(TableRBRanks314135[[#This Row],[Player]],RB!B:O,4,FALSE)</f>
        <v>191.94722567999997</v>
      </c>
      <c r="U19" s="100">
        <f>VLOOKUP(TableRBRanks314135[[#This Row],[Player]],RB!B:O,5,FALSE)</f>
        <v>859.84295708886395</v>
      </c>
      <c r="V19" s="100">
        <f>VLOOKUP(TableRBRanks314135[[#This Row],[Player]],RB!B:O,6,FALSE)</f>
        <v>7.1020473501599986</v>
      </c>
      <c r="W19" s="100">
        <f>VLOOKUP(TableRBRanks314135[[#This Row],[Player]],RB!B:O,7,FALSE)</f>
        <v>46.242679840000008</v>
      </c>
      <c r="X19" s="100">
        <f>VLOOKUP(TableRBRanks314135[[#This Row],[Player]],RB!B:O,8,FALSE)</f>
        <v>33.895884322720008</v>
      </c>
      <c r="Y19" s="100">
        <f>VLOOKUP(TableRBRanks314135[[#This Row],[Player]],RB!B:O,9,FALSE)</f>
        <v>281.56231987692786</v>
      </c>
      <c r="Z19" s="100">
        <f>VLOOKUP(TableRBRanks314135[[#This Row],[Player]],RB!B:O,10,FALSE)</f>
        <v>1.0507724140043202</v>
      </c>
      <c r="AA19" s="95">
        <f>VLOOKUP(TableRBRanks314135[[#This Row],[Player]],RB!B:O,14,FALSE)</f>
        <v>180.0053884429251</v>
      </c>
      <c r="AB19" s="190">
        <f>TableRBRanks314135[[#This Row],[FPS]]+(TableRBRanks314135[[#This Row],[REC]]*0.5)</f>
        <v>196.9533306042851</v>
      </c>
      <c r="AD19" s="58">
        <v>18</v>
      </c>
      <c r="AE19" s="58" t="str">
        <f>VLOOKUP(TableWRRanks324236[[#This Row],[RK]],Rankings!A:AI,28,FALSE)</f>
        <v>Ladd McConkey</v>
      </c>
      <c r="AF19" s="58" t="str">
        <f>IFERROR(INDEX(TableWRCalcPts[TM],MATCH(TableWRRanks324236[[#This Row],[Player]],TableWRCalcPts[PLAYER],0)),"")</f>
        <v>LAC</v>
      </c>
      <c r="AG19" s="58">
        <f>IFERROR(INDEX(TableWRCalcPts[BYE],MATCH(TableWRRanks324236[[#This Row],[Player]],TableWRCalcPts[PLAYER],0)),"")</f>
        <v>7</v>
      </c>
      <c r="AH19" s="100">
        <f>VLOOKUP(TableWRRanks324236[[#This Row],[Player]],WR!B:O,4,FALSE)</f>
        <v>0</v>
      </c>
      <c r="AI19" s="100">
        <f>VLOOKUP(TableWRRanks324236[[#This Row],[Player]],WR!B:O,5,FALSE)</f>
        <v>0</v>
      </c>
      <c r="AJ19" s="100">
        <f>VLOOKUP(TableWRRanks324236[[#This Row],[Player]],WR!B:O,6,FALSE)</f>
        <v>128.13756955999997</v>
      </c>
      <c r="AK19" s="100">
        <f>VLOOKUP(TableWRRanks324236[[#This Row],[Player]],WR!B:O,7,FALSE)</f>
        <v>85.17099006658664</v>
      </c>
      <c r="AL19" s="100">
        <f>VLOOKUP(TableWRRanks324236[[#This Row],[Player]],WR!B:O,8,FALSE)</f>
        <v>1129.3673282829388</v>
      </c>
      <c r="AM19" s="100">
        <f>VLOOKUP(TableWRRanks324236[[#This Row],[Player]],WR!B:O,9,FALSE)</f>
        <v>6.8136792053269311</v>
      </c>
      <c r="AN19" s="95">
        <f>VLOOKUP(TableWRRanks324236[[#This Row],[Player]],WR!B:O,13,FALSE)</f>
        <v>196.40430309354878</v>
      </c>
      <c r="AO19" s="190">
        <f>TableWRRanks324236[[#This Row],[FPS]]+(TableWRRanks324236[[#This Row],[REC]]*0.5)</f>
        <v>238.98979812684209</v>
      </c>
      <c r="AQ19" s="58">
        <v>18</v>
      </c>
      <c r="AR19" s="58" t="str">
        <f>VLOOKUP(TableTERanks334337[[#This Row],[RK]],Rankings!A:AI,33,FALSE)</f>
        <v>Hunter Henry</v>
      </c>
      <c r="AS19" s="58" t="str">
        <f>IFERROR(INDEX(TableTECalcPts[TM],MATCH(TableTERanks334337[[#This Row],[Player]],TableTECalcPts[PLAYER],0)),"")</f>
        <v>NE</v>
      </c>
      <c r="AT19" s="58">
        <f>IFERROR(INDEX(TableTECalcPts[BYE],MATCH(TableTERanks334337[[#This Row],[Player]],TableTECalcPts[PLAYER],0)),"")</f>
        <v>11</v>
      </c>
      <c r="AU19" s="100">
        <f>VLOOKUP(TableTERanks334337[[#This Row],[Player]],TE!B:O,4,FALSE)</f>
        <v>78.534691199999969</v>
      </c>
      <c r="AV19" s="100">
        <f>VLOOKUP(TableTERanks334337[[#This Row],[Player]],TE!B:O,5,FALSE)</f>
        <v>54.324388158843846</v>
      </c>
      <c r="AW19" s="100">
        <f>VLOOKUP(TableTERanks334337[[#This Row],[Player]],TE!B:O,6,FALSE)</f>
        <v>630.16290264258862</v>
      </c>
      <c r="AX19" s="100">
        <f>VLOOKUP(TableTERanks334337[[#This Row],[Player]],TE!B:O,7,FALSE)</f>
        <v>4.9435193224547902</v>
      </c>
      <c r="AY19" s="95">
        <f>VLOOKUP(TableTERanks334337[[#This Row],[Player]],TE!B:O,11,FALSE)</f>
        <v>119.83960027840953</v>
      </c>
      <c r="AZ19" s="190">
        <f>TableTERanks334337[[#This Row],[FPS]]+(TableTERanks334337[[#This Row],[REC]]*0.5)</f>
        <v>147.00179435783144</v>
      </c>
    </row>
    <row r="20" spans="1:52" x14ac:dyDescent="0.25">
      <c r="A20" s="58">
        <v>19</v>
      </c>
      <c r="B20" s="58" t="str">
        <f>VLOOKUP(TableQBRanks304034[[#This Row],[RK]],Rankings!A:T,3,FALSE)</f>
        <v>Baker Mayfield</v>
      </c>
      <c r="C20" s="58" t="str">
        <f>IFERROR(INDEX(TableQBCalcPts[TM],MATCH(TableQBRanks304034[[#This Row],[Player]],TableQBCalcPts[PLAYER],0)),"")</f>
        <v>TB</v>
      </c>
      <c r="D20" s="58">
        <f>IFERROR(INDEX(TableQBCalcPts[BYE],MATCH(TableQBRanks304034[[#This Row],[Player]],TableQBCalcPts[PLAYER],0)),"")</f>
        <v>10</v>
      </c>
      <c r="E20" s="100">
        <f>VLOOKUP(TableQBRanks304034[[#This Row],[Player]],QB!B:O,4,FALSE)</f>
        <v>551.82917999999995</v>
      </c>
      <c r="F20" s="100">
        <f>VLOOKUP(TableQBRanks304034[[#This Row],[Player]],QB!B:O,5,FALSE)</f>
        <v>360.41861641973418</v>
      </c>
      <c r="G20" s="100">
        <f>VLOOKUP(TableQBRanks304034[[#This Row],[Player]],QB!B:O,6,FALSE)</f>
        <v>3995.2922074491207</v>
      </c>
      <c r="H20" s="100">
        <f>VLOOKUP(TableQBRanks304034[[#This Row],[Player]],QB!B:O,7,FALSE)</f>
        <v>26.954512554729995</v>
      </c>
      <c r="I20" s="100">
        <f>VLOOKUP(TableQBRanks304034[[#This Row],[Player]],QB!B:O,8,FALSE)</f>
        <v>12.917319135767858</v>
      </c>
      <c r="J20" s="100">
        <f>VLOOKUP(TableQBRanks304034[[#This Row],[Player]],QB!B:O,9,FALSE)</f>
        <v>53.873975119999997</v>
      </c>
      <c r="K20" s="100">
        <f>VLOOKUP(TableQBRanks304034[[#This Row],[Player]],QB!B:O,10,FALSE)</f>
        <v>328.63124823199996</v>
      </c>
      <c r="L20" s="100">
        <f>VLOOKUP(TableQBRanks304034[[#This Row],[Player]],QB!B:O,11,FALSE)</f>
        <v>1.1614593432239577</v>
      </c>
      <c r="M20" s="95">
        <f>VLOOKUP(TableQBRanks304034[[#This Row],[Player]],QB!B:O,13,FALSE)</f>
        <v>384.49518701509407</v>
      </c>
      <c r="N20" s="140">
        <f>IF(VLOOKUP(TableQBRanks304034[[#This Row],[Player]],'Ranks w Proj'!$B:$N,13,FALSE)&lt;0,0,VLOOKUP(TableQBRanks304034[[#This Row],[Player]],'Ranks w Proj'!$B:$N,13,FALSE))</f>
        <v>16.510453800403699</v>
      </c>
      <c r="P20" s="58">
        <v>19</v>
      </c>
      <c r="Q20" s="58" t="str">
        <f>VLOOKUP(TableRBRanks314135[[#This Row],[RK]],Rankings!A:AI,23,FALSE)</f>
        <v>Cam Skattebo</v>
      </c>
      <c r="R20" s="58" t="str">
        <f>IFERROR(INDEX(TableRBCalcPts[TM],MATCH(TableRBRanks314135[[#This Row],[Player]],TableRBCalcPts[PLAYER],0)),"")</f>
        <v>NYG</v>
      </c>
      <c r="S20" s="58">
        <f>IFERROR(INDEX(TableRBCalcPts[BYE],MATCH(TableRBRanks314135[[#This Row],[Player]],TableRBCalcPts[PLAYER],0)),"")</f>
        <v>8</v>
      </c>
      <c r="T20" s="100">
        <f>VLOOKUP(TableRBRanks314135[[#This Row],[Player]],RB!B:O,4,FALSE)</f>
        <v>255.00805596000001</v>
      </c>
      <c r="U20" s="100">
        <f>VLOOKUP(TableRBRanks314135[[#This Row],[Player]],RB!B:O,5,FALSE)</f>
        <v>1083.7842378299999</v>
      </c>
      <c r="V20" s="100">
        <f>VLOOKUP(TableRBRanks314135[[#This Row],[Player]],RB!B:O,6,FALSE)</f>
        <v>8.4152658466800005</v>
      </c>
      <c r="W20" s="100">
        <f>VLOOKUP(TableRBRanks314135[[#This Row],[Player]],RB!B:O,7,FALSE)</f>
        <v>54.880489020000006</v>
      </c>
      <c r="X20" s="100">
        <f>VLOOKUP(TableRBRanks314135[[#This Row],[Player]],RB!B:O,8,FALSE)</f>
        <v>40.392039918720002</v>
      </c>
      <c r="Y20" s="100">
        <f>VLOOKUP(TableRBRanks314135[[#This Row],[Player]],RB!B:O,9,FALSE)</f>
        <v>308.19126457983361</v>
      </c>
      <c r="Z20" s="100">
        <f>VLOOKUP(TableRBRanks314135[[#This Row],[Player]],RB!B:O,10,FALSE)</f>
        <v>2.3158899697985933</v>
      </c>
      <c r="AA20" s="95">
        <f>VLOOKUP(TableRBRanks314135[[#This Row],[Player]],RB!B:O,14,FALSE)</f>
        <v>223.78050509921496</v>
      </c>
      <c r="AB20" s="190">
        <f>TableRBRanks314135[[#This Row],[FPS]]+(TableRBRanks314135[[#This Row],[REC]]*0.5)</f>
        <v>243.97652505857496</v>
      </c>
      <c r="AD20" s="58">
        <v>19</v>
      </c>
      <c r="AE20" s="58" t="str">
        <f>VLOOKUP(TableWRRanks324236[[#This Row],[RK]],Rankings!A:AI,28,FALSE)</f>
        <v>Terry McLaurin</v>
      </c>
      <c r="AF20" s="58" t="str">
        <f>IFERROR(INDEX(TableWRCalcPts[TM],MATCH(TableWRRanks324236[[#This Row],[Player]],TableWRCalcPts[PLAYER],0)),"")</f>
        <v>WSH</v>
      </c>
      <c r="AG20" s="58">
        <f>IFERROR(INDEX(TableWRCalcPts[BYE],MATCH(TableWRRanks324236[[#This Row],[Player]],TableWRCalcPts[PLAYER],0)),"")</f>
        <v>7</v>
      </c>
      <c r="AH20" s="100">
        <f>VLOOKUP(TableWRRanks324236[[#This Row],[Player]],WR!B:O,4,FALSE)</f>
        <v>0</v>
      </c>
      <c r="AI20" s="100">
        <f>VLOOKUP(TableWRRanks324236[[#This Row],[Player]],WR!B:O,5,FALSE)</f>
        <v>0</v>
      </c>
      <c r="AJ20" s="100">
        <f>VLOOKUP(TableWRRanks324236[[#This Row],[Player]],WR!B:O,6,FALSE)</f>
        <v>125.45123471999997</v>
      </c>
      <c r="AK20" s="100">
        <f>VLOOKUP(TableWRRanks324236[[#This Row],[Player]],WR!B:O,7,FALSE)</f>
        <v>82.67236368047999</v>
      </c>
      <c r="AL20" s="100">
        <f>VLOOKUP(TableWRRanks324236[[#This Row],[Player]],WR!B:O,8,FALSE)</f>
        <v>1124.3441460545278</v>
      </c>
      <c r="AM20" s="100">
        <f>VLOOKUP(TableWRRanks324236[[#This Row],[Player]],WR!B:O,9,FALSE)</f>
        <v>7.7712021859651195</v>
      </c>
      <c r="AN20" s="95">
        <f>VLOOKUP(TableWRRanks324236[[#This Row],[Player]],WR!B:O,13,FALSE)</f>
        <v>200.39780956148348</v>
      </c>
      <c r="AO20" s="190">
        <f>TableWRRanks324236[[#This Row],[FPS]]+(TableWRRanks324236[[#This Row],[REC]]*0.5)</f>
        <v>241.73399140172347</v>
      </c>
      <c r="AQ20" s="58">
        <v>19</v>
      </c>
      <c r="AR20" s="58" t="str">
        <f>VLOOKUP(TableTERanks334337[[#This Row],[RK]],Rankings!A:AI,33,FALSE)</f>
        <v>Greg Dulcich</v>
      </c>
      <c r="AS20" s="58" t="str">
        <f>IFERROR(INDEX(TableTECalcPts[TM],MATCH(TableTERanks334337[[#This Row],[Player]],TableTECalcPts[PLAYER],0)),"")</f>
        <v>MIA</v>
      </c>
      <c r="AT20" s="58">
        <f>IFERROR(INDEX(TableTECalcPts[BYE],MATCH(TableTERanks334337[[#This Row],[Player]],TableTECalcPts[PLAYER],0)),"")</f>
        <v>6</v>
      </c>
      <c r="AU20" s="100">
        <f>VLOOKUP(TableTERanks334337[[#This Row],[Player]],TE!B:O,4,FALSE)</f>
        <v>79.776423719999997</v>
      </c>
      <c r="AV20" s="100">
        <f>VLOOKUP(TableTERanks334337[[#This Row],[Player]],TE!B:O,5,FALSE)</f>
        <v>54.487297400759999</v>
      </c>
      <c r="AW20" s="100">
        <f>VLOOKUP(TableTERanks334337[[#This Row],[Player]],TE!B:O,6,FALSE)</f>
        <v>624.96930118671719</v>
      </c>
      <c r="AX20" s="100">
        <f>VLOOKUP(TableTERanks334337[[#This Row],[Player]],TE!B:O,7,FALSE)</f>
        <v>3.4871870336486399</v>
      </c>
      <c r="AY20" s="95">
        <f>VLOOKUP(TableTERanks334337[[#This Row],[Player]],TE!B:O,11,FALSE)</f>
        <v>110.66370102094356</v>
      </c>
      <c r="AZ20" s="190">
        <f>TableTERanks334337[[#This Row],[FPS]]+(TableTERanks334337[[#This Row],[REC]]*0.5)</f>
        <v>137.90734972132356</v>
      </c>
    </row>
    <row r="21" spans="1:52" x14ac:dyDescent="0.25">
      <c r="A21" s="58">
        <v>20</v>
      </c>
      <c r="B21" s="58" t="str">
        <f>VLOOKUP(TableQBRanks304034[[#This Row],[RK]],Rankings!A:T,3,FALSE)</f>
        <v>Tyler Shough</v>
      </c>
      <c r="C21" s="58" t="str">
        <f>IFERROR(INDEX(TableQBCalcPts[TM],MATCH(TableQBRanks304034[[#This Row],[Player]],TableQBCalcPts[PLAYER],0)),"")</f>
        <v>NO</v>
      </c>
      <c r="D21" s="58">
        <f>IFERROR(INDEX(TableQBCalcPts[BYE],MATCH(TableQBRanks304034[[#This Row],[Player]],TableQBCalcPts[PLAYER],0)),"")</f>
        <v>8</v>
      </c>
      <c r="E21" s="100">
        <f>VLOOKUP(TableQBRanks304034[[#This Row],[Player]],QB!B:O,4,FALSE)</f>
        <v>502.59967999999998</v>
      </c>
      <c r="F21" s="100">
        <f>VLOOKUP(TableQBRanks304034[[#This Row],[Player]],QB!B:O,5,FALSE)</f>
        <v>333.12133515137799</v>
      </c>
      <c r="G21" s="100">
        <f>VLOOKUP(TableQBRanks304034[[#This Row],[Player]],QB!B:O,6,FALSE)</f>
        <v>3631.02255315002</v>
      </c>
      <c r="H21" s="100">
        <f>VLOOKUP(TableQBRanks304034[[#This Row],[Player]],QB!B:O,7,FALSE)</f>
        <v>21.986008119990949</v>
      </c>
      <c r="I21" s="100">
        <f>VLOOKUP(TableQBRanks304034[[#This Row],[Player]],QB!B:O,8,FALSE)</f>
        <v>9.9773578308792974</v>
      </c>
      <c r="J21" s="100">
        <f>VLOOKUP(TableQBRanks304034[[#This Row],[Player]],QB!B:O,9,FALSE)</f>
        <v>75.848048639999988</v>
      </c>
      <c r="K21" s="100">
        <f>VLOOKUP(TableQBRanks304034[[#This Row],[Player]],QB!B:O,10,FALSE)</f>
        <v>312.49396039679993</v>
      </c>
      <c r="L21" s="100">
        <f>VLOOKUP(TableQBRanks304034[[#This Row],[Player]],QB!B:O,11,FALSE)</f>
        <v>4.019946577919999</v>
      </c>
      <c r="M21" s="95">
        <f>VLOOKUP(TableQBRanks304034[[#This Row],[Player]],QB!B:O,13,FALSE)</f>
        <v>355.86080203740499</v>
      </c>
      <c r="N21" s="140">
        <f>IF(VLOOKUP(TableQBRanks304034[[#This Row],[Player]],'Ranks w Proj'!$B:$N,13,FALSE)&lt;0,0,VLOOKUP(TableQBRanks304034[[#This Row],[Player]],'Ranks w Proj'!$B:$N,13,FALSE))</f>
        <v>9.2015544088506829</v>
      </c>
      <c r="P21" s="58">
        <v>20</v>
      </c>
      <c r="Q21" s="58" t="str">
        <f>VLOOKUP(TableRBRanks314135[[#This Row],[RK]],Rankings!A:AI,23,FALSE)</f>
        <v>David Montgomery</v>
      </c>
      <c r="R21" s="58" t="str">
        <f>IFERROR(INDEX(TableRBCalcPts[TM],MATCH(TableRBRanks314135[[#This Row],[Player]],TableRBCalcPts[PLAYER],0)),"")</f>
        <v>HOU</v>
      </c>
      <c r="S21" s="58">
        <f>IFERROR(INDEX(TableRBCalcPts[BYE],MATCH(TableRBRanks314135[[#This Row],[Player]],TableRBCalcPts[PLAYER],0)),"")</f>
        <v>8</v>
      </c>
      <c r="T21" s="100">
        <f>VLOOKUP(TableRBRanks314135[[#This Row],[Player]],RB!B:O,4,FALSE)</f>
        <v>247.18441510000002</v>
      </c>
      <c r="U21" s="100">
        <f>VLOOKUP(TableRBRanks314135[[#This Row],[Player]],RB!B:O,5,FALSE)</f>
        <v>1060.4211407790001</v>
      </c>
      <c r="V21" s="100">
        <f>VLOOKUP(TableRBRanks314135[[#This Row],[Player]],RB!B:O,6,FALSE)</f>
        <v>8.6514545285000022</v>
      </c>
      <c r="W21" s="100">
        <f>VLOOKUP(TableRBRanks314135[[#This Row],[Player]],RB!B:O,7,FALSE)</f>
        <v>34.946013059999999</v>
      </c>
      <c r="X21" s="100">
        <f>VLOOKUP(TableRBRanks314135[[#This Row],[Player]],RB!B:O,8,FALSE)</f>
        <v>27.397674239040001</v>
      </c>
      <c r="Y21" s="100">
        <f>VLOOKUP(TableRBRanks314135[[#This Row],[Player]],RB!B:O,9,FALSE)</f>
        <v>192.6056499004512</v>
      </c>
      <c r="Z21" s="100">
        <f>VLOOKUP(TableRBRanks314135[[#This Row],[Player]],RB!B:O,10,FALSE)</f>
        <v>0.74105833665154963</v>
      </c>
      <c r="AA21" s="95">
        <f>VLOOKUP(TableRBRanks314135[[#This Row],[Player]],RB!B:O,14,FALSE)</f>
        <v>195.35659337837441</v>
      </c>
      <c r="AB21" s="190">
        <f>TableRBRanks314135[[#This Row],[FPS]]+(TableRBRanks314135[[#This Row],[REC]]*0.5)</f>
        <v>209.05543049789441</v>
      </c>
      <c r="AD21" s="58">
        <v>20</v>
      </c>
      <c r="AE21" s="58" t="str">
        <f>VLOOKUP(TableWRRanks324236[[#This Row],[RK]],Rankings!A:AI,28,FALSE)</f>
        <v>Garrett Wilson</v>
      </c>
      <c r="AF21" s="58" t="str">
        <f>IFERROR(INDEX(TableWRCalcPts[TM],MATCH(TableWRRanks324236[[#This Row],[Player]],TableWRCalcPts[PLAYER],0)),"")</f>
        <v>NYJ</v>
      </c>
      <c r="AG21" s="58">
        <f>IFERROR(INDEX(TableWRCalcPts[BYE],MATCH(TableWRRanks324236[[#This Row],[Player]],TableWRCalcPts[PLAYER],0)),"")</f>
        <v>13</v>
      </c>
      <c r="AH21" s="100">
        <f>VLOOKUP(TableWRRanks324236[[#This Row],[Player]],WR!B:O,4,FALSE)</f>
        <v>0</v>
      </c>
      <c r="AI21" s="100">
        <f>VLOOKUP(TableWRRanks324236[[#This Row],[Player]],WR!B:O,5,FALSE)</f>
        <v>0</v>
      </c>
      <c r="AJ21" s="100">
        <f>VLOOKUP(TableWRRanks324236[[#This Row],[Player]],WR!B:O,6,FALSE)</f>
        <v>146.68129861471982</v>
      </c>
      <c r="AK21" s="100">
        <f>VLOOKUP(TableWRRanks324236[[#This Row],[Player]],WR!B:O,7,FALSE)</f>
        <v>95.30946951512766</v>
      </c>
      <c r="AL21" s="100">
        <f>VLOOKUP(TableWRRanks324236[[#This Row],[Player]],WR!B:O,8,FALSE)</f>
        <v>1088.9716395451674</v>
      </c>
      <c r="AM21" s="100">
        <f>VLOOKUP(TableWRRanks324236[[#This Row],[Player]],WR!B:O,9,FALSE)</f>
        <v>5.4326397623622764</v>
      </c>
      <c r="AN21" s="95">
        <f>VLOOKUP(TableWRRanks324236[[#This Row],[Player]],WR!B:O,13,FALSE)</f>
        <v>189.14773728625423</v>
      </c>
      <c r="AO21" s="190">
        <f>TableWRRanks324236[[#This Row],[FPS]]+(TableWRRanks324236[[#This Row],[REC]]*0.5)</f>
        <v>236.80247204381806</v>
      </c>
      <c r="AQ21" s="58">
        <v>20</v>
      </c>
      <c r="AR21" s="58" t="str">
        <f>VLOOKUP(TableTERanks334337[[#This Row],[RK]],Rankings!A:AI,33,FALSE)</f>
        <v>Brenton Strange</v>
      </c>
      <c r="AS21" s="58" t="str">
        <f>IFERROR(INDEX(TableTECalcPts[TM],MATCH(TableTERanks334337[[#This Row],[Player]],TableTECalcPts[PLAYER],0)),"")</f>
        <v>JAX</v>
      </c>
      <c r="AT21" s="58">
        <f>IFERROR(INDEX(TableTECalcPts[BYE],MATCH(TableTERanks334337[[#This Row],[Player]],TableTECalcPts[PLAYER],0)),"")</f>
        <v>7</v>
      </c>
      <c r="AU21" s="100">
        <f>VLOOKUP(TableTERanks334337[[#This Row],[Player]],TE!B:O,4,FALSE)</f>
        <v>74.996195400000005</v>
      </c>
      <c r="AV21" s="100">
        <f>VLOOKUP(TableTERanks334337[[#This Row],[Player]],TE!B:O,5,FALSE)</f>
        <v>49.572485159400003</v>
      </c>
      <c r="AW21" s="100">
        <f>VLOOKUP(TableTERanks334337[[#This Row],[Player]],TE!B:O,6,FALSE)</f>
        <v>532.90421546355003</v>
      </c>
      <c r="AX21" s="100">
        <f>VLOOKUP(TableTERanks334337[[#This Row],[Player]],TE!B:O,7,FALSE)</f>
        <v>3.5196464463173998</v>
      </c>
      <c r="AY21" s="95">
        <f>VLOOKUP(TableTERanks334337[[#This Row],[Player]],TE!B:O,11,FALSE)</f>
        <v>99.194542803959408</v>
      </c>
      <c r="AZ21" s="190">
        <f>TableTERanks334337[[#This Row],[FPS]]+(TableTERanks334337[[#This Row],[REC]]*0.5)</f>
        <v>123.98078538365941</v>
      </c>
    </row>
    <row r="22" spans="1:52" x14ac:dyDescent="0.25">
      <c r="A22" s="58">
        <v>21</v>
      </c>
      <c r="B22" s="58" t="str">
        <f>VLOOKUP(TableQBRanks304034[[#This Row],[RK]],Rankings!A:T,3,FALSE)</f>
        <v>Jordan Love</v>
      </c>
      <c r="C22" s="58" t="str">
        <f>IFERROR(INDEX(TableQBCalcPts[TM],MATCH(TableQBRanks304034[[#This Row],[Player]],TableQBCalcPts[PLAYER],0)),"")</f>
        <v>GB</v>
      </c>
      <c r="D22" s="58">
        <f>IFERROR(INDEX(TableQBCalcPts[BYE],MATCH(TableQBRanks304034[[#This Row],[Player]],TableQBCalcPts[PLAYER],0)),"")</f>
        <v>11</v>
      </c>
      <c r="E22" s="100">
        <f>VLOOKUP(TableQBRanks304034[[#This Row],[Player]],QB!B:O,4,FALSE)</f>
        <v>524.46636000000001</v>
      </c>
      <c r="F22" s="100">
        <f>VLOOKUP(TableQBRanks304034[[#This Row],[Player]],QB!B:O,5,FALSE)</f>
        <v>340.93206060728272</v>
      </c>
      <c r="G22" s="100">
        <f>VLOOKUP(TableQBRanks304034[[#This Row],[Player]],QB!B:O,6,FALSE)</f>
        <v>4036.6355975902275</v>
      </c>
      <c r="H22" s="100">
        <f>VLOOKUP(TableQBRanks304034[[#This Row],[Player]],QB!B:O,7,FALSE)</f>
        <v>27.274564848582617</v>
      </c>
      <c r="I22" s="100">
        <f>VLOOKUP(TableQBRanks304034[[#This Row],[Player]],QB!B:O,8,FALSE)</f>
        <v>10.353645370885355</v>
      </c>
      <c r="J22" s="100">
        <f>VLOOKUP(TableQBRanks304034[[#This Row],[Player]],QB!B:O,9,FALSE)</f>
        <v>44.803071600000003</v>
      </c>
      <c r="K22" s="100">
        <f>VLOOKUP(TableQBRanks304034[[#This Row],[Player]],QB!B:O,10,FALSE)</f>
        <v>192.6377548323905</v>
      </c>
      <c r="L22" s="100">
        <f>VLOOKUP(TableQBRanks304034[[#This Row],[Player]],QB!B:O,11,FALSE)</f>
        <v>1.1200767900000002</v>
      </c>
      <c r="M22" s="95">
        <f>VLOOKUP(TableQBRanks304034[[#This Row],[Player]],QB!B:O,13,FALSE)</f>
        <v>374.83660990818674</v>
      </c>
      <c r="N22" s="140">
        <f>IF(VLOOKUP(TableQBRanks304034[[#This Row],[Player]],'Ranks w Proj'!$B:$N,13,FALSE)&lt;0,0,VLOOKUP(TableQBRanks304034[[#This Row],[Player]],'Ranks w Proj'!$B:$N,13,FALSE))</f>
        <v>13.960710789882222</v>
      </c>
      <c r="P22" s="58">
        <v>21</v>
      </c>
      <c r="Q22" s="58" t="str">
        <f>VLOOKUP(TableRBRanks314135[[#This Row],[RK]],Rankings!A:AI,23,FALSE)</f>
        <v>Bhayshul Tuten</v>
      </c>
      <c r="R22" s="58" t="str">
        <f>IFERROR(INDEX(TableRBCalcPts[TM],MATCH(TableRBRanks314135[[#This Row],[Player]],TableRBCalcPts[PLAYER],0)),"")</f>
        <v>JAX</v>
      </c>
      <c r="S22" s="58">
        <f>IFERROR(INDEX(TableRBCalcPts[BYE],MATCH(TableRBRanks314135[[#This Row],[Player]],TableRBCalcPts[PLAYER],0)),"")</f>
        <v>7</v>
      </c>
      <c r="T22" s="100">
        <f>VLOOKUP(TableRBRanks314135[[#This Row],[Player]],RB!B:O,4,FALSE)</f>
        <v>213.60352439999997</v>
      </c>
      <c r="U22" s="100">
        <f>VLOOKUP(TableRBRanks314135[[#This Row],[Player]],RB!B:O,5,FALSE)</f>
        <v>918.49515491999978</v>
      </c>
      <c r="V22" s="100">
        <f>VLOOKUP(TableRBRanks314135[[#This Row],[Player]],RB!B:O,6,FALSE)</f>
        <v>7.6897268783999984</v>
      </c>
      <c r="W22" s="100">
        <f>VLOOKUP(TableRBRanks314135[[#This Row],[Player]],RB!B:O,7,FALSE)</f>
        <v>52.609271399999997</v>
      </c>
      <c r="X22" s="100">
        <f>VLOOKUP(TableRBRanks314135[[#This Row],[Player]],RB!B:O,8,FALSE)</f>
        <v>37.510410508199996</v>
      </c>
      <c r="Y22" s="100">
        <f>VLOOKUP(TableRBRanks314135[[#This Row],[Player]],RB!B:O,9,FALSE)</f>
        <v>293.33141017412396</v>
      </c>
      <c r="Z22" s="100">
        <f>VLOOKUP(TableRBRanks314135[[#This Row],[Player]],RB!B:O,10,FALSE)</f>
        <v>2.1756038094756001</v>
      </c>
      <c r="AA22" s="95">
        <f>VLOOKUP(TableRBRanks314135[[#This Row],[Player]],RB!B:O,14,FALSE)</f>
        <v>199.12984589076595</v>
      </c>
      <c r="AB22" s="190">
        <f>TableRBRanks314135[[#This Row],[FPS]]+(TableRBRanks314135[[#This Row],[REC]]*0.5)</f>
        <v>217.88505114486594</v>
      </c>
      <c r="AD22" s="58">
        <v>21</v>
      </c>
      <c r="AE22" s="58" t="str">
        <f>VLOOKUP(TableWRRanks324236[[#This Row],[RK]],Rankings!A:AI,28,FALSE)</f>
        <v>Mike Evans</v>
      </c>
      <c r="AF22" s="58" t="str">
        <f>IFERROR(INDEX(TableWRCalcPts[TM],MATCH(TableWRRanks324236[[#This Row],[Player]],TableWRCalcPts[PLAYER],0)),"")</f>
        <v>SF</v>
      </c>
      <c r="AG22" s="58">
        <f>IFERROR(INDEX(TableWRCalcPts[BYE],MATCH(TableWRRanks324236[[#This Row],[Player]],TableWRCalcPts[PLAYER],0)),"")</f>
        <v>8</v>
      </c>
      <c r="AH22" s="100">
        <f>VLOOKUP(TableWRRanks324236[[#This Row],[Player]],WR!B:O,4,FALSE)</f>
        <v>0</v>
      </c>
      <c r="AI22" s="100">
        <f>VLOOKUP(TableWRRanks324236[[#This Row],[Player]],WR!B:O,5,FALSE)</f>
        <v>0</v>
      </c>
      <c r="AJ22" s="100">
        <f>VLOOKUP(TableWRRanks324236[[#This Row],[Player]],WR!B:O,6,FALSE)</f>
        <v>124.54598912000002</v>
      </c>
      <c r="AK22" s="100">
        <f>VLOOKUP(TableWRRanks324236[[#This Row],[Player]],WR!B:O,7,FALSE)</f>
        <v>73.606679569920004</v>
      </c>
      <c r="AL22" s="100">
        <f>VLOOKUP(TableWRRanks324236[[#This Row],[Player]],WR!B:O,8,FALSE)</f>
        <v>1052.5755178498562</v>
      </c>
      <c r="AM22" s="100">
        <f>VLOOKUP(TableWRRanks324236[[#This Row],[Player]],WR!B:O,9,FALSE)</f>
        <v>8.3911614709708804</v>
      </c>
      <c r="AN22" s="95">
        <f>VLOOKUP(TableWRRanks324236[[#This Row],[Player]],WR!B:O,13,FALSE)</f>
        <v>192.40786039577091</v>
      </c>
      <c r="AO22" s="190">
        <f>TableWRRanks324236[[#This Row],[FPS]]+(TableWRRanks324236[[#This Row],[REC]]*0.5)</f>
        <v>229.21120018073091</v>
      </c>
      <c r="AQ22" s="58">
        <v>21</v>
      </c>
      <c r="AR22" s="58" t="str">
        <f>VLOOKUP(TableTERanks334337[[#This Row],[RK]],Rankings!A:AI,33,FALSE)</f>
        <v>Dalton Schultz</v>
      </c>
      <c r="AS22" s="58" t="str">
        <f>IFERROR(INDEX(TableTECalcPts[TM],MATCH(TableTERanks334337[[#This Row],[Player]],TableTECalcPts[PLAYER],0)),"")</f>
        <v>HOU</v>
      </c>
      <c r="AT22" s="58">
        <f>IFERROR(INDEX(TableTECalcPts[BYE],MATCH(TableTERanks334337[[#This Row],[Player]],TableTECalcPts[PLAYER],0)),"")</f>
        <v>8</v>
      </c>
      <c r="AU22" s="100">
        <f>VLOOKUP(TableTERanks334337[[#This Row],[Player]],TE!B:O,4,FALSE)</f>
        <v>92.234559059999995</v>
      </c>
      <c r="AV22" s="100">
        <f>VLOOKUP(TableTERanks334337[[#This Row],[Player]],TE!B:O,5,FALSE)</f>
        <v>67.679544802282692</v>
      </c>
      <c r="AW22" s="100">
        <f>VLOOKUP(TableTERanks334337[[#This Row],[Player]],TE!B:O,6,FALSE)</f>
        <v>642.78639146145952</v>
      </c>
      <c r="AX22" s="100">
        <f>VLOOKUP(TableTERanks334337[[#This Row],[Player]],TE!B:O,7,FALSE)</f>
        <v>3.7223749641255481</v>
      </c>
      <c r="AY22" s="95">
        <f>VLOOKUP(TableTERanks334337[[#This Row],[Player]],TE!B:O,11,FALSE)</f>
        <v>120.45266133204058</v>
      </c>
      <c r="AZ22" s="190">
        <f>TableTERanks334337[[#This Row],[FPS]]+(TableTERanks334337[[#This Row],[REC]]*0.5)</f>
        <v>154.29243373318192</v>
      </c>
    </row>
    <row r="23" spans="1:52" x14ac:dyDescent="0.25">
      <c r="A23" s="58">
        <v>22</v>
      </c>
      <c r="B23" s="58" t="str">
        <f>VLOOKUP(TableQBRanks304034[[#This Row],[RK]],Rankings!A:T,3,FALSE)</f>
        <v>C.J. Stroud</v>
      </c>
      <c r="C23" s="58" t="str">
        <f>IFERROR(INDEX(TableQBCalcPts[TM],MATCH(TableQBRanks304034[[#This Row],[Player]],TableQBCalcPts[PLAYER],0)),"")</f>
        <v>HOU</v>
      </c>
      <c r="D23" s="58">
        <f>IFERROR(INDEX(TableQBCalcPts[BYE],MATCH(TableQBRanks304034[[#This Row],[Player]],TableQBCalcPts[PLAYER],0)),"")</f>
        <v>8</v>
      </c>
      <c r="E23" s="100">
        <f>VLOOKUP(TableQBRanks304034[[#This Row],[Player]],QB!B:O,4,FALSE)</f>
        <v>578.73122999999998</v>
      </c>
      <c r="F23" s="100">
        <f>VLOOKUP(TableQBRanks304034[[#This Row],[Player]],QB!B:O,5,FALSE)</f>
        <v>370.89967563996294</v>
      </c>
      <c r="G23" s="100">
        <f>VLOOKUP(TableQBRanks304034[[#This Row],[Player]],QB!B:O,6,FALSE)</f>
        <v>4147.9956605545549</v>
      </c>
      <c r="H23" s="100">
        <f>VLOOKUP(TableQBRanks304034[[#This Row],[Player]],QB!B:O,7,FALSE)</f>
        <v>24.479378592237556</v>
      </c>
      <c r="I23" s="100">
        <f>VLOOKUP(TableQBRanks304034[[#This Row],[Player]],QB!B:O,8,FALSE)</f>
        <v>12.140101997351696</v>
      </c>
      <c r="J23" s="100">
        <f>VLOOKUP(TableQBRanks304034[[#This Row],[Player]],QB!B:O,9,FALSE)</f>
        <v>53.374333880000009</v>
      </c>
      <c r="K23" s="100">
        <f>VLOOKUP(TableQBRanks304034[[#This Row],[Player]],QB!B:O,10,FALSE)</f>
        <v>225.1106944470877</v>
      </c>
      <c r="L23" s="100">
        <f>VLOOKUP(TableQBRanks304034[[#This Row],[Player]],QB!B:O,11,FALSE)</f>
        <v>1.0674866776000003</v>
      </c>
      <c r="M23" s="95">
        <f>VLOOKUP(TableQBRanks304034[[#This Row],[Player]],QB!B:O,13,FALSE)</f>
        <v>366.66195305256093</v>
      </c>
      <c r="N23" s="140">
        <f>IF(VLOOKUP(TableQBRanks304034[[#This Row],[Player]],'Ranks w Proj'!$B:$N,13,FALSE)&lt;0,0,VLOOKUP(TableQBRanks304034[[#This Row],[Player]],'Ranks w Proj'!$B:$N,13,FALSE))</f>
        <v>11.912355839758938</v>
      </c>
      <c r="P23" s="58">
        <v>22</v>
      </c>
      <c r="Q23" s="58" t="str">
        <f>VLOOKUP(TableRBRanks314135[[#This Row],[RK]],Rankings!A:AI,23,FALSE)</f>
        <v>Travis Etienne</v>
      </c>
      <c r="R23" s="58" t="str">
        <f>IFERROR(INDEX(TableRBCalcPts[TM],MATCH(TableRBRanks314135[[#This Row],[Player]],TableRBCalcPts[PLAYER],0)),"")</f>
        <v>NO</v>
      </c>
      <c r="S23" s="58">
        <f>IFERROR(INDEX(TableRBCalcPts[BYE],MATCH(TableRBRanks314135[[#This Row],[Player]],TableRBCalcPts[PLAYER],0)),"")</f>
        <v>8</v>
      </c>
      <c r="T23" s="100">
        <f>VLOOKUP(TableRBRanks314135[[#This Row],[Player]],RB!B:O,4,FALSE)</f>
        <v>258.77569535999999</v>
      </c>
      <c r="U23" s="100">
        <f>VLOOKUP(TableRBRanks314135[[#This Row],[Player]],RB!B:O,5,FALSE)</f>
        <v>1099.79670528</v>
      </c>
      <c r="V23" s="100">
        <f>VLOOKUP(TableRBRanks314135[[#This Row],[Player]],RB!B:O,6,FALSE)</f>
        <v>7.1454475502010162</v>
      </c>
      <c r="W23" s="100">
        <f>VLOOKUP(TableRBRanks314135[[#This Row],[Player]],RB!B:O,7,FALSE)</f>
        <v>44.176957439999995</v>
      </c>
      <c r="X23" s="100">
        <f>VLOOKUP(TableRBRanks314135[[#This Row],[Player]],RB!B:O,8,FALSE)</f>
        <v>34.237142016</v>
      </c>
      <c r="Y23" s="100">
        <f>VLOOKUP(TableRBRanks314135[[#This Row],[Player]],RB!B:O,9,FALSE)</f>
        <v>272.87002186751999</v>
      </c>
      <c r="Z23" s="100">
        <f>VLOOKUP(TableRBRanks314135[[#This Row],[Player]],RB!B:O,10,FALSE)</f>
        <v>1.574908532736</v>
      </c>
      <c r="AA23" s="95">
        <f>VLOOKUP(TableRBRanks314135[[#This Row],[Player]],RB!B:O,14,FALSE)</f>
        <v>206.70738022037409</v>
      </c>
      <c r="AB23" s="190">
        <f>TableRBRanks314135[[#This Row],[FPS]]+(TableRBRanks314135[[#This Row],[REC]]*0.5)</f>
        <v>223.82595122837409</v>
      </c>
      <c r="AD23" s="58">
        <v>22</v>
      </c>
      <c r="AE23" s="58" t="str">
        <f>VLOOKUP(TableWRRanks324236[[#This Row],[RK]],Rankings!A:AI,28,FALSE)</f>
        <v>DJ Moore</v>
      </c>
      <c r="AF23" s="58" t="str">
        <f>IFERROR(INDEX(TableWRCalcPts[TM],MATCH(TableWRRanks324236[[#This Row],[Player]],TableWRCalcPts[PLAYER],0)),"")</f>
        <v>BUF</v>
      </c>
      <c r="AG23" s="58">
        <f>IFERROR(INDEX(TableWRCalcPts[BYE],MATCH(TableWRRanks324236[[#This Row],[Player]],TableWRCalcPts[PLAYER],0)),"")</f>
        <v>7</v>
      </c>
      <c r="AH23" s="100">
        <f>VLOOKUP(TableWRRanks324236[[#This Row],[Player]],WR!B:O,4,FALSE)</f>
        <v>25.86713675</v>
      </c>
      <c r="AI23" s="100">
        <f>VLOOKUP(TableWRRanks324236[[#This Row],[Player]],WR!B:O,5,FALSE)</f>
        <v>0.15582612499999998</v>
      </c>
      <c r="AJ23" s="100">
        <f>VLOOKUP(TableWRRanks324236[[#This Row],[Player]],WR!B:O,6,FALSE)</f>
        <v>117.98472839999995</v>
      </c>
      <c r="AK23" s="100">
        <f>VLOOKUP(TableWRRanks324236[[#This Row],[Player]],WR!B:O,7,FALSE)</f>
        <v>77.113608382461507</v>
      </c>
      <c r="AL23" s="100">
        <f>VLOOKUP(TableWRRanks324236[[#This Row],[Player]],WR!B:O,8,FALSE)</f>
        <v>993.99441204992888</v>
      </c>
      <c r="AM23" s="100">
        <f>VLOOKUP(TableWRRanks324236[[#This Row],[Player]],WR!B:O,9,FALSE)</f>
        <v>7.4029064047163047</v>
      </c>
      <c r="AN23" s="95">
        <f>VLOOKUP(TableWRRanks324236[[#This Row],[Player]],WR!B:O,13,FALSE)</f>
        <v>185.89535424952149</v>
      </c>
      <c r="AO23" s="190">
        <f>TableWRRanks324236[[#This Row],[FPS]]+(TableWRRanks324236[[#This Row],[REC]]*0.5)</f>
        <v>224.45215844075224</v>
      </c>
      <c r="AQ23" s="58">
        <v>22</v>
      </c>
      <c r="AR23" s="58" t="str">
        <f>VLOOKUP(TableTERanks334337[[#This Row],[RK]],Rankings!A:AI,33,FALSE)</f>
        <v>Pat Freiermuth</v>
      </c>
      <c r="AS23" s="58" t="str">
        <f>IFERROR(INDEX(TableTECalcPts[TM],MATCH(TableTERanks334337[[#This Row],[Player]],TableTECalcPts[PLAYER],0)),"")</f>
        <v>PIT</v>
      </c>
      <c r="AT23" s="58">
        <f>IFERROR(INDEX(TableTECalcPts[BYE],MATCH(TableTERanks334337[[#This Row],[Player]],TableTECalcPts[PLAYER],0)),"")</f>
        <v>9</v>
      </c>
      <c r="AU23" s="100">
        <f>VLOOKUP(TableTERanks334337[[#This Row],[Player]],TE!B:O,4,FALSE)</f>
        <v>80.089128000000002</v>
      </c>
      <c r="AV23" s="100">
        <f>VLOOKUP(TableTERanks334337[[#This Row],[Player]],TE!B:O,5,FALSE)</f>
        <v>55.00196004206623</v>
      </c>
      <c r="AW23" s="100">
        <f>VLOOKUP(TableTERanks334337[[#This Row],[Player]],TE!B:O,6,FALSE)</f>
        <v>563.08809526283449</v>
      </c>
      <c r="AX23" s="100">
        <f>VLOOKUP(TableTERanks334337[[#This Row],[Player]],TE!B:O,7,FALSE)</f>
        <v>4.2098947371655635</v>
      </c>
      <c r="AY23" s="95">
        <f>VLOOKUP(TableTERanks334337[[#This Row],[Player]],TE!B:O,11,FALSE)</f>
        <v>109.06915797030996</v>
      </c>
      <c r="AZ23" s="190">
        <f>TableTERanks334337[[#This Row],[FPS]]+(TableTERanks334337[[#This Row],[REC]]*0.5)</f>
        <v>136.57013799134307</v>
      </c>
    </row>
    <row r="24" spans="1:52" x14ac:dyDescent="0.25">
      <c r="A24" s="58">
        <v>23</v>
      </c>
      <c r="B24" s="58" t="str">
        <f>VLOOKUP(TableQBRanks304034[[#This Row],[RK]],Rankings!A:T,3,FALSE)</f>
        <v>Cam Ward</v>
      </c>
      <c r="C24" s="58" t="str">
        <f>IFERROR(INDEX(TableQBCalcPts[TM],MATCH(TableQBRanks304034[[#This Row],[Player]],TableQBCalcPts[PLAYER],0)),"")</f>
        <v>TEN</v>
      </c>
      <c r="D24" s="58">
        <f>IFERROR(INDEX(TableQBCalcPts[BYE],MATCH(TableQBRanks304034[[#This Row],[Player]],TableQBCalcPts[PLAYER],0)),"")</f>
        <v>9</v>
      </c>
      <c r="E24" s="100">
        <f>VLOOKUP(TableQBRanks304034[[#This Row],[Player]],QB!B:O,4,FALSE)</f>
        <v>549.23904000000005</v>
      </c>
      <c r="F24" s="100">
        <f>VLOOKUP(TableQBRanks304034[[#This Row],[Player]],QB!B:O,5,FALSE)</f>
        <v>348.21755136000002</v>
      </c>
      <c r="G24" s="100">
        <f>VLOOKUP(TableQBRanks304034[[#This Row],[Player]],QB!B:O,6,FALSE)</f>
        <v>3774.6782567424002</v>
      </c>
      <c r="H24" s="100">
        <f>VLOOKUP(TableQBRanks304034[[#This Row],[Player]],QB!B:O,7,FALSE)</f>
        <v>22.982358389760002</v>
      </c>
      <c r="I24" s="100">
        <f>VLOOKUP(TableQBRanks304034[[#This Row],[Player]],QB!B:O,8,FALSE)</f>
        <v>9.1409335663914177</v>
      </c>
      <c r="J24" s="100">
        <f>VLOOKUP(TableQBRanks304034[[#This Row],[Player]],QB!B:O,9,FALSE)</f>
        <v>50.439110399999997</v>
      </c>
      <c r="K24" s="100">
        <f>VLOOKUP(TableQBRanks304034[[#This Row],[Player]],QB!B:O,10,FALSE)</f>
        <v>212.48358773351441</v>
      </c>
      <c r="L24" s="100">
        <f>VLOOKUP(TableQBRanks304034[[#This Row],[Player]],QB!B:O,11,FALSE)</f>
        <v>2.6228337407999995</v>
      </c>
      <c r="M24" s="95">
        <f>VLOOKUP(TableQBRanks304034[[#This Row],[Player]],QB!B:O,13,FALSE)</f>
        <v>351.54746339601598</v>
      </c>
      <c r="N24" s="140">
        <f>IF(VLOOKUP(TableQBRanks304034[[#This Row],[Player]],'Ranks w Proj'!$B:$N,13,FALSE)&lt;0,0,VLOOKUP(TableQBRanks304034[[#This Row],[Player]],'Ranks w Proj'!$B:$N,13,FALSE))</f>
        <v>8.3871371267846175</v>
      </c>
      <c r="P24" s="58">
        <v>23</v>
      </c>
      <c r="Q24" s="58" t="str">
        <f>VLOOKUP(TableRBRanks314135[[#This Row],[RK]],Rankings!A:AI,23,FALSE)</f>
        <v>Jadarian Price</v>
      </c>
      <c r="R24" s="58" t="str">
        <f>IFERROR(INDEX(TableRBCalcPts[TM],MATCH(TableRBRanks314135[[#This Row],[Player]],TableRBCalcPts[PLAYER],0)),"")</f>
        <v>SEA</v>
      </c>
      <c r="S24" s="58">
        <f>IFERROR(INDEX(TableRBCalcPts[BYE],MATCH(TableRBRanks314135[[#This Row],[Player]],TableRBCalcPts[PLAYER],0)),"")</f>
        <v>11</v>
      </c>
      <c r="T24" s="100">
        <f>VLOOKUP(TableRBRanks314135[[#This Row],[Player]],RB!B:O,4,FALSE)</f>
        <v>235.31065086231681</v>
      </c>
      <c r="U24" s="100">
        <f>VLOOKUP(TableRBRanks314135[[#This Row],[Player]],RB!B:O,5,FALSE)</f>
        <v>990.65784013035375</v>
      </c>
      <c r="V24" s="100">
        <f>VLOOKUP(TableRBRanks314135[[#This Row],[Player]],RB!B:O,6,FALSE)</f>
        <v>8.2358727801810883</v>
      </c>
      <c r="W24" s="100">
        <f>VLOOKUP(TableRBRanks314135[[#This Row],[Player]],RB!B:O,7,FALSE)</f>
        <v>29.778918959999999</v>
      </c>
      <c r="X24" s="100">
        <f>VLOOKUP(TableRBRanks314135[[#This Row],[Player]],RB!B:O,8,FALSE)</f>
        <v>21.708831921839998</v>
      </c>
      <c r="Y24" s="100">
        <f>VLOOKUP(TableRBRanks314135[[#This Row],[Player]],RB!B:O,9,FALSE)</f>
        <v>173.88774369393838</v>
      </c>
      <c r="Z24" s="100">
        <f>VLOOKUP(TableRBRanks314135[[#This Row],[Player]],RB!B:O,10,FALSE)</f>
        <v>0.93347977263911985</v>
      </c>
      <c r="AA24" s="95">
        <f>VLOOKUP(TableRBRanks314135[[#This Row],[Player]],RB!B:O,14,FALSE)</f>
        <v>182.32508966027049</v>
      </c>
      <c r="AB24" s="190">
        <f>TableRBRanks314135[[#This Row],[FPS]]+(TableRBRanks314135[[#This Row],[REC]]*0.5)</f>
        <v>193.17950562119049</v>
      </c>
      <c r="AD24" s="58">
        <v>23</v>
      </c>
      <c r="AE24" s="58" t="str">
        <f>VLOOKUP(TableWRRanks324236[[#This Row],[RK]],Rankings!A:AI,28,FALSE)</f>
        <v>Jaylen Waddle</v>
      </c>
      <c r="AF24" s="58" t="str">
        <f>IFERROR(INDEX(TableWRCalcPts[TM],MATCH(TableWRRanks324236[[#This Row],[Player]],TableWRCalcPts[PLAYER],0)),"")</f>
        <v>DEN</v>
      </c>
      <c r="AG24" s="58">
        <f>IFERROR(INDEX(TableWRCalcPts[BYE],MATCH(TableWRRanks324236[[#This Row],[Player]],TableWRCalcPts[PLAYER],0)),"")</f>
        <v>10</v>
      </c>
      <c r="AH24" s="100">
        <f>VLOOKUP(TableWRRanks324236[[#This Row],[Player]],WR!B:O,4,FALSE)</f>
        <v>12.280629899999997</v>
      </c>
      <c r="AI24" s="100">
        <f>VLOOKUP(TableWRRanks324236[[#This Row],[Player]],WR!B:O,5,FALSE)</f>
        <v>3.7214029999999995E-2</v>
      </c>
      <c r="AJ24" s="100">
        <f>VLOOKUP(TableWRRanks324236[[#This Row],[Player]],WR!B:O,6,FALSE)</f>
        <v>133.53716376000003</v>
      </c>
      <c r="AK24" s="100">
        <f>VLOOKUP(TableWRRanks324236[[#This Row],[Player]],WR!B:O,7,FALSE)</f>
        <v>89.036569720560024</v>
      </c>
      <c r="AL24" s="100">
        <f>VLOOKUP(TableWRRanks324236[[#This Row],[Player]],WR!B:O,8,FALSE)</f>
        <v>1131.654801148318</v>
      </c>
      <c r="AM24" s="100">
        <f>VLOOKUP(TableWRRanks324236[[#This Row],[Player]],WR!B:O,9,FALSE)</f>
        <v>6.9448524382036823</v>
      </c>
      <c r="AN24" s="95">
        <f>VLOOKUP(TableWRRanks324236[[#This Row],[Player]],WR!B:O,13,FALSE)</f>
        <v>200.8042267743339</v>
      </c>
      <c r="AO24" s="190">
        <f>TableWRRanks324236[[#This Row],[FPS]]+(TableWRRanks324236[[#This Row],[REC]]*0.5)</f>
        <v>245.3225116346139</v>
      </c>
      <c r="AQ24" s="58">
        <v>23</v>
      </c>
      <c r="AR24" s="58" t="str">
        <f>VLOOKUP(TableTERanks334337[[#This Row],[RK]],Rankings!A:AI,33,FALSE)</f>
        <v>Juwan Johnson</v>
      </c>
      <c r="AS24" s="58" t="str">
        <f>IFERROR(INDEX(TableTECalcPts[TM],MATCH(TableTERanks334337[[#This Row],[Player]],TableTECalcPts[PLAYER],0)),"")</f>
        <v>NO</v>
      </c>
      <c r="AT24" s="58">
        <f>IFERROR(INDEX(TableTECalcPts[BYE],MATCH(TableTERanks334337[[#This Row],[Player]],TableTECalcPts[PLAYER],0)),"")</f>
        <v>8</v>
      </c>
      <c r="AU24" s="100">
        <f>VLOOKUP(TableTERanks334337[[#This Row],[Player]],TE!B:O,4,FALSE)</f>
        <v>75.659386879999985</v>
      </c>
      <c r="AV24" s="100">
        <f>VLOOKUP(TableTERanks334337[[#This Row],[Player]],TE!B:O,5,FALSE)</f>
        <v>52.280636334079986</v>
      </c>
      <c r="AW24" s="100">
        <f>VLOOKUP(TableTERanks334337[[#This Row],[Player]],TE!B:O,6,FALSE)</f>
        <v>568.08452249082939</v>
      </c>
      <c r="AX24" s="100">
        <f>VLOOKUP(TableTERanks334337[[#This Row],[Player]],TE!B:O,7,FALSE)</f>
        <v>2.9799962710425594</v>
      </c>
      <c r="AY24" s="95">
        <f>VLOOKUP(TableTERanks334337[[#This Row],[Player]],TE!B:O,11,FALSE)</f>
        <v>100.82874804237828</v>
      </c>
      <c r="AZ24" s="190">
        <f>TableTERanks334337[[#This Row],[FPS]]+(TableTERanks334337[[#This Row],[REC]]*0.5)</f>
        <v>126.96906620941827</v>
      </c>
    </row>
    <row r="25" spans="1:52" x14ac:dyDescent="0.25">
      <c r="A25" s="58">
        <v>24</v>
      </c>
      <c r="B25" s="58" t="str">
        <f>VLOOKUP(TableQBRanks304034[[#This Row],[RK]],Rankings!A:T,3,FALSE)</f>
        <v>Daniel Jones</v>
      </c>
      <c r="C25" s="58" t="str">
        <f>IFERROR(INDEX(TableQBCalcPts[TM],MATCH(TableQBRanks304034[[#This Row],[Player]],TableQBCalcPts[PLAYER],0)),"")</f>
        <v>IND</v>
      </c>
      <c r="D25" s="58">
        <f>IFERROR(INDEX(TableQBCalcPts[BYE],MATCH(TableQBRanks304034[[#This Row],[Player]],TableQBCalcPts[PLAYER],0)),"")</f>
        <v>13</v>
      </c>
      <c r="E25" s="100">
        <f>VLOOKUP(TableQBRanks304034[[#This Row],[Player]],QB!B:O,4,FALSE)</f>
        <v>479.952</v>
      </c>
      <c r="F25" s="100">
        <f>VLOOKUP(TableQBRanks304034[[#This Row],[Player]],QB!B:O,5,FALSE)</f>
        <v>318.89592338176658</v>
      </c>
      <c r="G25" s="100">
        <f>VLOOKUP(TableQBRanks304034[[#This Row],[Player]],QB!B:O,6,FALSE)</f>
        <v>3479.1545240950736</v>
      </c>
      <c r="H25" s="100">
        <f>VLOOKUP(TableQBRanks304034[[#This Row],[Player]],QB!B:O,7,FALSE)</f>
        <v>21.366026866578363</v>
      </c>
      <c r="I25" s="100">
        <f>VLOOKUP(TableQBRanks304034[[#This Row],[Player]],QB!B:O,8,FALSE)</f>
        <v>10.651129947513136</v>
      </c>
      <c r="J25" s="100">
        <f>VLOOKUP(TableQBRanks304034[[#This Row],[Player]],QB!B:O,9,FALSE)</f>
        <v>72.413768000000005</v>
      </c>
      <c r="K25" s="100">
        <f>VLOOKUP(TableQBRanks304034[[#This Row],[Player]],QB!B:O,10,FALSE)</f>
        <v>284.72435575494887</v>
      </c>
      <c r="L25" s="100">
        <f>VLOOKUP(TableQBRanks304034[[#This Row],[Player]],QB!B:O,11,FALSE)</f>
        <v>5.0689637600000008</v>
      </c>
      <c r="M25" s="95">
        <f>VLOOKUP(TableQBRanks304034[[#This Row],[Player]],QB!B:O,13,FALSE)</f>
        <v>347.48702268943157</v>
      </c>
      <c r="N25" s="140">
        <f>IF(VLOOKUP(TableQBRanks304034[[#This Row],[Player]],'Ranks w Proj'!$B:$N,13,FALSE)&lt;0,0,VLOOKUP(TableQBRanks304034[[#This Row],[Player]],'Ranks w Proj'!$B:$N,13,FALSE))</f>
        <v>7.173195690276577</v>
      </c>
      <c r="P25" s="58">
        <v>24</v>
      </c>
      <c r="Q25" s="58" t="str">
        <f>VLOOKUP(TableRBRanks314135[[#This Row],[RK]],Rankings!A:AI,23,FALSE)</f>
        <v>Quinshon Judkins</v>
      </c>
      <c r="R25" s="58" t="str">
        <f>IFERROR(INDEX(TableRBCalcPts[TM],MATCH(TableRBRanks314135[[#This Row],[Player]],TableRBCalcPts[PLAYER],0)),"")</f>
        <v>CLE</v>
      </c>
      <c r="S25" s="58">
        <f>IFERROR(INDEX(TableRBCalcPts[BYE],MATCH(TableRBRanks314135[[#This Row],[Player]],TableRBCalcPts[PLAYER],0)),"")</f>
        <v>11</v>
      </c>
      <c r="T25" s="100">
        <f>VLOOKUP(TableRBRanks314135[[#This Row],[Player]],RB!B:O,4,FALSE)</f>
        <v>277.13410200000004</v>
      </c>
      <c r="U25" s="100">
        <f>VLOOKUP(TableRBRanks314135[[#This Row],[Player]],RB!B:O,5,FALSE)</f>
        <v>1136.2498182000002</v>
      </c>
      <c r="V25" s="100">
        <f>VLOOKUP(TableRBRanks314135[[#This Row],[Player]],RB!B:O,6,FALSE)</f>
        <v>7.8968420827102275</v>
      </c>
      <c r="W25" s="100">
        <f>VLOOKUP(TableRBRanks314135[[#This Row],[Player]],RB!B:O,7,FALSE)</f>
        <v>29.193317999999998</v>
      </c>
      <c r="X25" s="100">
        <f>VLOOKUP(TableRBRanks314135[[#This Row],[Player]],RB!B:O,8,FALSE)</f>
        <v>20.075148499443038</v>
      </c>
      <c r="Y25" s="100">
        <f>VLOOKUP(TableRBRanks314135[[#This Row],[Player]],RB!B:O,9,FALSE)</f>
        <v>139.75715894354431</v>
      </c>
      <c r="Z25" s="100">
        <f>VLOOKUP(TableRBRanks314135[[#This Row],[Player]],RB!B:O,10,FALSE)</f>
        <v>0.66247990048162031</v>
      </c>
      <c r="AA25" s="95">
        <f>VLOOKUP(TableRBRanks314135[[#This Row],[Player]],RB!B:O,14,FALSE)</f>
        <v>188.99420386322706</v>
      </c>
      <c r="AB25" s="190">
        <f>TableRBRanks314135[[#This Row],[FPS]]+(TableRBRanks314135[[#This Row],[REC]]*0.5)</f>
        <v>199.03177811294859</v>
      </c>
      <c r="AD25" s="58">
        <v>24</v>
      </c>
      <c r="AE25" s="58" t="str">
        <f>VLOOKUP(TableWRRanks324236[[#This Row],[RK]],Rankings!A:AI,28,FALSE)</f>
        <v>Luther Burden</v>
      </c>
      <c r="AF25" s="58" t="str">
        <f>IFERROR(INDEX(TableWRCalcPts[TM],MATCH(TableWRRanks324236[[#This Row],[Player]],TableWRCalcPts[PLAYER],0)),"")</f>
        <v>CHI</v>
      </c>
      <c r="AG25" s="58">
        <f>IFERROR(INDEX(TableWRCalcPts[BYE],MATCH(TableWRRanks324236[[#This Row],[Player]],TableWRCalcPts[PLAYER],0)),"")</f>
        <v>10</v>
      </c>
      <c r="AH25" s="100">
        <f>VLOOKUP(TableWRRanks324236[[#This Row],[Player]],WR!B:O,4,FALSE)</f>
        <v>49.025872562294488</v>
      </c>
      <c r="AI25" s="100">
        <f>VLOOKUP(TableWRRanks324236[[#This Row],[Player]],WR!B:O,5,FALSE)</f>
        <v>0.28516944981580605</v>
      </c>
      <c r="AJ25" s="100">
        <f>VLOOKUP(TableWRRanks324236[[#This Row],[Player]],WR!B:O,6,FALSE)</f>
        <v>130.26901272000001</v>
      </c>
      <c r="AK25" s="100">
        <f>VLOOKUP(TableWRRanks324236[[#This Row],[Player]],WR!B:O,7,FALSE)</f>
        <v>81.027325911840009</v>
      </c>
      <c r="AL25" s="100">
        <f>VLOOKUP(TableWRRanks324236[[#This Row],[Player]],WR!B:O,8,FALSE)</f>
        <v>1060.6476961859858</v>
      </c>
      <c r="AM25" s="100">
        <f>VLOOKUP(TableWRRanks324236[[#This Row],[Player]],WR!B:O,9,FALSE)</f>
        <v>6.4821860729472007</v>
      </c>
      <c r="AN25" s="95">
        <f>VLOOKUP(TableWRRanks324236[[#This Row],[Player]],WR!B:O,13,FALSE)</f>
        <v>192.08515296732605</v>
      </c>
      <c r="AO25" s="190">
        <f>TableWRRanks324236[[#This Row],[FPS]]+(TableWRRanks324236[[#This Row],[REC]]*0.5)</f>
        <v>232.59881592324606</v>
      </c>
      <c r="AQ25" s="58">
        <v>24</v>
      </c>
      <c r="AR25" s="58" t="str">
        <f>VLOOKUP(TableTERanks334337[[#This Row],[RK]],Rankings!A:AI,33,FALSE)</f>
        <v>Kenyon Sadiq</v>
      </c>
      <c r="AS25" s="58" t="str">
        <f>IFERROR(INDEX(TableTECalcPts[TM],MATCH(TableTERanks334337[[#This Row],[Player]],TableTECalcPts[PLAYER],0)),"")</f>
        <v>NYJ</v>
      </c>
      <c r="AT25" s="58">
        <f>IFERROR(INDEX(TableTECalcPts[BYE],MATCH(TableTERanks334337[[#This Row],[Player]],TableTECalcPts[PLAYER],0)),"")</f>
        <v>13</v>
      </c>
      <c r="AU25" s="100">
        <f>VLOOKUP(TableTERanks334337[[#This Row],[Player]],TE!B:O,4,FALSE)</f>
        <v>65.191688273208825</v>
      </c>
      <c r="AV25" s="100">
        <f>VLOOKUP(TableTERanks334337[[#This Row],[Player]],TE!B:O,5,FALSE)</f>
        <v>46.840733386225139</v>
      </c>
      <c r="AW25" s="100">
        <f>VLOOKUP(TableTERanks334337[[#This Row],[Player]],TE!B:O,6,FALSE)</f>
        <v>453.82461016603662</v>
      </c>
      <c r="AX25" s="100">
        <f>VLOOKUP(TableTERanks334337[[#This Row],[Player]],TE!B:O,7,FALSE)</f>
        <v>2.9978069367184088</v>
      </c>
      <c r="AY25" s="95">
        <f>VLOOKUP(TableTERanks334337[[#This Row],[Player]],TE!B:O,11,FALSE)</f>
        <v>86.789669330026697</v>
      </c>
      <c r="AZ25" s="190">
        <f>TableTERanks334337[[#This Row],[FPS]]+(TableTERanks334337[[#This Row],[REC]]*0.5)</f>
        <v>110.21003602313927</v>
      </c>
    </row>
    <row r="26" spans="1:52" x14ac:dyDescent="0.25">
      <c r="A26" s="58">
        <v>25</v>
      </c>
      <c r="B26" s="58" t="str">
        <f>VLOOKUP(TableQBRanks304034[[#This Row],[RK]],Rankings!A:T,3,FALSE)</f>
        <v>Sam Darnold</v>
      </c>
      <c r="C26" s="58" t="str">
        <f>IFERROR(INDEX(TableQBCalcPts[TM],MATCH(TableQBRanks304034[[#This Row],[Player]],TableQBCalcPts[PLAYER],0)),"")</f>
        <v>SEA</v>
      </c>
      <c r="D26" s="58">
        <f>IFERROR(INDEX(TableQBCalcPts[BYE],MATCH(TableQBRanks304034[[#This Row],[Player]],TableQBCalcPts[PLAYER],0)),"")</f>
        <v>11</v>
      </c>
      <c r="E26" s="100">
        <f>VLOOKUP(TableQBRanks304034[[#This Row],[Player]],QB!B:O,4,FALSE)</f>
        <v>504.72744</v>
      </c>
      <c r="F26" s="100">
        <f>VLOOKUP(TableQBRanks304034[[#This Row],[Player]],QB!B:O,5,FALSE)</f>
        <v>335.64374760000004</v>
      </c>
      <c r="G26" s="100">
        <f>VLOOKUP(TableQBRanks304034[[#This Row],[Player]],QB!B:O,6,FALSE)</f>
        <v>4135.1309704320001</v>
      </c>
      <c r="H26" s="100">
        <f>VLOOKUP(TableQBRanks304034[[#This Row],[Player]],QB!B:O,7,FALSE)</f>
        <v>26.515856060400004</v>
      </c>
      <c r="I26" s="100">
        <f>VLOOKUP(TableQBRanks304034[[#This Row],[Player]],QB!B:O,8,FALSE)</f>
        <v>13.01233198593386</v>
      </c>
      <c r="J26" s="100">
        <f>VLOOKUP(TableQBRanks304034[[#This Row],[Player]],QB!B:O,9,FALSE)</f>
        <v>34.843159255474909</v>
      </c>
      <c r="K26" s="100">
        <f>VLOOKUP(TableQBRanks304034[[#This Row],[Player]],QB!B:O,10,FALSE)</f>
        <v>110.34912719016842</v>
      </c>
      <c r="L26" s="100">
        <f>VLOOKUP(TableQBRanks304034[[#This Row],[Player]],QB!B:O,11,FALSE)</f>
        <v>0.86122797089993575</v>
      </c>
      <c r="M26" s="95">
        <f>VLOOKUP(TableQBRanks304034[[#This Row],[Player]],QB!B:O,13,FALSE)</f>
        <v>361.25469849816261</v>
      </c>
      <c r="N26" s="140">
        <f>IF(VLOOKUP(TableQBRanks304034[[#This Row],[Player]],'Ranks w Proj'!$B:$N,13,FALSE)&lt;0,0,VLOOKUP(TableQBRanks304034[[#This Row],[Player]],'Ranks w Proj'!$B:$N,13,FALSE))</f>
        <v>10.641242386869596</v>
      </c>
      <c r="P26" s="58">
        <v>25</v>
      </c>
      <c r="Q26" s="58" t="str">
        <f>VLOOKUP(TableRBRanks314135[[#This Row],[RK]],Rankings!A:AI,23,FALSE)</f>
        <v>TreVeyon Henderson</v>
      </c>
      <c r="R26" s="58" t="str">
        <f>IFERROR(INDEX(TableRBCalcPts[TM],MATCH(TableRBRanks314135[[#This Row],[Player]],TableRBCalcPts[PLAYER],0)),"")</f>
        <v>NE</v>
      </c>
      <c r="S26" s="58">
        <f>IFERROR(INDEX(TableRBCalcPts[BYE],MATCH(TableRBRanks314135[[#This Row],[Player]],TableRBCalcPts[PLAYER],0)),"")</f>
        <v>11</v>
      </c>
      <c r="T26" s="100">
        <f>VLOOKUP(TableRBRanks314135[[#This Row],[Player]],RB!B:O,4,FALSE)</f>
        <v>175.99039919999998</v>
      </c>
      <c r="U26" s="100">
        <f>VLOOKUP(TableRBRanks314135[[#This Row],[Player]],RB!B:O,5,FALSE)</f>
        <v>824.46444890520854</v>
      </c>
      <c r="V26" s="100">
        <f>VLOOKUP(TableRBRanks314135[[#This Row],[Player]],RB!B:O,6,FALSE)</f>
        <v>7.0396159679999997</v>
      </c>
      <c r="W26" s="100">
        <f>VLOOKUP(TableRBRanks314135[[#This Row],[Player]],RB!B:O,7,FALSE)</f>
        <v>56.719499199999973</v>
      </c>
      <c r="X26" s="100">
        <f>VLOOKUP(TableRBRanks314135[[#This Row],[Player]],RB!B:O,8,FALSE)</f>
        <v>45.205440862399982</v>
      </c>
      <c r="Y26" s="100">
        <f>VLOOKUP(TableRBRanks314135[[#This Row],[Player]],RB!B:O,9,FALSE)</f>
        <v>337.68464324212783</v>
      </c>
      <c r="Z26" s="100">
        <f>VLOOKUP(TableRBRanks314135[[#This Row],[Player]],RB!B:O,10,FALSE)</f>
        <v>1.6022945799520392</v>
      </c>
      <c r="AA26" s="95">
        <f>VLOOKUP(TableRBRanks314135[[#This Row],[Player]],RB!B:O,14,FALSE)</f>
        <v>190.66909293364586</v>
      </c>
      <c r="AB26" s="190">
        <f>TableRBRanks314135[[#This Row],[FPS]]+(TableRBRanks314135[[#This Row],[REC]]*0.5)</f>
        <v>213.27181336484585</v>
      </c>
      <c r="AD26" s="58">
        <v>25</v>
      </c>
      <c r="AE26" s="58" t="str">
        <f>VLOOKUP(TableWRRanks324236[[#This Row],[RK]],Rankings!A:AI,28,FALSE)</f>
        <v>Malik Nabers</v>
      </c>
      <c r="AF26" s="58" t="str">
        <f>IFERROR(INDEX(TableWRCalcPts[TM],MATCH(TableWRRanks324236[[#This Row],[Player]],TableWRCalcPts[PLAYER],0)),"")</f>
        <v>NYG</v>
      </c>
      <c r="AG26" s="58">
        <f>IFERROR(INDEX(TableWRCalcPts[BYE],MATCH(TableWRRanks324236[[#This Row],[Player]],TableWRCalcPts[PLAYER],0)),"")</f>
        <v>8</v>
      </c>
      <c r="AH26" s="100">
        <f>VLOOKUP(TableWRRanks324236[[#This Row],[Player]],WR!B:O,4,FALSE)</f>
        <v>0</v>
      </c>
      <c r="AI26" s="100">
        <f>VLOOKUP(TableWRRanks324236[[#This Row],[Player]],WR!B:O,5,FALSE)</f>
        <v>0</v>
      </c>
      <c r="AJ26" s="100">
        <f>VLOOKUP(TableWRRanks324236[[#This Row],[Player]],WR!B:O,6,FALSE)</f>
        <v>105.80562748</v>
      </c>
      <c r="AK26" s="100">
        <f>VLOOKUP(TableWRRanks324236[[#This Row],[Player]],WR!B:O,7,FALSE)</f>
        <v>62.742737095639995</v>
      </c>
      <c r="AL26" s="100">
        <f>VLOOKUP(TableWRRanks324236[[#This Row],[Player]],WR!B:O,8,FALSE)</f>
        <v>836.36068548488117</v>
      </c>
      <c r="AM26" s="100">
        <f>VLOOKUP(TableWRRanks324236[[#This Row],[Player]],WR!B:O,9,FALSE)</f>
        <v>5.3433888110292518</v>
      </c>
      <c r="AN26" s="95">
        <f>VLOOKUP(TableWRRanks324236[[#This Row],[Player]],WR!B:O,13,FALSE)</f>
        <v>147.06776996248362</v>
      </c>
      <c r="AO26" s="190">
        <f>TableWRRanks324236[[#This Row],[FPS]]+(TableWRRanks324236[[#This Row],[REC]]*0.5)</f>
        <v>178.43913851030362</v>
      </c>
      <c r="AQ26" s="58">
        <v>25</v>
      </c>
      <c r="AR26" s="58" t="str">
        <f>VLOOKUP(TableTERanks334337[[#This Row],[RK]],Rankings!A:AI,33,FALSE)</f>
        <v>David Njoku</v>
      </c>
      <c r="AS26" s="58" t="str">
        <f>IFERROR(INDEX(TableTECalcPts[TM],MATCH(TableTERanks334337[[#This Row],[Player]],TableTECalcPts[PLAYER],0)),"")</f>
        <v>LAC</v>
      </c>
      <c r="AT26" s="58">
        <f>IFERROR(INDEX(TableTECalcPts[BYE],MATCH(TableTERanks334337[[#This Row],[Player]],TableTECalcPts[PLAYER],0)),"")</f>
        <v>7</v>
      </c>
      <c r="AU26" s="100">
        <f>VLOOKUP(TableTERanks334337[[#This Row],[Player]],TE!B:O,4,FALSE)</f>
        <v>49.978969039999988</v>
      </c>
      <c r="AV26" s="100">
        <f>VLOOKUP(TableTERanks334337[[#This Row],[Player]],TE!B:O,5,FALSE)</f>
        <v>36.084815646879989</v>
      </c>
      <c r="AW26" s="100">
        <f>VLOOKUP(TableTERanks334337[[#This Row],[Player]],TE!B:O,6,FALSE)</f>
        <v>378.89931732718867</v>
      </c>
      <c r="AX26" s="100">
        <f>VLOOKUP(TableTERanks334337[[#This Row],[Player]],TE!B:O,7,FALSE)</f>
        <v>2.6516547050858308</v>
      </c>
      <c r="AY26" s="95">
        <f>VLOOKUP(TableTERanks334337[[#This Row],[Player]],TE!B:O,11,FALSE)</f>
        <v>71.842267786673858</v>
      </c>
      <c r="AZ26" s="190">
        <f>TableTERanks334337[[#This Row],[FPS]]+(TableTERanks334337[[#This Row],[REC]]*0.5)</f>
        <v>89.884675610113845</v>
      </c>
    </row>
    <row r="27" spans="1:52" x14ac:dyDescent="0.25">
      <c r="A27" s="58">
        <v>26</v>
      </c>
      <c r="B27" s="58" t="str">
        <f>VLOOKUP(TableQBRanks304034[[#This Row],[RK]],Rankings!A:T,3,FALSE)</f>
        <v>Bryce Young</v>
      </c>
      <c r="C27" s="58" t="str">
        <f>IFERROR(INDEX(TableQBCalcPts[TM],MATCH(TableQBRanks304034[[#This Row],[Player]],TableQBCalcPts[PLAYER],0)),"")</f>
        <v>CAR</v>
      </c>
      <c r="D27" s="58">
        <f>IFERROR(INDEX(TableQBCalcPts[BYE],MATCH(TableQBRanks304034[[#This Row],[Player]],TableQBCalcPts[PLAYER],0)),"")</f>
        <v>5</v>
      </c>
      <c r="E27" s="100">
        <f>VLOOKUP(TableQBRanks304034[[#This Row],[Player]],QB!B:O,4,FALSE)</f>
        <v>521.97749999999996</v>
      </c>
      <c r="F27" s="100">
        <f>VLOOKUP(TableQBRanks304034[[#This Row],[Player]],QB!B:O,5,FALSE)</f>
        <v>333.02164499999998</v>
      </c>
      <c r="G27" s="100">
        <f>VLOOKUP(TableQBRanks304034[[#This Row],[Player]],QB!B:O,6,FALSE)</f>
        <v>3466.0202038358811</v>
      </c>
      <c r="H27" s="100">
        <f>VLOOKUP(TableQBRanks304034[[#This Row],[Player]],QB!B:O,7,FALSE)</f>
        <v>23.311515150000002</v>
      </c>
      <c r="I27" s="100">
        <f>VLOOKUP(TableQBRanks304034[[#This Row],[Player]],QB!B:O,8,FALSE)</f>
        <v>12.028447647849639</v>
      </c>
      <c r="J27" s="100">
        <f>VLOOKUP(TableQBRanks304034[[#This Row],[Player]],QB!B:O,9,FALSE)</f>
        <v>52.240418999999989</v>
      </c>
      <c r="K27" s="100">
        <f>VLOOKUP(TableQBRanks304034[[#This Row],[Player]],QB!B:O,10,FALSE)</f>
        <v>245.52996929999995</v>
      </c>
      <c r="L27" s="100">
        <f>VLOOKUP(TableQBRanks304034[[#This Row],[Player]],QB!B:O,11,FALSE)</f>
        <v>2.1940975979999995</v>
      </c>
      <c r="M27" s="95">
        <f>VLOOKUP(TableQBRanks304034[[#This Row],[Player]],QB!B:O,13,FALSE)</f>
        <v>337.50119842358561</v>
      </c>
      <c r="N27" s="140">
        <f>IF(VLOOKUP(TableQBRanks304034[[#This Row],[Player]],'Ranks w Proj'!$B:$N,13,FALSE)&lt;0,0,VLOOKUP(TableQBRanks304034[[#This Row],[Player]],'Ranks w Proj'!$B:$N,13,FALSE))</f>
        <v>5.263446569531574</v>
      </c>
      <c r="P27" s="58">
        <v>26</v>
      </c>
      <c r="Q27" s="58" t="str">
        <f>VLOOKUP(TableRBRanks314135[[#This Row],[RK]],Rankings!A:AI,23,FALSE)</f>
        <v>Rhamondre Stevenson</v>
      </c>
      <c r="R27" s="58" t="str">
        <f>IFERROR(INDEX(TableRBCalcPts[TM],MATCH(TableRBRanks314135[[#This Row],[Player]],TableRBCalcPts[PLAYER],0)),"")</f>
        <v>NE</v>
      </c>
      <c r="S27" s="58">
        <f>IFERROR(INDEX(TableRBCalcPts[BYE],MATCH(TableRBRanks314135[[#This Row],[Player]],TableRBCalcPts[PLAYER],0)),"")</f>
        <v>11</v>
      </c>
      <c r="T27" s="100">
        <f>VLOOKUP(TableRBRanks314135[[#This Row],[Player]],RB!B:O,4,FALSE)</f>
        <v>160.43569219999998</v>
      </c>
      <c r="U27" s="100">
        <f>VLOOKUP(TableRBRanks314135[[#This Row],[Player]],RB!B:O,5,FALSE)</f>
        <v>717.14754413399987</v>
      </c>
      <c r="V27" s="100">
        <f>VLOOKUP(TableRBRanks314135[[#This Row],[Player]],RB!B:O,6,FALSE)</f>
        <v>7.2196061489999988</v>
      </c>
      <c r="W27" s="100">
        <f>VLOOKUP(TableRBRanks314135[[#This Row],[Player]],RB!B:O,7,FALSE)</f>
        <v>53.447220399999971</v>
      </c>
      <c r="X27" s="100">
        <f>VLOOKUP(TableRBRanks314135[[#This Row],[Player]],RB!B:O,8,FALSE)</f>
        <v>44.361192931999973</v>
      </c>
      <c r="Y27" s="100">
        <f>VLOOKUP(TableRBRanks314135[[#This Row],[Player]],RB!B:O,9,FALSE)</f>
        <v>388.60405008431974</v>
      </c>
      <c r="Z27" s="100">
        <f>VLOOKUP(TableRBRanks314135[[#This Row],[Player]],RB!B:O,10,FALSE)</f>
        <v>2.1634115036045016</v>
      </c>
      <c r="AA27" s="95">
        <f>VLOOKUP(TableRBRanks314135[[#This Row],[Player]],RB!B:O,14,FALSE)</f>
        <v>189.05386180345894</v>
      </c>
      <c r="AB27" s="190">
        <f>TableRBRanks314135[[#This Row],[FPS]]+(TableRBRanks314135[[#This Row],[REC]]*0.5)</f>
        <v>211.23445826945894</v>
      </c>
      <c r="AD27" s="58">
        <v>26</v>
      </c>
      <c r="AE27" s="58" t="str">
        <f>VLOOKUP(TableWRRanks324236[[#This Row],[RK]],Rankings!A:AI,28,FALSE)</f>
        <v>Davante Adams</v>
      </c>
      <c r="AF27" s="58" t="str">
        <f>IFERROR(INDEX(TableWRCalcPts[TM],MATCH(TableWRRanks324236[[#This Row],[Player]],TableWRCalcPts[PLAYER],0)),"")</f>
        <v>LAR</v>
      </c>
      <c r="AG27" s="58">
        <f>IFERROR(INDEX(TableWRCalcPts[BYE],MATCH(TableWRRanks324236[[#This Row],[Player]],TableWRCalcPts[PLAYER],0)),"")</f>
        <v>11</v>
      </c>
      <c r="AH27" s="100">
        <f>VLOOKUP(TableWRRanks324236[[#This Row],[Player]],WR!B:O,4,FALSE)</f>
        <v>0</v>
      </c>
      <c r="AI27" s="100">
        <f>VLOOKUP(TableWRRanks324236[[#This Row],[Player]],WR!B:O,5,FALSE)</f>
        <v>0</v>
      </c>
      <c r="AJ27" s="100">
        <f>VLOOKUP(TableWRRanks324236[[#This Row],[Player]],WR!B:O,6,FALSE)</f>
        <v>126.66263358908101</v>
      </c>
      <c r="AK27" s="100">
        <f>VLOOKUP(TableWRRanks324236[[#This Row],[Player]],WR!B:O,7,FALSE)</f>
        <v>68.651147405281918</v>
      </c>
      <c r="AL27" s="100">
        <f>VLOOKUP(TableWRRanks324236[[#This Row],[Player]],WR!B:O,8,FALSE)</f>
        <v>908.2137547965624</v>
      </c>
      <c r="AM27" s="100">
        <f>VLOOKUP(TableWRRanks324236[[#This Row],[Player]],WR!B:O,9,FALSE)</f>
        <v>10.778230142629262</v>
      </c>
      <c r="AN27" s="95">
        <f>VLOOKUP(TableWRRanks324236[[#This Row],[Player]],WR!B:O,13,FALSE)</f>
        <v>189.81633003807275</v>
      </c>
      <c r="AO27" s="190">
        <f>TableWRRanks324236[[#This Row],[FPS]]+(TableWRRanks324236[[#This Row],[REC]]*0.5)</f>
        <v>224.1419037407137</v>
      </c>
      <c r="AQ27" s="58">
        <v>26</v>
      </c>
      <c r="AR27" s="58" t="str">
        <f>VLOOKUP(TableTERanks334337[[#This Row],[RK]],Rankings!A:AI,33,FALSE)</f>
        <v>Oronde Gadsden</v>
      </c>
      <c r="AS27" s="58" t="str">
        <f>IFERROR(INDEX(TableTECalcPts[TM],MATCH(TableTERanks334337[[#This Row],[Player]],TableTECalcPts[PLAYER],0)),"")</f>
        <v>LAC</v>
      </c>
      <c r="AT27" s="58">
        <f>IFERROR(INDEX(TableTECalcPts[BYE],MATCH(TableTERanks334337[[#This Row],[Player]],TableTECalcPts[PLAYER],0)),"")</f>
        <v>7</v>
      </c>
      <c r="AU27" s="100">
        <f>VLOOKUP(TableTERanks334337[[#This Row],[Player]],TE!B:O,4,FALSE)</f>
        <v>64.866321519999985</v>
      </c>
      <c r="AV27" s="100">
        <f>VLOOKUP(TableTERanks334337[[#This Row],[Player]],TE!B:O,5,FALSE)</f>
        <v>46.119954600719986</v>
      </c>
      <c r="AW27" s="100">
        <f>VLOOKUP(TableTERanks334337[[#This Row],[Player]],TE!B:O,6,FALSE)</f>
        <v>531.30187700029421</v>
      </c>
      <c r="AX27" s="100">
        <f>VLOOKUP(TableTERanks334337[[#This Row],[Player]],TE!B:O,7,FALSE)</f>
        <v>3.5973564588561588</v>
      </c>
      <c r="AY27" s="95">
        <f>VLOOKUP(TableTERanks334337[[#This Row],[Player]],TE!B:O,11,FALSE)</f>
        <v>97.774303753526368</v>
      </c>
      <c r="AZ27" s="190">
        <f>TableTERanks334337[[#This Row],[FPS]]+(TableTERanks334337[[#This Row],[REC]]*0.5)</f>
        <v>120.83428105388636</v>
      </c>
    </row>
    <row r="28" spans="1:52" x14ac:dyDescent="0.25">
      <c r="A28" s="58">
        <v>27</v>
      </c>
      <c r="B28" s="58" t="str">
        <f>VLOOKUP(TableQBRanks304034[[#This Row],[RK]],Rankings!A:T,3,FALSE)</f>
        <v>Aaron Rodgers</v>
      </c>
      <c r="C28" s="58" t="str">
        <f>IFERROR(INDEX(TableQBCalcPts[TM],MATCH(TableQBRanks304034[[#This Row],[Player]],TableQBCalcPts[PLAYER],0)),"")</f>
        <v>PIT</v>
      </c>
      <c r="D28" s="58">
        <f>IFERROR(INDEX(TableQBCalcPts[BYE],MATCH(TableQBRanks304034[[#This Row],[Player]],TableQBCalcPts[PLAYER],0)),"")</f>
        <v>9</v>
      </c>
      <c r="E28" s="100">
        <f>VLOOKUP(TableQBRanks304034[[#This Row],[Player]],QB!B:O,4,FALSE)</f>
        <v>550.62</v>
      </c>
      <c r="F28" s="100">
        <f>VLOOKUP(TableQBRanks304034[[#This Row],[Player]],QB!B:O,5,FALSE)</f>
        <v>353.45392324136321</v>
      </c>
      <c r="G28" s="100">
        <f>VLOOKUP(TableQBRanks304034[[#This Row],[Player]],QB!B:O,6,FALSE)</f>
        <v>3666.8336314867825</v>
      </c>
      <c r="H28" s="100">
        <f>VLOOKUP(TableQBRanks304034[[#This Row],[Player]],QB!B:O,7,FALSE)</f>
        <v>23.103741815921587</v>
      </c>
      <c r="I28" s="100">
        <f>VLOOKUP(TableQBRanks304034[[#This Row],[Player]],QB!B:O,8,FALSE)</f>
        <v>9.89020019921462</v>
      </c>
      <c r="J28" s="100">
        <f>VLOOKUP(TableQBRanks304034[[#This Row],[Player]],QB!B:O,9,FALSE)</f>
        <v>20.083139999999997</v>
      </c>
      <c r="K28" s="100">
        <f>VLOOKUP(TableQBRanks304034[[#This Row],[Player]],QB!B:O,10,FALSE)</f>
        <v>65.069373599999992</v>
      </c>
      <c r="L28" s="100">
        <f>VLOOKUP(TableQBRanks304034[[#This Row],[Player]],QB!B:O,11,FALSE)</f>
        <v>0.67320386565188584</v>
      </c>
      <c r="M28" s="95">
        <f>VLOOKUP(TableQBRanks304034[[#This Row],[Player]],QB!B:O,13,FALSE)</f>
        <v>321.29714883383383</v>
      </c>
      <c r="N28" s="140">
        <f>IF(VLOOKUP(TableQBRanks304034[[#This Row],[Player]],'Ranks w Proj'!$B:$N,13,FALSE)&lt;0,0,VLOOKUP(TableQBRanks304034[[#This Row],[Player]],'Ranks w Proj'!$B:$N,13,FALSE))</f>
        <v>2.1718542546556341</v>
      </c>
      <c r="P28" s="58">
        <v>27</v>
      </c>
      <c r="Q28" s="58" t="str">
        <f>VLOOKUP(TableRBRanks314135[[#This Row],[RK]],Rankings!A:AI,23,FALSE)</f>
        <v>Bucky Irving</v>
      </c>
      <c r="R28" s="58" t="str">
        <f>IFERROR(INDEX(TableRBCalcPts[TM],MATCH(TableRBRanks314135[[#This Row],[Player]],TableRBCalcPts[PLAYER],0)),"")</f>
        <v>TB</v>
      </c>
      <c r="S28" s="58">
        <f>IFERROR(INDEX(TableRBCalcPts[BYE],MATCH(TableRBRanks314135[[#This Row],[Player]],TableRBCalcPts[PLAYER],0)),"")</f>
        <v>10</v>
      </c>
      <c r="T28" s="100">
        <f>VLOOKUP(TableRBRanks314135[[#This Row],[Player]],RB!B:O,4,FALSE)</f>
        <v>168.58838765999997</v>
      </c>
      <c r="U28" s="100">
        <f>VLOOKUP(TableRBRanks314135[[#This Row],[Player]],RB!B:O,5,FALSE)</f>
        <v>676.03943451659984</v>
      </c>
      <c r="V28" s="100">
        <f>VLOOKUP(TableRBRanks314135[[#This Row],[Player]],RB!B:O,6,FALSE)</f>
        <v>3.877532916179999</v>
      </c>
      <c r="W28" s="100">
        <f>VLOOKUP(TableRBRanks314135[[#This Row],[Player]],RB!B:O,7,FALSE)</f>
        <v>53.527430459999977</v>
      </c>
      <c r="X28" s="100">
        <f>VLOOKUP(TableRBRanks314135[[#This Row],[Player]],RB!B:O,8,FALSE)</f>
        <v>46.732387859187668</v>
      </c>
      <c r="Y28" s="100">
        <f>VLOOKUP(TableRBRanks314135[[#This Row],[Player]],RB!B:O,9,FALSE)</f>
        <v>393.01938189576828</v>
      </c>
      <c r="Z28" s="100">
        <f>VLOOKUP(TableRBRanks314135[[#This Row],[Player]],RB!B:O,10,FALSE)</f>
        <v>2.9441404351288232</v>
      </c>
      <c r="AA28" s="95">
        <f>VLOOKUP(TableRBRanks314135[[#This Row],[Player]],RB!B:O,14,FALSE)</f>
        <v>171.20211567868358</v>
      </c>
      <c r="AB28" s="190">
        <f>TableRBRanks314135[[#This Row],[FPS]]+(TableRBRanks314135[[#This Row],[REC]]*0.5)</f>
        <v>194.56830960827742</v>
      </c>
      <c r="AD28" s="58">
        <v>27</v>
      </c>
      <c r="AE28" s="58" t="str">
        <f>VLOOKUP(TableWRRanks324236[[#This Row],[RK]],Rankings!A:AI,28,FALSE)</f>
        <v>Christian Watson</v>
      </c>
      <c r="AF28" s="58" t="str">
        <f>IFERROR(INDEX(TableWRCalcPts[TM],MATCH(TableWRRanks324236[[#This Row],[Player]],TableWRCalcPts[PLAYER],0)),"")</f>
        <v>GB</v>
      </c>
      <c r="AG28" s="58">
        <f>IFERROR(INDEX(TableWRCalcPts[BYE],MATCH(TableWRRanks324236[[#This Row],[Player]],TableWRCalcPts[PLAYER],0)),"")</f>
        <v>11</v>
      </c>
      <c r="AH28" s="100">
        <f>VLOOKUP(TableWRRanks324236[[#This Row],[Player]],WR!B:O,4,FALSE)</f>
        <v>11.407058163795424</v>
      </c>
      <c r="AI28" s="100">
        <f>VLOOKUP(TableWRRanks324236[[#This Row],[Player]],WR!B:O,5,FALSE)</f>
        <v>2.3580563999999998E-2</v>
      </c>
      <c r="AJ28" s="100">
        <f>VLOOKUP(TableWRRanks324236[[#This Row],[Player]],WR!B:O,6,FALSE)</f>
        <v>109.051520080402</v>
      </c>
      <c r="AK28" s="100">
        <f>VLOOKUP(TableWRRanks324236[[#This Row],[Player]],WR!B:O,7,FALSE)</f>
        <v>63.540685700180887</v>
      </c>
      <c r="AL28" s="100">
        <f>VLOOKUP(TableWRRanks324236[[#This Row],[Player]],WR!B:O,8,FALSE)</f>
        <v>1032.5361426279394</v>
      </c>
      <c r="AM28" s="100">
        <f>VLOOKUP(TableWRRanks324236[[#This Row],[Player]],WR!B:O,9,FALSE)</f>
        <v>7.3707195412209829</v>
      </c>
      <c r="AN28" s="95">
        <f>VLOOKUP(TableWRRanks324236[[#This Row],[Player]],WR!B:O,13,FALSE)</f>
        <v>180.53046356058982</v>
      </c>
      <c r="AO28" s="190">
        <f>TableWRRanks324236[[#This Row],[FPS]]+(TableWRRanks324236[[#This Row],[REC]]*0.5)</f>
        <v>212.30080641068025</v>
      </c>
      <c r="AQ28" s="58">
        <v>27</v>
      </c>
      <c r="AR28" s="58" t="str">
        <f>VLOOKUP(TableTERanks334337[[#This Row],[RK]],Rankings!A:AI,33,FALSE)</f>
        <v>Terrance Ferguson</v>
      </c>
      <c r="AS28" s="58" t="str">
        <f>IFERROR(INDEX(TableTECalcPts[TM],MATCH(TableTERanks334337[[#This Row],[Player]],TableTECalcPts[PLAYER],0)),"")</f>
        <v>LAR</v>
      </c>
      <c r="AT28" s="58">
        <f>IFERROR(INDEX(TableTECalcPts[BYE],MATCH(TableTERanks334337[[#This Row],[Player]],TableTECalcPts[PLAYER],0)),"")</f>
        <v>11</v>
      </c>
      <c r="AU28" s="100">
        <f>VLOOKUP(TableTERanks334337[[#This Row],[Player]],TE!B:O,4,FALSE)</f>
        <v>62.200400423209423</v>
      </c>
      <c r="AV28" s="100">
        <f>VLOOKUP(TableTERanks334337[[#This Row],[Player]],TE!B:O,5,FALSE)</f>
        <v>41.736468683973527</v>
      </c>
      <c r="AW28" s="100">
        <f>VLOOKUP(TableTERanks334337[[#This Row],[Player]],TE!B:O,6,FALSE)</f>
        <v>505.84600044975912</v>
      </c>
      <c r="AX28" s="100">
        <f>VLOOKUP(TableTERanks334337[[#This Row],[Player]],TE!B:O,7,FALSE)</f>
        <v>4.6744844926050355</v>
      </c>
      <c r="AY28" s="95">
        <f>VLOOKUP(TableTERanks334337[[#This Row],[Player]],TE!B:O,11,FALSE)</f>
        <v>99.499741342592898</v>
      </c>
      <c r="AZ28" s="190">
        <f>TableTERanks334337[[#This Row],[FPS]]+(TableTERanks334337[[#This Row],[REC]]*0.5)</f>
        <v>120.36797568457966</v>
      </c>
    </row>
    <row r="29" spans="1:52" x14ac:dyDescent="0.25">
      <c r="A29" s="58">
        <v>28</v>
      </c>
      <c r="B29" s="58" t="str">
        <f>VLOOKUP(TableQBRanks304034[[#This Row],[RK]],Rankings!A:T,3,FALSE)</f>
        <v>Jacoby Brissett</v>
      </c>
      <c r="C29" s="58" t="str">
        <f>IFERROR(INDEX(TableQBCalcPts[TM],MATCH(TableQBRanks304034[[#This Row],[Player]],TableQBCalcPts[PLAYER],0)),"")</f>
        <v>ARI</v>
      </c>
      <c r="D29" s="58">
        <f>IFERROR(INDEX(TableQBCalcPts[BYE],MATCH(TableQBRanks304034[[#This Row],[Player]],TableQBCalcPts[PLAYER],0)),"")</f>
        <v>14</v>
      </c>
      <c r="E29" s="100">
        <f>VLOOKUP(TableQBRanks304034[[#This Row],[Player]],QB!B:O,4,FALSE)</f>
        <v>482.18800000000005</v>
      </c>
      <c r="F29" s="100">
        <f>VLOOKUP(TableQBRanks304034[[#This Row],[Player]],QB!B:O,5,FALSE)</f>
        <v>309.56469600000003</v>
      </c>
      <c r="G29" s="100">
        <f>VLOOKUP(TableQBRanks304034[[#This Row],[Player]],QB!B:O,6,FALSE)</f>
        <v>3231.8554262400003</v>
      </c>
      <c r="H29" s="100">
        <f>VLOOKUP(TableQBRanks304034[[#This Row],[Player]],QB!B:O,7,FALSE)</f>
        <v>21.979093416000001</v>
      </c>
      <c r="I29" s="100">
        <f>VLOOKUP(TableQBRanks304034[[#This Row],[Player]],QB!B:O,8,FALSE)</f>
        <v>7.9524469492371814</v>
      </c>
      <c r="J29" s="100">
        <f>VLOOKUP(TableQBRanks304034[[#This Row],[Player]],QB!B:O,9,FALSE)</f>
        <v>44.117365599999999</v>
      </c>
      <c r="K29" s="100">
        <f>VLOOKUP(TableQBRanks304034[[#This Row],[Player]],QB!B:O,10,FALSE)</f>
        <v>208.64678278208768</v>
      </c>
      <c r="L29" s="100">
        <f>VLOOKUP(TableQBRanks304034[[#This Row],[Player]],QB!B:O,11,FALSE)</f>
        <v>1.1095870803243719</v>
      </c>
      <c r="M29" s="95">
        <f>VLOOKUP(TableQBRanks304034[[#This Row],[Player]],QB!B:O,13,FALSE)</f>
        <v>311.67500095651786</v>
      </c>
      <c r="N29" s="140">
        <f>IF(VLOOKUP(TableQBRanks304034[[#This Row],[Player]],'Ranks w Proj'!$B:$N,13,FALSE)&lt;0,0,VLOOKUP(TableQBRanks304034[[#This Row],[Player]],'Ranks w Proj'!$B:$N,13,FALSE))</f>
        <v>0.28800227899591035</v>
      </c>
      <c r="P29" s="58">
        <v>28</v>
      </c>
      <c r="Q29" s="58" t="str">
        <f>VLOOKUP(TableRBRanks314135[[#This Row],[RK]],Rankings!A:AI,23,FALSE)</f>
        <v>Tony Pollard</v>
      </c>
      <c r="R29" s="58" t="str">
        <f>IFERROR(INDEX(TableRBCalcPts[TM],MATCH(TableRBRanks314135[[#This Row],[Player]],TableRBCalcPts[PLAYER],0)),"")</f>
        <v>TEN</v>
      </c>
      <c r="S29" s="58">
        <f>IFERROR(INDEX(TableRBCalcPts[BYE],MATCH(TableRBRanks314135[[#This Row],[Player]],TableRBCalcPts[PLAYER],0)),"")</f>
        <v>9</v>
      </c>
      <c r="T29" s="100">
        <f>VLOOKUP(TableRBRanks314135[[#This Row],[Player]],RB!B:O,4,FALSE)</f>
        <v>231.14270592</v>
      </c>
      <c r="U29" s="100">
        <f>VLOOKUP(TableRBRanks314135[[#This Row],[Player]],RB!B:O,5,FALSE)</f>
        <v>1007.7821978112</v>
      </c>
      <c r="V29" s="100">
        <f>VLOOKUP(TableRBRanks314135[[#This Row],[Player]],RB!B:O,6,FALSE)</f>
        <v>6.0097103539200001</v>
      </c>
      <c r="W29" s="100">
        <f>VLOOKUP(TableRBRanks314135[[#This Row],[Player]],RB!B:O,7,FALSE)</f>
        <v>42.840645120000005</v>
      </c>
      <c r="X29" s="100">
        <f>VLOOKUP(TableRBRanks314135[[#This Row],[Player]],RB!B:O,8,FALSE)</f>
        <v>32.473209000960004</v>
      </c>
      <c r="Y29" s="100">
        <f>VLOOKUP(TableRBRanks314135[[#This Row],[Player]],RB!B:O,9,FALSE)</f>
        <v>218.21996448645123</v>
      </c>
      <c r="Z29" s="100">
        <f>VLOOKUP(TableRBRanks314135[[#This Row],[Player]],RB!B:O,10,FALSE)</f>
        <v>1.0391426880307202</v>
      </c>
      <c r="AA29" s="95">
        <f>VLOOKUP(TableRBRanks314135[[#This Row],[Player]],RB!B:O,14,FALSE)</f>
        <v>181.12993898194946</v>
      </c>
      <c r="AB29" s="190">
        <f>TableRBRanks314135[[#This Row],[FPS]]+(TableRBRanks314135[[#This Row],[REC]]*0.5)</f>
        <v>197.36654348242948</v>
      </c>
      <c r="AD29" s="58">
        <v>28</v>
      </c>
      <c r="AE29" s="58" t="str">
        <f>VLOOKUP(TableWRRanks324236[[#This Row],[RK]],Rankings!A:AI,28,FALSE)</f>
        <v>Marvin Harrison</v>
      </c>
      <c r="AF29" s="58" t="str">
        <f>IFERROR(INDEX(TableWRCalcPts[TM],MATCH(TableWRRanks324236[[#This Row],[Player]],TableWRCalcPts[PLAYER],0)),"")</f>
        <v>ARI</v>
      </c>
      <c r="AG29" s="58">
        <f>IFERROR(INDEX(TableWRCalcPts[BYE],MATCH(TableWRRanks324236[[#This Row],[Player]],TableWRCalcPts[PLAYER],0)),"")</f>
        <v>14</v>
      </c>
      <c r="AH29" s="100">
        <f>VLOOKUP(TableWRRanks324236[[#This Row],[Player]],WR!B:O,4,FALSE)</f>
        <v>0</v>
      </c>
      <c r="AI29" s="100">
        <f>VLOOKUP(TableWRRanks324236[[#This Row],[Player]],WR!B:O,5,FALSE)</f>
        <v>0</v>
      </c>
      <c r="AJ29" s="100">
        <f>VLOOKUP(TableWRRanks324236[[#This Row],[Player]],WR!B:O,6,FALSE)</f>
        <v>122.86150240000002</v>
      </c>
      <c r="AK29" s="100">
        <f>VLOOKUP(TableWRRanks324236[[#This Row],[Player]],WR!B:O,7,FALSE)</f>
        <v>67.205241812800011</v>
      </c>
      <c r="AL29" s="100">
        <f>VLOOKUP(TableWRRanks324236[[#This Row],[Player]],WR!B:O,8,FALSE)</f>
        <v>923.40002250787222</v>
      </c>
      <c r="AM29" s="100">
        <f>VLOOKUP(TableWRRanks324236[[#This Row],[Player]],WR!B:O,9,FALSE)</f>
        <v>5.5108298286496016</v>
      </c>
      <c r="AN29" s="95">
        <f>VLOOKUP(TableWRRanks324236[[#This Row],[Player]],WR!B:O,13,FALSE)</f>
        <v>159.00760212908483</v>
      </c>
      <c r="AO29" s="190">
        <f>TableWRRanks324236[[#This Row],[FPS]]+(TableWRRanks324236[[#This Row],[REC]]*0.5)</f>
        <v>192.61022303548484</v>
      </c>
      <c r="AQ29" s="58">
        <v>28</v>
      </c>
      <c r="AR29" s="58" t="str">
        <f>VLOOKUP(TableTERanks334337[[#This Row],[RK]],Rankings!A:AI,33,FALSE)</f>
        <v>Gunnar Helm</v>
      </c>
      <c r="AS29" s="58" t="str">
        <f>IFERROR(INDEX(TableTECalcPts[TM],MATCH(TableTERanks334337[[#This Row],[Player]],TableTECalcPts[PLAYER],0)),"")</f>
        <v>TEN</v>
      </c>
      <c r="AT29" s="58">
        <f>IFERROR(INDEX(TableTECalcPts[BYE],MATCH(TableTERanks334337[[#This Row],[Player]],TableTECalcPts[PLAYER],0)),"")</f>
        <v>9</v>
      </c>
      <c r="AU29" s="100">
        <f>VLOOKUP(TableTERanks334337[[#This Row],[Player]],TE!B:O,4,FALSE)</f>
        <v>62.064011520000015</v>
      </c>
      <c r="AV29" s="100">
        <f>VLOOKUP(TableTERanks334337[[#This Row],[Player]],TE!B:O,5,FALSE)</f>
        <v>43.568936087040008</v>
      </c>
      <c r="AW29" s="100">
        <f>VLOOKUP(TableTERanks334337[[#This Row],[Player]],TE!B:O,6,FALSE)</f>
        <v>378.02372776164873</v>
      </c>
      <c r="AX29" s="100">
        <f>VLOOKUP(TableTERanks334337[[#This Row],[Player]],TE!B:O,7,FALSE)</f>
        <v>3.0498255260928007</v>
      </c>
      <c r="AY29" s="95">
        <f>VLOOKUP(TableTERanks334337[[#This Row],[Player]],TE!B:O,11,FALSE)</f>
        <v>77.885793976241686</v>
      </c>
      <c r="AZ29" s="190">
        <f>TableTERanks334337[[#This Row],[FPS]]+(TableTERanks334337[[#This Row],[REC]]*0.5)</f>
        <v>99.670262019761694</v>
      </c>
    </row>
    <row r="30" spans="1:52" x14ac:dyDescent="0.25">
      <c r="A30" s="58">
        <v>29</v>
      </c>
      <c r="B30" s="58" t="str">
        <f>VLOOKUP(TableQBRanks304034[[#This Row],[RK]],Rankings!A:T,3,FALSE)</f>
        <v>Tua Tagovailoa</v>
      </c>
      <c r="C30" s="58" t="str">
        <f>IFERROR(INDEX(TableQBCalcPts[TM],MATCH(TableQBRanks304034[[#This Row],[Player]],TableQBCalcPts[PLAYER],0)),"")</f>
        <v>ATL</v>
      </c>
      <c r="D30" s="58">
        <f>IFERROR(INDEX(TableQBCalcPts[BYE],MATCH(TableQBRanks304034[[#This Row],[Player]],TableQBCalcPts[PLAYER],0)),"")</f>
        <v>11</v>
      </c>
      <c r="E30" s="100">
        <f>VLOOKUP(TableQBRanks304034[[#This Row],[Player]],QB!B:O,4,FALSE)</f>
        <v>521.31780000000003</v>
      </c>
      <c r="F30" s="100">
        <f>VLOOKUP(TableQBRanks304034[[#This Row],[Player]],QB!B:O,5,FALSE)</f>
        <v>348.04812762756814</v>
      </c>
      <c r="G30" s="100">
        <f>VLOOKUP(TableQBRanks304034[[#This Row],[Player]],QB!B:O,6,FALSE)</f>
        <v>3842.4513290083519</v>
      </c>
      <c r="H30" s="100">
        <f>VLOOKUP(TableQBRanks304034[[#This Row],[Player]],QB!B:O,7,FALSE)</f>
        <v>20.698284366937415</v>
      </c>
      <c r="I30" s="100">
        <f>VLOOKUP(TableQBRanks304034[[#This Row],[Player]],QB!B:O,8,FALSE)</f>
        <v>12.815002775919732</v>
      </c>
      <c r="J30" s="100">
        <f>VLOOKUP(TableQBRanks304034[[#This Row],[Player]],QB!B:O,9,FALSE)</f>
        <v>12.039519520000001</v>
      </c>
      <c r="K30" s="100">
        <f>VLOOKUP(TableQBRanks304034[[#This Row],[Player]],QB!B:O,10,FALSE)</f>
        <v>32.117807809089577</v>
      </c>
      <c r="L30" s="100">
        <f>VLOOKUP(TableQBRanks304034[[#This Row],[Player]],QB!B:O,11,FALSE)</f>
        <v>0.18059279280000001</v>
      </c>
      <c r="M30" s="95">
        <f>VLOOKUP(TableQBRanks304034[[#This Row],[Player]],QB!B:O,13,FALSE)</f>
        <v>304.17290688650468</v>
      </c>
      <c r="N30" s="140">
        <f>IF(VLOOKUP(TableQBRanks304034[[#This Row],[Player]],'Ranks w Proj'!$B:$N,13,FALSE)&lt;0,0,VLOOKUP(TableQBRanks304034[[#This Row],[Player]],'Ranks w Proj'!$B:$N,13,FALSE))</f>
        <v>0</v>
      </c>
      <c r="P30" s="58">
        <v>29</v>
      </c>
      <c r="Q30" s="58" t="str">
        <f>VLOOKUP(TableRBRanks314135[[#This Row],[RK]],Rankings!A:AI,23,FALSE)</f>
        <v>RJ Harvey</v>
      </c>
      <c r="R30" s="58" t="str">
        <f>IFERROR(INDEX(TableRBCalcPts[TM],MATCH(TableRBRanks314135[[#This Row],[Player]],TableRBCalcPts[PLAYER],0)),"")</f>
        <v>DEN</v>
      </c>
      <c r="S30" s="58">
        <f>IFERROR(INDEX(TableRBCalcPts[BYE],MATCH(TableRBRanks314135[[#This Row],[Player]],TableRBCalcPts[PLAYER],0)),"")</f>
        <v>10</v>
      </c>
      <c r="T30" s="100">
        <f>VLOOKUP(TableRBRanks314135[[#This Row],[Player]],RB!B:O,4,FALSE)</f>
        <v>142.00873847999998</v>
      </c>
      <c r="U30" s="100">
        <f>VLOOKUP(TableRBRanks314135[[#This Row],[Player]],RB!B:O,5,FALSE)</f>
        <v>576.55547822879987</v>
      </c>
      <c r="V30" s="100">
        <f>VLOOKUP(TableRBRanks314135[[#This Row],[Player]],RB!B:O,6,FALSE)</f>
        <v>5.1123145852799992</v>
      </c>
      <c r="W30" s="100">
        <f>VLOOKUP(TableRBRanks314135[[#This Row],[Player]],RB!B:O,7,FALSE)</f>
        <v>60.491193840000008</v>
      </c>
      <c r="X30" s="100">
        <f>VLOOKUP(TableRBRanks314135[[#This Row],[Player]],RB!B:O,8,FALSE)</f>
        <v>47.630766029615998</v>
      </c>
      <c r="Y30" s="100">
        <f>VLOOKUP(TableRBRanks314135[[#This Row],[Player]],RB!B:O,9,FALSE)</f>
        <v>339.28814059593606</v>
      </c>
      <c r="Z30" s="100">
        <f>VLOOKUP(TableRBRanks314135[[#This Row],[Player]],RB!B:O,10,FALSE)</f>
        <v>3.3341536220731203</v>
      </c>
      <c r="AA30" s="95">
        <f>VLOOKUP(TableRBRanks314135[[#This Row],[Player]],RB!B:O,14,FALSE)</f>
        <v>166.0785541414003</v>
      </c>
      <c r="AB30" s="190">
        <f>TableRBRanks314135[[#This Row],[FPS]]+(TableRBRanks314135[[#This Row],[REC]]*0.5)</f>
        <v>189.8939371562083</v>
      </c>
      <c r="AD30" s="58">
        <v>29</v>
      </c>
      <c r="AE30" s="58" t="str">
        <f>VLOOKUP(TableWRRanks324236[[#This Row],[RK]],Rankings!A:AI,28,FALSE)</f>
        <v>Carnell Tate</v>
      </c>
      <c r="AF30" s="58" t="str">
        <f>IFERROR(INDEX(TableWRCalcPts[TM],MATCH(TableWRRanks324236[[#This Row],[Player]],TableWRCalcPts[PLAYER],0)),"")</f>
        <v>TEN</v>
      </c>
      <c r="AG30" s="58">
        <f>IFERROR(INDEX(TableWRCalcPts[BYE],MATCH(TableWRRanks324236[[#This Row],[Player]],TableWRCalcPts[PLAYER],0)),"")</f>
        <v>9</v>
      </c>
      <c r="AH30" s="100">
        <f>VLOOKUP(TableWRRanks324236[[#This Row],[Player]],WR!B:O,4,FALSE)</f>
        <v>0</v>
      </c>
      <c r="AI30" s="100">
        <f>VLOOKUP(TableWRRanks324236[[#This Row],[Player]],WR!B:O,5,FALSE)</f>
        <v>0</v>
      </c>
      <c r="AJ30" s="100">
        <f>VLOOKUP(TableWRRanks324236[[#This Row],[Player]],WR!B:O,6,FALSE)</f>
        <v>130.71889152</v>
      </c>
      <c r="AK30" s="100">
        <f>VLOOKUP(TableWRRanks324236[[#This Row],[Player]],WR!B:O,7,FALSE)</f>
        <v>80.784274959360005</v>
      </c>
      <c r="AL30" s="100">
        <f>VLOOKUP(TableWRRanks324236[[#This Row],[Player]],WR!B:O,8,FALSE)</f>
        <v>1075.2386997090816</v>
      </c>
      <c r="AM30" s="100">
        <f>VLOOKUP(TableWRRanks324236[[#This Row],[Player]],WR!B:O,9,FALSE)</f>
        <v>6.4627419967488002</v>
      </c>
      <c r="AN30" s="95">
        <f>VLOOKUP(TableWRRanks324236[[#This Row],[Player]],WR!B:O,13,FALSE)</f>
        <v>186.69245943108095</v>
      </c>
      <c r="AO30" s="190">
        <f>TableWRRanks324236[[#This Row],[FPS]]+(TableWRRanks324236[[#This Row],[REC]]*0.5)</f>
        <v>227.08459691076095</v>
      </c>
      <c r="AQ30" s="58">
        <v>29</v>
      </c>
      <c r="AR30" s="58" t="str">
        <f>VLOOKUP(TableTERanks334337[[#This Row],[RK]],Rankings!A:AI,33,FALSE)</f>
        <v>Cade Otton</v>
      </c>
      <c r="AS30" s="58" t="str">
        <f>IFERROR(INDEX(TableTECalcPts[TM],MATCH(TableTERanks334337[[#This Row],[Player]],TableTECalcPts[PLAYER],0)),"")</f>
        <v>TB</v>
      </c>
      <c r="AT30" s="58">
        <f>IFERROR(INDEX(TableTECalcPts[BYE],MATCH(TableTERanks334337[[#This Row],[Player]],TableTECalcPts[PLAYER],0)),"")</f>
        <v>10</v>
      </c>
      <c r="AU30" s="100">
        <f>VLOOKUP(TableTERanks334337[[#This Row],[Player]],TE!B:O,4,FALSE)</f>
        <v>73.393280939999983</v>
      </c>
      <c r="AV30" s="100">
        <f>VLOOKUP(TableTERanks334337[[#This Row],[Player]],TE!B:O,5,FALSE)</f>
        <v>48.586351982279993</v>
      </c>
      <c r="AW30" s="100">
        <f>VLOOKUP(TableTERanks334337[[#This Row],[Player]],TE!B:O,6,FALSE)</f>
        <v>469.83002366864753</v>
      </c>
      <c r="AX30" s="100">
        <f>VLOOKUP(TableTERanks334337[[#This Row],[Player]],TE!B:O,7,FALSE)</f>
        <v>2.7694220629899595</v>
      </c>
      <c r="AY30" s="95">
        <f>VLOOKUP(TableTERanks334337[[#This Row],[Player]],TE!B:O,11,FALSE)</f>
        <v>87.892710735944519</v>
      </c>
      <c r="AZ30" s="190">
        <f>TableTERanks334337[[#This Row],[FPS]]+(TableTERanks334337[[#This Row],[REC]]*0.5)</f>
        <v>112.18588672708452</v>
      </c>
    </row>
    <row r="31" spans="1:52" x14ac:dyDescent="0.25">
      <c r="A31" s="58">
        <v>30</v>
      </c>
      <c r="B31" s="58" t="str">
        <f>VLOOKUP(TableQBRanks304034[[#This Row],[RK]],Rankings!A:T,3,FALSE)</f>
        <v>Geno Smith</v>
      </c>
      <c r="C31" s="58" t="str">
        <f>IFERROR(INDEX(TableQBCalcPts[TM],MATCH(TableQBRanks304034[[#This Row],[Player]],TableQBCalcPts[PLAYER],0)),"")</f>
        <v>NYJ</v>
      </c>
      <c r="D31" s="58">
        <f>IFERROR(INDEX(TableQBCalcPts[BYE],MATCH(TableQBRanks304034[[#This Row],[Player]],TableQBCalcPts[PLAYER],0)),"")</f>
        <v>13</v>
      </c>
      <c r="E31" s="100">
        <f>VLOOKUP(TableQBRanks304034[[#This Row],[Player]],QB!B:O,4,FALSE)</f>
        <v>516.07799999999997</v>
      </c>
      <c r="F31" s="100">
        <f>VLOOKUP(TableQBRanks304034[[#This Row],[Player]],QB!B:O,5,FALSE)</f>
        <v>353.25066783130609</v>
      </c>
      <c r="G31" s="100">
        <f>VLOOKUP(TableQBRanks304034[[#This Row],[Player]],QB!B:O,6,FALSE)</f>
        <v>3634.3919552186435</v>
      </c>
      <c r="H31" s="100">
        <f>VLOOKUP(TableQBRanks304034[[#This Row],[Player]],QB!B:O,7,FALSE)</f>
        <v>20.135288066384447</v>
      </c>
      <c r="I31" s="100">
        <f>VLOOKUP(TableQBRanks304034[[#This Row],[Player]],QB!B:O,8,FALSE)</f>
        <v>15.203887356812446</v>
      </c>
      <c r="J31" s="100">
        <f>VLOOKUP(TableQBRanks304034[[#This Row],[Player]],QB!B:O,9,FALSE)</f>
        <v>41.544983200000004</v>
      </c>
      <c r="K31" s="100">
        <f>VLOOKUP(TableQBRanks304034[[#This Row],[Player]],QB!B:O,10,FALSE)</f>
        <v>140.9459324385553</v>
      </c>
      <c r="L31" s="100">
        <f>VLOOKUP(TableQBRanks304034[[#This Row],[Player]],QB!B:O,11,FALSE)</f>
        <v>0.74780969760000005</v>
      </c>
      <c r="M31" s="95">
        <f>VLOOKUP(TableQBRanks304034[[#This Row],[Player]],QB!B:O,13,FALSE)</f>
        <v>304.89003746282606</v>
      </c>
      <c r="N31" s="140">
        <f>IF(VLOOKUP(TableQBRanks304034[[#This Row],[Player]],'Ranks w Proj'!$B:$N,13,FALSE)&lt;0,0,VLOOKUP(TableQBRanks304034[[#This Row],[Player]],'Ranks w Proj'!$B:$N,13,FALSE))</f>
        <v>0</v>
      </c>
      <c r="P31" s="58">
        <v>30</v>
      </c>
      <c r="Q31" s="58" t="str">
        <f>VLOOKUP(TableRBRanks314135[[#This Row],[RK]],Rankings!A:AI,23,FALSE)</f>
        <v>Kenneth Gainwell</v>
      </c>
      <c r="R31" s="58" t="str">
        <f>IFERROR(INDEX(TableRBCalcPts[TM],MATCH(TableRBRanks314135[[#This Row],[Player]],TableRBCalcPts[PLAYER],0)),"")</f>
        <v>TB</v>
      </c>
      <c r="S31" s="58">
        <f>IFERROR(INDEX(TableRBCalcPts[BYE],MATCH(TableRBRanks314135[[#This Row],[Player]],TableRBCalcPts[PLAYER],0)),"")</f>
        <v>10</v>
      </c>
      <c r="T31" s="100">
        <f>VLOOKUP(TableRBRanks314135[[#This Row],[Player]],RB!B:O,4,FALSE)</f>
        <v>175.09041913999999</v>
      </c>
      <c r="U31" s="100">
        <f>VLOOKUP(TableRBRanks314135[[#This Row],[Player]],RB!B:O,5,FALSE)</f>
        <v>754.6397064933999</v>
      </c>
      <c r="V31" s="100">
        <f>VLOOKUP(TableRBRanks314135[[#This Row],[Player]],RB!B:O,6,FALSE)</f>
        <v>5.7779838316200003</v>
      </c>
      <c r="W31" s="100">
        <f>VLOOKUP(TableRBRanks314135[[#This Row],[Player]],RB!B:O,7,FALSE)</f>
        <v>57.390234719999974</v>
      </c>
      <c r="X31" s="100">
        <f>VLOOKUP(TableRBRanks314135[[#This Row],[Player]],RB!B:O,8,FALSE)</f>
        <v>48.93924133279998</v>
      </c>
      <c r="Y31" s="100">
        <f>VLOOKUP(TableRBRanks314135[[#This Row],[Player]],RB!B:O,9,FALSE)</f>
        <v>354.80949966279985</v>
      </c>
      <c r="Z31" s="100">
        <f>VLOOKUP(TableRBRanks314135[[#This Row],[Player]],RB!B:O,10,FALSE)</f>
        <v>1.9575696533119993</v>
      </c>
      <c r="AA31" s="95">
        <f>VLOOKUP(TableRBRanks314135[[#This Row],[Player]],RB!B:O,14,FALSE)</f>
        <v>181.82786219161196</v>
      </c>
      <c r="AB31" s="190">
        <f>TableRBRanks314135[[#This Row],[FPS]]+(TableRBRanks314135[[#This Row],[REC]]*0.5)</f>
        <v>206.29748285801196</v>
      </c>
      <c r="AD31" s="58">
        <v>30</v>
      </c>
      <c r="AE31" s="58" t="str">
        <f>VLOOKUP(TableWRRanks324236[[#This Row],[RK]],Rankings!A:AI,28,FALSE)</f>
        <v>Jordyn Tyson</v>
      </c>
      <c r="AF31" s="58" t="str">
        <f>IFERROR(INDEX(TableWRCalcPts[TM],MATCH(TableWRRanks324236[[#This Row],[Player]],TableWRCalcPts[PLAYER],0)),"")</f>
        <v>NO</v>
      </c>
      <c r="AG31" s="58">
        <f>IFERROR(INDEX(TableWRCalcPts[BYE],MATCH(TableWRRanks324236[[#This Row],[Player]],TableWRCalcPts[PLAYER],0)),"")</f>
        <v>8</v>
      </c>
      <c r="AH31" s="100">
        <f>VLOOKUP(TableWRRanks324236[[#This Row],[Player]],WR!B:O,4,FALSE)</f>
        <v>0</v>
      </c>
      <c r="AI31" s="100">
        <f>VLOOKUP(TableWRRanks324236[[#This Row],[Player]],WR!B:O,5,FALSE)</f>
        <v>0</v>
      </c>
      <c r="AJ31" s="100">
        <f>VLOOKUP(TableWRRanks324236[[#This Row],[Player]],WR!B:O,6,FALSE)</f>
        <v>114.75853312000001</v>
      </c>
      <c r="AK31" s="100">
        <f>VLOOKUP(TableWRRanks324236[[#This Row],[Player]],WR!B:O,7,FALSE)</f>
        <v>70.920773468160007</v>
      </c>
      <c r="AL31" s="100">
        <f>VLOOKUP(TableWRRanks324236[[#This Row],[Player]],WR!B:O,8,FALSE)</f>
        <v>919.13322414735376</v>
      </c>
      <c r="AM31" s="100">
        <f>VLOOKUP(TableWRRanks324236[[#This Row],[Player]],WR!B:O,9,FALSE)</f>
        <v>6.0991865182617602</v>
      </c>
      <c r="AN31" s="95">
        <f>VLOOKUP(TableWRRanks324236[[#This Row],[Player]],WR!B:O,13,FALSE)</f>
        <v>163.96882825838594</v>
      </c>
      <c r="AO31" s="190">
        <f>TableWRRanks324236[[#This Row],[FPS]]+(TableWRRanks324236[[#This Row],[REC]]*0.5)</f>
        <v>199.42921499246594</v>
      </c>
      <c r="AQ31" s="58">
        <v>30</v>
      </c>
      <c r="AR31" s="58" t="str">
        <f>VLOOKUP(TableTERanks334337[[#This Row],[RK]],Rankings!A:AI,33,FALSE)</f>
        <v>AJ Barner</v>
      </c>
      <c r="AS31" s="58" t="str">
        <f>IFERROR(INDEX(TableTECalcPts[TM],MATCH(TableTERanks334337[[#This Row],[Player]],TableTECalcPts[PLAYER],0)),"")</f>
        <v>SEA</v>
      </c>
      <c r="AT31" s="58">
        <f>IFERROR(INDEX(TableTECalcPts[BYE],MATCH(TableTERanks334337[[#This Row],[Player]],TableTECalcPts[PLAYER],0)),"")</f>
        <v>11</v>
      </c>
      <c r="AU31" s="100">
        <f>VLOOKUP(TableTERanks334337[[#This Row],[Player]],TE!B:O,4,FALSE)</f>
        <v>59.557837919999997</v>
      </c>
      <c r="AV31" s="100">
        <f>VLOOKUP(TableTERanks334337[[#This Row],[Player]],TE!B:O,5,FALSE)</f>
        <v>40.742325764313591</v>
      </c>
      <c r="AW31" s="100">
        <f>VLOOKUP(TableTERanks334337[[#This Row],[Player]],TE!B:O,6,FALSE)</f>
        <v>415.97914605364178</v>
      </c>
      <c r="AX31" s="100">
        <f>VLOOKUP(TableTERanks334337[[#This Row],[Player]],TE!B:O,7,FALSE)</f>
        <v>3.7482939703168503</v>
      </c>
      <c r="AY31" s="95">
        <f>VLOOKUP(TableTERanks334337[[#This Row],[Player]],TE!B:O,11,FALSE)</f>
        <v>84.45884130942207</v>
      </c>
      <c r="AZ31" s="190">
        <f>TableTERanks334337[[#This Row],[FPS]]+(TableTERanks334337[[#This Row],[REC]]*0.5)</f>
        <v>104.83000419157887</v>
      </c>
    </row>
    <row r="32" spans="1:52" x14ac:dyDescent="0.25">
      <c r="A32" s="58">
        <v>31</v>
      </c>
      <c r="B32" s="58" t="str">
        <f>VLOOKUP(TableQBRanks304034[[#This Row],[RK]],Rankings!A:T,3,FALSE)</f>
        <v>Kirk Cousins</v>
      </c>
      <c r="C32" s="58" t="str">
        <f>IFERROR(INDEX(TableQBCalcPts[TM],MATCH(TableQBRanks304034[[#This Row],[Player]],TableQBCalcPts[PLAYER],0)),"")</f>
        <v>LV</v>
      </c>
      <c r="D32" s="58">
        <f>IFERROR(INDEX(TableQBCalcPts[BYE],MATCH(TableQBRanks304034[[#This Row],[Player]],TableQBCalcPts[PLAYER],0)),"")</f>
        <v>13</v>
      </c>
      <c r="E32" s="100">
        <f>VLOOKUP(TableQBRanks304034[[#This Row],[Player]],QB!B:O,4,FALSE)</f>
        <v>361.01520000000005</v>
      </c>
      <c r="F32" s="100">
        <f>VLOOKUP(TableQBRanks304034[[#This Row],[Player]],QB!B:O,5,FALSE)</f>
        <v>231.41074320000004</v>
      </c>
      <c r="G32" s="100">
        <f>VLOOKUP(TableQBRanks304034[[#This Row],[Player]],QB!B:O,6,FALSE)</f>
        <v>2420.5563738720007</v>
      </c>
      <c r="H32" s="100">
        <f>VLOOKUP(TableQBRanks304034[[#This Row],[Player]],QB!B:O,7,FALSE)</f>
        <v>13.421823105600003</v>
      </c>
      <c r="I32" s="100">
        <f>VLOOKUP(TableQBRanks304034[[#This Row],[Player]],QB!B:O,8,FALSE)</f>
        <v>9.2329876300190143</v>
      </c>
      <c r="J32" s="100">
        <f>VLOOKUP(TableQBRanks304034[[#This Row],[Player]],QB!B:O,9,FALSE)</f>
        <v>2.2177007999999994</v>
      </c>
      <c r="K32" s="100">
        <f>VLOOKUP(TableQBRanks304034[[#This Row],[Player]],QB!B:O,10,FALSE)</f>
        <v>3.4338593032258053</v>
      </c>
      <c r="L32" s="100">
        <f>VLOOKUP(TableQBRanks304034[[#This Row],[Player]],QB!B:O,11,FALSE)</f>
        <v>2.3846245161290313E-2</v>
      </c>
      <c r="M32" s="95">
        <f>VLOOKUP(TableQBRanks304034[[#This Row],[Player]],QB!B:O,13,FALSE)</f>
        <v>191.74774367975132</v>
      </c>
      <c r="N32" s="140">
        <f>IF(VLOOKUP(TableQBRanks304034[[#This Row],[Player]],'Ranks w Proj'!$B:$N,13,FALSE)&lt;0,0,VLOOKUP(TableQBRanks304034[[#This Row],[Player]],'Ranks w Proj'!$B:$N,13,FALSE))</f>
        <v>0</v>
      </c>
      <c r="P32" s="58">
        <v>31</v>
      </c>
      <c r="Q32" s="58" t="str">
        <f>VLOOKUP(TableRBRanks314135[[#This Row],[RK]],Rankings!A:AI,23,FALSE)</f>
        <v>Chuba Hubbard</v>
      </c>
      <c r="R32" s="58" t="str">
        <f>IFERROR(INDEX(TableRBCalcPts[TM],MATCH(TableRBRanks314135[[#This Row],[Player]],TableRBCalcPts[PLAYER],0)),"")</f>
        <v>CAR</v>
      </c>
      <c r="S32" s="58">
        <f>IFERROR(INDEX(TableRBCalcPts[BYE],MATCH(TableRBRanks314135[[#This Row],[Player]],TableRBCalcPts[PLAYER],0)),"")</f>
        <v>5</v>
      </c>
      <c r="T32" s="100">
        <f>VLOOKUP(TableRBRanks314135[[#This Row],[Player]],RB!B:O,4,FALSE)</f>
        <v>191.69211599999997</v>
      </c>
      <c r="U32" s="100">
        <f>VLOOKUP(TableRBRanks314135[[#This Row],[Player]],RB!B:O,5,FALSE)</f>
        <v>805.10688719999996</v>
      </c>
      <c r="V32" s="100">
        <f>VLOOKUP(TableRBRanks314135[[#This Row],[Player]],RB!B:O,6,FALSE)</f>
        <v>4.7923028999999993</v>
      </c>
      <c r="W32" s="100">
        <f>VLOOKUP(TableRBRanks314135[[#This Row],[Player]],RB!B:O,7,FALSE)</f>
        <v>55.999943999999992</v>
      </c>
      <c r="X32" s="100">
        <f>VLOOKUP(TableRBRanks314135[[#This Row],[Player]],RB!B:O,8,FALSE)</f>
        <v>42.223957775999992</v>
      </c>
      <c r="Y32" s="100">
        <f>VLOOKUP(TableRBRanks314135[[#This Row],[Player]],RB!B:O,9,FALSE)</f>
        <v>268.52151761299984</v>
      </c>
      <c r="Z32" s="100">
        <f>VLOOKUP(TableRBRanks314135[[#This Row],[Player]],RB!B:O,10,FALSE)</f>
        <v>2.0689739310239998</v>
      </c>
      <c r="AA32" s="95">
        <f>VLOOKUP(TableRBRanks314135[[#This Row],[Player]],RB!B:O,14,FALSE)</f>
        <v>169.64248035544395</v>
      </c>
      <c r="AB32" s="190">
        <f>TableRBRanks314135[[#This Row],[FPS]]+(TableRBRanks314135[[#This Row],[REC]]*0.5)</f>
        <v>190.75445924344393</v>
      </c>
      <c r="AD32" s="58">
        <v>31</v>
      </c>
      <c r="AE32" s="58" t="str">
        <f>VLOOKUP(TableWRRanks324236[[#This Row],[RK]],Rankings!A:AI,28,FALSE)</f>
        <v>Makai Lemon</v>
      </c>
      <c r="AF32" s="58" t="str">
        <f>IFERROR(INDEX(TableWRCalcPts[TM],MATCH(TableWRRanks324236[[#This Row],[Player]],TableWRCalcPts[PLAYER],0)),"")</f>
        <v>PHI</v>
      </c>
      <c r="AG32" s="58">
        <f>IFERROR(INDEX(TableWRCalcPts[BYE],MATCH(TableWRRanks324236[[#This Row],[Player]],TableWRCalcPts[PLAYER],0)),"")</f>
        <v>10</v>
      </c>
      <c r="AH32" s="100">
        <f>VLOOKUP(TableWRRanks324236[[#This Row],[Player]],WR!B:O,4,FALSE)</f>
        <v>26.058086755555557</v>
      </c>
      <c r="AI32" s="100">
        <f>VLOOKUP(TableWRRanks324236[[#This Row],[Player]],WR!B:O,5,FALSE)</f>
        <v>0.2368916977777778</v>
      </c>
      <c r="AJ32" s="100">
        <f>VLOOKUP(TableWRRanks324236[[#This Row],[Player]],WR!B:O,6,FALSE)</f>
        <v>109.03120535999999</v>
      </c>
      <c r="AK32" s="100">
        <f>VLOOKUP(TableWRRanks324236[[#This Row],[Player]],WR!B:O,7,FALSE)</f>
        <v>73.923157234079994</v>
      </c>
      <c r="AL32" s="100">
        <f>VLOOKUP(TableWRRanks324236[[#This Row],[Player]],WR!B:O,8,FALSE)</f>
        <v>918.12561284727349</v>
      </c>
      <c r="AM32" s="100">
        <f>VLOOKUP(TableWRRanks324236[[#This Row],[Player]],WR!B:O,9,FALSE)</f>
        <v>6.1010253945364816</v>
      </c>
      <c r="AN32" s="95">
        <f>VLOOKUP(TableWRRanks324236[[#This Row],[Player]],WR!B:O,13,FALSE)</f>
        <v>169.40745113120846</v>
      </c>
      <c r="AO32" s="190">
        <f>TableWRRanks324236[[#This Row],[FPS]]+(TableWRRanks324236[[#This Row],[REC]]*0.5)</f>
        <v>206.36902974824847</v>
      </c>
      <c r="AQ32" s="58">
        <v>31</v>
      </c>
      <c r="AR32" s="58" t="str">
        <f>VLOOKUP(TableTERanks334337[[#This Row],[RK]],Rankings!A:AI,33,FALSE)</f>
        <v>Mike Gesicki</v>
      </c>
      <c r="AS32" s="58" t="str">
        <f>IFERROR(INDEX(TableTECalcPts[TM],MATCH(TableTERanks334337[[#This Row],[Player]],TableTECalcPts[PLAYER],0)),"")</f>
        <v>CIN</v>
      </c>
      <c r="AT32" s="58">
        <f>IFERROR(INDEX(TableTECalcPts[BYE],MATCH(TableTERanks334337[[#This Row],[Player]],TableTECalcPts[PLAYER],0)),"")</f>
        <v>6</v>
      </c>
      <c r="AU32" s="100">
        <f>VLOOKUP(TableTERanks334337[[#This Row],[Player]],TE!B:O,4,FALSE)</f>
        <v>61.373112500000005</v>
      </c>
      <c r="AV32" s="100">
        <f>VLOOKUP(TableTERanks334337[[#This Row],[Player]],TE!B:O,5,FALSE)</f>
        <v>42.427763056172843</v>
      </c>
      <c r="AW32" s="100">
        <f>VLOOKUP(TableTERanks334337[[#This Row],[Player]],TE!B:O,6,FALSE)</f>
        <v>435.01981948109574</v>
      </c>
      <c r="AX32" s="100">
        <f>VLOOKUP(TableTERanks334337[[#This Row],[Player]],TE!B:O,7,FALSE)</f>
        <v>3.8184986750555558</v>
      </c>
      <c r="AY32" s="95">
        <f>VLOOKUP(TableTERanks334337[[#This Row],[Player]],TE!B:O,11,FALSE)</f>
        <v>87.626855526529326</v>
      </c>
      <c r="AZ32" s="190">
        <f>TableTERanks334337[[#This Row],[FPS]]+(TableTERanks334337[[#This Row],[REC]]*0.5)</f>
        <v>108.84073705461574</v>
      </c>
    </row>
    <row r="33" spans="1:52" x14ac:dyDescent="0.25">
      <c r="A33" s="58">
        <v>32</v>
      </c>
      <c r="B33" s="58" t="str">
        <f>VLOOKUP(TableQBRanks304034[[#This Row],[RK]],Rankings!A:T,3,FALSE)</f>
        <v>Deshaun Watson</v>
      </c>
      <c r="C33" s="58" t="str">
        <f>IFERROR(INDEX(TableQBCalcPts[TM],MATCH(TableQBRanks304034[[#This Row],[Player]],TableQBCalcPts[PLAYER],0)),"")</f>
        <v>CLE</v>
      </c>
      <c r="D33" s="58">
        <f>IFERROR(INDEX(TableQBCalcPts[BYE],MATCH(TableQBRanks304034[[#This Row],[Player]],TableQBCalcPts[PLAYER],0)),"")</f>
        <v>11</v>
      </c>
      <c r="E33" s="100">
        <f>VLOOKUP(TableQBRanks304034[[#This Row],[Player]],QB!B:O,4,FALSE)</f>
        <v>242.35199999999998</v>
      </c>
      <c r="F33" s="100">
        <f>VLOOKUP(TableQBRanks304034[[#This Row],[Player]],QB!B:O,5,FALSE)</f>
        <v>147.35001599999998</v>
      </c>
      <c r="G33" s="100">
        <f>VLOOKUP(TableQBRanks304034[[#This Row],[Player]],QB!B:O,6,FALSE)</f>
        <v>1611.9485293795922</v>
      </c>
      <c r="H33" s="100">
        <f>VLOOKUP(TableQBRanks304034[[#This Row],[Player]],QB!B:O,7,FALSE)</f>
        <v>9.1357009919999985</v>
      </c>
      <c r="I33" s="100">
        <f>VLOOKUP(TableQBRanks304034[[#This Row],[Player]],QB!B:O,8,FALSE)</f>
        <v>6.0999914062062128</v>
      </c>
      <c r="J33" s="100">
        <f>VLOOKUP(TableQBRanks304034[[#This Row],[Player]],QB!B:O,9,FALSE)</f>
        <v>32.811870000000006</v>
      </c>
      <c r="K33" s="100">
        <f>VLOOKUP(TableQBRanks304034[[#This Row],[Player]],QB!B:O,10,FALSE)</f>
        <v>145.09293616257241</v>
      </c>
      <c r="L33" s="100">
        <f>VLOOKUP(TableQBRanks304034[[#This Row],[Player]],QB!B:O,11,FALSE)</f>
        <v>0.95389752307357867</v>
      </c>
      <c r="M33" s="95">
        <f>VLOOKUP(TableQBRanks304034[[#This Row],[Player]],QB!B:O,13,FALSE)</f>
        <v>148.1598360756762</v>
      </c>
      <c r="N33" s="140">
        <f>IF(VLOOKUP(TableQBRanks304034[[#This Row],[Player]],'Ranks w Proj'!$B:$N,13,FALSE)&lt;0,0,VLOOKUP(TableQBRanks304034[[#This Row],[Player]],'Ranks w Proj'!$B:$N,13,FALSE))</f>
        <v>0</v>
      </c>
      <c r="P33" s="58">
        <v>32</v>
      </c>
      <c r="Q33" s="58" t="str">
        <f>VLOOKUP(TableRBRanks314135[[#This Row],[RK]],Rankings!A:AI,23,FALSE)</f>
        <v>Jaylen Warren</v>
      </c>
      <c r="R33" s="58" t="str">
        <f>IFERROR(INDEX(TableRBCalcPts[TM],MATCH(TableRBRanks314135[[#This Row],[Player]],TableRBCalcPts[PLAYER],0)),"")</f>
        <v>PIT</v>
      </c>
      <c r="S33" s="58">
        <f>IFERROR(INDEX(TableRBCalcPts[BYE],MATCH(TableRBRanks314135[[#This Row],[Player]],TableRBCalcPts[PLAYER],0)),"")</f>
        <v>9</v>
      </c>
      <c r="T33" s="100">
        <f>VLOOKUP(TableRBRanks314135[[#This Row],[Player]],RB!B:O,4,FALSE)</f>
        <v>182.08713599999996</v>
      </c>
      <c r="U33" s="100">
        <f>VLOOKUP(TableRBRanks314135[[#This Row],[Player]],RB!B:O,5,FALSE)</f>
        <v>803.00426975999983</v>
      </c>
      <c r="V33" s="100">
        <f>VLOOKUP(TableRBRanks314135[[#This Row],[Player]],RB!B:O,6,FALSE)</f>
        <v>4.7342655359999988</v>
      </c>
      <c r="W33" s="100">
        <f>VLOOKUP(TableRBRanks314135[[#This Row],[Player]],RB!B:O,7,FALSE)</f>
        <v>49.984704000000001</v>
      </c>
      <c r="X33" s="100">
        <f>VLOOKUP(TableRBRanks314135[[#This Row],[Player]],RB!B:O,8,FALSE)</f>
        <v>39.822704675887856</v>
      </c>
      <c r="Y33" s="100">
        <f>VLOOKUP(TableRBRanks314135[[#This Row],[Player]],RB!B:O,9,FALSE)</f>
        <v>294.97266269786917</v>
      </c>
      <c r="Z33" s="100">
        <f>VLOOKUP(TableRBRanks314135[[#This Row],[Player]],RB!B:O,10,FALSE)</f>
        <v>1.225793114915888</v>
      </c>
      <c r="AA33" s="95">
        <f>VLOOKUP(TableRBRanks314135[[#This Row],[Player]],RB!B:O,14,FALSE)</f>
        <v>165.46939748922614</v>
      </c>
      <c r="AB33" s="190">
        <f>TableRBRanks314135[[#This Row],[FPS]]+(TableRBRanks314135[[#This Row],[REC]]*0.5)</f>
        <v>185.38074982717006</v>
      </c>
      <c r="AD33" s="58">
        <v>32</v>
      </c>
      <c r="AE33" s="58" t="str">
        <f>VLOOKUP(TableWRRanks324236[[#This Row],[RK]],Rankings!A:AI,28,FALSE)</f>
        <v>Parker Washington</v>
      </c>
      <c r="AF33" s="58" t="str">
        <f>IFERROR(INDEX(TableWRCalcPts[TM],MATCH(TableWRRanks324236[[#This Row],[Player]],TableWRCalcPts[PLAYER],0)),"")</f>
        <v>JAX</v>
      </c>
      <c r="AG33" s="58">
        <f>IFERROR(INDEX(TableWRCalcPts[BYE],MATCH(TableWRRanks324236[[#This Row],[Player]],TableWRCalcPts[PLAYER],0)),"")</f>
        <v>7</v>
      </c>
      <c r="AH33" s="100">
        <f>VLOOKUP(TableWRRanks324236[[#This Row],[Player]],WR!B:O,4,FALSE)</f>
        <v>22.757878499999997</v>
      </c>
      <c r="AI33" s="100">
        <f>VLOOKUP(TableWRRanks324236[[#This Row],[Player]],WR!B:O,5,FALSE)</f>
        <v>0.17949876000000001</v>
      </c>
      <c r="AJ33" s="100">
        <f>VLOOKUP(TableWRRanks324236[[#This Row],[Player]],WR!B:O,6,FALSE)</f>
        <v>125.92644750000001</v>
      </c>
      <c r="AK33" s="100">
        <f>VLOOKUP(TableWRRanks324236[[#This Row],[Player]],WR!B:O,7,FALSE)</f>
        <v>78.578103240000004</v>
      </c>
      <c r="AL33" s="100">
        <f>VLOOKUP(TableWRRanks324236[[#This Row],[Player]],WR!B:O,8,FALSE)</f>
        <v>1057.6612696104</v>
      </c>
      <c r="AM33" s="100">
        <f>VLOOKUP(TableWRRanks324236[[#This Row],[Player]],WR!B:O,9,FALSE)</f>
        <v>6.6005606721600012</v>
      </c>
      <c r="AN33" s="95">
        <f>VLOOKUP(TableWRRanks324236[[#This Row],[Player]],WR!B:O,13,FALSE)</f>
        <v>188.01132302400001</v>
      </c>
      <c r="AO33" s="190">
        <f>TableWRRanks324236[[#This Row],[FPS]]+(TableWRRanks324236[[#This Row],[REC]]*0.5)</f>
        <v>227.30037464400002</v>
      </c>
      <c r="AQ33" s="58">
        <v>32</v>
      </c>
      <c r="AR33" s="58" t="str">
        <f>VLOOKUP(TableTERanks334337[[#This Row],[RK]],Rankings!A:AI,33,FALSE)</f>
        <v>Evan Engram</v>
      </c>
      <c r="AS33" s="58" t="str">
        <f>IFERROR(INDEX(TableTECalcPts[TM],MATCH(TableTERanks334337[[#This Row],[Player]],TableTECalcPts[PLAYER],0)),"")</f>
        <v>DEN</v>
      </c>
      <c r="AT33" s="58">
        <f>IFERROR(INDEX(TableTECalcPts[BYE],MATCH(TableTERanks334337[[#This Row],[Player]],TableTECalcPts[PLAYER],0)),"")</f>
        <v>10</v>
      </c>
      <c r="AU33" s="100">
        <f>VLOOKUP(TableTERanks334337[[#This Row],[Player]],TE!B:O,4,FALSE)</f>
        <v>61.632537120000009</v>
      </c>
      <c r="AV33" s="100">
        <f>VLOOKUP(TableTERanks334337[[#This Row],[Player]],TE!B:O,5,FALSE)</f>
        <v>42.013152766337917</v>
      </c>
      <c r="AW33" s="100">
        <f>VLOOKUP(TableTERanks334337[[#This Row],[Player]],TE!B:O,6,FALSE)</f>
        <v>375.23544398160726</v>
      </c>
      <c r="AX33" s="100">
        <f>VLOOKUP(TableTERanks334337[[#This Row],[Player]],TE!B:O,7,FALSE)</f>
        <v>2.1006576383168958</v>
      </c>
      <c r="AY33" s="95">
        <f>VLOOKUP(TableTERanks334337[[#This Row],[Player]],TE!B:O,11,FALSE)</f>
        <v>71.134066611231063</v>
      </c>
      <c r="AZ33" s="190">
        <f>TableTERanks334337[[#This Row],[FPS]]+(TableTERanks334337[[#This Row],[REC]]*0.5)</f>
        <v>92.140642994400025</v>
      </c>
    </row>
    <row r="34" spans="1:52" x14ac:dyDescent="0.25">
      <c r="A34" s="58">
        <v>33</v>
      </c>
      <c r="B34" s="58" t="str">
        <f>VLOOKUP(TableQBRanks304034[[#This Row],[RK]],Rankings!A:T,3,FALSE)</f>
        <v>Shedeur Sanders</v>
      </c>
      <c r="C34" s="58" t="str">
        <f>IFERROR(INDEX(TableQBCalcPts[TM],MATCH(TableQBRanks304034[[#This Row],[Player]],TableQBCalcPts[PLAYER],0)),"")</f>
        <v>CLE</v>
      </c>
      <c r="D34" s="58">
        <f>IFERROR(INDEX(TableQBCalcPts[BYE],MATCH(TableQBRanks304034[[#This Row],[Player]],TableQBCalcPts[PLAYER],0)),"")</f>
        <v>11</v>
      </c>
      <c r="E34" s="100">
        <f>VLOOKUP(TableQBRanks304034[[#This Row],[Player]],QB!B:O,4,FALSE)</f>
        <v>252.45</v>
      </c>
      <c r="F34" s="100">
        <f>VLOOKUP(TableQBRanks304034[[#This Row],[Player]],QB!B:O,5,FALSE)</f>
        <v>149.45039999999997</v>
      </c>
      <c r="G34" s="100">
        <f>VLOOKUP(TableQBRanks304034[[#This Row],[Player]],QB!B:O,6,FALSE)</f>
        <v>1652.9214239999999</v>
      </c>
      <c r="H34" s="100">
        <f>VLOOKUP(TableQBRanks304034[[#This Row],[Player]],QB!B:O,7,FALSE)</f>
        <v>8.9670239999999986</v>
      </c>
      <c r="I34" s="100">
        <f>VLOOKUP(TableQBRanks304034[[#This Row],[Player]],QB!B:O,8,FALSE)</f>
        <v>8.9204641658318629</v>
      </c>
      <c r="J34" s="100">
        <f>VLOOKUP(TableQBRanks304034[[#This Row],[Player]],QB!B:O,9,FALSE)</f>
        <v>31.297476000000003</v>
      </c>
      <c r="K34" s="100">
        <f>VLOOKUP(TableQBRanks304034[[#This Row],[Player]],QB!B:O,10,FALSE)</f>
        <v>216.26555916000004</v>
      </c>
      <c r="L34" s="100">
        <f>VLOOKUP(TableQBRanks304034[[#This Row],[Player]],QB!B:O,11,FALSE)</f>
        <v>1.4664492175644104</v>
      </c>
      <c r="M34" s="95">
        <f>VLOOKUP(TableQBRanks304034[[#This Row],[Player]],QB!B:O,13,FALSE)</f>
        <v>156.36882801555461</v>
      </c>
      <c r="N34" s="140">
        <f>IF(VLOOKUP(TableQBRanks304034[[#This Row],[Player]],'Ranks w Proj'!$B:$N,13,FALSE)&lt;0,0,VLOOKUP(TableQBRanks304034[[#This Row],[Player]],'Ranks w Proj'!$B:$N,13,FALSE))</f>
        <v>0</v>
      </c>
      <c r="P34" s="58">
        <v>33</v>
      </c>
      <c r="Q34" s="58" t="str">
        <f>VLOOKUP(TableRBRanks314135[[#This Row],[RK]],Rankings!A:AI,23,FALSE)</f>
        <v>Rico Dowdle</v>
      </c>
      <c r="R34" s="58" t="str">
        <f>IFERROR(INDEX(TableRBCalcPts[TM],MATCH(TableRBRanks314135[[#This Row],[Player]],TableRBCalcPts[PLAYER],0)),"")</f>
        <v>PIT</v>
      </c>
      <c r="S34" s="58">
        <f>IFERROR(INDEX(TableRBCalcPts[BYE],MATCH(TableRBRanks314135[[#This Row],[Player]],TableRBCalcPts[PLAYER],0)),"")</f>
        <v>9</v>
      </c>
      <c r="T34" s="100">
        <f>VLOOKUP(TableRBRanks314135[[#This Row],[Player]],RB!B:O,4,FALSE)</f>
        <v>212.88128399999997</v>
      </c>
      <c r="U34" s="100">
        <f>VLOOKUP(TableRBRanks314135[[#This Row],[Player]],RB!B:O,5,FALSE)</f>
        <v>926.03358539999977</v>
      </c>
      <c r="V34" s="100">
        <f>VLOOKUP(TableRBRanks314135[[#This Row],[Player]],RB!B:O,6,FALSE)</f>
        <v>6.3864385199999987</v>
      </c>
      <c r="W34" s="100">
        <f>VLOOKUP(TableRBRanks314135[[#This Row],[Player]],RB!B:O,7,FALSE)</f>
        <v>32.944464000000004</v>
      </c>
      <c r="X34" s="100">
        <f>VLOOKUP(TableRBRanks314135[[#This Row],[Player]],RB!B:O,8,FALSE)</f>
        <v>26.388515664000003</v>
      </c>
      <c r="Y34" s="100">
        <f>VLOOKUP(TableRBRanks314135[[#This Row],[Player]],RB!B:O,9,FALSE)</f>
        <v>196.51585093837056</v>
      </c>
      <c r="Z34" s="100">
        <f>VLOOKUP(TableRBRanks314135[[#This Row],[Player]],RB!B:O,10,FALSE)</f>
        <v>0.79952816634499868</v>
      </c>
      <c r="AA34" s="95">
        <f>VLOOKUP(TableRBRanks314135[[#This Row],[Player]],RB!B:O,14,FALSE)</f>
        <v>168.56500158390702</v>
      </c>
      <c r="AB34" s="190">
        <f>TableRBRanks314135[[#This Row],[FPS]]+(TableRBRanks314135[[#This Row],[REC]]*0.5)</f>
        <v>181.75925941590702</v>
      </c>
      <c r="AD34" s="58">
        <v>33</v>
      </c>
      <c r="AE34" s="58" t="str">
        <f>VLOOKUP(TableWRRanks324236[[#This Row],[RK]],Rankings!A:AI,28,FALSE)</f>
        <v>Rome Odunze</v>
      </c>
      <c r="AF34" s="58" t="str">
        <f>IFERROR(INDEX(TableWRCalcPts[TM],MATCH(TableWRRanks324236[[#This Row],[Player]],TableWRCalcPts[PLAYER],0)),"")</f>
        <v>CHI</v>
      </c>
      <c r="AG34" s="58">
        <f>IFERROR(INDEX(TableWRCalcPts[BYE],MATCH(TableWRRanks324236[[#This Row],[Player]],TableWRCalcPts[PLAYER],0)),"")</f>
        <v>10</v>
      </c>
      <c r="AH34" s="100">
        <f>VLOOKUP(TableWRRanks324236[[#This Row],[Player]],WR!B:O,4,FALSE)</f>
        <v>0</v>
      </c>
      <c r="AI34" s="100">
        <f>VLOOKUP(TableWRRanks324236[[#This Row],[Player]],WR!B:O,5,FALSE)</f>
        <v>0</v>
      </c>
      <c r="AJ34" s="100">
        <f>VLOOKUP(TableWRRanks324236[[#This Row],[Player]],WR!B:O,6,FALSE)</f>
        <v>128.57720736000002</v>
      </c>
      <c r="AK34" s="100">
        <f>VLOOKUP(TableWRRanks324236[[#This Row],[Player]],WR!B:O,7,FALSE)</f>
        <v>66.021181549176006</v>
      </c>
      <c r="AL34" s="100">
        <f>VLOOKUP(TableWRRanks324236[[#This Row],[Player]],WR!B:O,8,FALSE)</f>
        <v>982.39518145173906</v>
      </c>
      <c r="AM34" s="100">
        <f>VLOOKUP(TableWRRanks324236[[#This Row],[Player]],WR!B:O,9,FALSE)</f>
        <v>7.1302876073110086</v>
      </c>
      <c r="AN34" s="95">
        <f>VLOOKUP(TableWRRanks324236[[#This Row],[Player]],WR!B:O,13,FALSE)</f>
        <v>174.03183456362797</v>
      </c>
      <c r="AO34" s="190">
        <f>TableWRRanks324236[[#This Row],[FPS]]+(TableWRRanks324236[[#This Row],[REC]]*0.5)</f>
        <v>207.04242533821596</v>
      </c>
      <c r="AQ34" s="58">
        <v>33</v>
      </c>
      <c r="AR34" s="58" t="str">
        <f>VLOOKUP(TableTERanks334337[[#This Row],[RK]],Rankings!A:AI,33,FALSE)</f>
        <v>Mason Taylor</v>
      </c>
      <c r="AS34" s="58" t="str">
        <f>IFERROR(INDEX(TableTECalcPts[TM],MATCH(TableTERanks334337[[#This Row],[Player]],TableTECalcPts[PLAYER],0)),"")</f>
        <v>NYJ</v>
      </c>
      <c r="AT34" s="58">
        <f>IFERROR(INDEX(TableTECalcPts[BYE],MATCH(TableTERanks334337[[#This Row],[Player]],TableTECalcPts[PLAYER],0)),"")</f>
        <v>13</v>
      </c>
      <c r="AU34" s="100">
        <f>VLOOKUP(TableTERanks334337[[#This Row],[Player]],TE!B:O,4,FALSE)</f>
        <v>51.141755455706921</v>
      </c>
      <c r="AV34" s="100">
        <f>VLOOKUP(TableTERanks334337[[#This Row],[Player]],TE!B:O,5,FALSE)</f>
        <v>38.867734146337263</v>
      </c>
      <c r="AW34" s="100">
        <f>VLOOKUP(TableTERanks334337[[#This Row],[Player]],TE!B:O,6,FALSE)</f>
        <v>325.93094124496713</v>
      </c>
      <c r="AX34" s="100">
        <f>VLOOKUP(TableTERanks334337[[#This Row],[Player]],TE!B:O,7,FALSE)</f>
        <v>2.0988576439022122</v>
      </c>
      <c r="AY34" s="95">
        <f>VLOOKUP(TableTERanks334337[[#This Row],[Player]],TE!B:O,11,FALSE)</f>
        <v>64.620107061078613</v>
      </c>
      <c r="AZ34" s="190">
        <f>TableTERanks334337[[#This Row],[FPS]]+(TableTERanks334337[[#This Row],[REC]]*0.5)</f>
        <v>84.053974134247241</v>
      </c>
    </row>
    <row r="35" spans="1:52" x14ac:dyDescent="0.25">
      <c r="A35" s="58">
        <v>34</v>
      </c>
      <c r="B35" s="58" t="str">
        <f>VLOOKUP(TableQBRanks304034[[#This Row],[RK]],Rankings!A:T,3,FALSE)</f>
        <v>Fernando Mendoza</v>
      </c>
      <c r="C35" s="58" t="str">
        <f>IFERROR(INDEX(TableQBCalcPts[TM],MATCH(TableQBRanks304034[[#This Row],[Player]],TableQBCalcPts[PLAYER],0)),"")</f>
        <v>LV</v>
      </c>
      <c r="D35" s="58">
        <f>IFERROR(INDEX(TableQBCalcPts[BYE],MATCH(TableQBRanks304034[[#This Row],[Player]],TableQBCalcPts[PLAYER],0)),"")</f>
        <v>13</v>
      </c>
      <c r="E35" s="100">
        <f>VLOOKUP(TableQBRanks304034[[#This Row],[Player]],QB!B:O,4,FALSE)</f>
        <v>194.39279999999999</v>
      </c>
      <c r="F35" s="100">
        <f>VLOOKUP(TableQBRanks304034[[#This Row],[Player]],QB!B:O,5,FALSE)</f>
        <v>121.4572833129313</v>
      </c>
      <c r="G35" s="100">
        <f>VLOOKUP(TableQBRanks304034[[#This Row],[Player]],QB!B:O,6,FALSE)</f>
        <v>1332.3863979428563</v>
      </c>
      <c r="H35" s="100">
        <f>VLOOKUP(TableQBRanks304034[[#This Row],[Player]],QB!B:O,7,FALSE)</f>
        <v>7.6518088487146718</v>
      </c>
      <c r="I35" s="100">
        <f>VLOOKUP(TableQBRanks304034[[#This Row],[Player]],QB!B:O,8,FALSE)</f>
        <v>4.7474164219327459</v>
      </c>
      <c r="J35" s="100">
        <f>VLOOKUP(TableQBRanks304034[[#This Row],[Player]],QB!B:O,9,FALSE)</f>
        <v>38.587993919999988</v>
      </c>
      <c r="K35" s="100">
        <f>VLOOKUP(TableQBRanks304034[[#This Row],[Player]],QB!B:O,10,FALSE)</f>
        <v>176.02969565291352</v>
      </c>
      <c r="L35" s="100">
        <f>VLOOKUP(TableQBRanks304034[[#This Row],[Player]],QB!B:O,11,FALSE)</f>
        <v>1.6783488461494951</v>
      </c>
      <c r="M35" s="95">
        <f>VLOOKUP(TableQBRanks304034[[#This Row],[Player]],QB!B:O,13,FALSE)</f>
        <v>134.27768356155099</v>
      </c>
      <c r="N35" s="140">
        <f>IF(VLOOKUP(TableQBRanks304034[[#This Row],[Player]],'Ranks w Proj'!$B:$N,13,FALSE)&lt;0,0,VLOOKUP(TableQBRanks304034[[#This Row],[Player]],'Ranks w Proj'!$B:$N,13,FALSE))</f>
        <v>0</v>
      </c>
      <c r="P35" s="58">
        <v>34</v>
      </c>
      <c r="Q35" s="58" t="str">
        <f>VLOOKUP(TableRBRanks314135[[#This Row],[RK]],Rankings!A:AI,23,FALSE)</f>
        <v>J.K. Dobbins</v>
      </c>
      <c r="R35" s="58" t="str">
        <f>IFERROR(INDEX(TableRBCalcPts[TM],MATCH(TableRBRanks314135[[#This Row],[Player]],TableRBCalcPts[PLAYER],0)),"")</f>
        <v>DEN</v>
      </c>
      <c r="S35" s="58">
        <f>IFERROR(INDEX(TableRBCalcPts[BYE],MATCH(TableRBRanks314135[[#This Row],[Player]],TableRBCalcPts[PLAYER],0)),"")</f>
        <v>10</v>
      </c>
      <c r="T35" s="100">
        <f>VLOOKUP(TableRBRanks314135[[#This Row],[Player]],RB!B:O,4,FALSE)</f>
        <v>154.06608419999998</v>
      </c>
      <c r="U35" s="100">
        <f>VLOOKUP(TableRBRanks314135[[#This Row],[Player]],RB!B:O,5,FALSE)</f>
        <v>735.81051523953079</v>
      </c>
      <c r="V35" s="100">
        <f>VLOOKUP(TableRBRanks314135[[#This Row],[Player]],RB!B:O,6,FALSE)</f>
        <v>4.7760486101999993</v>
      </c>
      <c r="W35" s="100">
        <f>VLOOKUP(TableRBRanks314135[[#This Row],[Player]],RB!B:O,7,FALSE)</f>
        <v>21.68552232</v>
      </c>
      <c r="X35" s="100">
        <f>VLOOKUP(TableRBRanks314135[[#This Row],[Player]],RB!B:O,8,FALSE)</f>
        <v>15.256422089159999</v>
      </c>
      <c r="Y35" s="100">
        <f>VLOOKUP(TableRBRanks314135[[#This Row],[Player]],RB!B:O,9,FALSE)</f>
        <v>74.466112235760008</v>
      </c>
      <c r="Z35" s="100">
        <f>VLOOKUP(TableRBRanks314135[[#This Row],[Player]],RB!B:O,10,FALSE)</f>
        <v>0.50303840412000012</v>
      </c>
      <c r="AA35" s="95">
        <f>VLOOKUP(TableRBRanks314135[[#This Row],[Player]],RB!B:O,14,FALSE)</f>
        <v>120.33039587802907</v>
      </c>
      <c r="AB35" s="190">
        <f>TableRBRanks314135[[#This Row],[FPS]]+(TableRBRanks314135[[#This Row],[REC]]*0.5)</f>
        <v>127.95860692260906</v>
      </c>
      <c r="AD35" s="58">
        <v>34</v>
      </c>
      <c r="AE35" s="58" t="str">
        <f>VLOOKUP(TableWRRanks324236[[#This Row],[RK]],Rankings!A:AI,28,FALSE)</f>
        <v>Jameson Williams</v>
      </c>
      <c r="AF35" s="58" t="str">
        <f>IFERROR(INDEX(TableWRCalcPts[TM],MATCH(TableWRRanks324236[[#This Row],[Player]],TableWRCalcPts[PLAYER],0)),"")</f>
        <v>DET</v>
      </c>
      <c r="AG35" s="58">
        <f>IFERROR(INDEX(TableWRCalcPts[BYE],MATCH(TableWRRanks324236[[#This Row],[Player]],TableWRCalcPts[PLAYER],0)),"")</f>
        <v>6</v>
      </c>
      <c r="AH35" s="100">
        <f>VLOOKUP(TableWRRanks324236[[#This Row],[Player]],WR!B:O,4,FALSE)</f>
        <v>37.578100758581314</v>
      </c>
      <c r="AI35" s="100">
        <f>VLOOKUP(TableWRRanks324236[[#This Row],[Player]],WR!B:O,5,FALSE)</f>
        <v>0.46233416661379362</v>
      </c>
      <c r="AJ35" s="100">
        <f>VLOOKUP(TableWRRanks324236[[#This Row],[Player]],WR!B:O,6,FALSE)</f>
        <v>104.78889119999998</v>
      </c>
      <c r="AK35" s="100">
        <f>VLOOKUP(TableWRRanks324236[[#This Row],[Player]],WR!B:O,7,FALSE)</f>
        <v>65.691819008519786</v>
      </c>
      <c r="AL35" s="100">
        <f>VLOOKUP(TableWRRanks324236[[#This Row],[Player]],WR!B:O,8,FALSE)</f>
        <v>1079.9735045000655</v>
      </c>
      <c r="AM35" s="100">
        <f>VLOOKUP(TableWRRanks324236[[#This Row],[Player]],WR!B:O,9,FALSE)</f>
        <v>6.1093391677923403</v>
      </c>
      <c r="AN35" s="95">
        <f>VLOOKUP(TableWRRanks324236[[#This Row],[Player]],WR!B:O,13,FALSE)</f>
        <v>184.03111003656136</v>
      </c>
      <c r="AO35" s="190">
        <f>TableWRRanks324236[[#This Row],[FPS]]+(TableWRRanks324236[[#This Row],[REC]]*0.5)</f>
        <v>216.87701954082127</v>
      </c>
      <c r="AQ35" s="58">
        <v>34</v>
      </c>
      <c r="AR35" s="58" t="str">
        <f>VLOOKUP(TableTERanks334337[[#This Row],[RK]],Rankings!A:AI,33,FALSE)</f>
        <v>Dawson Knox</v>
      </c>
      <c r="AS35" s="58" t="str">
        <f>IFERROR(INDEX(TableTECalcPts[TM],MATCH(TableTERanks334337[[#This Row],[Player]],TableTECalcPts[PLAYER],0)),"")</f>
        <v>BUF</v>
      </c>
      <c r="AT35" s="58">
        <f>IFERROR(INDEX(TableTECalcPts[BYE],MATCH(TableTERanks334337[[#This Row],[Player]],TableTECalcPts[PLAYER],0)),"")</f>
        <v>7</v>
      </c>
      <c r="AU35" s="100">
        <f>VLOOKUP(TableTERanks334337[[#This Row],[Player]],TE!B:O,4,FALSE)</f>
        <v>39.838999199999989</v>
      </c>
      <c r="AV35" s="100">
        <f>VLOOKUP(TableTERanks334337[[#This Row],[Player]],TE!B:O,5,FALSE)</f>
        <v>28.006816437599991</v>
      </c>
      <c r="AW35" s="100">
        <f>VLOOKUP(TableTERanks334337[[#This Row],[Player]],TE!B:O,6,FALSE)</f>
        <v>313.38478405489178</v>
      </c>
      <c r="AX35" s="100">
        <f>VLOOKUP(TableTERanks334337[[#This Row],[Player]],TE!B:O,7,FALSE)</f>
        <v>2.6886543780095993</v>
      </c>
      <c r="AY35" s="95">
        <f>VLOOKUP(TableTERanks334337[[#This Row],[Player]],TE!B:O,11,FALSE)</f>
        <v>61.473812892346771</v>
      </c>
      <c r="AZ35" s="190">
        <f>TableTERanks334337[[#This Row],[FPS]]+(TableTERanks334337[[#This Row],[REC]]*0.5)</f>
        <v>75.477221111146761</v>
      </c>
    </row>
    <row r="36" spans="1:52" x14ac:dyDescent="0.25">
      <c r="A36" s="58">
        <v>35</v>
      </c>
      <c r="B36" s="58" t="str">
        <f>VLOOKUP(TableQBRanks304034[[#This Row],[RK]],Rankings!A:T,3,FALSE)</f>
        <v>Michael Penix</v>
      </c>
      <c r="C36" s="58" t="str">
        <f>IFERROR(INDEX(TableQBCalcPts[TM],MATCH(TableQBRanks304034[[#This Row],[Player]],TableQBCalcPts[PLAYER],0)),"")</f>
        <v>ATL</v>
      </c>
      <c r="D36" s="58">
        <f>IFERROR(INDEX(TableQBCalcPts[BYE],MATCH(TableQBRanks304034[[#This Row],[Player]],TableQBCalcPts[PLAYER],0)),"")</f>
        <v>11</v>
      </c>
      <c r="E36" s="100">
        <f>VLOOKUP(TableQBRanks304034[[#This Row],[Player]],QB!B:O,4,FALSE)</f>
        <v>57.924199999999999</v>
      </c>
      <c r="F36" s="100">
        <f>VLOOKUP(TableQBRanks304034[[#This Row],[Player]],QB!B:O,5,FALSE)</f>
        <v>34.758412400683376</v>
      </c>
      <c r="G36" s="100">
        <f>VLOOKUP(TableQBRanks304034[[#This Row],[Player]],QB!B:O,6,FALSE)</f>
        <v>410.14926632806385</v>
      </c>
      <c r="H36" s="100">
        <f>VLOOKUP(TableQBRanks304034[[#This Row],[Player]],QB!B:O,7,FALSE)</f>
        <v>1.9369641366742598</v>
      </c>
      <c r="I36" s="100">
        <f>VLOOKUP(TableQBRanks304034[[#This Row],[Player]],QB!B:O,8,FALSE)</f>
        <v>1.0238992984054669</v>
      </c>
      <c r="J36" s="100">
        <f>VLOOKUP(TableQBRanks304034[[#This Row],[Player]],QB!B:O,9,FALSE)</f>
        <v>17.1993136</v>
      </c>
      <c r="K36" s="100">
        <f>VLOOKUP(TableQBRanks304034[[#This Row],[Player]],QB!B:O,10,FALSE)</f>
        <v>60.240657920054332</v>
      </c>
      <c r="L36" s="100">
        <f>VLOOKUP(TableQBRanks304034[[#This Row],[Player]],QB!B:O,11,FALSE)</f>
        <v>0.90791590080624651</v>
      </c>
      <c r="M36" s="95">
        <f>VLOOKUP(TableQBRanks304034[[#This Row],[Player]],QB!B:O,13,FALSE)</f>
        <v>41.951258611673893</v>
      </c>
      <c r="N36" s="140">
        <f>IF(VLOOKUP(TableQBRanks304034[[#This Row],[Player]],'Ranks w Proj'!$B:$N,13,FALSE)&lt;0,0,VLOOKUP(TableQBRanks304034[[#This Row],[Player]],'Ranks w Proj'!$B:$N,13,FALSE))</f>
        <v>0</v>
      </c>
      <c r="P36" s="58">
        <v>35</v>
      </c>
      <c r="Q36" s="58" t="str">
        <f>VLOOKUP(TableRBRanks314135[[#This Row],[RK]],Rankings!A:AI,23,FALSE)</f>
        <v>Kyle Monangai</v>
      </c>
      <c r="R36" s="58" t="str">
        <f>IFERROR(INDEX(TableRBCalcPts[TM],MATCH(TableRBRanks314135[[#This Row],[Player]],TableRBCalcPts[PLAYER],0)),"")</f>
        <v>CHI</v>
      </c>
      <c r="S36" s="58">
        <f>IFERROR(INDEX(TableRBCalcPts[BYE],MATCH(TableRBRanks314135[[#This Row],[Player]],TableRBCalcPts[PLAYER],0)),"")</f>
        <v>10</v>
      </c>
      <c r="T36" s="100">
        <f>VLOOKUP(TableRBRanks314135[[#This Row],[Player]],RB!B:O,4,FALSE)</f>
        <v>175.60135487999997</v>
      </c>
      <c r="U36" s="100">
        <f>VLOOKUP(TableRBRanks314135[[#This Row],[Player]],RB!B:O,5,FALSE)</f>
        <v>758.92623990733705</v>
      </c>
      <c r="V36" s="100">
        <f>VLOOKUP(TableRBRanks314135[[#This Row],[Player]],RB!B:O,6,FALSE)</f>
        <v>6.672851485439999</v>
      </c>
      <c r="W36" s="100">
        <f>VLOOKUP(TableRBRanks314135[[#This Row],[Player]],RB!B:O,7,FALSE)</f>
        <v>31.016431600000001</v>
      </c>
      <c r="X36" s="100">
        <f>VLOOKUP(TableRBRanks314135[[#This Row],[Player]],RB!B:O,8,FALSE)</f>
        <v>21.773534983199998</v>
      </c>
      <c r="Y36" s="100">
        <f>VLOOKUP(TableRBRanks314135[[#This Row],[Player]],RB!B:O,9,FALSE)</f>
        <v>166.47993232787942</v>
      </c>
      <c r="Z36" s="100">
        <f>VLOOKUP(TableRBRanks314135[[#This Row],[Player]],RB!B:O,10,FALSE)</f>
        <v>0.6961283018646286</v>
      </c>
      <c r="AA36" s="95">
        <f>VLOOKUP(TableRBRanks314135[[#This Row],[Player]],RB!B:O,14,FALSE)</f>
        <v>147.64126343894941</v>
      </c>
      <c r="AB36" s="190">
        <f>TableRBRanks314135[[#This Row],[FPS]]+(TableRBRanks314135[[#This Row],[REC]]*0.5)</f>
        <v>158.52803093054942</v>
      </c>
      <c r="AD36" s="58">
        <v>35</v>
      </c>
      <c r="AE36" s="58" t="str">
        <f>VLOOKUP(TableWRRanks324236[[#This Row],[RK]],Rankings!A:AI,28,FALSE)</f>
        <v>Alec Pierce</v>
      </c>
      <c r="AF36" s="58" t="str">
        <f>IFERROR(INDEX(TableWRCalcPts[TM],MATCH(TableWRRanks324236[[#This Row],[Player]],TableWRCalcPts[PLAYER],0)),"")</f>
        <v>IND</v>
      </c>
      <c r="AG36" s="58">
        <f>IFERROR(INDEX(TableWRCalcPts[BYE],MATCH(TableWRRanks324236[[#This Row],[Player]],TableWRCalcPts[PLAYER],0)),"")</f>
        <v>13</v>
      </c>
      <c r="AH36" s="100">
        <f>VLOOKUP(TableWRRanks324236[[#This Row],[Player]],WR!B:O,4,FALSE)</f>
        <v>0</v>
      </c>
      <c r="AI36" s="100">
        <f>VLOOKUP(TableWRRanks324236[[#This Row],[Player]],WR!B:O,5,FALSE)</f>
        <v>0</v>
      </c>
      <c r="AJ36" s="100">
        <f>VLOOKUP(TableWRRanks324236[[#This Row],[Player]],WR!B:O,6,FALSE)</f>
        <v>117.06562559999999</v>
      </c>
      <c r="AK36" s="100">
        <f>VLOOKUP(TableWRRanks324236[[#This Row],[Player]],WR!B:O,7,FALSE)</f>
        <v>62.957348956398128</v>
      </c>
      <c r="AL36" s="100">
        <f>VLOOKUP(TableWRRanks324236[[#This Row],[Player]],WR!B:O,8,FALSE)</f>
        <v>1044.6940058485879</v>
      </c>
      <c r="AM36" s="100">
        <f>VLOOKUP(TableWRRanks324236[[#This Row],[Player]],WR!B:O,9,FALSE)</f>
        <v>6.1068628487706187</v>
      </c>
      <c r="AN36" s="95">
        <f>VLOOKUP(TableWRRanks324236[[#This Row],[Player]],WR!B:O,13,FALSE)</f>
        <v>172.58925215568158</v>
      </c>
      <c r="AO36" s="190">
        <f>TableWRRanks324236[[#This Row],[FPS]]+(TableWRRanks324236[[#This Row],[REC]]*0.5)</f>
        <v>204.06792663388063</v>
      </c>
      <c r="AQ36" s="58">
        <v>35</v>
      </c>
      <c r="AR36" s="58" t="str">
        <f>VLOOKUP(TableTERanks334337[[#This Row],[RK]],Rankings!A:AI,33,FALSE)</f>
        <v>Jake Tonges</v>
      </c>
      <c r="AS36" s="58" t="str">
        <f>IFERROR(INDEX(TableTECalcPts[TM],MATCH(TableTERanks334337[[#This Row],[Player]],TableTECalcPts[PLAYER],0)),"")</f>
        <v>SF</v>
      </c>
      <c r="AT36" s="58">
        <f>IFERROR(INDEX(TableTECalcPts[BYE],MATCH(TableTERanks334337[[#This Row],[Player]],TableTECalcPts[PLAYER],0)),"")</f>
        <v>8</v>
      </c>
      <c r="AU36" s="100">
        <f>VLOOKUP(TableTERanks334337[[#This Row],[Player]],TE!B:O,4,FALSE)</f>
        <v>22.547118720000004</v>
      </c>
      <c r="AV36" s="100">
        <f>VLOOKUP(TableTERanks334337[[#This Row],[Player]],TE!B:O,5,FALSE)</f>
        <v>15.67129135848889</v>
      </c>
      <c r="AW36" s="100">
        <f>VLOOKUP(TableTERanks334337[[#This Row],[Player]],TE!B:O,6,FALSE)</f>
        <v>158.59346854790755</v>
      </c>
      <c r="AX36" s="100">
        <f>VLOOKUP(TableTERanks334337[[#This Row],[Player]],TE!B:O,7,FALSE)</f>
        <v>1.410416222264</v>
      </c>
      <c r="AY36" s="95">
        <f>VLOOKUP(TableTERanks334337[[#This Row],[Player]],TE!B:O,11,FALSE)</f>
        <v>32.157489867619205</v>
      </c>
      <c r="AZ36" s="190">
        <f>TableTERanks334337[[#This Row],[FPS]]+(TableTERanks334337[[#This Row],[REC]]*0.5)</f>
        <v>39.993135546863648</v>
      </c>
    </row>
    <row r="37" spans="1:52" x14ac:dyDescent="0.25">
      <c r="A37" s="58">
        <v>36</v>
      </c>
      <c r="B37" s="58" t="str">
        <f>VLOOKUP(TableQBRanks304034[[#This Row],[RK]],Rankings!A:T,3,FALSE)</f>
        <v>Anthony Richardson</v>
      </c>
      <c r="C37" s="58" t="str">
        <f>IFERROR(INDEX(TableQBCalcPts[TM],MATCH(TableQBRanks304034[[#This Row],[Player]],TableQBCalcPts[PLAYER],0)),"")</f>
        <v>IND</v>
      </c>
      <c r="D37" s="58">
        <f>IFERROR(INDEX(TableQBCalcPts[BYE],MATCH(TableQBRanks304034[[#This Row],[Player]],TableQBCalcPts[PLAYER],0)),"")</f>
        <v>13</v>
      </c>
      <c r="E37" s="100">
        <f>VLOOKUP(TableQBRanks304034[[#This Row],[Player]],QB!B:O,4,FALSE)</f>
        <v>26.664000000000001</v>
      </c>
      <c r="F37" s="100">
        <f>VLOOKUP(TableQBRanks304034[[#This Row],[Player]],QB!B:O,5,FALSE)</f>
        <v>14.66897010976982</v>
      </c>
      <c r="G37" s="100">
        <f>VLOOKUP(TableQBRanks304034[[#This Row],[Player]],QB!B:O,6,FALSE)</f>
        <v>196.27082006872021</v>
      </c>
      <c r="H37" s="100">
        <f>VLOOKUP(TableQBRanks304034[[#This Row],[Player]],QB!B:O,7,FALSE)</f>
        <v>0.79212438592757028</v>
      </c>
      <c r="I37" s="100">
        <f>VLOOKUP(TableQBRanks304034[[#This Row],[Player]],QB!B:O,8,FALSE)</f>
        <v>0.38917262140055342</v>
      </c>
      <c r="J37" s="100">
        <f>VLOOKUP(TableQBRanks304034[[#This Row],[Player]],QB!B:O,9,FALSE)</f>
        <v>23.359279999999998</v>
      </c>
      <c r="K37" s="100">
        <f>VLOOKUP(TableQBRanks304034[[#This Row],[Player]],QB!B:O,10,FALSE)</f>
        <v>119.13232799999999</v>
      </c>
      <c r="L37" s="100">
        <f>VLOOKUP(TableQBRanks304034[[#This Row],[Player]],QB!B:O,11,FALSE)</f>
        <v>1.4249160799999998</v>
      </c>
      <c r="M37" s="95">
        <f>VLOOKUP(TableQBRanks304034[[#This Row],[Player]],QB!B:O,13,FALSE)</f>
        <v>34.144032787890652</v>
      </c>
      <c r="N37" s="140">
        <f>IF(VLOOKUP(TableQBRanks304034[[#This Row],[Player]],'Ranks w Proj'!$B:$N,13,FALSE)&lt;0,0,VLOOKUP(TableQBRanks304034[[#This Row],[Player]],'Ranks w Proj'!$B:$N,13,FALSE))</f>
        <v>0</v>
      </c>
      <c r="P37" s="58">
        <v>36</v>
      </c>
      <c r="Q37" s="58" t="str">
        <f>VLOOKUP(TableRBRanks314135[[#This Row],[RK]],Rankings!A:AI,23,FALSE)</f>
        <v>Jordan Mason</v>
      </c>
      <c r="R37" s="58" t="str">
        <f>IFERROR(INDEX(TableRBCalcPts[TM],MATCH(TableRBRanks314135[[#This Row],[Player]],TableRBCalcPts[PLAYER],0)),"")</f>
        <v>MIN</v>
      </c>
      <c r="S37" s="58">
        <f>IFERROR(INDEX(TableRBCalcPts[BYE],MATCH(TableRBRanks314135[[#This Row],[Player]],TableRBCalcPts[PLAYER],0)),"")</f>
        <v>6</v>
      </c>
      <c r="T37" s="100">
        <f>VLOOKUP(TableRBRanks314135[[#This Row],[Player]],RB!B:O,4,FALSE)</f>
        <v>175.01429568</v>
      </c>
      <c r="U37" s="100">
        <f>VLOOKUP(TableRBRanks314135[[#This Row],[Player]],RB!B:O,5,FALSE)</f>
        <v>796.2577264688789</v>
      </c>
      <c r="V37" s="100">
        <f>VLOOKUP(TableRBRanks314135[[#This Row],[Player]],RB!B:O,6,FALSE)</f>
        <v>6.6505432358399998</v>
      </c>
      <c r="W37" s="100">
        <f>VLOOKUP(TableRBRanks314135[[#This Row],[Player]],RB!B:O,7,FALSE)</f>
        <v>13.248032</v>
      </c>
      <c r="X37" s="100">
        <f>VLOOKUP(TableRBRanks314135[[#This Row],[Player]],RB!B:O,8,FALSE)</f>
        <v>9.9360239999999997</v>
      </c>
      <c r="Y37" s="100">
        <f>VLOOKUP(TableRBRanks314135[[#This Row],[Player]],RB!B:O,9,FALSE)</f>
        <v>61.404628319999993</v>
      </c>
      <c r="Z37" s="100">
        <f>VLOOKUP(TableRBRanks314135[[#This Row],[Player]],RB!B:O,10,FALSE)</f>
        <v>0.27820867199999999</v>
      </c>
      <c r="AA37" s="95">
        <f>VLOOKUP(TableRBRanks314135[[#This Row],[Player]],RB!B:O,14,FALSE)</f>
        <v>132.30675892592791</v>
      </c>
      <c r="AB37" s="190">
        <f>TableRBRanks314135[[#This Row],[FPS]]+(TableRBRanks314135[[#This Row],[REC]]*0.5)</f>
        <v>137.2747709259279</v>
      </c>
      <c r="AD37" s="58">
        <v>36</v>
      </c>
      <c r="AE37" s="58" t="str">
        <f>VLOOKUP(TableWRRanks324236[[#This Row],[RK]],Rankings!A:AI,28,FALSE)</f>
        <v>Courtland Sutton</v>
      </c>
      <c r="AF37" s="58" t="str">
        <f>IFERROR(INDEX(TableWRCalcPts[TM],MATCH(TableWRRanks324236[[#This Row],[Player]],TableWRCalcPts[PLAYER],0)),"")</f>
        <v>DEN</v>
      </c>
      <c r="AG37" s="58">
        <f>IFERROR(INDEX(TableWRCalcPts[BYE],MATCH(TableWRRanks324236[[#This Row],[Player]],TableWRCalcPts[PLAYER],0)),"")</f>
        <v>10</v>
      </c>
      <c r="AH37" s="100">
        <f>VLOOKUP(TableWRRanks324236[[#This Row],[Player]],WR!B:O,4,FALSE)</f>
        <v>0</v>
      </c>
      <c r="AI37" s="100">
        <f>VLOOKUP(TableWRRanks324236[[#This Row],[Player]],WR!B:O,5,FALSE)</f>
        <v>0</v>
      </c>
      <c r="AJ37" s="100">
        <f>VLOOKUP(TableWRRanks324236[[#This Row],[Player]],WR!B:O,6,FALSE)</f>
        <v>123.26507424000002</v>
      </c>
      <c r="AK37" s="100">
        <f>VLOOKUP(TableWRRanks324236[[#This Row],[Player]],WR!B:O,7,FALSE)</f>
        <v>69.962432445293402</v>
      </c>
      <c r="AL37" s="100">
        <f>VLOOKUP(TableWRRanks324236[[#This Row],[Player]],WR!B:O,8,FALSE)</f>
        <v>930.5003515224023</v>
      </c>
      <c r="AM37" s="100">
        <f>VLOOKUP(TableWRRanks324236[[#This Row],[Player]],WR!B:O,9,FALSE)</f>
        <v>7.0662056769746338</v>
      </c>
      <c r="AN37" s="95">
        <f>VLOOKUP(TableWRRanks324236[[#This Row],[Player]],WR!B:O,13,FALSE)</f>
        <v>170.42848543673475</v>
      </c>
      <c r="AO37" s="190">
        <f>TableWRRanks324236[[#This Row],[FPS]]+(TableWRRanks324236[[#This Row],[REC]]*0.5)</f>
        <v>205.40970165938145</v>
      </c>
      <c r="AQ37" s="58">
        <v>36</v>
      </c>
      <c r="AR37" s="58" t="str">
        <f>VLOOKUP(TableTERanks334337[[#This Row],[RK]],Rankings!A:AI,33,FALSE)</f>
        <v>Eli Stowers</v>
      </c>
      <c r="AS37" s="58" t="str">
        <f>IFERROR(INDEX(TableTECalcPts[TM],MATCH(TableTERanks334337[[#This Row],[Player]],TableTECalcPts[PLAYER],0)),"")</f>
        <v>PHI</v>
      </c>
      <c r="AT37" s="58">
        <f>IFERROR(INDEX(TableTECalcPts[BYE],MATCH(TableTERanks334337[[#This Row],[Player]],TableTECalcPts[PLAYER],0)),"")</f>
        <v>10</v>
      </c>
      <c r="AU37" s="100">
        <f>VLOOKUP(TableTERanks334337[[#This Row],[Player]],TE!B:O,4,FALSE)</f>
        <v>23.05505664</v>
      </c>
      <c r="AV37" s="100">
        <f>VLOOKUP(TableTERanks334337[[#This Row],[Player]],TE!B:O,5,FALSE)</f>
        <v>16.39214527104</v>
      </c>
      <c r="AW37" s="100">
        <f>VLOOKUP(TableTERanks334337[[#This Row],[Player]],TE!B:O,6,FALSE)</f>
        <v>168.09825787902821</v>
      </c>
      <c r="AX37" s="100">
        <f>VLOOKUP(TableTERanks334337[[#This Row],[Player]],TE!B:O,7,FALSE)</f>
        <v>1.1802344595148799</v>
      </c>
      <c r="AY37" s="95">
        <f>VLOOKUP(TableTERanks334337[[#This Row],[Player]],TE!B:O,11,FALSE)</f>
        <v>32.087305180512104</v>
      </c>
      <c r="AZ37" s="190">
        <f>TableTERanks334337[[#This Row],[FPS]]+(TableTERanks334337[[#This Row],[REC]]*0.5)</f>
        <v>40.2833778160321</v>
      </c>
    </row>
    <row r="38" spans="1:52" x14ac:dyDescent="0.25">
      <c r="A38" s="58">
        <v>37</v>
      </c>
      <c r="B38" s="58" t="str">
        <f>VLOOKUP(TableQBRanks304034[[#This Row],[RK]],Rankings!A:T,3,FALSE)</f>
        <v>Justin Fields</v>
      </c>
      <c r="C38" s="58" t="str">
        <f>IFERROR(INDEX(TableQBCalcPts[TM],MATCH(TableQBRanks304034[[#This Row],[Player]],TableQBCalcPts[PLAYER],0)),"")</f>
        <v>KC</v>
      </c>
      <c r="D38" s="58">
        <f>IFERROR(INDEX(TableQBCalcPts[BYE],MATCH(TableQBRanks304034[[#This Row],[Player]],TableQBCalcPts[PLAYER],0)),"")</f>
        <v>5</v>
      </c>
      <c r="E38" s="100">
        <f>VLOOKUP(TableQBRanks304034[[#This Row],[Player]],QB!B:O,4,FALSE)</f>
        <v>29.87125</v>
      </c>
      <c r="F38" s="100">
        <f>VLOOKUP(TableQBRanks304034[[#This Row],[Player]],QB!B:O,5,FALSE)</f>
        <v>18.916116027884559</v>
      </c>
      <c r="G38" s="100">
        <f>VLOOKUP(TableQBRanks304034[[#This Row],[Player]],QB!B:O,6,FALSE)</f>
        <v>187.64787099661481</v>
      </c>
      <c r="H38" s="100">
        <f>VLOOKUP(TableQBRanks304034[[#This Row],[Player]],QB!B:O,7,FALSE)</f>
        <v>1.1605429784513495</v>
      </c>
      <c r="I38" s="100">
        <f>VLOOKUP(TableQBRanks304034[[#This Row],[Player]],QB!B:O,8,FALSE)</f>
        <v>0.46715527487029007</v>
      </c>
      <c r="J38" s="100">
        <f>VLOOKUP(TableQBRanks304034[[#This Row],[Player]],QB!B:O,9,FALSE)</f>
        <v>6.4911525000000001</v>
      </c>
      <c r="K38" s="100">
        <f>VLOOKUP(TableQBRanks304034[[#This Row],[Player]],QB!B:O,10,FALSE)</f>
        <v>32.823096448834477</v>
      </c>
      <c r="L38" s="100">
        <f>VLOOKUP(TableQBRanks304034[[#This Row],[Player]],QB!B:O,11,FALSE)</f>
        <v>0.25551597218149824</v>
      </c>
      <c r="M38" s="95">
        <f>VLOOKUP(TableQBRanks304034[[#This Row],[Player]],QB!B:O,13,FALSE)</f>
        <v>20.709034516463291</v>
      </c>
      <c r="N38" s="140">
        <f>IF(VLOOKUP(TableQBRanks304034[[#This Row],[Player]],'Ranks w Proj'!$B:$N,13,FALSE)&lt;0,0,VLOOKUP(TableQBRanks304034[[#This Row],[Player]],'Ranks w Proj'!$B:$N,13,FALSE))</f>
        <v>0</v>
      </c>
      <c r="P38" s="58">
        <v>37</v>
      </c>
      <c r="Q38" s="58" t="str">
        <f>VLOOKUP(TableRBRanks314135[[#This Row],[RK]],Rankings!A:AI,23,FALSE)</f>
        <v>Blake Corum</v>
      </c>
      <c r="R38" s="58" t="str">
        <f>IFERROR(INDEX(TableRBCalcPts[TM],MATCH(TableRBRanks314135[[#This Row],[Player]],TableRBCalcPts[PLAYER],0)),"")</f>
        <v>LAR</v>
      </c>
      <c r="S38" s="58">
        <f>IFERROR(INDEX(TableRBCalcPts[BYE],MATCH(TableRBRanks314135[[#This Row],[Player]],TableRBCalcPts[PLAYER],0)),"")</f>
        <v>11</v>
      </c>
      <c r="T38" s="100">
        <f>VLOOKUP(TableRBRanks314135[[#This Row],[Player]],RB!B:O,4,FALSE)</f>
        <v>155.89173599999995</v>
      </c>
      <c r="U38" s="100">
        <f>VLOOKUP(TableRBRanks314135[[#This Row],[Player]],RB!B:O,5,FALSE)</f>
        <v>743.60358071999974</v>
      </c>
      <c r="V38" s="100">
        <f>VLOOKUP(TableRBRanks314135[[#This Row],[Player]],RB!B:O,6,FALSE)</f>
        <v>6.5258998274671915</v>
      </c>
      <c r="W38" s="100">
        <f>VLOOKUP(TableRBRanks314135[[#This Row],[Player]],RB!B:O,7,FALSE)</f>
        <v>20.921952869624988</v>
      </c>
      <c r="X38" s="100">
        <f>VLOOKUP(TableRBRanks314135[[#This Row],[Player]],RB!B:O,8,FALSE)</f>
        <v>12.636859533253492</v>
      </c>
      <c r="Y38" s="100">
        <f>VLOOKUP(TableRBRanks314135[[#This Row],[Player]],RB!B:O,9,FALSE)</f>
        <v>81.245423197401081</v>
      </c>
      <c r="Z38" s="100">
        <f>VLOOKUP(TableRBRanks314135[[#This Row],[Player]],RB!B:O,10,FALSE)</f>
        <v>0.70766413386219562</v>
      </c>
      <c r="AA38" s="95">
        <f>VLOOKUP(TableRBRanks314135[[#This Row],[Player]],RB!B:O,14,FALSE)</f>
        <v>132.20471392634317</v>
      </c>
      <c r="AB38" s="190">
        <f>TableRBRanks314135[[#This Row],[FPS]]+(TableRBRanks314135[[#This Row],[REC]]*0.5)</f>
        <v>138.52314369296991</v>
      </c>
      <c r="AD38" s="58">
        <v>37</v>
      </c>
      <c r="AE38" s="58" t="str">
        <f>VLOOKUP(TableWRRanks324236[[#This Row],[RK]],Rankings!A:AI,28,FALSE)</f>
        <v>Michael Pittman</v>
      </c>
      <c r="AF38" s="58" t="str">
        <f>IFERROR(INDEX(TableWRCalcPts[TM],MATCH(TableWRRanks324236[[#This Row],[Player]],TableWRCalcPts[PLAYER],0)),"")</f>
        <v>PIT</v>
      </c>
      <c r="AG38" s="58">
        <f>IFERROR(INDEX(TableWRCalcPts[BYE],MATCH(TableWRRanks324236[[#This Row],[Player]],TableWRCalcPts[PLAYER],0)),"")</f>
        <v>9</v>
      </c>
      <c r="AH38" s="100">
        <f>VLOOKUP(TableWRRanks324236[[#This Row],[Player]],WR!B:O,4,FALSE)</f>
        <v>0</v>
      </c>
      <c r="AI38" s="100">
        <f>VLOOKUP(TableWRRanks324236[[#This Row],[Player]],WR!B:O,5,FALSE)</f>
        <v>0</v>
      </c>
      <c r="AJ38" s="100">
        <f>VLOOKUP(TableWRRanks324236[[#This Row],[Player]],WR!B:O,6,FALSE)</f>
        <v>133.48187999999999</v>
      </c>
      <c r="AK38" s="100">
        <f>VLOOKUP(TableWRRanks324236[[#This Row],[Player]],WR!B:O,7,FALSE)</f>
        <v>85.14690356462151</v>
      </c>
      <c r="AL38" s="100">
        <f>VLOOKUP(TableWRRanks324236[[#This Row],[Player]],WR!B:O,8,FALSE)</f>
        <v>860.83519503832338</v>
      </c>
      <c r="AM38" s="100">
        <f>VLOOKUP(TableWRRanks324236[[#This Row],[Player]],WR!B:O,9,FALSE)</f>
        <v>5.4494018281357768</v>
      </c>
      <c r="AN38" s="95">
        <f>VLOOKUP(TableWRRanks324236[[#This Row],[Player]],WR!B:O,13,FALSE)</f>
        <v>161.35338225495778</v>
      </c>
      <c r="AO38" s="190">
        <f>TableWRRanks324236[[#This Row],[FPS]]+(TableWRRanks324236[[#This Row],[REC]]*0.5)</f>
        <v>203.92683403726852</v>
      </c>
      <c r="AQ38" s="58">
        <v>37</v>
      </c>
      <c r="AR38" s="58" t="str">
        <f>VLOOKUP(TableTERanks334337[[#This Row],[RK]],Rankings!A:AI,33,FALSE)</f>
        <v>Darnell Washington</v>
      </c>
      <c r="AS38" s="58" t="str">
        <f>IFERROR(INDEX(TableTECalcPts[TM],MATCH(TableTERanks334337[[#This Row],[Player]],TableTECalcPts[PLAYER],0)),"")</f>
        <v>PIT</v>
      </c>
      <c r="AT38" s="58">
        <f>IFERROR(INDEX(TableTECalcPts[BYE],MATCH(TableTERanks334337[[#This Row],[Player]],TableTECalcPts[PLAYER],0)),"")</f>
        <v>9</v>
      </c>
      <c r="AU38" s="100">
        <f>VLOOKUP(TableTERanks334337[[#This Row],[Player]],TE!B:O,4,FALSE)</f>
        <v>43.736615999999998</v>
      </c>
      <c r="AV38" s="100">
        <f>VLOOKUP(TableTERanks334337[[#This Row],[Player]],TE!B:O,5,FALSE)</f>
        <v>31.315417055999998</v>
      </c>
      <c r="AW38" s="100">
        <f>VLOOKUP(TableTERanks334337[[#This Row],[Player]],TE!B:O,6,FALSE)</f>
        <v>340.2005542619471</v>
      </c>
      <c r="AX38" s="100">
        <f>VLOOKUP(TableTERanks334337[[#This Row],[Player]],TE!B:O,7,FALSE)</f>
        <v>2.2730634797775009</v>
      </c>
      <c r="AY38" s="95">
        <f>VLOOKUP(TableTERanks334337[[#This Row],[Player]],TE!B:O,11,FALSE)</f>
        <v>63.316144832859713</v>
      </c>
      <c r="AZ38" s="190">
        <f>TableTERanks334337[[#This Row],[FPS]]+(TableTERanks334337[[#This Row],[REC]]*0.5)</f>
        <v>78.973853360859707</v>
      </c>
    </row>
    <row r="39" spans="1:52" x14ac:dyDescent="0.25">
      <c r="A39" s="58">
        <v>38</v>
      </c>
      <c r="B39" s="58" t="str">
        <f>VLOOKUP(TableQBRanks304034[[#This Row],[RK]],Rankings!A:T,3,FALSE)</f>
        <v>Marcus Mariota</v>
      </c>
      <c r="C39" s="58" t="str">
        <f>IFERROR(INDEX(TableQBCalcPts[TM],MATCH(TableQBRanks304034[[#This Row],[Player]],TableQBCalcPts[PLAYER],0)),"")</f>
        <v>WSH</v>
      </c>
      <c r="D39" s="58">
        <f>IFERROR(INDEX(TableQBCalcPts[BYE],MATCH(TableQBRanks304034[[#This Row],[Player]],TableQBCalcPts[PLAYER],0)),"")</f>
        <v>7</v>
      </c>
      <c r="E39" s="100">
        <f>VLOOKUP(TableQBRanks304034[[#This Row],[Player]],QB!B:O,4,FALSE)</f>
        <v>25.399100000000001</v>
      </c>
      <c r="F39" s="100">
        <f>VLOOKUP(TableQBRanks304034[[#This Row],[Player]],QB!B:O,5,FALSE)</f>
        <v>16.507009111068687</v>
      </c>
      <c r="G39" s="100">
        <f>VLOOKUP(TableQBRanks304034[[#This Row],[Player]],QB!B:O,6,FALSE)</f>
        <v>191.81144587061812</v>
      </c>
      <c r="H39" s="100">
        <f>VLOOKUP(TableQBRanks304034[[#This Row],[Player]],QB!B:O,7,FALSE)</f>
        <v>1.2503162322118277</v>
      </c>
      <c r="I39" s="100">
        <f>VLOOKUP(TableQBRanks304034[[#This Row],[Player]],QB!B:O,8,FALSE)</f>
        <v>0.62814216439281578</v>
      </c>
      <c r="J39" s="100">
        <f>VLOOKUP(TableQBRanks304034[[#This Row],[Player]],QB!B:O,9,FALSE)</f>
        <v>4.9981764000000011</v>
      </c>
      <c r="K39" s="100">
        <f>VLOOKUP(TableQBRanks304034[[#This Row],[Player]],QB!B:O,10,FALSE)</f>
        <v>31.521258817216651</v>
      </c>
      <c r="L39" s="100">
        <f>VLOOKUP(TableQBRanks304034[[#This Row],[Player]],QB!B:O,11,FALSE)</f>
        <v>0.12310190559540891</v>
      </c>
      <c r="M39" s="95">
        <f>VLOOKUP(TableQBRanks304034[[#This Row],[Player]],QB!B:O,13,FALSE)</f>
        <v>20.087651290103864</v>
      </c>
      <c r="N39" s="140">
        <f>IF(VLOOKUP(TableQBRanks304034[[#This Row],[Player]],'Ranks w Proj'!$B:$N,13,FALSE)&lt;0,0,VLOOKUP(TableQBRanks304034[[#This Row],[Player]],'Ranks w Proj'!$B:$N,13,FALSE))</f>
        <v>0</v>
      </c>
      <c r="P39" s="58">
        <v>38</v>
      </c>
      <c r="Q39" s="58" t="str">
        <f>VLOOKUP(TableRBRanks314135[[#This Row],[RK]],Rankings!A:AI,23,FALSE)</f>
        <v>Rachaad White</v>
      </c>
      <c r="R39" s="58" t="str">
        <f>IFERROR(INDEX(TableRBCalcPts[TM],MATCH(TableRBRanks314135[[#This Row],[Player]],TableRBCalcPts[PLAYER],0)),"")</f>
        <v>WSH</v>
      </c>
      <c r="S39" s="58">
        <f>IFERROR(INDEX(TableRBCalcPts[BYE],MATCH(TableRBRanks314135[[#This Row],[Player]],TableRBCalcPts[PLAYER],0)),"")</f>
        <v>7</v>
      </c>
      <c r="T39" s="100">
        <f>VLOOKUP(TableRBRanks314135[[#This Row],[Player]],RB!B:O,4,FALSE)</f>
        <v>107.96061024000002</v>
      </c>
      <c r="U39" s="100">
        <f>VLOOKUP(TableRBRanks314135[[#This Row],[Player]],RB!B:O,5,FALSE)</f>
        <v>457.75298741760014</v>
      </c>
      <c r="V39" s="100">
        <f>VLOOKUP(TableRBRanks314135[[#This Row],[Player]],RB!B:O,6,FALSE)</f>
        <v>3.1308576969600006</v>
      </c>
      <c r="W39" s="100">
        <f>VLOOKUP(TableRBRanks314135[[#This Row],[Player]],RB!B:O,7,FALSE)</f>
        <v>51.275703079999985</v>
      </c>
      <c r="X39" s="100">
        <f>VLOOKUP(TableRBRanks314135[[#This Row],[Player]],RB!B:O,8,FALSE)</f>
        <v>41.430768088639994</v>
      </c>
      <c r="Y39" s="100">
        <f>VLOOKUP(TableRBRanks314135[[#This Row],[Player]],RB!B:O,9,FALSE)</f>
        <v>283.38645372629753</v>
      </c>
      <c r="Z39" s="100">
        <f>VLOOKUP(TableRBRanks314135[[#This Row],[Player]],RB!B:O,10,FALSE)</f>
        <v>1.7369826536675053</v>
      </c>
      <c r="AA39" s="95">
        <f>VLOOKUP(TableRBRanks314135[[#This Row],[Player]],RB!B:O,14,FALSE)</f>
        <v>124.03637026247482</v>
      </c>
      <c r="AB39" s="190">
        <f>TableRBRanks314135[[#This Row],[FPS]]+(TableRBRanks314135[[#This Row],[REC]]*0.5)</f>
        <v>144.75175430679482</v>
      </c>
      <c r="AD39" s="58">
        <v>38</v>
      </c>
      <c r="AE39" s="58" t="str">
        <f>VLOOKUP(TableWRRanks324236[[#This Row],[RK]],Rankings!A:AI,28,FALSE)</f>
        <v>Josh Downs</v>
      </c>
      <c r="AF39" s="58" t="str">
        <f>IFERROR(INDEX(TableWRCalcPts[TM],MATCH(TableWRRanks324236[[#This Row],[Player]],TableWRCalcPts[PLAYER],0)),"")</f>
        <v>IND</v>
      </c>
      <c r="AG39" s="58">
        <f>IFERROR(INDEX(TableWRCalcPts[BYE],MATCH(TableWRRanks324236[[#This Row],[Player]],TableWRCalcPts[PLAYER],0)),"")</f>
        <v>13</v>
      </c>
      <c r="AH39" s="100">
        <f>VLOOKUP(TableWRRanks324236[[#This Row],[Player]],WR!B:O,4,FALSE)</f>
        <v>9.8198247133757945</v>
      </c>
      <c r="AI39" s="100">
        <f>VLOOKUP(TableWRRanks324236[[#This Row],[Player]],WR!B:O,5,FALSE)</f>
        <v>3.5425053078556257E-2</v>
      </c>
      <c r="AJ39" s="100">
        <f>VLOOKUP(TableWRRanks324236[[#This Row],[Player]],WR!B:O,6,FALSE)</f>
        <v>111.31686719999999</v>
      </c>
      <c r="AK39" s="100">
        <f>VLOOKUP(TableWRRanks324236[[#This Row],[Player]],WR!B:O,7,FALSE)</f>
        <v>79.066049385931024</v>
      </c>
      <c r="AL39" s="100">
        <f>VLOOKUP(TableWRRanks324236[[#This Row],[Player]],WR!B:O,8,FALSE)</f>
        <v>781.39030299409649</v>
      </c>
      <c r="AM39" s="100">
        <f>VLOOKUP(TableWRRanks324236[[#This Row],[Player]],WR!B:O,9,FALSE)</f>
        <v>4.9811611113136545</v>
      </c>
      <c r="AN39" s="95">
        <f>VLOOKUP(TableWRRanks324236[[#This Row],[Player]],WR!B:O,13,FALSE)</f>
        <v>148.75355445006602</v>
      </c>
      <c r="AO39" s="190">
        <f>TableWRRanks324236[[#This Row],[FPS]]+(TableWRRanks324236[[#This Row],[REC]]*0.5)</f>
        <v>188.28657914303153</v>
      </c>
      <c r="AQ39" s="58">
        <v>38</v>
      </c>
      <c r="AR39" s="58" t="str">
        <f>VLOOKUP(TableTERanks334337[[#This Row],[RK]],Rankings!A:AI,33,FALSE)</f>
        <v>Colby Parkinson</v>
      </c>
      <c r="AS39" s="58" t="str">
        <f>IFERROR(INDEX(TableTECalcPts[TM],MATCH(TableTERanks334337[[#This Row],[Player]],TableTECalcPts[PLAYER],0)),"")</f>
        <v>LAR</v>
      </c>
      <c r="AT39" s="58">
        <f>IFERROR(INDEX(TableTECalcPts[BYE],MATCH(TableTERanks334337[[#This Row],[Player]],TableTECalcPts[PLAYER],0)),"")</f>
        <v>11</v>
      </c>
      <c r="AU39" s="100">
        <f>VLOOKUP(TableTERanks334337[[#This Row],[Player]],TE!B:O,4,FALSE)</f>
        <v>40.147531182253346</v>
      </c>
      <c r="AV39" s="100">
        <f>VLOOKUP(TableTERanks334337[[#This Row],[Player]],TE!B:O,5,FALSE)</f>
        <v>29.267550231862689</v>
      </c>
      <c r="AW39" s="100">
        <f>VLOOKUP(TableTERanks334337[[#This Row],[Player]],TE!B:O,6,FALSE)</f>
        <v>277.20682944280912</v>
      </c>
      <c r="AX39" s="100">
        <f>VLOOKUP(TableTERanks334337[[#This Row],[Player]],TE!B:O,7,FALSE)</f>
        <v>3.1236112677785943</v>
      </c>
      <c r="AY39" s="95">
        <f>VLOOKUP(TableTERanks334337[[#This Row],[Player]],TE!B:O,11,FALSE)</f>
        <v>61.096125666883822</v>
      </c>
      <c r="AZ39" s="190">
        <f>TableTERanks334337[[#This Row],[FPS]]+(TableTERanks334337[[#This Row],[REC]]*0.5)</f>
        <v>75.729900782815164</v>
      </c>
    </row>
    <row r="40" spans="1:52" x14ac:dyDescent="0.25">
      <c r="A40" s="58">
        <v>39</v>
      </c>
      <c r="B40" s="58" t="str">
        <f>VLOOKUP(TableQBRanks304034[[#This Row],[RK]],Rankings!A:T,3,FALSE)</f>
        <v>Tyler Huntley</v>
      </c>
      <c r="C40" s="58" t="str">
        <f>IFERROR(INDEX(TableQBCalcPts[TM],MATCH(TableQBRanks304034[[#This Row],[Player]],TableQBCalcPts[PLAYER],0)),"")</f>
        <v>BAL</v>
      </c>
      <c r="D40" s="58">
        <f>IFERROR(INDEX(TableQBCalcPts[BYE],MATCH(TableQBRanks304034[[#This Row],[Player]],TableQBCalcPts[PLAYER],0)),"")</f>
        <v>13</v>
      </c>
      <c r="E40" s="100">
        <f>VLOOKUP(TableQBRanks304034[[#This Row],[Player]],QB!B:O,4,FALSE)</f>
        <v>23.977599999999999</v>
      </c>
      <c r="F40" s="100">
        <f>VLOOKUP(TableQBRanks304034[[#This Row],[Player]],QB!B:O,5,FALSE)</f>
        <v>17.184053790823391</v>
      </c>
      <c r="G40" s="100">
        <f>VLOOKUP(TableQBRanks304034[[#This Row],[Player]],QB!B:O,6,FALSE)</f>
        <v>177.33943512129741</v>
      </c>
      <c r="H40" s="100">
        <f>VLOOKUP(TableQBRanks304034[[#This Row],[Player]],QB!B:O,7,FALSE)</f>
        <v>1.0091095563597374</v>
      </c>
      <c r="I40" s="100">
        <f>VLOOKUP(TableQBRanks304034[[#This Row],[Player]],QB!B:O,8,FALSE)</f>
        <v>0.34172605995621669</v>
      </c>
      <c r="J40" s="100">
        <f>VLOOKUP(TableQBRanks304034[[#This Row],[Player]],QB!B:O,9,FALSE)</f>
        <v>4.5397286451340211</v>
      </c>
      <c r="K40" s="100">
        <f>VLOOKUP(TableQBRanks304034[[#This Row],[Player]],QB!B:O,10,FALSE)</f>
        <v>24.394805576599303</v>
      </c>
      <c r="L40" s="100">
        <f>VLOOKUP(TableQBRanks304034[[#This Row],[Player]],QB!B:O,11,FALSE)</f>
        <v>0.14966138390551717</v>
      </c>
      <c r="M40" s="95">
        <f>VLOOKUP(TableQBRanks304034[[#This Row],[Player]],QB!B:O,13,FALSE)</f>
        <v>17.862362923229476</v>
      </c>
      <c r="N40" s="140">
        <f>IF(VLOOKUP(TableQBRanks304034[[#This Row],[Player]],'Ranks w Proj'!$B:$N,13,FALSE)&lt;0,0,VLOOKUP(TableQBRanks304034[[#This Row],[Player]],'Ranks w Proj'!$B:$N,13,FALSE))</f>
        <v>0</v>
      </c>
      <c r="P40" s="58">
        <v>39</v>
      </c>
      <c r="Q40" s="58" t="str">
        <f>VLOOKUP(TableRBRanks314135[[#This Row],[RK]],Rankings!A:AI,23,FALSE)</f>
        <v>Jonathon Brooks</v>
      </c>
      <c r="R40" s="58" t="str">
        <f>IFERROR(INDEX(TableRBCalcPts[TM],MATCH(TableRBRanks314135[[#This Row],[Player]],TableRBCalcPts[PLAYER],0)),"")</f>
        <v>CAR</v>
      </c>
      <c r="S40" s="58">
        <f>IFERROR(INDEX(TableRBCalcPts[BYE],MATCH(TableRBRanks314135[[#This Row],[Player]],TableRBCalcPts[PLAYER],0)),"")</f>
        <v>5</v>
      </c>
      <c r="T40" s="100">
        <f>VLOOKUP(TableRBRanks314135[[#This Row],[Player]],RB!B:O,4,FALSE)</f>
        <v>147.22299899999999</v>
      </c>
      <c r="U40" s="100">
        <f>VLOOKUP(TableRBRanks314135[[#This Row],[Player]],RB!B:O,5,FALSE)</f>
        <v>634.53112568999984</v>
      </c>
      <c r="V40" s="100">
        <f>VLOOKUP(TableRBRanks314135[[#This Row],[Player]],RB!B:O,6,FALSE)</f>
        <v>3.6805749749999999</v>
      </c>
      <c r="W40" s="100">
        <f>VLOOKUP(TableRBRanks314135[[#This Row],[Player]],RB!B:O,7,FALSE)</f>
        <v>40.384574999999991</v>
      </c>
      <c r="X40" s="100">
        <f>VLOOKUP(TableRBRanks314135[[#This Row],[Player]],RB!B:O,8,FALSE)</f>
        <v>28.551894524999991</v>
      </c>
      <c r="Y40" s="100">
        <f>VLOOKUP(TableRBRanks314135[[#This Row],[Player]],RB!B:O,9,FALSE)</f>
        <v>210.26686729007403</v>
      </c>
      <c r="Z40" s="100">
        <f>VLOOKUP(TableRBRanks314135[[#This Row],[Player]],RB!B:O,10,FALSE)</f>
        <v>0.91366062479999977</v>
      </c>
      <c r="AA40" s="95">
        <f>VLOOKUP(TableRBRanks314135[[#This Row],[Player]],RB!B:O,14,FALSE)</f>
        <v>126.32116015930738</v>
      </c>
      <c r="AB40" s="190">
        <f>TableRBRanks314135[[#This Row],[FPS]]+(TableRBRanks314135[[#This Row],[REC]]*0.5)</f>
        <v>140.59710742180738</v>
      </c>
      <c r="AD40" s="58">
        <v>39</v>
      </c>
      <c r="AE40" s="58" t="str">
        <f>VLOOKUP(TableWRRanks324236[[#This Row],[RK]],Rankings!A:AI,28,FALSE)</f>
        <v>DK Metcalf</v>
      </c>
      <c r="AF40" s="58" t="str">
        <f>IFERROR(INDEX(TableWRCalcPts[TM],MATCH(TableWRRanks324236[[#This Row],[Player]],TableWRCalcPts[PLAYER],0)),"")</f>
        <v>PIT</v>
      </c>
      <c r="AG40" s="58">
        <f>IFERROR(INDEX(TableWRCalcPts[BYE],MATCH(TableWRRanks324236[[#This Row],[Player]],TableWRCalcPts[PLAYER],0)),"")</f>
        <v>9</v>
      </c>
      <c r="AH40" s="100">
        <f>VLOOKUP(TableWRRanks324236[[#This Row],[Player]],WR!B:O,4,FALSE)</f>
        <v>0</v>
      </c>
      <c r="AI40" s="100">
        <f>VLOOKUP(TableWRRanks324236[[#This Row],[Player]],WR!B:O,5,FALSE)</f>
        <v>0</v>
      </c>
      <c r="AJ40" s="100">
        <f>VLOOKUP(TableWRRanks324236[[#This Row],[Player]],WR!B:O,6,FALSE)</f>
        <v>120.985704</v>
      </c>
      <c r="AK40" s="100">
        <f>VLOOKUP(TableWRRanks324236[[#This Row],[Player]],WR!B:O,7,FALSE)</f>
        <v>66.387960727646018</v>
      </c>
      <c r="AL40" s="100">
        <f>VLOOKUP(TableWRRanks324236[[#This Row],[Player]],WR!B:O,8,FALSE)</f>
        <v>934.74248704525598</v>
      </c>
      <c r="AM40" s="100">
        <f>VLOOKUP(TableWRRanks324236[[#This Row],[Player]],WR!B:O,9,FALSE)</f>
        <v>6.0413044262157873</v>
      </c>
      <c r="AN40" s="95">
        <f>VLOOKUP(TableWRRanks324236[[#This Row],[Player]],WR!B:O,13,FALSE)</f>
        <v>162.91605562564334</v>
      </c>
      <c r="AO40" s="190">
        <f>TableWRRanks324236[[#This Row],[FPS]]+(TableWRRanks324236[[#This Row],[REC]]*0.5)</f>
        <v>196.11003598946635</v>
      </c>
      <c r="AQ40" s="58">
        <v>39</v>
      </c>
      <c r="AR40" s="58" t="str">
        <f>VLOOKUP(TableTERanks334337[[#This Row],[RK]],Rankings!A:AI,33,FALSE)</f>
        <v>Eli Raridon</v>
      </c>
      <c r="AS40" s="58" t="str">
        <f>IFERROR(INDEX(TableTECalcPts[TM],MATCH(TableTERanks334337[[#This Row],[Player]],TableTECalcPts[PLAYER],0)),"")</f>
        <v>NE</v>
      </c>
      <c r="AT40" s="58">
        <f>IFERROR(INDEX(TableTECalcPts[BYE],MATCH(TableTERanks334337[[#This Row],[Player]],TableTECalcPts[PLAYER],0)),"")</f>
        <v>11</v>
      </c>
      <c r="AU40" s="100">
        <f>VLOOKUP(TableTERanks334337[[#This Row],[Player]],TE!B:O,4,FALSE)</f>
        <v>37.085826399999988</v>
      </c>
      <c r="AV40" s="100">
        <f>VLOOKUP(TableTERanks334337[[#This Row],[Player]],TE!B:O,5,FALSE)</f>
        <v>26.850138313599992</v>
      </c>
      <c r="AW40" s="100">
        <f>VLOOKUP(TableTERanks334337[[#This Row],[Player]],TE!B:O,6,FALSE)</f>
        <v>268.12218195686313</v>
      </c>
      <c r="AX40" s="100">
        <f>VLOOKUP(TableTERanks334337[[#This Row],[Player]],TE!B:O,7,FALSE)</f>
        <v>1.6915587137567996</v>
      </c>
      <c r="AY40" s="95">
        <f>VLOOKUP(TableTERanks334337[[#This Row],[Player]],TE!B:O,11,FALSE)</f>
        <v>50.386639635027102</v>
      </c>
      <c r="AZ40" s="190">
        <f>TableTERanks334337[[#This Row],[FPS]]+(TableTERanks334337[[#This Row],[REC]]*0.5)</f>
        <v>63.811708791827101</v>
      </c>
    </row>
    <row r="41" spans="1:52" x14ac:dyDescent="0.25">
      <c r="A41" s="58">
        <v>40</v>
      </c>
      <c r="B41" s="58" t="str">
        <f>VLOOKUP(TableQBRanks304034[[#This Row],[RK]],Rankings!A:T,3,FALSE)</f>
        <v>J.J. McCarthy</v>
      </c>
      <c r="C41" s="58" t="str">
        <f>IFERROR(INDEX(TableQBCalcPts[TM],MATCH(TableQBRanks304034[[#This Row],[Player]],TableQBCalcPts[PLAYER],0)),"")</f>
        <v>MIN</v>
      </c>
      <c r="D41" s="58">
        <f>IFERROR(INDEX(TableQBCalcPts[BYE],MATCH(TableQBRanks304034[[#This Row],[Player]],TableQBCalcPts[PLAYER],0)),"")</f>
        <v>6</v>
      </c>
      <c r="E41" s="100">
        <f>VLOOKUP(TableQBRanks304034[[#This Row],[Player]],QB!B:O,4,FALSE)</f>
        <v>27.036799999999999</v>
      </c>
      <c r="F41" s="100">
        <f>VLOOKUP(TableQBRanks304034[[#This Row],[Player]],QB!B:O,5,FALSE)</f>
        <v>16.463851816721146</v>
      </c>
      <c r="G41" s="100">
        <f>VLOOKUP(TableQBRanks304034[[#This Row],[Player]],QB!B:O,6,FALSE)</f>
        <v>195.28242185162608</v>
      </c>
      <c r="H41" s="100">
        <f>VLOOKUP(TableQBRanks304034[[#This Row],[Player]],QB!B:O,7,FALSE)</f>
        <v>1.1923814504958721</v>
      </c>
      <c r="I41" s="100">
        <f>VLOOKUP(TableQBRanks304034[[#This Row],[Player]],QB!B:O,8,FALSE)</f>
        <v>0.71153415701700917</v>
      </c>
      <c r="J41" s="100">
        <f>VLOOKUP(TableQBRanks304034[[#This Row],[Player]],QB!B:O,9,FALSE)</f>
        <v>2.2209935999999999</v>
      </c>
      <c r="K41" s="100">
        <f>VLOOKUP(TableQBRanks304034[[#This Row],[Player]],QB!B:O,10,FALSE)</f>
        <v>10.391375895047979</v>
      </c>
      <c r="L41" s="100">
        <f>VLOOKUP(TableQBRanks304034[[#This Row],[Player]],QB!B:O,11,FALSE)</f>
        <v>0.11993365439999999</v>
      </c>
      <c r="M41" s="95">
        <f>VLOOKUP(TableQBRanks304034[[#This Row],[Player]],QB!B:O,13,FALSE)</f>
        <v>17.659176117600179</v>
      </c>
      <c r="N41" s="140">
        <f>IF(VLOOKUP(TableQBRanks304034[[#This Row],[Player]],'Ranks w Proj'!$B:$N,13,FALSE)&lt;0,0,VLOOKUP(TableQBRanks304034[[#This Row],[Player]],'Ranks w Proj'!$B:$N,13,FALSE))</f>
        <v>0</v>
      </c>
      <c r="P41" s="58">
        <v>40</v>
      </c>
      <c r="Q41" s="58" t="str">
        <f>VLOOKUP(TableRBRanks314135[[#This Row],[RK]],Rankings!A:AI,23,FALSE)</f>
        <v>Alvin Kamara</v>
      </c>
      <c r="R41" s="58" t="str">
        <f>IFERROR(INDEX(TableRBCalcPts[TM],MATCH(TableRBRanks314135[[#This Row],[Player]],TableRBCalcPts[PLAYER],0)),"")</f>
        <v>NO</v>
      </c>
      <c r="S41" s="58">
        <f>IFERROR(INDEX(TableRBCalcPts[BYE],MATCH(TableRBRanks314135[[#This Row],[Player]],TableRBCalcPts[PLAYER],0)),"")</f>
        <v>8</v>
      </c>
      <c r="T41" s="100">
        <f>VLOOKUP(TableRBRanks314135[[#This Row],[Player]],RB!B:O,4,FALSE)</f>
        <v>121.95176447999999</v>
      </c>
      <c r="U41" s="100">
        <f>VLOOKUP(TableRBRanks314135[[#This Row],[Player]],RB!B:O,5,FALSE)</f>
        <v>476.83139911680001</v>
      </c>
      <c r="V41" s="100">
        <f>VLOOKUP(TableRBRanks314135[[#This Row],[Player]],RB!B:O,6,FALSE)</f>
        <v>2.4500325132714935</v>
      </c>
      <c r="W41" s="100">
        <f>VLOOKUP(TableRBRanks314135[[#This Row],[Player]],RB!B:O,7,FALSE)</f>
        <v>39.60692736</v>
      </c>
      <c r="X41" s="100">
        <f>VLOOKUP(TableRBRanks314135[[#This Row],[Player]],RB!B:O,8,FALSE)</f>
        <v>29.625981665280001</v>
      </c>
      <c r="Y41" s="100">
        <f>VLOOKUP(TableRBRanks314135[[#This Row],[Player]],RB!B:O,9,FALSE)</f>
        <v>209.45569037352962</v>
      </c>
      <c r="Z41" s="100">
        <f>VLOOKUP(TableRBRanks314135[[#This Row],[Player]],RB!B:O,10,FALSE)</f>
        <v>0.97765739495424009</v>
      </c>
      <c r="AA41" s="95">
        <f>VLOOKUP(TableRBRanks314135[[#This Row],[Player]],RB!B:O,14,FALSE)</f>
        <v>104.00783923102738</v>
      </c>
      <c r="AB41" s="190">
        <f>TableRBRanks314135[[#This Row],[FPS]]+(TableRBRanks314135[[#This Row],[REC]]*0.5)</f>
        <v>118.82083006366737</v>
      </c>
      <c r="AD41" s="58">
        <v>40</v>
      </c>
      <c r="AE41" s="58" t="str">
        <f>VLOOKUP(TableWRRanks324236[[#This Row],[RK]],Rankings!A:AI,28,FALSE)</f>
        <v>Brian Thomas</v>
      </c>
      <c r="AF41" s="58" t="str">
        <f>IFERROR(INDEX(TableWRCalcPts[TM],MATCH(TableWRRanks324236[[#This Row],[Player]],TableWRCalcPts[PLAYER],0)),"")</f>
        <v>JAX</v>
      </c>
      <c r="AG41" s="58">
        <f>IFERROR(INDEX(TableWRCalcPts[BYE],MATCH(TableWRRanks324236[[#This Row],[Player]],TableWRCalcPts[PLAYER],0)),"")</f>
        <v>7</v>
      </c>
      <c r="AH41" s="100">
        <f>VLOOKUP(TableWRRanks324236[[#This Row],[Player]],WR!B:O,4,FALSE)</f>
        <v>0</v>
      </c>
      <c r="AI41" s="100">
        <f>VLOOKUP(TableWRRanks324236[[#This Row],[Player]],WR!B:O,5,FALSE)</f>
        <v>0</v>
      </c>
      <c r="AJ41" s="100">
        <f>VLOOKUP(TableWRRanks324236[[#This Row],[Player]],WR!B:O,6,FALSE)</f>
        <v>104.0991966</v>
      </c>
      <c r="AK41" s="100">
        <f>VLOOKUP(TableWRRanks324236[[#This Row],[Player]],WR!B:O,7,FALSE)</f>
        <v>56.525863753800003</v>
      </c>
      <c r="AL41" s="100">
        <f>VLOOKUP(TableWRRanks324236[[#This Row],[Player]],WR!B:O,8,FALSE)</f>
        <v>842.80062856915811</v>
      </c>
      <c r="AM41" s="100">
        <f>VLOOKUP(TableWRRanks324236[[#This Row],[Player]],WR!B:O,9,FALSE)</f>
        <v>5.4830087841186002</v>
      </c>
      <c r="AN41" s="95">
        <f>VLOOKUP(TableWRRanks324236[[#This Row],[Player]],WR!B:O,13,FALSE)</f>
        <v>145.44104743852742</v>
      </c>
      <c r="AO41" s="190">
        <f>TableWRRanks324236[[#This Row],[FPS]]+(TableWRRanks324236[[#This Row],[REC]]*0.5)</f>
        <v>173.70397931542743</v>
      </c>
      <c r="AQ41" s="58">
        <v>40</v>
      </c>
      <c r="AR41" s="58" t="str">
        <f>VLOOKUP(TableTERanks334337[[#This Row],[RK]],Rankings!A:AI,33,FALSE)</f>
        <v>Max Klare</v>
      </c>
      <c r="AS41" s="58" t="str">
        <f>IFERROR(INDEX(TableTECalcPts[TM],MATCH(TableTERanks334337[[#This Row],[Player]],TableTECalcPts[PLAYER],0)),"")</f>
        <v>LAR</v>
      </c>
      <c r="AT41" s="58">
        <f>IFERROR(INDEX(TableTECalcPts[BYE],MATCH(TableTERanks334337[[#This Row],[Player]],TableTECalcPts[PLAYER],0)),"")</f>
        <v>11</v>
      </c>
      <c r="AU41" s="100">
        <f>VLOOKUP(TableTERanks334337[[#This Row],[Player]],TE!B:O,4,FALSE)</f>
        <v>26.576534726280389</v>
      </c>
      <c r="AV41" s="100">
        <f>VLOOKUP(TableTERanks334337[[#This Row],[Player]],TE!B:O,5,FALSE)</f>
        <v>18.576997773669991</v>
      </c>
      <c r="AW41" s="100">
        <f>VLOOKUP(TableTERanks334337[[#This Row],[Player]],TE!B:O,6,FALSE)</f>
        <v>194.5696082610699</v>
      </c>
      <c r="AX41" s="100">
        <f>VLOOKUP(TableTERanks334337[[#This Row],[Player]],TE!B:O,7,FALSE)</f>
        <v>1.1732840699159994</v>
      </c>
      <c r="AY41" s="95">
        <f>VLOOKUP(TableTERanks334337[[#This Row],[Player]],TE!B:O,11,FALSE)</f>
        <v>35.785164132437984</v>
      </c>
      <c r="AZ41" s="190">
        <f>TableTERanks334337[[#This Row],[FPS]]+(TableTERanks334337[[#This Row],[REC]]*0.5)</f>
        <v>45.073663019272978</v>
      </c>
    </row>
    <row r="42" spans="1:52" x14ac:dyDescent="0.25">
      <c r="A42" s="58">
        <v>41</v>
      </c>
      <c r="B42" s="58">
        <f>VLOOKUP(TableQBRanks304034[[#This Row],[RK]],Rankings!A:T,3,FALSE)</f>
        <v>0</v>
      </c>
      <c r="C42" s="58" t="str">
        <f>IFERROR(INDEX(TableQBCalcPts[TM],MATCH(TableQBRanks304034[[#This Row],[Player]],TableQBCalcPts[PLAYER],0)),"")</f>
        <v/>
      </c>
      <c r="D42" s="58" t="str">
        <f>IFERROR(INDEX(TableQBCalcPts[BYE],MATCH(TableQBRanks304034[[#This Row],[Player]],TableQBCalcPts[PLAYER],0)),"")</f>
        <v/>
      </c>
      <c r="E42" s="100">
        <f>VLOOKUP(TableQBRanks304034[[#This Row],[Player]],QB!B:O,4,FALSE)</f>
        <v>0</v>
      </c>
      <c r="F42" s="100">
        <f>VLOOKUP(TableQBRanks304034[[#This Row],[Player]],QB!B:O,5,FALSE)</f>
        <v>0</v>
      </c>
      <c r="G42" s="100">
        <f>VLOOKUP(TableQBRanks304034[[#This Row],[Player]],QB!B:O,6,FALSE)</f>
        <v>0</v>
      </c>
      <c r="H42" s="100">
        <f>VLOOKUP(TableQBRanks304034[[#This Row],[Player]],QB!B:O,7,FALSE)</f>
        <v>0</v>
      </c>
      <c r="I42" s="100">
        <f>VLOOKUP(TableQBRanks304034[[#This Row],[Player]],QB!B:O,8,FALSE)</f>
        <v>0</v>
      </c>
      <c r="J42" s="100">
        <f>VLOOKUP(TableQBRanks304034[[#This Row],[Player]],QB!B:O,9,FALSE)</f>
        <v>0</v>
      </c>
      <c r="K42" s="100">
        <f>VLOOKUP(TableQBRanks304034[[#This Row],[Player]],QB!B:O,10,FALSE)</f>
        <v>0</v>
      </c>
      <c r="L42" s="100">
        <f>VLOOKUP(TableQBRanks304034[[#This Row],[Player]],QB!B:O,11,FALSE)</f>
        <v>0</v>
      </c>
      <c r="M42" s="95">
        <f>VLOOKUP(TableQBRanks304034[[#This Row],[Player]],QB!B:O,13,FALSE)</f>
        <v>0</v>
      </c>
      <c r="N42" s="140" t="e">
        <f>IF(VLOOKUP(TableQBRanks304034[[#This Row],[Player]],'Ranks w Proj'!$B:$N,13,FALSE)&lt;0,0,VLOOKUP(TableQBRanks304034[[#This Row],[Player]],'Ranks w Proj'!$B:$N,13,FALSE))</f>
        <v>#N/A</v>
      </c>
      <c r="P42" s="58">
        <v>41</v>
      </c>
      <c r="Q42" s="58" t="str">
        <f>VLOOKUP(TableRBRanks314135[[#This Row],[RK]],Rankings!A:AI,23,FALSE)</f>
        <v>Tyrone Tracy</v>
      </c>
      <c r="R42" s="58" t="str">
        <f>IFERROR(INDEX(TableRBCalcPts[TM],MATCH(TableRBRanks314135[[#This Row],[Player]],TableRBCalcPts[PLAYER],0)),"")</f>
        <v>NYG</v>
      </c>
      <c r="S42" s="58">
        <f>IFERROR(INDEX(TableRBCalcPts[BYE],MATCH(TableRBRanks314135[[#This Row],[Player]],TableRBCalcPts[PLAYER],0)),"")</f>
        <v>8</v>
      </c>
      <c r="T42" s="100">
        <f>VLOOKUP(TableRBRanks314135[[#This Row],[Player]],RB!B:O,4,FALSE)</f>
        <v>109.42874431999999</v>
      </c>
      <c r="U42" s="100">
        <f>VLOOKUP(TableRBRanks314135[[#This Row],[Player]],RB!B:O,5,FALSE)</f>
        <v>448.65785171199991</v>
      </c>
      <c r="V42" s="100">
        <f>VLOOKUP(TableRBRanks314135[[#This Row],[Player]],RB!B:O,6,FALSE)</f>
        <v>3.1734335852799997</v>
      </c>
      <c r="W42" s="100">
        <f>VLOOKUP(TableRBRanks314135[[#This Row],[Player]],RB!B:O,7,FALSE)</f>
        <v>22.2488469</v>
      </c>
      <c r="X42" s="100">
        <f>VLOOKUP(TableRBRanks314135[[#This Row],[Player]],RB!B:O,8,FALSE)</f>
        <v>17.72104533232174</v>
      </c>
      <c r="Y42" s="100">
        <f>VLOOKUP(TableRBRanks314135[[#This Row],[Player]],RB!B:O,9,FALSE)</f>
        <v>127.94594729936296</v>
      </c>
      <c r="Z42" s="100">
        <f>VLOOKUP(TableRBRanks314135[[#This Row],[Player]],RB!B:O,10,FALSE)</f>
        <v>0.8103094530391306</v>
      </c>
      <c r="AA42" s="95">
        <f>VLOOKUP(TableRBRanks314135[[#This Row],[Player]],RB!B:O,14,FALSE)</f>
        <v>90.423360797211956</v>
      </c>
      <c r="AB42" s="190">
        <f>TableRBRanks314135[[#This Row],[FPS]]+(TableRBRanks314135[[#This Row],[REC]]*0.5)</f>
        <v>99.283883463372831</v>
      </c>
      <c r="AD42" s="58">
        <v>41</v>
      </c>
      <c r="AE42" s="58" t="str">
        <f>VLOOKUP(TableWRRanks324236[[#This Row],[RK]],Rankings!A:AI,28,FALSE)</f>
        <v>Chris Godwin</v>
      </c>
      <c r="AF42" s="58" t="str">
        <f>IFERROR(INDEX(TableWRCalcPts[TM],MATCH(TableWRRanks324236[[#This Row],[Player]],TableWRCalcPts[PLAYER],0)),"")</f>
        <v>TB</v>
      </c>
      <c r="AG42" s="58">
        <f>IFERROR(INDEX(TableWRCalcPts[BYE],MATCH(TableWRRanks324236[[#This Row],[Player]],TableWRCalcPts[PLAYER],0)),"")</f>
        <v>10</v>
      </c>
      <c r="AH42" s="100">
        <f>VLOOKUP(TableWRRanks324236[[#This Row],[Player]],WR!B:O,4,FALSE)</f>
        <v>0</v>
      </c>
      <c r="AI42" s="100">
        <f>VLOOKUP(TableWRRanks324236[[#This Row],[Player]],WR!B:O,5,FALSE)</f>
        <v>0</v>
      </c>
      <c r="AJ42" s="100">
        <f>VLOOKUP(TableWRRanks324236[[#This Row],[Player]],WR!B:O,6,FALSE)</f>
        <v>105.95120255999994</v>
      </c>
      <c r="AK42" s="100">
        <f>VLOOKUP(TableWRRanks324236[[#This Row],[Player]],WR!B:O,7,FALSE)</f>
        <v>69.503988879359966</v>
      </c>
      <c r="AL42" s="100">
        <f>VLOOKUP(TableWRRanks324236[[#This Row],[Player]],WR!B:O,8,FALSE)</f>
        <v>777.05459567124444</v>
      </c>
      <c r="AM42" s="100">
        <f>VLOOKUP(TableWRRanks324236[[#This Row],[Player]],WR!B:O,9,FALSE)</f>
        <v>5.3518071437107171</v>
      </c>
      <c r="AN42" s="95">
        <f>VLOOKUP(TableWRRanks324236[[#This Row],[Player]],WR!B:O,13,FALSE)</f>
        <v>144.56829686906872</v>
      </c>
      <c r="AO42" s="190">
        <f>TableWRRanks324236[[#This Row],[FPS]]+(TableWRRanks324236[[#This Row],[REC]]*0.5)</f>
        <v>179.32029130874869</v>
      </c>
      <c r="AQ42" s="58">
        <v>41</v>
      </c>
      <c r="AR42" s="58" t="str">
        <f>VLOOKUP(TableTERanks334337[[#This Row],[RK]],Rankings!A:AI,33,FALSE)</f>
        <v>Ja'Tavion Sanders</v>
      </c>
      <c r="AS42" s="58" t="str">
        <f>IFERROR(INDEX(TableTECalcPts[TM],MATCH(TableTERanks334337[[#This Row],[Player]],TableTECalcPts[PLAYER],0)),"")</f>
        <v>CAR</v>
      </c>
      <c r="AT42" s="58">
        <f>IFERROR(INDEX(TableTECalcPts[BYE],MATCH(TableTERanks334337[[#This Row],[Player]],TableTECalcPts[PLAYER],0)),"")</f>
        <v>5</v>
      </c>
      <c r="AU42" s="100">
        <f>VLOOKUP(TableTERanks334337[[#This Row],[Player]],TE!B:O,4,FALSE)</f>
        <v>43.076879999999996</v>
      </c>
      <c r="AV42" s="100">
        <f>VLOOKUP(TableTERanks334337[[#This Row],[Player]],TE!B:O,5,FALSE)</f>
        <v>31.532276159999995</v>
      </c>
      <c r="AW42" s="100">
        <f>VLOOKUP(TableTERanks334337[[#This Row],[Player]],TE!B:O,6,FALSE)</f>
        <v>250.18732053957442</v>
      </c>
      <c r="AX42" s="100">
        <f>VLOOKUP(TableTERanks334337[[#This Row],[Player]],TE!B:O,7,FALSE)</f>
        <v>1.8919365695999997</v>
      </c>
      <c r="AY42" s="95">
        <f>VLOOKUP(TableTERanks334337[[#This Row],[Player]],TE!B:O,11,FALSE)</f>
        <v>52.136489551557439</v>
      </c>
      <c r="AZ42" s="190">
        <f>TableTERanks334337[[#This Row],[FPS]]+(TableTERanks334337[[#This Row],[REC]]*0.5)</f>
        <v>67.902627631557436</v>
      </c>
    </row>
    <row r="43" spans="1:52" x14ac:dyDescent="0.25">
      <c r="A43" s="58">
        <v>42</v>
      </c>
      <c r="B43" s="58">
        <f>VLOOKUP(TableQBRanks304034[[#This Row],[RK]],Rankings!A:T,3,FALSE)</f>
        <v>0</v>
      </c>
      <c r="C43" s="58" t="str">
        <f>IFERROR(INDEX(TableQBCalcPts[TM],MATCH(TableQBRanks304034[[#This Row],[Player]],TableQBCalcPts[PLAYER],0)),"")</f>
        <v/>
      </c>
      <c r="D43" s="58" t="str">
        <f>IFERROR(INDEX(TableQBCalcPts[BYE],MATCH(TableQBRanks304034[[#This Row],[Player]],TableQBCalcPts[PLAYER],0)),"")</f>
        <v/>
      </c>
      <c r="E43" s="100">
        <f>VLOOKUP(TableQBRanks304034[[#This Row],[Player]],QB!B:O,4,FALSE)</f>
        <v>0</v>
      </c>
      <c r="F43" s="100">
        <f>VLOOKUP(TableQBRanks304034[[#This Row],[Player]],QB!B:O,5,FALSE)</f>
        <v>0</v>
      </c>
      <c r="G43" s="100">
        <f>VLOOKUP(TableQBRanks304034[[#This Row],[Player]],QB!B:O,6,FALSE)</f>
        <v>0</v>
      </c>
      <c r="H43" s="100">
        <f>VLOOKUP(TableQBRanks304034[[#This Row],[Player]],QB!B:O,7,FALSE)</f>
        <v>0</v>
      </c>
      <c r="I43" s="100">
        <f>VLOOKUP(TableQBRanks304034[[#This Row],[Player]],QB!B:O,8,FALSE)</f>
        <v>0</v>
      </c>
      <c r="J43" s="100">
        <f>VLOOKUP(TableQBRanks304034[[#This Row],[Player]],QB!B:O,9,FALSE)</f>
        <v>0</v>
      </c>
      <c r="K43" s="100">
        <f>VLOOKUP(TableQBRanks304034[[#This Row],[Player]],QB!B:O,10,FALSE)</f>
        <v>0</v>
      </c>
      <c r="L43" s="100">
        <f>VLOOKUP(TableQBRanks304034[[#This Row],[Player]],QB!B:O,11,FALSE)</f>
        <v>0</v>
      </c>
      <c r="M43" s="95">
        <f>VLOOKUP(TableQBRanks304034[[#This Row],[Player]],QB!B:O,13,FALSE)</f>
        <v>0</v>
      </c>
      <c r="N43" s="140" t="e">
        <f>IF(VLOOKUP(TableQBRanks304034[[#This Row],[Player]],'Ranks w Proj'!$B:$N,13,FALSE)&lt;0,0,VLOOKUP(TableQBRanks304034[[#This Row],[Player]],'Ranks w Proj'!$B:$N,13,FALSE))</f>
        <v>#N/A</v>
      </c>
      <c r="P43" s="58">
        <v>42</v>
      </c>
      <c r="Q43" s="58" t="str">
        <f>VLOOKUP(TableRBRanks314135[[#This Row],[RK]],Rankings!A:AI,23,FALSE)</f>
        <v>Aaron Jones</v>
      </c>
      <c r="R43" s="58" t="str">
        <f>IFERROR(INDEX(TableRBCalcPts[TM],MATCH(TableRBRanks314135[[#This Row],[Player]],TableRBCalcPts[PLAYER],0)),"")</f>
        <v>MIN</v>
      </c>
      <c r="S43" s="58">
        <f>IFERROR(INDEX(TableRBCalcPts[BYE],MATCH(TableRBRanks314135[[#This Row],[Player]],TableRBCalcPts[PLAYER],0)),"")</f>
        <v>6</v>
      </c>
      <c r="T43" s="100">
        <f>VLOOKUP(TableRBRanks314135[[#This Row],[Player]],RB!B:O,4,FALSE)</f>
        <v>154.58115455999996</v>
      </c>
      <c r="U43" s="100">
        <f>VLOOKUP(TableRBRanks314135[[#This Row],[Player]],RB!B:O,5,FALSE)</f>
        <v>643.0218554919503</v>
      </c>
      <c r="V43" s="100">
        <f>VLOOKUP(TableRBRanks314135[[#This Row],[Player]],RB!B:O,6,FALSE)</f>
        <v>3.8645288639999991</v>
      </c>
      <c r="W43" s="100">
        <f>VLOOKUP(TableRBRanks314135[[#This Row],[Player]],RB!B:O,7,FALSE)</f>
        <v>39.744095999999999</v>
      </c>
      <c r="X43" s="100">
        <f>VLOOKUP(TableRBRanks314135[[#This Row],[Player]],RB!B:O,8,FALSE)</f>
        <v>30.129396994327276</v>
      </c>
      <c r="Y43" s="100">
        <f>VLOOKUP(TableRBRanks314135[[#This Row],[Player]],RB!B:O,9,FALSE)</f>
        <v>215.69120899199999</v>
      </c>
      <c r="Z43" s="100">
        <f>VLOOKUP(TableRBRanks314135[[#This Row],[Player]],RB!B:O,10,FALSE)</f>
        <v>1.1330680459636364</v>
      </c>
      <c r="AA43" s="95">
        <f>VLOOKUP(TableRBRanks314135[[#This Row],[Player]],RB!B:O,14,FALSE)</f>
        <v>130.92158640534046</v>
      </c>
      <c r="AB43" s="190">
        <f>TableRBRanks314135[[#This Row],[FPS]]+(TableRBRanks314135[[#This Row],[REC]]*0.5)</f>
        <v>145.98628490250411</v>
      </c>
      <c r="AD43" s="58">
        <v>42</v>
      </c>
      <c r="AE43" s="58" t="str">
        <f>VLOOKUP(TableWRRanks324236[[#This Row],[RK]],Rankings!A:AI,28,FALSE)</f>
        <v>Jordan Addison</v>
      </c>
      <c r="AF43" s="58" t="str">
        <f>IFERROR(INDEX(TableWRCalcPts[TM],MATCH(TableWRRanks324236[[#This Row],[Player]],TableWRCalcPts[PLAYER],0)),"")</f>
        <v>MIN</v>
      </c>
      <c r="AG43" s="58">
        <f>IFERROR(INDEX(TableWRCalcPts[BYE],MATCH(TableWRRanks324236[[#This Row],[Player]],TableWRCalcPts[PLAYER],0)),"")</f>
        <v>6</v>
      </c>
      <c r="AH43" s="100">
        <f>VLOOKUP(TableWRRanks324236[[#This Row],[Player]],WR!B:O,4,FALSE)</f>
        <v>35.867021374824645</v>
      </c>
      <c r="AI43" s="100">
        <f>VLOOKUP(TableWRRanks324236[[#This Row],[Player]],WR!B:O,5,FALSE)</f>
        <v>0.133259616</v>
      </c>
      <c r="AJ43" s="100">
        <f>VLOOKUP(TableWRRanks324236[[#This Row],[Player]],WR!B:O,6,FALSE)</f>
        <v>113.40315391999999</v>
      </c>
      <c r="AK43" s="100">
        <f>VLOOKUP(TableWRRanks324236[[#This Row],[Player]],WR!B:O,7,FALSE)</f>
        <v>71.557390123519994</v>
      </c>
      <c r="AL43" s="100">
        <f>VLOOKUP(TableWRRanks324236[[#This Row],[Player]],WR!B:O,8,FALSE)</f>
        <v>935.9706628156415</v>
      </c>
      <c r="AM43" s="100">
        <f>VLOOKUP(TableWRRanks324236[[#This Row],[Player]],WR!B:O,9,FALSE)</f>
        <v>5.7961486000051199</v>
      </c>
      <c r="AN43" s="95">
        <f>VLOOKUP(TableWRRanks324236[[#This Row],[Player]],WR!B:O,13,FALSE)</f>
        <v>168.53891277683735</v>
      </c>
      <c r="AO43" s="190">
        <f>TableWRRanks324236[[#This Row],[FPS]]+(TableWRRanks324236[[#This Row],[REC]]*0.5)</f>
        <v>204.31760783859735</v>
      </c>
      <c r="AQ43" s="58">
        <v>42</v>
      </c>
      <c r="AR43" s="58" t="str">
        <f>VLOOKUP(TableTERanks334337[[#This Row],[RK]],Rankings!A:AI,33,FALSE)</f>
        <v>Cole Kmet</v>
      </c>
      <c r="AS43" s="58" t="str">
        <f>IFERROR(INDEX(TableTECalcPts[TM],MATCH(TableTERanks334337[[#This Row],[Player]],TableTECalcPts[PLAYER],0)),"")</f>
        <v>CHI</v>
      </c>
      <c r="AT43" s="58">
        <f>IFERROR(INDEX(TableTECalcPts[BYE],MATCH(TableTERanks334337[[#This Row],[Player]],TableTECalcPts[PLAYER],0)),"")</f>
        <v>10</v>
      </c>
      <c r="AU43" s="100">
        <f>VLOOKUP(TableTERanks334337[[#This Row],[Player]],TE!B:O,4,FALSE)</f>
        <v>34.963977440000008</v>
      </c>
      <c r="AV43" s="100">
        <f>VLOOKUP(TableTERanks334337[[#This Row],[Player]],TE!B:O,5,FALSE)</f>
        <v>23.425864884800006</v>
      </c>
      <c r="AW43" s="100">
        <f>VLOOKUP(TableTERanks334337[[#This Row],[Player]],TE!B:O,6,FALSE)</f>
        <v>251.82804751160006</v>
      </c>
      <c r="AX43" s="100">
        <f>VLOOKUP(TableTERanks334337[[#This Row],[Player]],TE!B:O,7,FALSE)</f>
        <v>1.7803657312448005</v>
      </c>
      <c r="AY43" s="95">
        <f>VLOOKUP(TableTERanks334337[[#This Row],[Player]],TE!B:O,11,FALSE)</f>
        <v>47.577931581028814</v>
      </c>
      <c r="AZ43" s="190">
        <f>TableTERanks334337[[#This Row],[FPS]]+(TableTERanks334337[[#This Row],[REC]]*0.5)</f>
        <v>59.290864023428817</v>
      </c>
    </row>
    <row r="44" spans="1:52" x14ac:dyDescent="0.25">
      <c r="A44" s="58">
        <v>43</v>
      </c>
      <c r="B44" s="58">
        <f>VLOOKUP(TableQBRanks304034[[#This Row],[RK]],Rankings!A:T,3,FALSE)</f>
        <v>0</v>
      </c>
      <c r="C44" s="58" t="str">
        <f>IFERROR(INDEX(TableQBCalcPts[TM],MATCH(TableQBRanks304034[[#This Row],[Player]],TableQBCalcPts[PLAYER],0)),"")</f>
        <v/>
      </c>
      <c r="D44" s="58" t="str">
        <f>IFERROR(INDEX(TableQBCalcPts[BYE],MATCH(TableQBRanks304034[[#This Row],[Player]],TableQBCalcPts[PLAYER],0)),"")</f>
        <v/>
      </c>
      <c r="E44" s="100">
        <f>VLOOKUP(TableQBRanks304034[[#This Row],[Player]],QB!B:O,4,FALSE)</f>
        <v>0</v>
      </c>
      <c r="F44" s="100">
        <f>VLOOKUP(TableQBRanks304034[[#This Row],[Player]],QB!B:O,5,FALSE)</f>
        <v>0</v>
      </c>
      <c r="G44" s="100">
        <f>VLOOKUP(TableQBRanks304034[[#This Row],[Player]],QB!B:O,6,FALSE)</f>
        <v>0</v>
      </c>
      <c r="H44" s="100">
        <f>VLOOKUP(TableQBRanks304034[[#This Row],[Player]],QB!B:O,7,FALSE)</f>
        <v>0</v>
      </c>
      <c r="I44" s="100">
        <f>VLOOKUP(TableQBRanks304034[[#This Row],[Player]],QB!B:O,8,FALSE)</f>
        <v>0</v>
      </c>
      <c r="J44" s="100">
        <f>VLOOKUP(TableQBRanks304034[[#This Row],[Player]],QB!B:O,9,FALSE)</f>
        <v>0</v>
      </c>
      <c r="K44" s="100">
        <f>VLOOKUP(TableQBRanks304034[[#This Row],[Player]],QB!B:O,10,FALSE)</f>
        <v>0</v>
      </c>
      <c r="L44" s="100">
        <f>VLOOKUP(TableQBRanks304034[[#This Row],[Player]],QB!B:O,11,FALSE)</f>
        <v>0</v>
      </c>
      <c r="M44" s="95">
        <f>VLOOKUP(TableQBRanks304034[[#This Row],[Player]],QB!B:O,13,FALSE)</f>
        <v>0</v>
      </c>
      <c r="N44" s="140" t="e">
        <f>IF(VLOOKUP(TableQBRanks304034[[#This Row],[Player]],'Ranks w Proj'!$B:$N,13,FALSE)&lt;0,0,VLOOKUP(TableQBRanks304034[[#This Row],[Player]],'Ranks w Proj'!$B:$N,13,FALSE))</f>
        <v>#N/A</v>
      </c>
      <c r="P44" s="58">
        <v>43</v>
      </c>
      <c r="Q44" s="58" t="str">
        <f>VLOOKUP(TableRBRanks314135[[#This Row],[RK]],Rankings!A:AI,23,FALSE)</f>
        <v>Isiah Pacheco</v>
      </c>
      <c r="R44" s="58" t="str">
        <f>IFERROR(INDEX(TableRBCalcPts[TM],MATCH(TableRBRanks314135[[#This Row],[Player]],TableRBCalcPts[PLAYER],0)),"")</f>
        <v>DET</v>
      </c>
      <c r="S44" s="58">
        <f>IFERROR(INDEX(TableRBCalcPts[BYE],MATCH(TableRBRanks314135[[#This Row],[Player]],TableRBCalcPts[PLAYER],0)),"")</f>
        <v>6</v>
      </c>
      <c r="T44" s="100">
        <f>VLOOKUP(TableRBRanks314135[[#This Row],[Player]],RB!B:O,4,FALSE)</f>
        <v>127.1886336</v>
      </c>
      <c r="U44" s="100">
        <f>VLOOKUP(TableRBRanks314135[[#This Row],[Player]],RB!B:O,5,FALSE)</f>
        <v>530.376602112</v>
      </c>
      <c r="V44" s="100">
        <f>VLOOKUP(TableRBRanks314135[[#This Row],[Player]],RB!B:O,6,FALSE)</f>
        <v>5.3419226112000002</v>
      </c>
      <c r="W44" s="100">
        <f>VLOOKUP(TableRBRanks314135[[#This Row],[Player]],RB!B:O,7,FALSE)</f>
        <v>21.660273599999996</v>
      </c>
      <c r="X44" s="100">
        <f>VLOOKUP(TableRBRanks314135[[#This Row],[Player]],RB!B:O,8,FALSE)</f>
        <v>14.241722457271793</v>
      </c>
      <c r="Y44" s="100">
        <f>VLOOKUP(TableRBRanks314135[[#This Row],[Player]],RB!B:O,9,FALSE)</f>
        <v>95.731004090256391</v>
      </c>
      <c r="Z44" s="100">
        <f>VLOOKUP(TableRBRanks314135[[#This Row],[Player]],RB!B:O,10,FALSE)</f>
        <v>0.77458619437948706</v>
      </c>
      <c r="AA44" s="95">
        <f>VLOOKUP(TableRBRanks314135[[#This Row],[Player]],RB!B:O,14,FALSE)</f>
        <v>106.43067468233848</v>
      </c>
      <c r="AB44" s="190">
        <f>TableRBRanks314135[[#This Row],[FPS]]+(TableRBRanks314135[[#This Row],[REC]]*0.5)</f>
        <v>113.55153591097438</v>
      </c>
      <c r="AD44" s="58">
        <v>43</v>
      </c>
      <c r="AE44" s="58" t="str">
        <f>VLOOKUP(TableWRRanks324236[[#This Row],[RK]],Rankings!A:AI,28,FALSE)</f>
        <v>Michael Wilson</v>
      </c>
      <c r="AF44" s="58" t="str">
        <f>IFERROR(INDEX(TableWRCalcPts[TM],MATCH(TableWRRanks324236[[#This Row],[Player]],TableWRCalcPts[PLAYER],0)),"")</f>
        <v>ARI</v>
      </c>
      <c r="AG44" s="58">
        <f>IFERROR(INDEX(TableWRCalcPts[BYE],MATCH(TableWRRanks324236[[#This Row],[Player]],TableWRCalcPts[PLAYER],0)),"")</f>
        <v>14</v>
      </c>
      <c r="AH44" s="100">
        <f>VLOOKUP(TableWRRanks324236[[#This Row],[Player]],WR!B:O,4,FALSE)</f>
        <v>0</v>
      </c>
      <c r="AI44" s="100">
        <f>VLOOKUP(TableWRRanks324236[[#This Row],[Player]],WR!B:O,5,FALSE)</f>
        <v>0</v>
      </c>
      <c r="AJ44" s="100">
        <f>VLOOKUP(TableWRRanks324236[[#This Row],[Player]],WR!B:O,6,FALSE)</f>
        <v>112.29874880000001</v>
      </c>
      <c r="AK44" s="100">
        <f>VLOOKUP(TableWRRanks324236[[#This Row],[Player]],WR!B:O,7,FALSE)</f>
        <v>66.274717090252423</v>
      </c>
      <c r="AL44" s="100">
        <f>VLOOKUP(TableWRRanks324236[[#This Row],[Player]],WR!B:O,8,FALSE)</f>
        <v>804.57506547566447</v>
      </c>
      <c r="AM44" s="100">
        <f>VLOOKUP(TableWRRanks324236[[#This Row],[Player]],WR!B:O,9,FALSE)</f>
        <v>4.9706037817689319</v>
      </c>
      <c r="AN44" s="95">
        <f>VLOOKUP(TableWRRanks324236[[#This Row],[Player]],WR!B:O,13,FALSE)</f>
        <v>143.41848778330626</v>
      </c>
      <c r="AO44" s="190">
        <f>TableWRRanks324236[[#This Row],[FPS]]+(TableWRRanks324236[[#This Row],[REC]]*0.5)</f>
        <v>176.55584632843247</v>
      </c>
      <c r="AQ44" s="58">
        <v>43</v>
      </c>
      <c r="AR44" s="58" t="str">
        <f>VLOOKUP(TableTERanks334337[[#This Row],[RK]],Rankings!A:AI,33,FALSE)</f>
        <v>Elijah Arroyo</v>
      </c>
      <c r="AS44" s="58" t="str">
        <f>IFERROR(INDEX(TableTECalcPts[TM],MATCH(TableTERanks334337[[#This Row],[Player]],TableTECalcPts[PLAYER],0)),"")</f>
        <v>SEA</v>
      </c>
      <c r="AT44" s="58">
        <f>IFERROR(INDEX(TableTECalcPts[BYE],MATCH(TableTERanks334337[[#This Row],[Player]],TableTECalcPts[PLAYER],0)),"")</f>
        <v>11</v>
      </c>
      <c r="AU44" s="100">
        <f>VLOOKUP(TableTERanks334337[[#This Row],[Player]],TE!B:O,4,FALSE)</f>
        <v>32.302556160000002</v>
      </c>
      <c r="AV44" s="100">
        <f>VLOOKUP(TableTERanks334337[[#This Row],[Player]],TE!B:O,5,FALSE)</f>
        <v>19.575349032960002</v>
      </c>
      <c r="AW44" s="100">
        <f>VLOOKUP(TableTERanks334337[[#This Row],[Player]],TE!B:O,6,FALSE)</f>
        <v>216.89486728519682</v>
      </c>
      <c r="AX44" s="100">
        <f>VLOOKUP(TableTERanks334337[[#This Row],[Player]],TE!B:O,7,FALSE)</f>
        <v>1.6802121398522076</v>
      </c>
      <c r="AY44" s="95">
        <f>VLOOKUP(TableTERanks334337[[#This Row],[Player]],TE!B:O,11,FALSE)</f>
        <v>41.558434084112932</v>
      </c>
      <c r="AZ44" s="190">
        <f>TableTERanks334337[[#This Row],[FPS]]+(TableTERanks334337[[#This Row],[REC]]*0.5)</f>
        <v>51.346108600592935</v>
      </c>
    </row>
    <row r="45" spans="1:52" x14ac:dyDescent="0.25">
      <c r="A45" s="58">
        <v>44</v>
      </c>
      <c r="B45" s="58">
        <f>VLOOKUP(TableQBRanks304034[[#This Row],[RK]],Rankings!A:T,3,FALSE)</f>
        <v>0</v>
      </c>
      <c r="C45" s="58" t="str">
        <f>IFERROR(INDEX(TableQBCalcPts[TM],MATCH(TableQBRanks304034[[#This Row],[Player]],TableQBCalcPts[PLAYER],0)),"")</f>
        <v/>
      </c>
      <c r="D45" s="58" t="str">
        <f>IFERROR(INDEX(TableQBCalcPts[BYE],MATCH(TableQBRanks304034[[#This Row],[Player]],TableQBCalcPts[PLAYER],0)),"")</f>
        <v/>
      </c>
      <c r="E45" s="100">
        <f>VLOOKUP(TableQBRanks304034[[#This Row],[Player]],QB!B:O,4,FALSE)</f>
        <v>0</v>
      </c>
      <c r="F45" s="100">
        <f>VLOOKUP(TableQBRanks304034[[#This Row],[Player]],QB!B:O,5,FALSE)</f>
        <v>0</v>
      </c>
      <c r="G45" s="100">
        <f>VLOOKUP(TableQBRanks304034[[#This Row],[Player]],QB!B:O,6,FALSE)</f>
        <v>0</v>
      </c>
      <c r="H45" s="100">
        <f>VLOOKUP(TableQBRanks304034[[#This Row],[Player]],QB!B:O,7,FALSE)</f>
        <v>0</v>
      </c>
      <c r="I45" s="100">
        <f>VLOOKUP(TableQBRanks304034[[#This Row],[Player]],QB!B:O,8,FALSE)</f>
        <v>0</v>
      </c>
      <c r="J45" s="100">
        <f>VLOOKUP(TableQBRanks304034[[#This Row],[Player]],QB!B:O,9,FALSE)</f>
        <v>0</v>
      </c>
      <c r="K45" s="100">
        <f>VLOOKUP(TableQBRanks304034[[#This Row],[Player]],QB!B:O,10,FALSE)</f>
        <v>0</v>
      </c>
      <c r="L45" s="100">
        <f>VLOOKUP(TableQBRanks304034[[#This Row],[Player]],QB!B:O,11,FALSE)</f>
        <v>0</v>
      </c>
      <c r="M45" s="95">
        <f>VLOOKUP(TableQBRanks304034[[#This Row],[Player]],QB!B:O,13,FALSE)</f>
        <v>0</v>
      </c>
      <c r="N45" s="140" t="e">
        <f>IF(VLOOKUP(TableQBRanks304034[[#This Row],[Player]],'Ranks w Proj'!$B:$N,13,FALSE)&lt;0,0,VLOOKUP(TableQBRanks304034[[#This Row],[Player]],'Ranks w Proj'!$B:$N,13,FALSE))</f>
        <v>#N/A</v>
      </c>
      <c r="P45" s="58">
        <v>44</v>
      </c>
      <c r="Q45" s="58" t="str">
        <f>VLOOKUP(TableRBRanks314135[[#This Row],[RK]],Rankings!A:AI,23,FALSE)</f>
        <v>Jacory Croskey-Merritt</v>
      </c>
      <c r="R45" s="58" t="str">
        <f>IFERROR(INDEX(TableRBCalcPts[TM],MATCH(TableRBRanks314135[[#This Row],[Player]],TableRBCalcPts[PLAYER],0)),"")</f>
        <v>WSH</v>
      </c>
      <c r="S45" s="58">
        <f>IFERROR(INDEX(TableRBCalcPts[BYE],MATCH(TableRBRanks314135[[#This Row],[Player]],TableRBCalcPts[PLAYER],0)),"")</f>
        <v>7</v>
      </c>
      <c r="T45" s="100">
        <f>VLOOKUP(TableRBRanks314135[[#This Row],[Player]],RB!B:O,4,FALSE)</f>
        <v>151.44474492000003</v>
      </c>
      <c r="U45" s="100">
        <f>VLOOKUP(TableRBRanks314135[[#This Row],[Player]],RB!B:O,5,FALSE)</f>
        <v>682.10886620784333</v>
      </c>
      <c r="V45" s="100">
        <f>VLOOKUP(TableRBRanks314135[[#This Row],[Player]],RB!B:O,6,FALSE)</f>
        <v>5.720327142783229</v>
      </c>
      <c r="W45" s="100">
        <f>VLOOKUP(TableRBRanks314135[[#This Row],[Player]],RB!B:O,7,FALSE)</f>
        <v>20.410716759999996</v>
      </c>
      <c r="X45" s="100">
        <f>VLOOKUP(TableRBRanks314135[[#This Row],[Player]],RB!B:O,8,FALSE)</f>
        <v>15.165162552679996</v>
      </c>
      <c r="Y45" s="100">
        <f>VLOOKUP(TableRBRanks314135[[#This Row],[Player]],RB!B:O,9,FALSE)</f>
        <v>108.88586712824237</v>
      </c>
      <c r="Z45" s="100">
        <f>VLOOKUP(TableRBRanks314135[[#This Row],[Player]],RB!B:O,10,FALSE)</f>
        <v>0.45306709700952691</v>
      </c>
      <c r="AA45" s="95">
        <f>VLOOKUP(TableRBRanks314135[[#This Row],[Player]],RB!B:O,14,FALSE)</f>
        <v>123.7224200487051</v>
      </c>
      <c r="AB45" s="190">
        <f>TableRBRanks314135[[#This Row],[FPS]]+(TableRBRanks314135[[#This Row],[REC]]*0.5)</f>
        <v>131.30500132504511</v>
      </c>
      <c r="AD45" s="58">
        <v>44</v>
      </c>
      <c r="AE45" s="58" t="str">
        <f>VLOOKUP(TableWRRanks324236[[#This Row],[RK]],Rankings!A:AI,28,FALSE)</f>
        <v>Quentin Johnston</v>
      </c>
      <c r="AF45" s="58" t="str">
        <f>IFERROR(INDEX(TableWRCalcPts[TM],MATCH(TableWRRanks324236[[#This Row],[Player]],TableWRCalcPts[PLAYER],0)),"")</f>
        <v>LAC</v>
      </c>
      <c r="AG45" s="58">
        <f>IFERROR(INDEX(TableWRCalcPts[BYE],MATCH(TableWRRanks324236[[#This Row],[Player]],TableWRCalcPts[PLAYER],0)),"")</f>
        <v>7</v>
      </c>
      <c r="AH45" s="100">
        <f>VLOOKUP(TableWRRanks324236[[#This Row],[Player]],WR!B:O,4,FALSE)</f>
        <v>0</v>
      </c>
      <c r="AI45" s="100">
        <f>VLOOKUP(TableWRRanks324236[[#This Row],[Player]],WR!B:O,5,FALSE)</f>
        <v>0</v>
      </c>
      <c r="AJ45" s="100">
        <f>VLOOKUP(TableWRRanks324236[[#This Row],[Player]],WR!B:O,6,FALSE)</f>
        <v>108.46499663999998</v>
      </c>
      <c r="AK45" s="100">
        <f>VLOOKUP(TableWRRanks324236[[#This Row],[Player]],WR!B:O,7,FALSE)</f>
        <v>61.233610819884383</v>
      </c>
      <c r="AL45" s="100">
        <f>VLOOKUP(TableWRRanks324236[[#This Row],[Player]],WR!B:O,8,FALSE)</f>
        <v>879.68748673771267</v>
      </c>
      <c r="AM45" s="100">
        <f>VLOOKUP(TableWRRanks324236[[#This Row],[Player]],WR!B:O,9,FALSE)</f>
        <v>7.6542013524855479</v>
      </c>
      <c r="AN45" s="95">
        <f>VLOOKUP(TableWRRanks324236[[#This Row],[Player]],WR!B:O,13,FALSE)</f>
        <v>164.51076219862676</v>
      </c>
      <c r="AO45" s="190">
        <f>TableWRRanks324236[[#This Row],[FPS]]+(TableWRRanks324236[[#This Row],[REC]]*0.5)</f>
        <v>195.12756760856897</v>
      </c>
      <c r="AQ45" s="58">
        <v>44</v>
      </c>
      <c r="AR45" s="58" t="str">
        <f>VLOOKUP(TableTERanks334337[[#This Row],[RK]],Rankings!A:AI,33,FALSE)</f>
        <v>Michael Mayer</v>
      </c>
      <c r="AS45" s="58" t="str">
        <f>IFERROR(INDEX(TableTECalcPts[TM],MATCH(TableTERanks334337[[#This Row],[Player]],TableTECalcPts[PLAYER],0)),"")</f>
        <v>LV</v>
      </c>
      <c r="AT45" s="58">
        <f>IFERROR(INDEX(TableTECalcPts[BYE],MATCH(TableTERanks334337[[#This Row],[Player]],TableTECalcPts[PLAYER],0)),"")</f>
        <v>13</v>
      </c>
      <c r="AU45" s="100">
        <f>VLOOKUP(TableTERanks334337[[#This Row],[Player]],TE!B:O,4,FALSE)</f>
        <v>37.012389120000002</v>
      </c>
      <c r="AV45" s="100">
        <f>VLOOKUP(TableTERanks334337[[#This Row],[Player]],TE!B:O,5,FALSE)</f>
        <v>25.463831894202613</v>
      </c>
      <c r="AW45" s="100">
        <f>VLOOKUP(TableTERanks334337[[#This Row],[Player]],TE!B:O,6,FALSE)</f>
        <v>245.35985491558876</v>
      </c>
      <c r="AX45" s="100">
        <f>VLOOKUP(TableTERanks334337[[#This Row],[Player]],TE!B:O,7,FALSE)</f>
        <v>1.5023660817579541</v>
      </c>
      <c r="AY45" s="95">
        <f>VLOOKUP(TableTERanks334337[[#This Row],[Player]],TE!B:O,11,FALSE)</f>
        <v>46.282097929207907</v>
      </c>
      <c r="AZ45" s="190">
        <f>TableTERanks334337[[#This Row],[FPS]]+(TableTERanks334337[[#This Row],[REC]]*0.5)</f>
        <v>59.014013876309214</v>
      </c>
    </row>
    <row r="46" spans="1:52" x14ac:dyDescent="0.25">
      <c r="A46" s="58">
        <v>45</v>
      </c>
      <c r="B46" s="58">
        <f>VLOOKUP(TableQBRanks304034[[#This Row],[RK]],Rankings!A:T,3,FALSE)</f>
        <v>0</v>
      </c>
      <c r="C46" s="58" t="str">
        <f>IFERROR(INDEX(TableQBCalcPts[TM],MATCH(TableQBRanks304034[[#This Row],[Player]],TableQBCalcPts[PLAYER],0)),"")</f>
        <v/>
      </c>
      <c r="D46" s="58" t="str">
        <f>IFERROR(INDEX(TableQBCalcPts[BYE],MATCH(TableQBRanks304034[[#This Row],[Player]],TableQBCalcPts[PLAYER],0)),"")</f>
        <v/>
      </c>
      <c r="E46" s="100">
        <f>VLOOKUP(TableQBRanks304034[[#This Row],[Player]],QB!B:O,4,FALSE)</f>
        <v>0</v>
      </c>
      <c r="F46" s="100">
        <f>VLOOKUP(TableQBRanks304034[[#This Row],[Player]],QB!B:O,5,FALSE)</f>
        <v>0</v>
      </c>
      <c r="G46" s="100">
        <f>VLOOKUP(TableQBRanks304034[[#This Row],[Player]],QB!B:O,6,FALSE)</f>
        <v>0</v>
      </c>
      <c r="H46" s="100">
        <f>VLOOKUP(TableQBRanks304034[[#This Row],[Player]],QB!B:O,7,FALSE)</f>
        <v>0</v>
      </c>
      <c r="I46" s="100">
        <f>VLOOKUP(TableQBRanks304034[[#This Row],[Player]],QB!B:O,8,FALSE)</f>
        <v>0</v>
      </c>
      <c r="J46" s="100">
        <f>VLOOKUP(TableQBRanks304034[[#This Row],[Player]],QB!B:O,9,FALSE)</f>
        <v>0</v>
      </c>
      <c r="K46" s="100">
        <f>VLOOKUP(TableQBRanks304034[[#This Row],[Player]],QB!B:O,10,FALSE)</f>
        <v>0</v>
      </c>
      <c r="L46" s="100">
        <f>VLOOKUP(TableQBRanks304034[[#This Row],[Player]],QB!B:O,11,FALSE)</f>
        <v>0</v>
      </c>
      <c r="M46" s="95">
        <f>VLOOKUP(TableQBRanks304034[[#This Row],[Player]],QB!B:O,13,FALSE)</f>
        <v>0</v>
      </c>
      <c r="N46" s="140" t="e">
        <f>IF(VLOOKUP(TableQBRanks304034[[#This Row],[Player]],'Ranks w Proj'!$B:$N,13,FALSE)&lt;0,0,VLOOKUP(TableQBRanks304034[[#This Row],[Player]],'Ranks w Proj'!$B:$N,13,FALSE))</f>
        <v>#N/A</v>
      </c>
      <c r="P46" s="58">
        <v>45</v>
      </c>
      <c r="Q46" s="58" t="str">
        <f>VLOOKUP(TableRBRanks314135[[#This Row],[RK]],Rankings!A:AI,23,FALSE)</f>
        <v>Tyler Allgeier</v>
      </c>
      <c r="R46" s="58" t="str">
        <f>IFERROR(INDEX(TableRBCalcPts[TM],MATCH(TableRBRanks314135[[#This Row],[Player]],TableRBCalcPts[PLAYER],0)),"")</f>
        <v>ARI</v>
      </c>
      <c r="S46" s="58">
        <f>IFERROR(INDEX(TableRBCalcPts[BYE],MATCH(TableRBRanks314135[[#This Row],[Player]],TableRBCalcPts[PLAYER],0)),"")</f>
        <v>14</v>
      </c>
      <c r="T46" s="100">
        <f>VLOOKUP(TableRBRanks314135[[#This Row],[Player]],RB!B:O,4,FALSE)</f>
        <v>109.63820559999999</v>
      </c>
      <c r="U46" s="100">
        <f>VLOOKUP(TableRBRanks314135[[#This Row],[Player]],RB!B:O,5,FALSE)</f>
        <v>451.43669207096968</v>
      </c>
      <c r="V46" s="100">
        <f>VLOOKUP(TableRBRanks314135[[#This Row],[Player]],RB!B:O,6,FALSE)</f>
        <v>2.9602315511999997</v>
      </c>
      <c r="W46" s="100">
        <f>VLOOKUP(TableRBRanks314135[[#This Row],[Player]],RB!B:O,7,FALSE)</f>
        <v>16.678032000000002</v>
      </c>
      <c r="X46" s="100">
        <f>VLOOKUP(TableRBRanks314135[[#This Row],[Player]],RB!B:O,8,FALSE)</f>
        <v>13.025542992000002</v>
      </c>
      <c r="Y46" s="100">
        <f>VLOOKUP(TableRBRanks314135[[#This Row],[Player]],RB!B:O,9,FALSE)</f>
        <v>84.666029448000018</v>
      </c>
      <c r="Z46" s="100">
        <f>VLOOKUP(TableRBRanks314135[[#This Row],[Player]],RB!B:O,10,FALSE)</f>
        <v>0.39076628976000005</v>
      </c>
      <c r="AA46" s="95">
        <f>VLOOKUP(TableRBRanks314135[[#This Row],[Player]],RB!B:O,14,FALSE)</f>
        <v>80.229030693656966</v>
      </c>
      <c r="AB46" s="190">
        <f>TableRBRanks314135[[#This Row],[FPS]]+(TableRBRanks314135[[#This Row],[REC]]*0.5)</f>
        <v>86.741802189656966</v>
      </c>
      <c r="AD46" s="58">
        <v>45</v>
      </c>
      <c r="AE46" s="58" t="str">
        <f>VLOOKUP(TableWRRanks324236[[#This Row],[RK]],Rankings!A:AI,28,FALSE)</f>
        <v>Wan'Dale Robinson</v>
      </c>
      <c r="AF46" s="58" t="str">
        <f>IFERROR(INDEX(TableWRCalcPts[TM],MATCH(TableWRRanks324236[[#This Row],[Player]],TableWRCalcPts[PLAYER],0)),"")</f>
        <v>TEN</v>
      </c>
      <c r="AG46" s="58">
        <f>IFERROR(INDEX(TableWRCalcPts[BYE],MATCH(TableWRRanks324236[[#This Row],[Player]],TableWRCalcPts[PLAYER],0)),"")</f>
        <v>9</v>
      </c>
      <c r="AH46" s="100">
        <f>VLOOKUP(TableWRRanks324236[[#This Row],[Player]],WR!B:O,4,FALSE)</f>
        <v>23.809766399999994</v>
      </c>
      <c r="AI46" s="100">
        <f>VLOOKUP(TableWRRanks324236[[#This Row],[Player]],WR!B:O,5,FALSE)</f>
        <v>0.12531455999999999</v>
      </c>
      <c r="AJ46" s="100">
        <f>VLOOKUP(TableWRRanks324236[[#This Row],[Player]],WR!B:O,6,FALSE)</f>
        <v>115.34019840000001</v>
      </c>
      <c r="AK46" s="100">
        <f>VLOOKUP(TableWRRanks324236[[#This Row],[Player]],WR!B:O,7,FALSE)</f>
        <v>76.470551539200002</v>
      </c>
      <c r="AL46" s="100">
        <f>VLOOKUP(TableWRRanks324236[[#This Row],[Player]],WR!B:O,8,FALSE)</f>
        <v>827.4113676541441</v>
      </c>
      <c r="AM46" s="100">
        <f>VLOOKUP(TableWRRanks324236[[#This Row],[Player]],WR!B:O,9,FALSE)</f>
        <v>4.6647036438912002</v>
      </c>
      <c r="AN46" s="95">
        <f>VLOOKUP(TableWRRanks324236[[#This Row],[Player]],WR!B:O,13,FALSE)</f>
        <v>152.09749839836161</v>
      </c>
      <c r="AO46" s="190">
        <f>TableWRRanks324236[[#This Row],[FPS]]+(TableWRRanks324236[[#This Row],[REC]]*0.5)</f>
        <v>190.33277416796162</v>
      </c>
      <c r="AQ46" s="58">
        <v>45</v>
      </c>
      <c r="AR46" s="58" t="str">
        <f>VLOOKUP(TableTERanks334337[[#This Row],[RK]],Rankings!A:AI,33,FALSE)</f>
        <v>Erick All</v>
      </c>
      <c r="AS46" s="58" t="str">
        <f>IFERROR(INDEX(TableTECalcPts[TM],MATCH(TableTERanks334337[[#This Row],[Player]],TableTECalcPts[PLAYER],0)),"")</f>
        <v>CIN</v>
      </c>
      <c r="AT46" s="58">
        <f>IFERROR(INDEX(TableTECalcPts[BYE],MATCH(TableTERanks334337[[#This Row],[Player]],TableTECalcPts[PLAYER],0)),"")</f>
        <v>6</v>
      </c>
      <c r="AU46" s="100">
        <f>VLOOKUP(TableTERanks334337[[#This Row],[Player]],TE!B:O,4,FALSE)</f>
        <v>21.512225000000001</v>
      </c>
      <c r="AV46" s="100">
        <f>VLOOKUP(TableTERanks334337[[#This Row],[Player]],TE!B:O,5,FALSE)</f>
        <v>17.265258896052632</v>
      </c>
      <c r="AW46" s="100">
        <f>VLOOKUP(TableTERanks334337[[#This Row],[Player]],TE!B:O,6,FALSE)</f>
        <v>164.53791727938159</v>
      </c>
      <c r="AX46" s="100">
        <f>VLOOKUP(TableTERanks334337[[#This Row],[Player]],TE!B:O,7,FALSE)</f>
        <v>0.93597049122807019</v>
      </c>
      <c r="AY46" s="95">
        <f>VLOOKUP(TableTERanks334337[[#This Row],[Player]],TE!B:O,11,FALSE)</f>
        <v>30.702244123332896</v>
      </c>
      <c r="AZ46" s="190">
        <f>TableTERanks334337[[#This Row],[FPS]]+(TableTERanks334337[[#This Row],[REC]]*0.5)</f>
        <v>39.334873571359211</v>
      </c>
    </row>
    <row r="47" spans="1:52" x14ac:dyDescent="0.25">
      <c r="A47" s="58">
        <v>46</v>
      </c>
      <c r="B47" s="58">
        <f>VLOOKUP(TableQBRanks304034[[#This Row],[RK]],Rankings!A:T,3,FALSE)</f>
        <v>0</v>
      </c>
      <c r="C47" s="58" t="str">
        <f>IFERROR(INDEX(TableQBCalcPts[TM],MATCH(TableQBRanks304034[[#This Row],[Player]],TableQBCalcPts[PLAYER],0)),"")</f>
        <v/>
      </c>
      <c r="D47" s="58" t="str">
        <f>IFERROR(INDEX(TableQBCalcPts[BYE],MATCH(TableQBRanks304034[[#This Row],[Player]],TableQBCalcPts[PLAYER],0)),"")</f>
        <v/>
      </c>
      <c r="E47" s="100">
        <f>VLOOKUP(TableQBRanks304034[[#This Row],[Player]],QB!B:O,4,FALSE)</f>
        <v>0</v>
      </c>
      <c r="F47" s="100">
        <f>VLOOKUP(TableQBRanks304034[[#This Row],[Player]],QB!B:O,5,FALSE)</f>
        <v>0</v>
      </c>
      <c r="G47" s="100">
        <f>VLOOKUP(TableQBRanks304034[[#This Row],[Player]],QB!B:O,6,FALSE)</f>
        <v>0</v>
      </c>
      <c r="H47" s="100">
        <f>VLOOKUP(TableQBRanks304034[[#This Row],[Player]],QB!B:O,7,FALSE)</f>
        <v>0</v>
      </c>
      <c r="I47" s="100">
        <f>VLOOKUP(TableQBRanks304034[[#This Row],[Player]],QB!B:O,8,FALSE)</f>
        <v>0</v>
      </c>
      <c r="J47" s="100">
        <f>VLOOKUP(TableQBRanks304034[[#This Row],[Player]],QB!B:O,9,FALSE)</f>
        <v>0</v>
      </c>
      <c r="K47" s="100">
        <f>VLOOKUP(TableQBRanks304034[[#This Row],[Player]],QB!B:O,10,FALSE)</f>
        <v>0</v>
      </c>
      <c r="L47" s="100">
        <f>VLOOKUP(TableQBRanks304034[[#This Row],[Player]],QB!B:O,11,FALSE)</f>
        <v>0</v>
      </c>
      <c r="M47" s="95">
        <f>VLOOKUP(TableQBRanks304034[[#This Row],[Player]],QB!B:O,13,FALSE)</f>
        <v>0</v>
      </c>
      <c r="N47" s="140" t="e">
        <f>IF(VLOOKUP(TableQBRanks304034[[#This Row],[Player]],'Ranks w Proj'!$B:$N,13,FALSE)&lt;0,0,VLOOKUP(TableQBRanks304034[[#This Row],[Player]],'Ranks w Proj'!$B:$N,13,FALSE))</f>
        <v>#N/A</v>
      </c>
      <c r="P47" s="58">
        <v>46</v>
      </c>
      <c r="Q47" s="58" t="str">
        <f>VLOOKUP(TableRBRanks314135[[#This Row],[RK]],Rankings!A:AI,23,FALSE)</f>
        <v>Emanuel Wilson</v>
      </c>
      <c r="R47" s="58" t="str">
        <f>IFERROR(INDEX(TableRBCalcPts[TM],MATCH(TableRBRanks314135[[#This Row],[Player]],TableRBCalcPts[PLAYER],0)),"")</f>
        <v>SEA</v>
      </c>
      <c r="S47" s="58">
        <f>IFERROR(INDEX(TableRBCalcPts[BYE],MATCH(TableRBRanks314135[[#This Row],[Player]],TableRBCalcPts[PLAYER],0)),"")</f>
        <v>11</v>
      </c>
      <c r="T47" s="100">
        <f>VLOOKUP(TableRBRanks314135[[#This Row],[Player]],RB!B:O,4,FALSE)</f>
        <v>130.78117309589214</v>
      </c>
      <c r="U47" s="100">
        <f>VLOOKUP(TableRBRanks314135[[#This Row],[Player]],RB!B:O,5,FALSE)</f>
        <v>564.97466777425404</v>
      </c>
      <c r="V47" s="100">
        <f>VLOOKUP(TableRBRanks314135[[#This Row],[Player]],RB!B:O,6,FALSE)</f>
        <v>4.7081222314521165</v>
      </c>
      <c r="W47" s="100">
        <f>VLOOKUP(TableRBRanks314135[[#This Row],[Player]],RB!B:O,7,FALSE)</f>
        <v>23.72218968</v>
      </c>
      <c r="X47" s="100">
        <f>VLOOKUP(TableRBRanks314135[[#This Row],[Player]],RB!B:O,8,FALSE)</f>
        <v>18.266086053599999</v>
      </c>
      <c r="Y47" s="100">
        <f>VLOOKUP(TableRBRanks314135[[#This Row],[Player]],RB!B:O,9,FALSE)</f>
        <v>148.68594047630401</v>
      </c>
      <c r="Z47" s="100">
        <f>VLOOKUP(TableRBRanks314135[[#This Row],[Player]],RB!B:O,10,FALSE)</f>
        <v>0.8037077863583999</v>
      </c>
      <c r="AA47" s="95">
        <f>VLOOKUP(TableRBRanks314135[[#This Row],[Player]],RB!B:O,14,FALSE)</f>
        <v>113.57008395871891</v>
      </c>
      <c r="AB47" s="190">
        <f>TableRBRanks314135[[#This Row],[FPS]]+(TableRBRanks314135[[#This Row],[REC]]*0.5)</f>
        <v>122.70312698551891</v>
      </c>
      <c r="AD47" s="58">
        <v>46</v>
      </c>
      <c r="AE47" s="58" t="str">
        <f>VLOOKUP(TableWRRanks324236[[#This Row],[RK]],Rankings!A:AI,28,FALSE)</f>
        <v>Deebo Samuel</v>
      </c>
      <c r="AF47" s="58" t="str">
        <f>IFERROR(INDEX(TableWRCalcPts[TM],MATCH(TableWRRanks324236[[#This Row],[Player]],TableWRCalcPts[PLAYER],0)),"")</f>
        <v>SF</v>
      </c>
      <c r="AG47" s="58">
        <f>IFERROR(INDEX(TableWRCalcPts[BYE],MATCH(TableWRRanks324236[[#This Row],[Player]],TableWRCalcPts[PLAYER],0)),"")</f>
        <v>8</v>
      </c>
      <c r="AH47" s="100">
        <f>VLOOKUP(TableWRRanks324236[[#This Row],[Player]],WR!B:O,4,FALSE)</f>
        <v>14.2321676</v>
      </c>
      <c r="AI47" s="100">
        <f>VLOOKUP(TableWRRanks324236[[#This Row],[Player]],WR!B:O,5,FALSE)</f>
        <v>2.904524E-2</v>
      </c>
      <c r="AJ47" s="100">
        <f>VLOOKUP(TableWRRanks324236[[#This Row],[Player]],WR!B:O,6,FALSE)</f>
        <v>99.851525760000001</v>
      </c>
      <c r="AK47" s="100">
        <f>VLOOKUP(TableWRRanks324236[[#This Row],[Player]],WR!B:O,7,FALSE)</f>
        <v>65.003343269760009</v>
      </c>
      <c r="AL47" s="100">
        <f>VLOOKUP(TableWRRanks324236[[#This Row],[Player]],WR!B:O,8,FALSE)</f>
        <v>900.94633771887368</v>
      </c>
      <c r="AM47" s="100">
        <f>VLOOKUP(TableWRRanks324236[[#This Row],[Player]],WR!B:O,9,FALSE)</f>
        <v>4.4202273423436811</v>
      </c>
      <c r="AN47" s="95">
        <f>VLOOKUP(TableWRRanks324236[[#This Row],[Player]],WR!B:O,13,FALSE)</f>
        <v>150.71515766082945</v>
      </c>
      <c r="AO47" s="190">
        <f>TableWRRanks324236[[#This Row],[FPS]]+(TableWRRanks324236[[#This Row],[REC]]*0.5)</f>
        <v>183.21682929570946</v>
      </c>
      <c r="AQ47" s="58">
        <v>46</v>
      </c>
      <c r="AR47" s="58" t="str">
        <f>VLOOKUP(TableTERanks334337[[#This Row],[RK]],Rankings!A:AI,33,FALSE)</f>
        <v>Theo Johnson</v>
      </c>
      <c r="AS47" s="58" t="str">
        <f>IFERROR(INDEX(TableTECalcPts[TM],MATCH(TableTERanks334337[[#This Row],[Player]],TableTECalcPts[PLAYER],0)),"")</f>
        <v>NYG</v>
      </c>
      <c r="AT47" s="58">
        <f>IFERROR(INDEX(TableTECalcPts[BYE],MATCH(TableTERanks334337[[#This Row],[Player]],TableTECalcPts[PLAYER],0)),"")</f>
        <v>8</v>
      </c>
      <c r="AU47" s="100">
        <f>VLOOKUP(TableTERanks334337[[#This Row],[Player]],TE!B:O,4,FALSE)</f>
        <v>30.653966840000002</v>
      </c>
      <c r="AV47" s="100">
        <f>VLOOKUP(TableTERanks334337[[#This Row],[Player]],TE!B:O,5,FALSE)</f>
        <v>20.292926048080002</v>
      </c>
      <c r="AW47" s="100">
        <f>VLOOKUP(TableTERanks334337[[#This Row],[Player]],TE!B:O,6,FALSE)</f>
        <v>217.47903885757958</v>
      </c>
      <c r="AX47" s="100">
        <f>VLOOKUP(TableTERanks334337[[#This Row],[Player]],TE!B:O,7,FALSE)</f>
        <v>1.521969453606</v>
      </c>
      <c r="AY47" s="95">
        <f>VLOOKUP(TableTERanks334337[[#This Row],[Player]],TE!B:O,11,FALSE)</f>
        <v>41.026183631433959</v>
      </c>
      <c r="AZ47" s="190">
        <f>TableTERanks334337[[#This Row],[FPS]]+(TableTERanks334337[[#This Row],[REC]]*0.5)</f>
        <v>51.172646655473962</v>
      </c>
    </row>
    <row r="48" spans="1:52" x14ac:dyDescent="0.25">
      <c r="A48" s="58">
        <v>47</v>
      </c>
      <c r="B48" s="58">
        <f>VLOOKUP(TableQBRanks304034[[#This Row],[RK]],Rankings!A:T,3,FALSE)</f>
        <v>0</v>
      </c>
      <c r="C48" s="58" t="str">
        <f>IFERROR(INDEX(TableQBCalcPts[TM],MATCH(TableQBRanks304034[[#This Row],[Player]],TableQBCalcPts[PLAYER],0)),"")</f>
        <v/>
      </c>
      <c r="D48" s="58" t="str">
        <f>IFERROR(INDEX(TableQBCalcPts[BYE],MATCH(TableQBRanks304034[[#This Row],[Player]],TableQBCalcPts[PLAYER],0)),"")</f>
        <v/>
      </c>
      <c r="E48" s="100">
        <f>VLOOKUP(TableQBRanks304034[[#This Row],[Player]],QB!B:O,4,FALSE)</f>
        <v>0</v>
      </c>
      <c r="F48" s="100">
        <f>VLOOKUP(TableQBRanks304034[[#This Row],[Player]],QB!B:O,5,FALSE)</f>
        <v>0</v>
      </c>
      <c r="G48" s="100">
        <f>VLOOKUP(TableQBRanks304034[[#This Row],[Player]],QB!B:O,6,FALSE)</f>
        <v>0</v>
      </c>
      <c r="H48" s="100">
        <f>VLOOKUP(TableQBRanks304034[[#This Row],[Player]],QB!B:O,7,FALSE)</f>
        <v>0</v>
      </c>
      <c r="I48" s="100">
        <f>VLOOKUP(TableQBRanks304034[[#This Row],[Player]],QB!B:O,8,FALSE)</f>
        <v>0</v>
      </c>
      <c r="J48" s="100">
        <f>VLOOKUP(TableQBRanks304034[[#This Row],[Player]],QB!B:O,9,FALSE)</f>
        <v>0</v>
      </c>
      <c r="K48" s="100">
        <f>VLOOKUP(TableQBRanks304034[[#This Row],[Player]],QB!B:O,10,FALSE)</f>
        <v>0</v>
      </c>
      <c r="L48" s="100">
        <f>VLOOKUP(TableQBRanks304034[[#This Row],[Player]],QB!B:O,11,FALSE)</f>
        <v>0</v>
      </c>
      <c r="M48" s="95">
        <f>VLOOKUP(TableQBRanks304034[[#This Row],[Player]],QB!B:O,13,FALSE)</f>
        <v>0</v>
      </c>
      <c r="N48" s="140" t="e">
        <f>IF(VLOOKUP(TableQBRanks304034[[#This Row],[Player]],'Ranks w Proj'!$B:$N,13,FALSE)&lt;0,0,VLOOKUP(TableQBRanks304034[[#This Row],[Player]],'Ranks w Proj'!$B:$N,13,FALSE))</f>
        <v>#N/A</v>
      </c>
      <c r="P48" s="58">
        <v>47</v>
      </c>
      <c r="Q48" s="58" t="str">
        <f>VLOOKUP(TableRBRanks314135[[#This Row],[RK]],Rankings!A:AI,23,FALSE)</f>
        <v>Chris Rodriguez</v>
      </c>
      <c r="R48" s="58" t="str">
        <f>IFERROR(INDEX(TableRBCalcPts[TM],MATCH(TableRBRanks314135[[#This Row],[Player]],TableRBCalcPts[PLAYER],0)),"")</f>
        <v>JAX</v>
      </c>
      <c r="S48" s="58">
        <f>IFERROR(INDEX(TableRBCalcPts[BYE],MATCH(TableRBRanks314135[[#This Row],[Player]],TableRBCalcPts[PLAYER],0)),"")</f>
        <v>7</v>
      </c>
      <c r="T48" s="100">
        <f>VLOOKUP(TableRBRanks314135[[#This Row],[Player]],RB!B:O,4,FALSE)</f>
        <v>134.17532309999999</v>
      </c>
      <c r="U48" s="100">
        <f>VLOOKUP(TableRBRanks314135[[#This Row],[Player]],RB!B:O,5,FALSE)</f>
        <v>554.14408440299997</v>
      </c>
      <c r="V48" s="100">
        <f>VLOOKUP(TableRBRanks314135[[#This Row],[Player]],RB!B:O,6,FALSE)</f>
        <v>4.964486954699999</v>
      </c>
      <c r="W48" s="100">
        <f>VLOOKUP(TableRBRanks314135[[#This Row],[Player]],RB!B:O,7,FALSE)</f>
        <v>14.551500600000001</v>
      </c>
      <c r="X48" s="100">
        <f>VLOOKUP(TableRBRanks314135[[#This Row],[Player]],RB!B:O,8,FALSE)</f>
        <v>10.098741416399999</v>
      </c>
      <c r="Y48" s="100">
        <f>VLOOKUP(TableRBRanks314135[[#This Row],[Player]],RB!B:O,9,FALSE)</f>
        <v>68.62928965127324</v>
      </c>
      <c r="Z48" s="100">
        <f>VLOOKUP(TableRBRanks314135[[#This Row],[Player]],RB!B:O,10,FALSE)</f>
        <v>0.30296224249199999</v>
      </c>
      <c r="AA48" s="95">
        <f>VLOOKUP(TableRBRanks314135[[#This Row],[Player]],RB!B:O,14,FALSE)</f>
        <v>98.931403296779322</v>
      </c>
      <c r="AB48" s="190">
        <f>TableRBRanks314135[[#This Row],[FPS]]+(TableRBRanks314135[[#This Row],[REC]]*0.5)</f>
        <v>103.98077400497932</v>
      </c>
      <c r="AD48" s="58">
        <v>47</v>
      </c>
      <c r="AE48" s="58" t="str">
        <f>VLOOKUP(TableWRRanks324236[[#This Row],[RK]],Rankings!A:AI,28,FALSE)</f>
        <v>Jerry Jeudy</v>
      </c>
      <c r="AF48" s="58" t="str">
        <f>IFERROR(INDEX(TableWRCalcPts[TM],MATCH(TableWRRanks324236[[#This Row],[Player]],TableWRCalcPts[PLAYER],0)),"")</f>
        <v>CLE</v>
      </c>
      <c r="AG48" s="58">
        <f>IFERROR(INDEX(TableWRCalcPts[BYE],MATCH(TableWRRanks324236[[#This Row],[Player]],TableWRCalcPts[PLAYER],0)),"")</f>
        <v>11</v>
      </c>
      <c r="AH48" s="100">
        <f>VLOOKUP(TableWRRanks324236[[#This Row],[Player]],WR!B:O,4,FALSE)</f>
        <v>0</v>
      </c>
      <c r="AI48" s="100">
        <f>VLOOKUP(TableWRRanks324236[[#This Row],[Player]],WR!B:O,5,FALSE)</f>
        <v>0</v>
      </c>
      <c r="AJ48" s="100">
        <f>VLOOKUP(TableWRRanks324236[[#This Row],[Player]],WR!B:O,6,FALSE)</f>
        <v>83.126735999999994</v>
      </c>
      <c r="AK48" s="100">
        <f>VLOOKUP(TableWRRanks324236[[#This Row],[Player]],WR!B:O,7,FALSE)</f>
        <v>45.054690911999998</v>
      </c>
      <c r="AL48" s="100">
        <f>VLOOKUP(TableWRRanks324236[[#This Row],[Player]],WR!B:O,8,FALSE)</f>
        <v>554.17269821759999</v>
      </c>
      <c r="AM48" s="100">
        <f>VLOOKUP(TableWRRanks324236[[#This Row],[Player]],WR!B:O,9,FALSE)</f>
        <v>2.8835002183679999</v>
      </c>
      <c r="AN48" s="95">
        <f>VLOOKUP(TableWRRanks324236[[#This Row],[Player]],WR!B:O,13,FALSE)</f>
        <v>95.245616587967987</v>
      </c>
      <c r="AO48" s="190">
        <f>TableWRRanks324236[[#This Row],[FPS]]+(TableWRRanks324236[[#This Row],[REC]]*0.5)</f>
        <v>117.77296204396799</v>
      </c>
      <c r="AQ48" s="58">
        <v>47</v>
      </c>
      <c r="AR48" s="58" t="str">
        <f>VLOOKUP(TableTERanks334337[[#This Row],[RK]],Rankings!A:AI,33,FALSE)</f>
        <v>Tommy Tremble</v>
      </c>
      <c r="AS48" s="58" t="str">
        <f>IFERROR(INDEX(TableTECalcPts[TM],MATCH(TableTERanks334337[[#This Row],[Player]],TableTECalcPts[PLAYER],0)),"")</f>
        <v>CAR</v>
      </c>
      <c r="AT48" s="58">
        <f>IFERROR(INDEX(TableTECalcPts[BYE],MATCH(TableTERanks334337[[#This Row],[Player]],TableTECalcPts[PLAYER],0)),"")</f>
        <v>5</v>
      </c>
      <c r="AU48" s="100">
        <f>VLOOKUP(TableTERanks334337[[#This Row],[Player]],TE!B:O,4,FALSE)</f>
        <v>32.846120999999997</v>
      </c>
      <c r="AV48" s="100">
        <f>VLOOKUP(TableTERanks334337[[#This Row],[Player]],TE!B:O,5,FALSE)</f>
        <v>23.583514877999995</v>
      </c>
      <c r="AW48" s="100">
        <f>VLOOKUP(TableTERanks334337[[#This Row],[Player]],TE!B:O,6,FALSE)</f>
        <v>189.37562447033994</v>
      </c>
      <c r="AX48" s="100">
        <f>VLOOKUP(TableTERanks334337[[#This Row],[Player]],TE!B:O,7,FALSE)</f>
        <v>1.7215965860939995</v>
      </c>
      <c r="AY48" s="95">
        <f>VLOOKUP(TableTERanks334337[[#This Row],[Player]],TE!B:O,11,FALSE)</f>
        <v>41.058899402597987</v>
      </c>
      <c r="AZ48" s="190">
        <f>TableTERanks334337[[#This Row],[FPS]]+(TableTERanks334337[[#This Row],[REC]]*0.5)</f>
        <v>52.850656841597981</v>
      </c>
    </row>
    <row r="49" spans="1:52" x14ac:dyDescent="0.25">
      <c r="A49" s="58">
        <v>48</v>
      </c>
      <c r="B49" s="58">
        <f>VLOOKUP(TableQBRanks304034[[#This Row],[RK]],Rankings!A:T,3,FALSE)</f>
        <v>0</v>
      </c>
      <c r="C49" s="58" t="str">
        <f>IFERROR(INDEX(TableQBCalcPts[TM],MATCH(TableQBRanks304034[[#This Row],[Player]],TableQBCalcPts[PLAYER],0)),"")</f>
        <v/>
      </c>
      <c r="D49" s="58" t="str">
        <f>IFERROR(INDEX(TableQBCalcPts[BYE],MATCH(TableQBRanks304034[[#This Row],[Player]],TableQBCalcPts[PLAYER],0)),"")</f>
        <v/>
      </c>
      <c r="E49" s="100">
        <f>VLOOKUP(TableQBRanks304034[[#This Row],[Player]],QB!B:O,4,FALSE)</f>
        <v>0</v>
      </c>
      <c r="F49" s="100">
        <f>VLOOKUP(TableQBRanks304034[[#This Row],[Player]],QB!B:O,5,FALSE)</f>
        <v>0</v>
      </c>
      <c r="G49" s="100">
        <f>VLOOKUP(TableQBRanks304034[[#This Row],[Player]],QB!B:O,6,FALSE)</f>
        <v>0</v>
      </c>
      <c r="H49" s="100">
        <f>VLOOKUP(TableQBRanks304034[[#This Row],[Player]],QB!B:O,7,FALSE)</f>
        <v>0</v>
      </c>
      <c r="I49" s="100">
        <f>VLOOKUP(TableQBRanks304034[[#This Row],[Player]],QB!B:O,8,FALSE)</f>
        <v>0</v>
      </c>
      <c r="J49" s="100">
        <f>VLOOKUP(TableQBRanks304034[[#This Row],[Player]],QB!B:O,9,FALSE)</f>
        <v>0</v>
      </c>
      <c r="K49" s="100">
        <f>VLOOKUP(TableQBRanks304034[[#This Row],[Player]],QB!B:O,10,FALSE)</f>
        <v>0</v>
      </c>
      <c r="L49" s="100">
        <f>VLOOKUP(TableQBRanks304034[[#This Row],[Player]],QB!B:O,11,FALSE)</f>
        <v>0</v>
      </c>
      <c r="M49" s="95">
        <f>VLOOKUP(TableQBRanks304034[[#This Row],[Player]],QB!B:O,13,FALSE)</f>
        <v>0</v>
      </c>
      <c r="N49" s="140" t="e">
        <f>IF(VLOOKUP(TableQBRanks304034[[#This Row],[Player]],'Ranks w Proj'!$B:$N,13,FALSE)&lt;0,0,VLOOKUP(TableQBRanks304034[[#This Row],[Player]],'Ranks w Proj'!$B:$N,13,FALSE))</f>
        <v>#N/A</v>
      </c>
      <c r="P49" s="58">
        <v>48</v>
      </c>
      <c r="Q49" s="58" t="str">
        <f>VLOOKUP(TableRBRanks314135[[#This Row],[RK]],Rankings!A:AI,23,FALSE)</f>
        <v>Dylan Sampson</v>
      </c>
      <c r="R49" s="58" t="str">
        <f>IFERROR(INDEX(TableRBCalcPts[TM],MATCH(TableRBRanks314135[[#This Row],[Player]],TableRBCalcPts[PLAYER],0)),"")</f>
        <v>CLE</v>
      </c>
      <c r="S49" s="58">
        <f>IFERROR(INDEX(TableRBCalcPts[BYE],MATCH(TableRBRanks314135[[#This Row],[Player]],TableRBCalcPts[PLAYER],0)),"")</f>
        <v>11</v>
      </c>
      <c r="T49" s="100">
        <f>VLOOKUP(TableRBRanks314135[[#This Row],[Player]],RB!B:O,4,FALSE)</f>
        <v>99.950004000000007</v>
      </c>
      <c r="U49" s="100">
        <f>VLOOKUP(TableRBRanks314135[[#This Row],[Player]],RB!B:O,5,FALSE)</f>
        <v>376.81151508000005</v>
      </c>
      <c r="V49" s="100">
        <f>VLOOKUP(TableRBRanks314135[[#This Row],[Player]],RB!B:O,6,FALSE)</f>
        <v>1.5263641160310031</v>
      </c>
      <c r="W49" s="100">
        <f>VLOOKUP(TableRBRanks314135[[#This Row],[Player]],RB!B:O,7,FALSE)</f>
        <v>38.099753999999997</v>
      </c>
      <c r="X49" s="100">
        <f>VLOOKUP(TableRBRanks314135[[#This Row],[Player]],RB!B:O,8,FALSE)</f>
        <v>28.612915253999997</v>
      </c>
      <c r="Y49" s="100">
        <f>VLOOKUP(TableRBRanks314135[[#This Row],[Player]],RB!B:O,9,FALSE)</f>
        <v>220.70434522354418</v>
      </c>
      <c r="Z49" s="100">
        <f>VLOOKUP(TableRBRanks314135[[#This Row],[Player]],RB!B:O,10,FALSE)</f>
        <v>1.3161941016839998</v>
      </c>
      <c r="AA49" s="95">
        <f>VLOOKUP(TableRBRanks314135[[#This Row],[Player]],RB!B:O,14,FALSE)</f>
        <v>91.113392963644444</v>
      </c>
      <c r="AB49" s="190">
        <f>TableRBRanks314135[[#This Row],[FPS]]+(TableRBRanks314135[[#This Row],[REC]]*0.5)</f>
        <v>105.41985059064444</v>
      </c>
      <c r="AD49" s="58">
        <v>48</v>
      </c>
      <c r="AE49" s="58" t="str">
        <f>VLOOKUP(TableWRRanks324236[[#This Row],[RK]],Rankings!A:AI,28,FALSE)</f>
        <v>Jayden Higgins</v>
      </c>
      <c r="AF49" s="58" t="str">
        <f>IFERROR(INDEX(TableWRCalcPts[TM],MATCH(TableWRRanks324236[[#This Row],[Player]],TableWRCalcPts[PLAYER],0)),"")</f>
        <v>HOU</v>
      </c>
      <c r="AG49" s="58">
        <f>IFERROR(INDEX(TableWRCalcPts[BYE],MATCH(TableWRRanks324236[[#This Row],[Player]],TableWRCalcPts[PLAYER],0)),"")</f>
        <v>8</v>
      </c>
      <c r="AH49" s="100">
        <f>VLOOKUP(TableWRRanks324236[[#This Row],[Player]],WR!B:O,4,FALSE)</f>
        <v>0</v>
      </c>
      <c r="AI49" s="100">
        <f>VLOOKUP(TableWRRanks324236[[#This Row],[Player]],WR!B:O,5,FALSE)</f>
        <v>0</v>
      </c>
      <c r="AJ49" s="100">
        <f>VLOOKUP(TableWRRanks324236[[#This Row],[Player]],WR!B:O,6,FALSE)</f>
        <v>111.71266469999999</v>
      </c>
      <c r="AK49" s="100">
        <f>VLOOKUP(TableWRRanks324236[[#This Row],[Player]],WR!B:O,7,FALSE)</f>
        <v>67.474449478799997</v>
      </c>
      <c r="AL49" s="100">
        <f>VLOOKUP(TableWRRanks324236[[#This Row],[Player]],WR!B:O,8,FALSE)</f>
        <v>843.43061848499997</v>
      </c>
      <c r="AM49" s="100">
        <f>VLOOKUP(TableWRRanks324236[[#This Row],[Player]],WR!B:O,9,FALSE)</f>
        <v>5.7353282056979999</v>
      </c>
      <c r="AN49" s="95">
        <f>VLOOKUP(TableWRRanks324236[[#This Row],[Player]],WR!B:O,13,FALSE)</f>
        <v>152.492255822088</v>
      </c>
      <c r="AO49" s="190">
        <f>TableWRRanks324236[[#This Row],[FPS]]+(TableWRRanks324236[[#This Row],[REC]]*0.5)</f>
        <v>186.229480561488</v>
      </c>
      <c r="AQ49" s="58">
        <v>48</v>
      </c>
      <c r="AR49" s="58" t="str">
        <f>VLOOKUP(TableTERanks334337[[#This Row],[RK]],Rankings!A:AI,33,FALSE)</f>
        <v>Will Kacmarek</v>
      </c>
      <c r="AS49" s="58" t="str">
        <f>IFERROR(INDEX(TableTECalcPts[TM],MATCH(TableTERanks334337[[#This Row],[Player]],TableTECalcPts[PLAYER],0)),"")</f>
        <v>MIA</v>
      </c>
      <c r="AT49" s="58">
        <f>IFERROR(INDEX(TableTECalcPts[BYE],MATCH(TableTERanks334337[[#This Row],[Player]],TableTECalcPts[PLAYER],0)),"")</f>
        <v>6</v>
      </c>
      <c r="AU49" s="100">
        <f>VLOOKUP(TableTERanks334337[[#This Row],[Player]],TE!B:O,4,FALSE)</f>
        <v>16.743200039999998</v>
      </c>
      <c r="AV49" s="100">
        <f>VLOOKUP(TableTERanks334337[[#This Row],[Player]],TE!B:O,5,FALSE)</f>
        <v>11.54568326162553</v>
      </c>
      <c r="AW49" s="100">
        <f>VLOOKUP(TableTERanks334337[[#This Row],[Player]],TE!B:O,6,FALSE)</f>
        <v>119.84419225567302</v>
      </c>
      <c r="AX49" s="100">
        <f>VLOOKUP(TableTERanks334337[[#This Row],[Player]],TE!B:O,7,FALSE)</f>
        <v>0.69585214350638291</v>
      </c>
      <c r="AY49" s="95">
        <f>VLOOKUP(TableTERanks334337[[#This Row],[Player]],TE!B:O,11,FALSE)</f>
        <v>21.932373717418365</v>
      </c>
      <c r="AZ49" s="190">
        <f>TableTERanks334337[[#This Row],[FPS]]+(TableTERanks334337[[#This Row],[REC]]*0.5)</f>
        <v>27.705215348231128</v>
      </c>
    </row>
    <row r="50" spans="1:52" x14ac:dyDescent="0.25">
      <c r="A50" s="58">
        <v>49</v>
      </c>
      <c r="B50" s="58">
        <f>VLOOKUP(TableQBRanks304034[[#This Row],[RK]],Rankings!A:T,3,FALSE)</f>
        <v>0</v>
      </c>
      <c r="C50" s="58" t="str">
        <f>IFERROR(INDEX(TableQBCalcPts[TM],MATCH(TableQBRanks304034[[#This Row],[Player]],TableQBCalcPts[PLAYER],0)),"")</f>
        <v/>
      </c>
      <c r="D50" s="58" t="str">
        <f>IFERROR(INDEX(TableQBCalcPts[BYE],MATCH(TableQBRanks304034[[#This Row],[Player]],TableQBCalcPts[PLAYER],0)),"")</f>
        <v/>
      </c>
      <c r="E50" s="100">
        <f>VLOOKUP(TableQBRanks304034[[#This Row],[Player]],QB!B:O,4,FALSE)</f>
        <v>0</v>
      </c>
      <c r="F50" s="100">
        <f>VLOOKUP(TableQBRanks304034[[#This Row],[Player]],QB!B:O,5,FALSE)</f>
        <v>0</v>
      </c>
      <c r="G50" s="100">
        <f>VLOOKUP(TableQBRanks304034[[#This Row],[Player]],QB!B:O,6,FALSE)</f>
        <v>0</v>
      </c>
      <c r="H50" s="100">
        <f>VLOOKUP(TableQBRanks304034[[#This Row],[Player]],QB!B:O,7,FALSE)</f>
        <v>0</v>
      </c>
      <c r="I50" s="100">
        <f>VLOOKUP(TableQBRanks304034[[#This Row],[Player]],QB!B:O,8,FALSE)</f>
        <v>0</v>
      </c>
      <c r="J50" s="100">
        <f>VLOOKUP(TableQBRanks304034[[#This Row],[Player]],QB!B:O,9,FALSE)</f>
        <v>0</v>
      </c>
      <c r="K50" s="100">
        <f>VLOOKUP(TableQBRanks304034[[#This Row],[Player]],QB!B:O,10,FALSE)</f>
        <v>0</v>
      </c>
      <c r="L50" s="100">
        <f>VLOOKUP(TableQBRanks304034[[#This Row],[Player]],QB!B:O,11,FALSE)</f>
        <v>0</v>
      </c>
      <c r="M50" s="95">
        <f>VLOOKUP(TableQBRanks304034[[#This Row],[Player]],QB!B:O,13,FALSE)</f>
        <v>0</v>
      </c>
      <c r="N50" s="140" t="e">
        <f>IF(VLOOKUP(TableQBRanks304034[[#This Row],[Player]],'Ranks w Proj'!$B:$N,13,FALSE)&lt;0,0,VLOOKUP(TableQBRanks304034[[#This Row],[Player]],'Ranks w Proj'!$B:$N,13,FALSE))</f>
        <v>#N/A</v>
      </c>
      <c r="P50" s="58">
        <v>49</v>
      </c>
      <c r="Q50" s="58" t="str">
        <f>VLOOKUP(TableRBRanks314135[[#This Row],[RK]],Rankings!A:AI,23,FALSE)</f>
        <v>Braelon Allen</v>
      </c>
      <c r="R50" s="58" t="str">
        <f>IFERROR(INDEX(TableRBCalcPts[TM],MATCH(TableRBRanks314135[[#This Row],[Player]],TableRBCalcPts[PLAYER],0)),"")</f>
        <v>NYJ</v>
      </c>
      <c r="S50" s="58">
        <f>IFERROR(INDEX(TableRBCalcPts[BYE],MATCH(TableRBRanks314135[[#This Row],[Player]],TableRBCalcPts[PLAYER],0)),"")</f>
        <v>13</v>
      </c>
      <c r="T50" s="100">
        <f>VLOOKUP(TableRBRanks314135[[#This Row],[Player]],RB!B:O,4,FALSE)</f>
        <v>118.27602360000002</v>
      </c>
      <c r="U50" s="100">
        <f>VLOOKUP(TableRBRanks314135[[#This Row],[Player]],RB!B:O,5,FALSE)</f>
        <v>507.40414124400007</v>
      </c>
      <c r="V50" s="100">
        <f>VLOOKUP(TableRBRanks314135[[#This Row],[Player]],RB!B:O,6,FALSE)</f>
        <v>4.139660826000001</v>
      </c>
      <c r="W50" s="100">
        <f>VLOOKUP(TableRBRanks314135[[#This Row],[Player]],RB!B:O,7,FALSE)</f>
        <v>17.421916693702357</v>
      </c>
      <c r="X50" s="100">
        <f>VLOOKUP(TableRBRanks314135[[#This Row],[Player]],RB!B:O,8,FALSE)</f>
        <v>12.926632015944589</v>
      </c>
      <c r="Y50" s="100">
        <f>VLOOKUP(TableRBRanks314135[[#This Row],[Player]],RB!B:O,9,FALSE)</f>
        <v>99.888236735255546</v>
      </c>
      <c r="Z50" s="100">
        <f>VLOOKUP(TableRBRanks314135[[#This Row],[Player]],RB!B:O,10,FALSE)</f>
        <v>0.26240417736193672</v>
      </c>
      <c r="AA50" s="95">
        <f>VLOOKUP(TableRBRanks314135[[#This Row],[Player]],RB!B:O,14,FALSE)</f>
        <v>93.604943826069501</v>
      </c>
      <c r="AB50" s="190">
        <f>TableRBRanks314135[[#This Row],[FPS]]+(TableRBRanks314135[[#This Row],[REC]]*0.5)</f>
        <v>100.0682598340418</v>
      </c>
      <c r="AD50" s="58">
        <v>49</v>
      </c>
      <c r="AE50" s="58" t="str">
        <f>VLOOKUP(TableWRRanks324236[[#This Row],[RK]],Rankings!A:AI,28,FALSE)</f>
        <v>Jayden Reed</v>
      </c>
      <c r="AF50" s="58" t="str">
        <f>IFERROR(INDEX(TableWRCalcPts[TM],MATCH(TableWRRanks324236[[#This Row],[Player]],TableWRCalcPts[PLAYER],0)),"")</f>
        <v>GB</v>
      </c>
      <c r="AG50" s="58">
        <f>IFERROR(INDEX(TableWRCalcPts[BYE],MATCH(TableWRRanks324236[[#This Row],[Player]],TableWRCalcPts[PLAYER],0)),"")</f>
        <v>11</v>
      </c>
      <c r="AH50" s="100">
        <f>VLOOKUP(TableWRRanks324236[[#This Row],[Player]],WR!B:O,4,FALSE)</f>
        <v>103.7772294035012</v>
      </c>
      <c r="AI50" s="100">
        <f>VLOOKUP(TableWRRanks324236[[#This Row],[Player]],WR!B:O,5,FALSE)</f>
        <v>0.56593353600000007</v>
      </c>
      <c r="AJ50" s="100">
        <f>VLOOKUP(TableWRRanks324236[[#This Row],[Player]],WR!B:O,6,FALSE)</f>
        <v>89.223970974874362</v>
      </c>
      <c r="AK50" s="100">
        <f>VLOOKUP(TableWRRanks324236[[#This Row],[Player]],WR!B:O,7,FALSE)</f>
        <v>61.022436755073535</v>
      </c>
      <c r="AL50" s="100">
        <f>VLOOKUP(TableWRRanks324236[[#This Row],[Player]],WR!B:O,8,FALSE)</f>
        <v>746.91462588210004</v>
      </c>
      <c r="AM50" s="100">
        <f>VLOOKUP(TableWRRanks324236[[#This Row],[Player]],WR!B:O,9,FALSE)</f>
        <v>5.0038398139160298</v>
      </c>
      <c r="AN50" s="95">
        <f>VLOOKUP(TableWRRanks324236[[#This Row],[Player]],WR!B:O,13,FALSE)</f>
        <v>148.99904400559308</v>
      </c>
      <c r="AO50" s="190">
        <f>TableWRRanks324236[[#This Row],[FPS]]+(TableWRRanks324236[[#This Row],[REC]]*0.5)</f>
        <v>179.51026238312986</v>
      </c>
      <c r="AQ50" s="58">
        <v>49</v>
      </c>
      <c r="AR50" s="58" t="str">
        <f>VLOOKUP(TableTERanks334337[[#This Row],[RK]],Rankings!A:AI,33,FALSE)</f>
        <v>Luke Musgrave</v>
      </c>
      <c r="AS50" s="58" t="str">
        <f>IFERROR(INDEX(TableTECalcPts[TM],MATCH(TableTERanks334337[[#This Row],[Player]],TableTECalcPts[PLAYER],0)),"")</f>
        <v>GB</v>
      </c>
      <c r="AT50" s="58">
        <f>IFERROR(INDEX(TableTECalcPts[BYE],MATCH(TableTERanks334337[[#This Row],[Player]],TableTECalcPts[PLAYER],0)),"")</f>
        <v>11</v>
      </c>
      <c r="AU50" s="100">
        <f>VLOOKUP(TableTERanks334337[[#This Row],[Player]],TE!B:O,4,FALSE)</f>
        <v>20.871104321608037</v>
      </c>
      <c r="AV50" s="100">
        <f>VLOOKUP(TableTERanks334337[[#This Row],[Player]],TE!B:O,5,FALSE)</f>
        <v>16.279461370854268</v>
      </c>
      <c r="AW50" s="100">
        <f>VLOOKUP(TableTERanks334337[[#This Row],[Player]],TE!B:O,6,FALSE)</f>
        <v>157.70550039039088</v>
      </c>
      <c r="AX50" s="100">
        <f>VLOOKUP(TableTERanks334337[[#This Row],[Player]],TE!B:O,7,FALSE)</f>
        <v>0.97676768225125599</v>
      </c>
      <c r="AY50" s="95">
        <f>VLOOKUP(TableTERanks334337[[#This Row],[Player]],TE!B:O,11,FALSE)</f>
        <v>29.770886817973757</v>
      </c>
      <c r="AZ50" s="190">
        <f>TableTERanks334337[[#This Row],[FPS]]+(TableTERanks334337[[#This Row],[REC]]*0.5)</f>
        <v>37.910617503400893</v>
      </c>
    </row>
    <row r="51" spans="1:52" x14ac:dyDescent="0.25">
      <c r="A51" s="58">
        <v>50</v>
      </c>
      <c r="B51" s="58">
        <f>VLOOKUP(TableQBRanks304034[[#This Row],[RK]],Rankings!A:T,3,FALSE)</f>
        <v>0</v>
      </c>
      <c r="C51" s="58" t="str">
        <f>IFERROR(INDEX(TableQBCalcPts[TM],MATCH(TableQBRanks304034[[#This Row],[Player]],TableQBCalcPts[PLAYER],0)),"")</f>
        <v/>
      </c>
      <c r="D51" s="58" t="str">
        <f>IFERROR(INDEX(TableQBCalcPts[BYE],MATCH(TableQBRanks304034[[#This Row],[Player]],TableQBCalcPts[PLAYER],0)),"")</f>
        <v/>
      </c>
      <c r="E51" s="100">
        <f>VLOOKUP(TableQBRanks304034[[#This Row],[Player]],QB!B:O,4,FALSE)</f>
        <v>0</v>
      </c>
      <c r="F51" s="100">
        <f>VLOOKUP(TableQBRanks304034[[#This Row],[Player]],QB!B:O,5,FALSE)</f>
        <v>0</v>
      </c>
      <c r="G51" s="100">
        <f>VLOOKUP(TableQBRanks304034[[#This Row],[Player]],QB!B:O,6,FALSE)</f>
        <v>0</v>
      </c>
      <c r="H51" s="100">
        <f>VLOOKUP(TableQBRanks304034[[#This Row],[Player]],QB!B:O,7,FALSE)</f>
        <v>0</v>
      </c>
      <c r="I51" s="100">
        <f>VLOOKUP(TableQBRanks304034[[#This Row],[Player]],QB!B:O,8,FALSE)</f>
        <v>0</v>
      </c>
      <c r="J51" s="100">
        <f>VLOOKUP(TableQBRanks304034[[#This Row],[Player]],QB!B:O,9,FALSE)</f>
        <v>0</v>
      </c>
      <c r="K51" s="100">
        <f>VLOOKUP(TableQBRanks304034[[#This Row],[Player]],QB!B:O,10,FALSE)</f>
        <v>0</v>
      </c>
      <c r="L51" s="100">
        <f>VLOOKUP(TableQBRanks304034[[#This Row],[Player]],QB!B:O,11,FALSE)</f>
        <v>0</v>
      </c>
      <c r="M51" s="95">
        <f>VLOOKUP(TableQBRanks304034[[#This Row],[Player]],QB!B:O,13,FALSE)</f>
        <v>0</v>
      </c>
      <c r="N51" s="140" t="e">
        <f>IF(VLOOKUP(TableQBRanks304034[[#This Row],[Player]],'Ranks w Proj'!$B:$N,13,FALSE)&lt;0,0,VLOOKUP(TableQBRanks304034[[#This Row],[Player]],'Ranks w Proj'!$B:$N,13,FALSE))</f>
        <v>#N/A</v>
      </c>
      <c r="P51" s="58">
        <v>50</v>
      </c>
      <c r="Q51" s="58" t="str">
        <f>VLOOKUP(TableRBRanks314135[[#This Row],[RK]],Rankings!A:AI,23,FALSE)</f>
        <v>Woody Marks</v>
      </c>
      <c r="R51" s="58" t="str">
        <f>IFERROR(INDEX(TableRBCalcPts[TM],MATCH(TableRBRanks314135[[#This Row],[Player]],TableRBCalcPts[PLAYER],0)),"")</f>
        <v>HOU</v>
      </c>
      <c r="S51" s="58">
        <f>IFERROR(INDEX(TableRBCalcPts[BYE],MATCH(TableRBRanks314135[[#This Row],[Player]],TableRBCalcPts[PLAYER],0)),"")</f>
        <v>8</v>
      </c>
      <c r="T51" s="100">
        <f>VLOOKUP(TableRBRanks314135[[#This Row],[Player]],RB!B:O,4,FALSE)</f>
        <v>111.99860224000001</v>
      </c>
      <c r="U51" s="100">
        <f>VLOOKUP(TableRBRanks314135[[#This Row],[Player]],RB!B:O,5,FALSE)</f>
        <v>434.55457669120005</v>
      </c>
      <c r="V51" s="100">
        <f>VLOOKUP(TableRBRanks314135[[#This Row],[Player]],RB!B:O,6,FALSE)</f>
        <v>3.2479594649600005</v>
      </c>
      <c r="W51" s="100">
        <f>VLOOKUP(TableRBRanks314135[[#This Row],[Player]],RB!B:O,7,FALSE)</f>
        <v>32.081585759999996</v>
      </c>
      <c r="X51" s="100">
        <f>VLOOKUP(TableRBRanks314135[[#This Row],[Player]],RB!B:O,8,FALSE)</f>
        <v>22.427235116159999</v>
      </c>
      <c r="Y51" s="100">
        <f>VLOOKUP(TableRBRanks314135[[#This Row],[Player]],RB!B:O,9,FALSE)</f>
        <v>165.96153985958401</v>
      </c>
      <c r="Z51" s="100">
        <f>VLOOKUP(TableRBRanks314135[[#This Row],[Player]],RB!B:O,10,FALSE)</f>
        <v>0.71767152371711995</v>
      </c>
      <c r="AA51" s="95">
        <f>VLOOKUP(TableRBRanks314135[[#This Row],[Player]],RB!B:O,14,FALSE)</f>
        <v>95.059015145221139</v>
      </c>
      <c r="AB51" s="190">
        <f>TableRBRanks314135[[#This Row],[FPS]]+(TableRBRanks314135[[#This Row],[REC]]*0.5)</f>
        <v>106.27263270330114</v>
      </c>
      <c r="AD51" s="58">
        <v>50</v>
      </c>
      <c r="AE51" s="58" t="str">
        <f>VLOOKUP(TableWRRanks324236[[#This Row],[RK]],Rankings!A:AI,28,FALSE)</f>
        <v>Romeo Doubs</v>
      </c>
      <c r="AF51" s="58" t="str">
        <f>IFERROR(INDEX(TableWRCalcPts[TM],MATCH(TableWRRanks324236[[#This Row],[Player]],TableWRCalcPts[PLAYER],0)),"")</f>
        <v>NE</v>
      </c>
      <c r="AG51" s="58">
        <f>IFERROR(INDEX(TableWRCalcPts[BYE],MATCH(TableWRRanks324236[[#This Row],[Player]],TableWRCalcPts[PLAYER],0)),"")</f>
        <v>11</v>
      </c>
      <c r="AH51" s="100">
        <f>VLOOKUP(TableWRRanks324236[[#This Row],[Player]],WR!B:O,4,FALSE)</f>
        <v>0</v>
      </c>
      <c r="AI51" s="100">
        <f>VLOOKUP(TableWRRanks324236[[#This Row],[Player]],WR!B:O,5,FALSE)</f>
        <v>0</v>
      </c>
      <c r="AJ51" s="100">
        <f>VLOOKUP(TableWRRanks324236[[#This Row],[Player]],WR!B:O,6,FALSE)</f>
        <v>84.533868999999967</v>
      </c>
      <c r="AK51" s="100">
        <f>VLOOKUP(TableWRRanks324236[[#This Row],[Player]],WR!B:O,7,FALSE)</f>
        <v>53.002735862999977</v>
      </c>
      <c r="AL51" s="100">
        <f>VLOOKUP(TableWRRanks324236[[#This Row],[Player]],WR!B:O,8,FALSE)</f>
        <v>694.33583980529966</v>
      </c>
      <c r="AM51" s="100">
        <f>VLOOKUP(TableWRRanks324236[[#This Row],[Player]],WR!B:O,9,FALSE)</f>
        <v>5.9363064166559978</v>
      </c>
      <c r="AN51" s="95">
        <f>VLOOKUP(TableWRRanks324236[[#This Row],[Player]],WR!B:O,13,FALSE)</f>
        <v>131.55279041196593</v>
      </c>
      <c r="AO51" s="190">
        <f>TableWRRanks324236[[#This Row],[FPS]]+(TableWRRanks324236[[#This Row],[REC]]*0.5)</f>
        <v>158.05415834346593</v>
      </c>
      <c r="AQ51" s="58">
        <v>50</v>
      </c>
      <c r="AR51" s="58" t="str">
        <f>VLOOKUP(TableTERanks334337[[#This Row],[RK]],Rankings!A:AI,33,FALSE)</f>
        <v>Justin Joly</v>
      </c>
      <c r="AS51" s="58" t="str">
        <f>IFERROR(INDEX(TableTECalcPts[TM],MATCH(TableTERanks334337[[#This Row],[Player]],TableTECalcPts[PLAYER],0)),"")</f>
        <v>DEN</v>
      </c>
      <c r="AT51" s="58">
        <f>IFERROR(INDEX(TableTECalcPts[BYE],MATCH(TableTERanks334337[[#This Row],[Player]],TableTECalcPts[PLAYER],0)),"")</f>
        <v>10</v>
      </c>
      <c r="AU51" s="100">
        <f>VLOOKUP(TableTERanks334337[[#This Row],[Player]],TE!B:O,4,FALSE)</f>
        <v>27.392238720000005</v>
      </c>
      <c r="AV51" s="100">
        <f>VLOOKUP(TableTERanks334337[[#This Row],[Player]],TE!B:O,5,FALSE)</f>
        <v>20.270256652800004</v>
      </c>
      <c r="AW51" s="100">
        <f>VLOOKUP(TableTERanks334337[[#This Row],[Player]],TE!B:O,6,FALSE)</f>
        <v>161.75627420081466</v>
      </c>
      <c r="AX51" s="100">
        <f>VLOOKUP(TableTERanks334337[[#This Row],[Player]],TE!B:O,7,FALSE)</f>
        <v>1.0135128326400002</v>
      </c>
      <c r="AY51" s="95">
        <f>VLOOKUP(TableTERanks334337[[#This Row],[Player]],TE!B:O,11,FALSE)</f>
        <v>32.391832742321469</v>
      </c>
      <c r="AZ51" s="190">
        <f>TableTERanks334337[[#This Row],[FPS]]+(TableTERanks334337[[#This Row],[REC]]*0.5)</f>
        <v>42.526961068721469</v>
      </c>
    </row>
    <row r="52" spans="1:52" x14ac:dyDescent="0.25">
      <c r="A52" s="58">
        <v>51</v>
      </c>
      <c r="B52" s="58">
        <f>VLOOKUP(TableQBRanks304034[[#This Row],[RK]],Rankings!A:T,3,FALSE)</f>
        <v>0</v>
      </c>
      <c r="C52" s="58" t="str">
        <f>IFERROR(INDEX(TableQBCalcPts[TM],MATCH(TableQBRanks304034[[#This Row],[Player]],TableQBCalcPts[PLAYER],0)),"")</f>
        <v/>
      </c>
      <c r="D52" s="58" t="str">
        <f>IFERROR(INDEX(TableQBCalcPts[BYE],MATCH(TableQBRanks304034[[#This Row],[Player]],TableQBCalcPts[PLAYER],0)),"")</f>
        <v/>
      </c>
      <c r="E52" s="100">
        <f>VLOOKUP(TableQBRanks304034[[#This Row],[Player]],QB!B:O,4,FALSE)</f>
        <v>0</v>
      </c>
      <c r="F52" s="100">
        <f>VLOOKUP(TableQBRanks304034[[#This Row],[Player]],QB!B:O,5,FALSE)</f>
        <v>0</v>
      </c>
      <c r="G52" s="100">
        <f>VLOOKUP(TableQBRanks304034[[#This Row],[Player]],QB!B:O,6,FALSE)</f>
        <v>0</v>
      </c>
      <c r="H52" s="100">
        <f>VLOOKUP(TableQBRanks304034[[#This Row],[Player]],QB!B:O,7,FALSE)</f>
        <v>0</v>
      </c>
      <c r="I52" s="100">
        <f>VLOOKUP(TableQBRanks304034[[#This Row],[Player]],QB!B:O,8,FALSE)</f>
        <v>0</v>
      </c>
      <c r="J52" s="100">
        <f>VLOOKUP(TableQBRanks304034[[#This Row],[Player]],QB!B:O,9,FALSE)</f>
        <v>0</v>
      </c>
      <c r="K52" s="100">
        <f>VLOOKUP(TableQBRanks304034[[#This Row],[Player]],QB!B:O,10,FALSE)</f>
        <v>0</v>
      </c>
      <c r="L52" s="100">
        <f>VLOOKUP(TableQBRanks304034[[#This Row],[Player]],QB!B:O,11,FALSE)</f>
        <v>0</v>
      </c>
      <c r="M52" s="95">
        <f>VLOOKUP(TableQBRanks304034[[#This Row],[Player]],QB!B:O,13,FALSE)</f>
        <v>0</v>
      </c>
      <c r="N52" s="140" t="e">
        <f>IF(VLOOKUP(TableQBRanks304034[[#This Row],[Player]],'Ranks w Proj'!$B:$N,13,FALSE)&lt;0,0,VLOOKUP(TableQBRanks304034[[#This Row],[Player]],'Ranks w Proj'!$B:$N,13,FALSE))</f>
        <v>#N/A</v>
      </c>
      <c r="P52" s="58">
        <v>51</v>
      </c>
      <c r="Q52" s="58" t="str">
        <f>VLOOKUP(TableRBRanks314135[[#This Row],[RK]],Rankings!A:AI,23,FALSE)</f>
        <v>Brian Robinson</v>
      </c>
      <c r="R52" s="58" t="str">
        <f>IFERROR(INDEX(TableRBCalcPts[TM],MATCH(TableRBRanks314135[[#This Row],[Player]],TableRBCalcPts[PLAYER],0)),"")</f>
        <v>ATL</v>
      </c>
      <c r="S52" s="58">
        <f>IFERROR(INDEX(TableRBCalcPts[BYE],MATCH(TableRBRanks314135[[#This Row],[Player]],TableRBCalcPts[PLAYER],0)),"")</f>
        <v>11</v>
      </c>
      <c r="T52" s="100">
        <f>VLOOKUP(TableRBRanks314135[[#This Row],[Player]],RB!B:O,4,FALSE)</f>
        <v>110.50558988000002</v>
      </c>
      <c r="U52" s="100">
        <f>VLOOKUP(TableRBRanks314135[[#This Row],[Player]],RB!B:O,5,FALSE)</f>
        <v>471.85886878760004</v>
      </c>
      <c r="V52" s="100">
        <f>VLOOKUP(TableRBRanks314135[[#This Row],[Player]],RB!B:O,6,FALSE)</f>
        <v>4.5307291850800011</v>
      </c>
      <c r="W52" s="100">
        <f>VLOOKUP(TableRBRanks314135[[#This Row],[Player]],RB!B:O,7,FALSE)</f>
        <v>10.785486040000002</v>
      </c>
      <c r="X52" s="100">
        <f>VLOOKUP(TableRBRanks314135[[#This Row],[Player]],RB!B:O,8,FALSE)</f>
        <v>8.0891145300000016</v>
      </c>
      <c r="Y52" s="100">
        <f>VLOOKUP(TableRBRanks314135[[#This Row],[Player]],RB!B:O,9,FALSE)</f>
        <v>54.636638549268255</v>
      </c>
      <c r="Z52" s="100">
        <f>VLOOKUP(TableRBRanks314135[[#This Row],[Player]],RB!B:O,10,FALSE)</f>
        <v>0.24267343590000004</v>
      </c>
      <c r="AA52" s="95">
        <f>VLOOKUP(TableRBRanks314135[[#This Row],[Player]],RB!B:O,14,FALSE)</f>
        <v>85.334523724566836</v>
      </c>
      <c r="AB52" s="190">
        <f>TableRBRanks314135[[#This Row],[FPS]]+(TableRBRanks314135[[#This Row],[REC]]*0.5)</f>
        <v>89.37908098956683</v>
      </c>
      <c r="AD52" s="58">
        <v>51</v>
      </c>
      <c r="AE52" s="58" t="str">
        <f>VLOOKUP(TableWRRanks324236[[#This Row],[RK]],Rankings!A:AI,28,FALSE)</f>
        <v>Jalen Coker</v>
      </c>
      <c r="AF52" s="58" t="str">
        <f>IFERROR(INDEX(TableWRCalcPts[TM],MATCH(TableWRRanks324236[[#This Row],[Player]],TableWRCalcPts[PLAYER],0)),"")</f>
        <v>CAR</v>
      </c>
      <c r="AG52" s="58">
        <f>IFERROR(INDEX(TableWRCalcPts[BYE],MATCH(TableWRRanks324236[[#This Row],[Player]],TableWRCalcPts[PLAYER],0)),"")</f>
        <v>5</v>
      </c>
      <c r="AH52" s="100">
        <f>VLOOKUP(TableWRRanks324236[[#This Row],[Player]],WR!B:O,4,FALSE)</f>
        <v>0</v>
      </c>
      <c r="AI52" s="100">
        <f>VLOOKUP(TableWRRanks324236[[#This Row],[Player]],WR!B:O,5,FALSE)</f>
        <v>0</v>
      </c>
      <c r="AJ52" s="100">
        <f>VLOOKUP(TableWRRanks324236[[#This Row],[Player]],WR!B:O,6,FALSE)</f>
        <v>99.615284999999986</v>
      </c>
      <c r="AK52" s="100">
        <f>VLOOKUP(TableWRRanks324236[[#This Row],[Player]],WR!B:O,7,FALSE)</f>
        <v>62.558398979999993</v>
      </c>
      <c r="AL52" s="100">
        <f>VLOOKUP(TableWRRanks324236[[#This Row],[Player]],WR!B:O,8,FALSE)</f>
        <v>770.09389144379998</v>
      </c>
      <c r="AM52" s="100">
        <f>VLOOKUP(TableWRRanks324236[[#This Row],[Player]],WR!B:O,9,FALSE)</f>
        <v>4.629321524519999</v>
      </c>
      <c r="AN52" s="95">
        <f>VLOOKUP(TableWRRanks324236[[#This Row],[Player]],WR!B:O,13,FALSE)</f>
        <v>136.0645177815</v>
      </c>
      <c r="AO52" s="190">
        <f>TableWRRanks324236[[#This Row],[FPS]]+(TableWRRanks324236[[#This Row],[REC]]*0.5)</f>
        <v>167.3437172715</v>
      </c>
      <c r="AQ52" s="58">
        <v>51</v>
      </c>
      <c r="AR52" s="58">
        <f>VLOOKUP(TableTERanks334337[[#This Row],[RK]],Rankings!A:AI,33,FALSE)</f>
        <v>0</v>
      </c>
      <c r="AS52" s="58" t="str">
        <f>IFERROR(INDEX(TableTECalcPts[TM],MATCH(TableTERanks334337[[#This Row],[Player]],TableTECalcPts[PLAYER],0)),"")</f>
        <v/>
      </c>
      <c r="AT52" s="58" t="str">
        <f>IFERROR(INDEX(TableTECalcPts[BYE],MATCH(TableTERanks334337[[#This Row],[Player]],TableTECalcPts[PLAYER],0)),"")</f>
        <v/>
      </c>
      <c r="AU52" s="100">
        <f>VLOOKUP(TableTERanks334337[[#This Row],[Player]],TE!B:O,4,FALSE)</f>
        <v>0</v>
      </c>
      <c r="AV52" s="100">
        <f>VLOOKUP(TableTERanks334337[[#This Row],[Player]],TE!B:O,5,FALSE)</f>
        <v>0</v>
      </c>
      <c r="AW52" s="100">
        <f>VLOOKUP(TableTERanks334337[[#This Row],[Player]],TE!B:O,6,FALSE)</f>
        <v>0</v>
      </c>
      <c r="AX52" s="100">
        <f>VLOOKUP(TableTERanks334337[[#This Row],[Player]],TE!B:O,7,FALSE)</f>
        <v>0</v>
      </c>
      <c r="AY52" s="95">
        <f>VLOOKUP(TableTERanks334337[[#This Row],[Player]],TE!B:O,11,FALSE)</f>
        <v>0</v>
      </c>
      <c r="AZ52" s="190">
        <f>TableTERanks334337[[#This Row],[FPS]]+(TableTERanks334337[[#This Row],[REC]]*0.5)</f>
        <v>0</v>
      </c>
    </row>
    <row r="53" spans="1:52" x14ac:dyDescent="0.25">
      <c r="A53" s="58">
        <v>52</v>
      </c>
      <c r="B53" s="58">
        <f>VLOOKUP(TableQBRanks304034[[#This Row],[RK]],Rankings!A:T,3,FALSE)</f>
        <v>0</v>
      </c>
      <c r="C53" s="58" t="str">
        <f>IFERROR(INDEX(TableQBCalcPts[TM],MATCH(TableQBRanks304034[[#This Row],[Player]],TableQBCalcPts[PLAYER],0)),"")</f>
        <v/>
      </c>
      <c r="D53" s="58" t="str">
        <f>IFERROR(INDEX(TableQBCalcPts[BYE],MATCH(TableQBRanks304034[[#This Row],[Player]],TableQBCalcPts[PLAYER],0)),"")</f>
        <v/>
      </c>
      <c r="E53" s="100">
        <f>VLOOKUP(TableQBRanks304034[[#This Row],[Player]],QB!B:O,4,FALSE)</f>
        <v>0</v>
      </c>
      <c r="F53" s="100">
        <f>VLOOKUP(TableQBRanks304034[[#This Row],[Player]],QB!B:O,5,FALSE)</f>
        <v>0</v>
      </c>
      <c r="G53" s="100">
        <f>VLOOKUP(TableQBRanks304034[[#This Row],[Player]],QB!B:O,6,FALSE)</f>
        <v>0</v>
      </c>
      <c r="H53" s="100">
        <f>VLOOKUP(TableQBRanks304034[[#This Row],[Player]],QB!B:O,7,FALSE)</f>
        <v>0</v>
      </c>
      <c r="I53" s="100">
        <f>VLOOKUP(TableQBRanks304034[[#This Row],[Player]],QB!B:O,8,FALSE)</f>
        <v>0</v>
      </c>
      <c r="J53" s="100">
        <f>VLOOKUP(TableQBRanks304034[[#This Row],[Player]],QB!B:O,9,FALSE)</f>
        <v>0</v>
      </c>
      <c r="K53" s="100">
        <f>VLOOKUP(TableQBRanks304034[[#This Row],[Player]],QB!B:O,10,FALSE)</f>
        <v>0</v>
      </c>
      <c r="L53" s="100">
        <f>VLOOKUP(TableQBRanks304034[[#This Row],[Player]],QB!B:O,11,FALSE)</f>
        <v>0</v>
      </c>
      <c r="M53" s="95">
        <f>VLOOKUP(TableQBRanks304034[[#This Row],[Player]],QB!B:O,13,FALSE)</f>
        <v>0</v>
      </c>
      <c r="N53" s="140" t="e">
        <f>IF(VLOOKUP(TableQBRanks304034[[#This Row],[Player]],'Ranks w Proj'!$B:$N,13,FALSE)&lt;0,0,VLOOKUP(TableQBRanks304034[[#This Row],[Player]],'Ranks w Proj'!$B:$N,13,FALSE))</f>
        <v>#N/A</v>
      </c>
      <c r="P53" s="58">
        <v>52</v>
      </c>
      <c r="Q53" s="58" t="str">
        <f>VLOOKUP(TableRBRanks314135[[#This Row],[RK]],Rankings!A:AI,23,FALSE)</f>
        <v>Keaton Mitchell</v>
      </c>
      <c r="R53" s="58" t="str">
        <f>IFERROR(INDEX(TableRBCalcPts[TM],MATCH(TableRBRanks314135[[#This Row],[Player]],TableRBCalcPts[PLAYER],0)),"")</f>
        <v>LAC</v>
      </c>
      <c r="S53" s="58">
        <f>IFERROR(INDEX(TableRBCalcPts[BYE],MATCH(TableRBRanks314135[[#This Row],[Player]],TableRBCalcPts[PLAYER],0)),"")</f>
        <v>7</v>
      </c>
      <c r="T53" s="100">
        <f>VLOOKUP(TableRBRanks314135[[#This Row],[Player]],RB!B:O,4,FALSE)</f>
        <v>93.00278987999998</v>
      </c>
      <c r="U53" s="100">
        <f>VLOOKUP(TableRBRanks314135[[#This Row],[Player]],RB!B:O,5,FALSE)</f>
        <v>408.28224757319987</v>
      </c>
      <c r="V53" s="100">
        <f>VLOOKUP(TableRBRanks314135[[#This Row],[Player]],RB!B:O,6,FALSE)</f>
        <v>2.6970809065199997</v>
      </c>
      <c r="W53" s="100">
        <f>VLOOKUP(TableRBRanks314135[[#This Row],[Player]],RB!B:O,7,FALSE)</f>
        <v>21.799337559999998</v>
      </c>
      <c r="X53" s="100">
        <f>VLOOKUP(TableRBRanks314135[[#This Row],[Player]],RB!B:O,8,FALSE)</f>
        <v>14.987258291495687</v>
      </c>
      <c r="Y53" s="100">
        <f>VLOOKUP(TableRBRanks314135[[#This Row],[Player]],RB!B:O,9,FALSE)</f>
        <v>111.65507427164287</v>
      </c>
      <c r="Z53" s="100">
        <f>VLOOKUP(TableRBRanks314135[[#This Row],[Player]],RB!B:O,10,FALSE)</f>
        <v>0.4945795236193577</v>
      </c>
      <c r="AA53" s="95">
        <f>VLOOKUP(TableRBRanks314135[[#This Row],[Player]],RB!B:O,14,FALSE)</f>
        <v>78.637323911068265</v>
      </c>
      <c r="AB53" s="190">
        <f>TableRBRanks314135[[#This Row],[FPS]]+(TableRBRanks314135[[#This Row],[REC]]*0.5)</f>
        <v>86.130953056816111</v>
      </c>
      <c r="AD53" s="58">
        <v>52</v>
      </c>
      <c r="AE53" s="58" t="str">
        <f>VLOOKUP(TableWRRanks324236[[#This Row],[RK]],Rankings!A:AI,28,FALSE)</f>
        <v>Khalil Shakir</v>
      </c>
      <c r="AF53" s="58" t="str">
        <f>IFERROR(INDEX(TableWRCalcPts[TM],MATCH(TableWRRanks324236[[#This Row],[Player]],TableWRCalcPts[PLAYER],0)),"")</f>
        <v>BUF</v>
      </c>
      <c r="AG53" s="58">
        <f>IFERROR(INDEX(TableWRCalcPts[BYE],MATCH(TableWRRanks324236[[#This Row],[Player]],TableWRCalcPts[PLAYER],0)),"")</f>
        <v>7</v>
      </c>
      <c r="AH53" s="100">
        <f>VLOOKUP(TableWRRanks324236[[#This Row],[Player]],WR!B:O,4,FALSE)</f>
        <v>0</v>
      </c>
      <c r="AI53" s="100">
        <f>VLOOKUP(TableWRRanks324236[[#This Row],[Player]],WR!B:O,5,FALSE)</f>
        <v>0</v>
      </c>
      <c r="AJ53" s="100">
        <f>VLOOKUP(TableWRRanks324236[[#This Row],[Player]],WR!B:O,6,FALSE)</f>
        <v>90.403882799999963</v>
      </c>
      <c r="AK53" s="100">
        <f>VLOOKUP(TableWRRanks324236[[#This Row],[Player]],WR!B:O,7,FALSE)</f>
        <v>64.457968436399966</v>
      </c>
      <c r="AL53" s="100">
        <f>VLOOKUP(TableWRRanks324236[[#This Row],[Player]],WR!B:O,8,FALSE)</f>
        <v>705.95057284349139</v>
      </c>
      <c r="AM53" s="100">
        <f>VLOOKUP(TableWRRanks324236[[#This Row],[Player]],WR!B:O,9,FALSE)</f>
        <v>3.7385621693111983</v>
      </c>
      <c r="AN53" s="95">
        <f>VLOOKUP(TableWRRanks324236[[#This Row],[Player]],WR!B:O,13,FALSE)</f>
        <v>125.25541451841632</v>
      </c>
      <c r="AO53" s="190">
        <f>TableWRRanks324236[[#This Row],[FPS]]+(TableWRRanks324236[[#This Row],[REC]]*0.5)</f>
        <v>157.4843987366163</v>
      </c>
      <c r="AQ53" s="58">
        <v>52</v>
      </c>
      <c r="AR53" s="58">
        <f>VLOOKUP(TableTERanks334337[[#This Row],[RK]],Rankings!A:AI,33,FALSE)</f>
        <v>0</v>
      </c>
      <c r="AS53" s="58" t="str">
        <f>IFERROR(INDEX(TableTECalcPts[TM],MATCH(TableTERanks334337[[#This Row],[Player]],TableTECalcPts[PLAYER],0)),"")</f>
        <v/>
      </c>
      <c r="AT53" s="58" t="str">
        <f>IFERROR(INDEX(TableTECalcPts[BYE],MATCH(TableTERanks334337[[#This Row],[Player]],TableTECalcPts[PLAYER],0)),"")</f>
        <v/>
      </c>
      <c r="AU53" s="100">
        <f>VLOOKUP(TableTERanks334337[[#This Row],[Player]],TE!B:O,4,FALSE)</f>
        <v>0</v>
      </c>
      <c r="AV53" s="100">
        <f>VLOOKUP(TableTERanks334337[[#This Row],[Player]],TE!B:O,5,FALSE)</f>
        <v>0</v>
      </c>
      <c r="AW53" s="100">
        <f>VLOOKUP(TableTERanks334337[[#This Row],[Player]],TE!B:O,6,FALSE)</f>
        <v>0</v>
      </c>
      <c r="AX53" s="100">
        <f>VLOOKUP(TableTERanks334337[[#This Row],[Player]],TE!B:O,7,FALSE)</f>
        <v>0</v>
      </c>
      <c r="AY53" s="95">
        <f>VLOOKUP(TableTERanks334337[[#This Row],[Player]],TE!B:O,11,FALSE)</f>
        <v>0</v>
      </c>
      <c r="AZ53" s="190">
        <f>TableTERanks334337[[#This Row],[FPS]]+(TableTERanks334337[[#This Row],[REC]]*0.5)</f>
        <v>0</v>
      </c>
    </row>
    <row r="54" spans="1:52" x14ac:dyDescent="0.25">
      <c r="A54" s="58">
        <v>53</v>
      </c>
      <c r="B54" s="58">
        <f>VLOOKUP(TableQBRanks304034[[#This Row],[RK]],Rankings!A:T,3,FALSE)</f>
        <v>0</v>
      </c>
      <c r="C54" s="58" t="str">
        <f>IFERROR(INDEX(TableQBCalcPts[TM],MATCH(TableQBRanks304034[[#This Row],[Player]],TableQBCalcPts[PLAYER],0)),"")</f>
        <v/>
      </c>
      <c r="D54" s="58" t="str">
        <f>IFERROR(INDEX(TableQBCalcPts[BYE],MATCH(TableQBRanks304034[[#This Row],[Player]],TableQBCalcPts[PLAYER],0)),"")</f>
        <v/>
      </c>
      <c r="E54" s="100">
        <f>VLOOKUP(TableQBRanks304034[[#This Row],[Player]],QB!B:O,4,FALSE)</f>
        <v>0</v>
      </c>
      <c r="F54" s="100">
        <f>VLOOKUP(TableQBRanks304034[[#This Row],[Player]],QB!B:O,5,FALSE)</f>
        <v>0</v>
      </c>
      <c r="G54" s="100">
        <f>VLOOKUP(TableQBRanks304034[[#This Row],[Player]],QB!B:O,6,FALSE)</f>
        <v>0</v>
      </c>
      <c r="H54" s="100">
        <f>VLOOKUP(TableQBRanks304034[[#This Row],[Player]],QB!B:O,7,FALSE)</f>
        <v>0</v>
      </c>
      <c r="I54" s="100">
        <f>VLOOKUP(TableQBRanks304034[[#This Row],[Player]],QB!B:O,8,FALSE)</f>
        <v>0</v>
      </c>
      <c r="J54" s="100">
        <f>VLOOKUP(TableQBRanks304034[[#This Row],[Player]],QB!B:O,9,FALSE)</f>
        <v>0</v>
      </c>
      <c r="K54" s="100">
        <f>VLOOKUP(TableQBRanks304034[[#This Row],[Player]],QB!B:O,10,FALSE)</f>
        <v>0</v>
      </c>
      <c r="L54" s="100">
        <f>VLOOKUP(TableQBRanks304034[[#This Row],[Player]],QB!B:O,11,FALSE)</f>
        <v>0</v>
      </c>
      <c r="M54" s="95">
        <f>VLOOKUP(TableQBRanks304034[[#This Row],[Player]],QB!B:O,13,FALSE)</f>
        <v>0</v>
      </c>
      <c r="N54" s="140" t="e">
        <f>IF(VLOOKUP(TableQBRanks304034[[#This Row],[Player]],'Ranks w Proj'!$B:$N,13,FALSE)&lt;0,0,VLOOKUP(TableQBRanks304034[[#This Row],[Player]],'Ranks w Proj'!$B:$N,13,FALSE))</f>
        <v>#N/A</v>
      </c>
      <c r="P54" s="58">
        <v>53</v>
      </c>
      <c r="Q54" s="58" t="str">
        <f>VLOOKUP(TableRBRanks314135[[#This Row],[RK]],Rankings!A:AI,23,FALSE)</f>
        <v>Justice Hill</v>
      </c>
      <c r="R54" s="58" t="str">
        <f>IFERROR(INDEX(TableRBCalcPts[TM],MATCH(TableRBRanks314135[[#This Row],[Player]],TableRBCalcPts[PLAYER],0)),"")</f>
        <v>BAL</v>
      </c>
      <c r="S54" s="58">
        <f>IFERROR(INDEX(TableRBCalcPts[BYE],MATCH(TableRBRanks314135[[#This Row],[Player]],TableRBCalcPts[PLAYER],0)),"")</f>
        <v>13</v>
      </c>
      <c r="T54" s="100">
        <f>VLOOKUP(TableRBRanks314135[[#This Row],[Player]],RB!B:O,4,FALSE)</f>
        <v>39.288948859551994</v>
      </c>
      <c r="U54" s="100">
        <f>VLOOKUP(TableRBRanks314135[[#This Row],[Player]],RB!B:O,5,FALSE)</f>
        <v>189.68282377937382</v>
      </c>
      <c r="V54" s="100">
        <f>VLOOKUP(TableRBRanks314135[[#This Row],[Player]],RB!B:O,6,FALSE)</f>
        <v>1.4480090584472696</v>
      </c>
      <c r="W54" s="100">
        <f>VLOOKUP(TableRBRanks314135[[#This Row],[Player]],RB!B:O,7,FALSE)</f>
        <v>47.936017919999991</v>
      </c>
      <c r="X54" s="100">
        <f>VLOOKUP(TableRBRanks314135[[#This Row],[Player]],RB!B:O,8,FALSE)</f>
        <v>38.38817232966062</v>
      </c>
      <c r="Y54" s="100">
        <f>VLOOKUP(TableRBRanks314135[[#This Row],[Player]],RB!B:O,9,FALSE)</f>
        <v>328.26147760575321</v>
      </c>
      <c r="Z54" s="100">
        <f>VLOOKUP(TableRBRanks314135[[#This Row],[Player]],RB!B:O,10,FALSE)</f>
        <v>2.1497376504609949</v>
      </c>
      <c r="AA54" s="95">
        <f>VLOOKUP(TableRBRanks314135[[#This Row],[Player]],RB!B:O,14,FALSE)</f>
        <v>92.574996556792598</v>
      </c>
      <c r="AB54" s="190">
        <f>TableRBRanks314135[[#This Row],[FPS]]+(TableRBRanks314135[[#This Row],[REC]]*0.5)</f>
        <v>111.76908272162291</v>
      </c>
      <c r="AD54" s="58">
        <v>53</v>
      </c>
      <c r="AE54" s="58" t="str">
        <f>VLOOKUP(TableWRRanks324236[[#This Row],[RK]],Rankings!A:AI,28,FALSE)</f>
        <v>Jakobi Meyers</v>
      </c>
      <c r="AF54" s="58" t="str">
        <f>IFERROR(INDEX(TableWRCalcPts[TM],MATCH(TableWRRanks324236[[#This Row],[Player]],TableWRCalcPts[PLAYER],0)),"")</f>
        <v>JAX</v>
      </c>
      <c r="AG54" s="58">
        <f>IFERROR(INDEX(TableWRCalcPts[BYE],MATCH(TableWRRanks324236[[#This Row],[Player]],TableWRCalcPts[PLAYER],0)),"")</f>
        <v>7</v>
      </c>
      <c r="AH54" s="100">
        <f>VLOOKUP(TableWRRanks324236[[#This Row],[Player]],WR!B:O,4,FALSE)</f>
        <v>10.894215331920902</v>
      </c>
      <c r="AI54" s="100">
        <f>VLOOKUP(TableWRRanks324236[[#This Row],[Player]],WR!B:O,5,FALSE)</f>
        <v>3.018206214689265E-2</v>
      </c>
      <c r="AJ54" s="100">
        <f>VLOOKUP(TableWRRanks324236[[#This Row],[Player]],WR!B:O,6,FALSE)</f>
        <v>102.97985039999999</v>
      </c>
      <c r="AK54" s="100">
        <f>VLOOKUP(TableWRRanks324236[[#This Row],[Player]],WR!B:O,7,FALSE)</f>
        <v>65.495184854399994</v>
      </c>
      <c r="AL54" s="100">
        <f>VLOOKUP(TableWRRanks324236[[#This Row],[Player]],WR!B:O,8,FALSE)</f>
        <v>740.75054070326394</v>
      </c>
      <c r="AM54" s="100">
        <f>VLOOKUP(TableWRRanks324236[[#This Row],[Player]],WR!B:O,9,FALSE)</f>
        <v>4.9121388640799992</v>
      </c>
      <c r="AN54" s="95">
        <f>VLOOKUP(TableWRRanks324236[[#This Row],[Player]],WR!B:O,13,FALSE)</f>
        <v>137.56599358807983</v>
      </c>
      <c r="AO54" s="190">
        <f>TableWRRanks324236[[#This Row],[FPS]]+(TableWRRanks324236[[#This Row],[REC]]*0.5)</f>
        <v>170.31358601527984</v>
      </c>
      <c r="AQ54" s="58">
        <v>53</v>
      </c>
      <c r="AR54" s="58">
        <f>VLOOKUP(TableTERanks334337[[#This Row],[RK]],Rankings!A:AI,33,FALSE)</f>
        <v>0</v>
      </c>
      <c r="AS54" s="58" t="str">
        <f>IFERROR(INDEX(TableTECalcPts[TM],MATCH(TableTERanks334337[[#This Row],[Player]],TableTECalcPts[PLAYER],0)),"")</f>
        <v/>
      </c>
      <c r="AT54" s="58" t="str">
        <f>IFERROR(INDEX(TableTECalcPts[BYE],MATCH(TableTERanks334337[[#This Row],[Player]],TableTECalcPts[PLAYER],0)),"")</f>
        <v/>
      </c>
      <c r="AU54" s="100">
        <f>VLOOKUP(TableTERanks334337[[#This Row],[Player]],TE!B:O,4,FALSE)</f>
        <v>0</v>
      </c>
      <c r="AV54" s="100">
        <f>VLOOKUP(TableTERanks334337[[#This Row],[Player]],TE!B:O,5,FALSE)</f>
        <v>0</v>
      </c>
      <c r="AW54" s="100">
        <f>VLOOKUP(TableTERanks334337[[#This Row],[Player]],TE!B:O,6,FALSE)</f>
        <v>0</v>
      </c>
      <c r="AX54" s="100">
        <f>VLOOKUP(TableTERanks334337[[#This Row],[Player]],TE!B:O,7,FALSE)</f>
        <v>0</v>
      </c>
      <c r="AY54" s="95">
        <f>VLOOKUP(TableTERanks334337[[#This Row],[Player]],TE!B:O,11,FALSE)</f>
        <v>0</v>
      </c>
      <c r="AZ54" s="190">
        <f>TableTERanks334337[[#This Row],[FPS]]+(TableTERanks334337[[#This Row],[REC]]*0.5)</f>
        <v>0</v>
      </c>
    </row>
    <row r="55" spans="1:52" x14ac:dyDescent="0.25">
      <c r="A55" s="58">
        <v>54</v>
      </c>
      <c r="B55" s="58">
        <f>VLOOKUP(TableQBRanks304034[[#This Row],[RK]],Rankings!A:T,3,FALSE)</f>
        <v>0</v>
      </c>
      <c r="C55" s="58" t="str">
        <f>IFERROR(INDEX(TableQBCalcPts[TM],MATCH(TableQBRanks304034[[#This Row],[Player]],TableQBCalcPts[PLAYER],0)),"")</f>
        <v/>
      </c>
      <c r="D55" s="58" t="str">
        <f>IFERROR(INDEX(TableQBCalcPts[BYE],MATCH(TableQBRanks304034[[#This Row],[Player]],TableQBCalcPts[PLAYER],0)),"")</f>
        <v/>
      </c>
      <c r="E55" s="100">
        <f>VLOOKUP(TableQBRanks304034[[#This Row],[Player]],QB!B:O,4,FALSE)</f>
        <v>0</v>
      </c>
      <c r="F55" s="100">
        <f>VLOOKUP(TableQBRanks304034[[#This Row],[Player]],QB!B:O,5,FALSE)</f>
        <v>0</v>
      </c>
      <c r="G55" s="100">
        <f>VLOOKUP(TableQBRanks304034[[#This Row],[Player]],QB!B:O,6,FALSE)</f>
        <v>0</v>
      </c>
      <c r="H55" s="100">
        <f>VLOOKUP(TableQBRanks304034[[#This Row],[Player]],QB!B:O,7,FALSE)</f>
        <v>0</v>
      </c>
      <c r="I55" s="100">
        <f>VLOOKUP(TableQBRanks304034[[#This Row],[Player]],QB!B:O,8,FALSE)</f>
        <v>0</v>
      </c>
      <c r="J55" s="100">
        <f>VLOOKUP(TableQBRanks304034[[#This Row],[Player]],QB!B:O,9,FALSE)</f>
        <v>0</v>
      </c>
      <c r="K55" s="100">
        <f>VLOOKUP(TableQBRanks304034[[#This Row],[Player]],QB!B:O,10,FALSE)</f>
        <v>0</v>
      </c>
      <c r="L55" s="100">
        <f>VLOOKUP(TableQBRanks304034[[#This Row],[Player]],QB!B:O,11,FALSE)</f>
        <v>0</v>
      </c>
      <c r="M55" s="95">
        <f>VLOOKUP(TableQBRanks304034[[#This Row],[Player]],QB!B:O,13,FALSE)</f>
        <v>0</v>
      </c>
      <c r="N55" s="140" t="e">
        <f>IF(VLOOKUP(TableQBRanks304034[[#This Row],[Player]],'Ranks w Proj'!$B:$N,13,FALSE)&lt;0,0,VLOOKUP(TableQBRanks304034[[#This Row],[Player]],'Ranks w Proj'!$B:$N,13,FALSE))</f>
        <v>#N/A</v>
      </c>
      <c r="P55" s="58">
        <v>54</v>
      </c>
      <c r="Q55" s="58" t="str">
        <f>VLOOKUP(TableRBRanks314135[[#This Row],[RK]],Rankings!A:AI,23,FALSE)</f>
        <v>Tyjae Spears</v>
      </c>
      <c r="R55" s="58" t="str">
        <f>IFERROR(INDEX(TableRBCalcPts[TM],MATCH(TableRBRanks314135[[#This Row],[Player]],TableRBCalcPts[PLAYER],0)),"")</f>
        <v>TEN</v>
      </c>
      <c r="S55" s="58">
        <f>IFERROR(INDEX(TableRBCalcPts[BYE],MATCH(TableRBRanks314135[[#This Row],[Player]],TableRBCalcPts[PLAYER],0)),"")</f>
        <v>9</v>
      </c>
      <c r="T55" s="100">
        <f>VLOOKUP(TableRBRanks314135[[#This Row],[Player]],RB!B:O,4,FALSE)</f>
        <v>75.000764160000003</v>
      </c>
      <c r="U55" s="100">
        <f>VLOOKUP(TableRBRanks314135[[#This Row],[Player]],RB!B:O,5,FALSE)</f>
        <v>303.00308720640004</v>
      </c>
      <c r="V55" s="100">
        <f>VLOOKUP(TableRBRanks314135[[#This Row],[Player]],RB!B:O,6,FALSE)</f>
        <v>1.80001833984</v>
      </c>
      <c r="W55" s="100">
        <f>VLOOKUP(TableRBRanks314135[[#This Row],[Player]],RB!B:O,7,FALSE)</f>
        <v>34.602059520000005</v>
      </c>
      <c r="X55" s="100">
        <f>VLOOKUP(TableRBRanks314135[[#This Row],[Player]],RB!B:O,8,FALSE)</f>
        <v>25.160553700446318</v>
      </c>
      <c r="Y55" s="100">
        <f>VLOOKUP(TableRBRanks314135[[#This Row],[Player]],RB!B:O,9,FALSE)</f>
        <v>167.82089318197694</v>
      </c>
      <c r="Z55" s="100">
        <f>VLOOKUP(TableRBRanks314135[[#This Row],[Player]],RB!B:O,10,FALSE)</f>
        <v>0.85545882581517485</v>
      </c>
      <c r="AA55" s="95">
        <f>VLOOKUP(TableRBRanks314135[[#This Row],[Player]],RB!B:O,14,FALSE)</f>
        <v>75.595537882991906</v>
      </c>
      <c r="AB55" s="190">
        <f>TableRBRanks314135[[#This Row],[FPS]]+(TableRBRanks314135[[#This Row],[REC]]*0.5)</f>
        <v>88.175814733215063</v>
      </c>
      <c r="AD55" s="58">
        <v>54</v>
      </c>
      <c r="AE55" s="58" t="str">
        <f>VLOOKUP(TableWRRanks324236[[#This Row],[RK]],Rankings!A:AI,28,FALSE)</f>
        <v>Rashid Shaheed</v>
      </c>
      <c r="AF55" s="58" t="str">
        <f>IFERROR(INDEX(TableWRCalcPts[TM],MATCH(TableWRRanks324236[[#This Row],[Player]],TableWRCalcPts[PLAYER],0)),"")</f>
        <v>SEA</v>
      </c>
      <c r="AG55" s="58">
        <f>IFERROR(INDEX(TableWRCalcPts[BYE],MATCH(TableWRRanks324236[[#This Row],[Player]],TableWRCalcPts[PLAYER],0)),"")</f>
        <v>11</v>
      </c>
      <c r="AH55" s="100">
        <f>VLOOKUP(TableWRRanks324236[[#This Row],[Player]],WR!B:O,4,FALSE)</f>
        <v>81.255613363779929</v>
      </c>
      <c r="AI55" s="100">
        <f>VLOOKUP(TableWRRanks324236[[#This Row],[Player]],WR!B:O,5,FALSE)</f>
        <v>0.40443284197737778</v>
      </c>
      <c r="AJ55" s="100">
        <f>VLOOKUP(TableWRRanks324236[[#This Row],[Player]],WR!B:O,6,FALSE)</f>
        <v>78.737480640000001</v>
      </c>
      <c r="AK55" s="100">
        <f>VLOOKUP(TableWRRanks324236[[#This Row],[Player]],WR!B:O,7,FALSE)</f>
        <v>44.4866765616</v>
      </c>
      <c r="AL55" s="100">
        <f>VLOOKUP(TableWRRanks324236[[#This Row],[Player]],WR!B:O,8,FALSE)</f>
        <v>615.25073684692802</v>
      </c>
      <c r="AM55" s="100">
        <f>VLOOKUP(TableWRRanks324236[[#This Row],[Player]],WR!B:O,9,FALSE)</f>
        <v>4.1817475967903999</v>
      </c>
      <c r="AN55" s="95">
        <f>VLOOKUP(TableWRRanks324236[[#This Row],[Player]],WR!B:O,13,FALSE)</f>
        <v>119.41105593447746</v>
      </c>
      <c r="AO55" s="190">
        <f>TableWRRanks324236[[#This Row],[FPS]]+(TableWRRanks324236[[#This Row],[REC]]*0.5)</f>
        <v>141.65439421527745</v>
      </c>
      <c r="AQ55" s="58">
        <v>54</v>
      </c>
      <c r="AR55" s="58">
        <f>VLOOKUP(TableTERanks334337[[#This Row],[RK]],Rankings!A:AI,33,FALSE)</f>
        <v>0</v>
      </c>
      <c r="AS55" s="58" t="str">
        <f>IFERROR(INDEX(TableTECalcPts[TM],MATCH(TableTERanks334337[[#This Row],[Player]],TableTECalcPts[PLAYER],0)),"")</f>
        <v/>
      </c>
      <c r="AT55" s="58" t="str">
        <f>IFERROR(INDEX(TableTECalcPts[BYE],MATCH(TableTERanks334337[[#This Row],[Player]],TableTECalcPts[PLAYER],0)),"")</f>
        <v/>
      </c>
      <c r="AU55" s="100">
        <f>VLOOKUP(TableTERanks334337[[#This Row],[Player]],TE!B:O,4,FALSE)</f>
        <v>0</v>
      </c>
      <c r="AV55" s="100">
        <f>VLOOKUP(TableTERanks334337[[#This Row],[Player]],TE!B:O,5,FALSE)</f>
        <v>0</v>
      </c>
      <c r="AW55" s="100">
        <f>VLOOKUP(TableTERanks334337[[#This Row],[Player]],TE!B:O,6,FALSE)</f>
        <v>0</v>
      </c>
      <c r="AX55" s="100">
        <f>VLOOKUP(TableTERanks334337[[#This Row],[Player]],TE!B:O,7,FALSE)</f>
        <v>0</v>
      </c>
      <c r="AY55" s="95">
        <f>VLOOKUP(TableTERanks334337[[#This Row],[Player]],TE!B:O,11,FALSE)</f>
        <v>0</v>
      </c>
      <c r="AZ55" s="190">
        <f>TableTERanks334337[[#This Row],[FPS]]+(TableTERanks334337[[#This Row],[REC]]*0.5)</f>
        <v>0</v>
      </c>
    </row>
    <row r="56" spans="1:52" x14ac:dyDescent="0.25">
      <c r="A56" s="58">
        <v>55</v>
      </c>
      <c r="B56" s="58">
        <f>VLOOKUP(TableQBRanks304034[[#This Row],[RK]],Rankings!A:T,3,FALSE)</f>
        <v>0</v>
      </c>
      <c r="C56" s="58" t="str">
        <f>IFERROR(INDEX(TableQBCalcPts[TM],MATCH(TableQBRanks304034[[#This Row],[Player]],TableQBCalcPts[PLAYER],0)),"")</f>
        <v/>
      </c>
      <c r="D56" s="58" t="str">
        <f>IFERROR(INDEX(TableQBCalcPts[BYE],MATCH(TableQBRanks304034[[#This Row],[Player]],TableQBCalcPts[PLAYER],0)),"")</f>
        <v/>
      </c>
      <c r="E56" s="100">
        <f>VLOOKUP(TableQBRanks304034[[#This Row],[Player]],QB!B:O,4,FALSE)</f>
        <v>0</v>
      </c>
      <c r="F56" s="100">
        <f>VLOOKUP(TableQBRanks304034[[#This Row],[Player]],QB!B:O,5,FALSE)</f>
        <v>0</v>
      </c>
      <c r="G56" s="100">
        <f>VLOOKUP(TableQBRanks304034[[#This Row],[Player]],QB!B:O,6,FALSE)</f>
        <v>0</v>
      </c>
      <c r="H56" s="100">
        <f>VLOOKUP(TableQBRanks304034[[#This Row],[Player]],QB!B:O,7,FALSE)</f>
        <v>0</v>
      </c>
      <c r="I56" s="100">
        <f>VLOOKUP(TableQBRanks304034[[#This Row],[Player]],QB!B:O,8,FALSE)</f>
        <v>0</v>
      </c>
      <c r="J56" s="100">
        <f>VLOOKUP(TableQBRanks304034[[#This Row],[Player]],QB!B:O,9,FALSE)</f>
        <v>0</v>
      </c>
      <c r="K56" s="100">
        <f>VLOOKUP(TableQBRanks304034[[#This Row],[Player]],QB!B:O,10,FALSE)</f>
        <v>0</v>
      </c>
      <c r="L56" s="100">
        <f>VLOOKUP(TableQBRanks304034[[#This Row],[Player]],QB!B:O,11,FALSE)</f>
        <v>0</v>
      </c>
      <c r="M56" s="95">
        <f>VLOOKUP(TableQBRanks304034[[#This Row],[Player]],QB!B:O,13,FALSE)</f>
        <v>0</v>
      </c>
      <c r="N56" s="140" t="e">
        <f>IF(VLOOKUP(TableQBRanks304034[[#This Row],[Player]],'Ranks w Proj'!$B:$N,13,FALSE)&lt;0,0,VLOOKUP(TableQBRanks304034[[#This Row],[Player]],'Ranks w Proj'!$B:$N,13,FALSE))</f>
        <v>#N/A</v>
      </c>
      <c r="P56" s="58">
        <v>55</v>
      </c>
      <c r="Q56" s="58" t="str">
        <f>VLOOKUP(TableRBRanks314135[[#This Row],[RK]],Rankings!A:AI,23,FALSE)</f>
        <v>Kaytron Allen</v>
      </c>
      <c r="R56" s="58" t="str">
        <f>IFERROR(INDEX(TableRBCalcPts[TM],MATCH(TableRBRanks314135[[#This Row],[Player]],TableRBCalcPts[PLAYER],0)),"")</f>
        <v>WSH</v>
      </c>
      <c r="S56" s="58">
        <f>IFERROR(INDEX(TableRBCalcPts[BYE],MATCH(TableRBRanks314135[[#This Row],[Player]],TableRBCalcPts[PLAYER],0)),"")</f>
        <v>7</v>
      </c>
      <c r="T56" s="100">
        <f>VLOOKUP(TableRBRanks314135[[#This Row],[Player]],RB!B:O,4,FALSE)</f>
        <v>87.967904640000015</v>
      </c>
      <c r="U56" s="100">
        <f>VLOOKUP(TableRBRanks314135[[#This Row],[Player]],RB!B:O,5,FALSE)</f>
        <v>379.14166899840001</v>
      </c>
      <c r="V56" s="100">
        <f>VLOOKUP(TableRBRanks314135[[#This Row],[Player]],RB!B:O,6,FALSE)</f>
        <v>2.9029408531200005</v>
      </c>
      <c r="W56" s="100">
        <f>VLOOKUP(TableRBRanks314135[[#This Row],[Player]],RB!B:O,7,FALSE)</f>
        <v>7.4673353999999987</v>
      </c>
      <c r="X56" s="100">
        <f>VLOOKUP(TableRBRanks314135[[#This Row],[Player]],RB!B:O,8,FALSE)</f>
        <v>5.4362201711999987</v>
      </c>
      <c r="Y56" s="100">
        <f>VLOOKUP(TableRBRanks314135[[#This Row],[Player]],RB!B:O,9,FALSE)</f>
        <v>37.020659365871985</v>
      </c>
      <c r="Z56" s="100">
        <f>VLOOKUP(TableRBRanks314135[[#This Row],[Player]],RB!B:O,10,FALSE)</f>
        <v>0.15532057631999999</v>
      </c>
      <c r="AA56" s="95">
        <f>VLOOKUP(TableRBRanks314135[[#This Row],[Player]],RB!B:O,14,FALSE)</f>
        <v>62.6839114986672</v>
      </c>
      <c r="AB56" s="190">
        <f>TableRBRanks314135[[#This Row],[FPS]]+(TableRBRanks314135[[#This Row],[REC]]*0.5)</f>
        <v>65.402021584267203</v>
      </c>
      <c r="AD56" s="58">
        <v>55</v>
      </c>
      <c r="AE56" s="58" t="str">
        <f>VLOOKUP(TableWRRanks324236[[#This Row],[RK]],Rankings!A:AI,28,FALSE)</f>
        <v>Xavier Worthy</v>
      </c>
      <c r="AF56" s="58" t="str">
        <f>IFERROR(INDEX(TableWRCalcPts[TM],MATCH(TableWRRanks324236[[#This Row],[Player]],TableWRCalcPts[PLAYER],0)),"")</f>
        <v>KC</v>
      </c>
      <c r="AG56" s="58">
        <f>IFERROR(INDEX(TableWRCalcPts[BYE],MATCH(TableWRRanks324236[[#This Row],[Player]],TableWRCalcPts[PLAYER],0)),"")</f>
        <v>5</v>
      </c>
      <c r="AH56" s="100">
        <f>VLOOKUP(TableWRRanks324236[[#This Row],[Player]],WR!B:O,4,FALSE)</f>
        <v>54.82748582903664</v>
      </c>
      <c r="AI56" s="100">
        <f>VLOOKUP(TableWRRanks324236[[#This Row],[Player]],WR!B:O,5,FALSE)</f>
        <v>0.42276162822252378</v>
      </c>
      <c r="AJ56" s="100">
        <f>VLOOKUP(TableWRRanks324236[[#This Row],[Player]],WR!B:O,6,FALSE)</f>
        <v>97.774575499999997</v>
      </c>
      <c r="AK56" s="100">
        <f>VLOOKUP(TableWRRanks324236[[#This Row],[Player]],WR!B:O,7,FALSE)</f>
        <v>57.323544316701565</v>
      </c>
      <c r="AL56" s="100">
        <f>VLOOKUP(TableWRRanks324236[[#This Row],[Player]],WR!B:O,8,FALSE)</f>
        <v>736.86230440193879</v>
      </c>
      <c r="AM56" s="100">
        <f>VLOOKUP(TableWRRanks324236[[#This Row],[Player]],WR!B:O,9,FALSE)</f>
        <v>5.2737660771365436</v>
      </c>
      <c r="AN56" s="95">
        <f>VLOOKUP(TableWRRanks324236[[#This Row],[Player]],WR!B:O,13,FALSE)</f>
        <v>142.00991741360272</v>
      </c>
      <c r="AO56" s="190">
        <f>TableWRRanks324236[[#This Row],[FPS]]+(TableWRRanks324236[[#This Row],[REC]]*0.5)</f>
        <v>170.67168957195349</v>
      </c>
      <c r="AQ56" s="58">
        <v>55</v>
      </c>
      <c r="AR56" s="58">
        <f>VLOOKUP(TableTERanks334337[[#This Row],[RK]],Rankings!A:AI,33,FALSE)</f>
        <v>0</v>
      </c>
      <c r="AS56" s="58" t="str">
        <f>IFERROR(INDEX(TableTECalcPts[TM],MATCH(TableTERanks334337[[#This Row],[Player]],TableTECalcPts[PLAYER],0)),"")</f>
        <v/>
      </c>
      <c r="AT56" s="58" t="str">
        <f>IFERROR(INDEX(TableTECalcPts[BYE],MATCH(TableTERanks334337[[#This Row],[Player]],TableTECalcPts[PLAYER],0)),"")</f>
        <v/>
      </c>
      <c r="AU56" s="100">
        <f>VLOOKUP(TableTERanks334337[[#This Row],[Player]],TE!B:O,4,FALSE)</f>
        <v>0</v>
      </c>
      <c r="AV56" s="100">
        <f>VLOOKUP(TableTERanks334337[[#This Row],[Player]],TE!B:O,5,FALSE)</f>
        <v>0</v>
      </c>
      <c r="AW56" s="100">
        <f>VLOOKUP(TableTERanks334337[[#This Row],[Player]],TE!B:O,6,FALSE)</f>
        <v>0</v>
      </c>
      <c r="AX56" s="100">
        <f>VLOOKUP(TableTERanks334337[[#This Row],[Player]],TE!B:O,7,FALSE)</f>
        <v>0</v>
      </c>
      <c r="AY56" s="95">
        <f>VLOOKUP(TableTERanks334337[[#This Row],[Player]],TE!B:O,11,FALSE)</f>
        <v>0</v>
      </c>
      <c r="AZ56" s="190">
        <f>TableTERanks334337[[#This Row],[FPS]]+(TableTERanks334337[[#This Row],[REC]]*0.5)</f>
        <v>0</v>
      </c>
    </row>
    <row r="57" spans="1:52" x14ac:dyDescent="0.25">
      <c r="A57" s="58">
        <v>56</v>
      </c>
      <c r="B57" s="58">
        <f>VLOOKUP(TableQBRanks304034[[#This Row],[RK]],Rankings!A:T,3,FALSE)</f>
        <v>0</v>
      </c>
      <c r="C57" s="58" t="str">
        <f>IFERROR(INDEX(TableQBCalcPts[TM],MATCH(TableQBRanks304034[[#This Row],[Player]],TableQBCalcPts[PLAYER],0)),"")</f>
        <v/>
      </c>
      <c r="D57" s="58" t="str">
        <f>IFERROR(INDEX(TableQBCalcPts[BYE],MATCH(TableQBRanks304034[[#This Row],[Player]],TableQBCalcPts[PLAYER],0)),"")</f>
        <v/>
      </c>
      <c r="E57" s="100">
        <f>VLOOKUP(TableQBRanks304034[[#This Row],[Player]],QB!B:O,4,FALSE)</f>
        <v>0</v>
      </c>
      <c r="F57" s="100">
        <f>VLOOKUP(TableQBRanks304034[[#This Row],[Player]],QB!B:O,5,FALSE)</f>
        <v>0</v>
      </c>
      <c r="G57" s="100">
        <f>VLOOKUP(TableQBRanks304034[[#This Row],[Player]],QB!B:O,6,FALSE)</f>
        <v>0</v>
      </c>
      <c r="H57" s="100">
        <f>VLOOKUP(TableQBRanks304034[[#This Row],[Player]],QB!B:O,7,FALSE)</f>
        <v>0</v>
      </c>
      <c r="I57" s="100">
        <f>VLOOKUP(TableQBRanks304034[[#This Row],[Player]],QB!B:O,8,FALSE)</f>
        <v>0</v>
      </c>
      <c r="J57" s="100">
        <f>VLOOKUP(TableQBRanks304034[[#This Row],[Player]],QB!B:O,9,FALSE)</f>
        <v>0</v>
      </c>
      <c r="K57" s="100">
        <f>VLOOKUP(TableQBRanks304034[[#This Row],[Player]],QB!B:O,10,FALSE)</f>
        <v>0</v>
      </c>
      <c r="L57" s="100">
        <f>VLOOKUP(TableQBRanks304034[[#This Row],[Player]],QB!B:O,11,FALSE)</f>
        <v>0</v>
      </c>
      <c r="M57" s="95">
        <f>VLOOKUP(TableQBRanks304034[[#This Row],[Player]],QB!B:O,13,FALSE)</f>
        <v>0</v>
      </c>
      <c r="N57" s="140" t="e">
        <f>IF(VLOOKUP(TableQBRanks304034[[#This Row],[Player]],'Ranks w Proj'!$B:$N,13,FALSE)&lt;0,0,VLOOKUP(TableQBRanks304034[[#This Row],[Player]],'Ranks w Proj'!$B:$N,13,FALSE))</f>
        <v>#N/A</v>
      </c>
      <c r="P57" s="58">
        <v>56</v>
      </c>
      <c r="Q57" s="58" t="str">
        <f>VLOOKUP(TableRBRanks314135[[#This Row],[RK]],Rankings!A:AI,23,FALSE)</f>
        <v>Nicholas Singleton</v>
      </c>
      <c r="R57" s="58" t="str">
        <f>IFERROR(INDEX(TableRBCalcPts[TM],MATCH(TableRBRanks314135[[#This Row],[Player]],TableRBCalcPts[PLAYER],0)),"")</f>
        <v>TEN</v>
      </c>
      <c r="S57" s="58">
        <f>IFERROR(INDEX(TableRBCalcPts[BYE],MATCH(TableRBRanks314135[[#This Row],[Player]],TableRBCalcPts[PLAYER],0)),"")</f>
        <v>9</v>
      </c>
      <c r="T57" s="100">
        <f>VLOOKUP(TableRBRanks314135[[#This Row],[Player]],RB!B:O,4,FALSE)</f>
        <v>71.053355519999997</v>
      </c>
      <c r="U57" s="100">
        <f>VLOOKUP(TableRBRanks314135[[#This Row],[Player]],RB!B:O,5,FALSE)</f>
        <v>302.68729451519999</v>
      </c>
      <c r="V57" s="100">
        <f>VLOOKUP(TableRBRanks314135[[#This Row],[Player]],RB!B:O,6,FALSE)</f>
        <v>2.1316006655999997</v>
      </c>
      <c r="W57" s="100">
        <f>VLOOKUP(TableRBRanks314135[[#This Row],[Player]],RB!B:O,7,FALSE)</f>
        <v>8.2385856000000004</v>
      </c>
      <c r="X57" s="100">
        <f>VLOOKUP(TableRBRanks314135[[#This Row],[Player]],RB!B:O,8,FALSE)</f>
        <v>6.014167488</v>
      </c>
      <c r="Y57" s="100">
        <f>VLOOKUP(TableRBRanks314135[[#This Row],[Player]],RB!B:O,9,FALSE)</f>
        <v>37.347980100480001</v>
      </c>
      <c r="Z57" s="100">
        <f>VLOOKUP(TableRBRanks314135[[#This Row],[Player]],RB!B:O,10,FALSE)</f>
        <v>0.18042502463999999</v>
      </c>
      <c r="AA57" s="95">
        <f>VLOOKUP(TableRBRanks314135[[#This Row],[Player]],RB!B:O,14,FALSE)</f>
        <v>50.882765347008004</v>
      </c>
      <c r="AB57" s="190">
        <f>TableRBRanks314135[[#This Row],[FPS]]+(TableRBRanks314135[[#This Row],[REC]]*0.5)</f>
        <v>53.889849091008003</v>
      </c>
      <c r="AD57" s="58">
        <v>56</v>
      </c>
      <c r="AE57" s="58" t="str">
        <f>VLOOKUP(TableWRRanks324236[[#This Row],[RK]],Rankings!A:AI,28,FALSE)</f>
        <v>Matthew Golden</v>
      </c>
      <c r="AF57" s="58" t="str">
        <f>IFERROR(INDEX(TableWRCalcPts[TM],MATCH(TableWRRanks324236[[#This Row],[Player]],TableWRCalcPts[PLAYER],0)),"")</f>
        <v>GB</v>
      </c>
      <c r="AG57" s="58">
        <f>IFERROR(INDEX(TableWRCalcPts[BYE],MATCH(TableWRRanks324236[[#This Row],[Player]],TableWRCalcPts[PLAYER],0)),"")</f>
        <v>11</v>
      </c>
      <c r="AH57" s="100">
        <f>VLOOKUP(TableWRRanks324236[[#This Row],[Player]],WR!B:O,4,FALSE)</f>
        <v>24.99271009319855</v>
      </c>
      <c r="AI57" s="100">
        <f>VLOOKUP(TableWRRanks324236[[#This Row],[Player]],WR!B:O,5,FALSE)</f>
        <v>0.11790281999999999</v>
      </c>
      <c r="AJ57" s="100">
        <f>VLOOKUP(TableWRRanks324236[[#This Row],[Player]],WR!B:O,6,FALSE)</f>
        <v>85.049750110552765</v>
      </c>
      <c r="AK57" s="100">
        <f>VLOOKUP(TableWRRanks324236[[#This Row],[Player]],WR!B:O,7,FALSE)</f>
        <v>53.587897463683738</v>
      </c>
      <c r="AL57" s="100">
        <f>VLOOKUP(TableWRRanks324236[[#This Row],[Player]],WR!B:O,8,FALSE)</f>
        <v>676.53815153162077</v>
      </c>
      <c r="AM57" s="100">
        <f>VLOOKUP(TableWRRanks324236[[#This Row],[Player]],WR!B:O,9,FALSE)</f>
        <v>4.0190923097762798</v>
      </c>
      <c r="AN57" s="95">
        <f>VLOOKUP(TableWRRanks324236[[#This Row],[Player]],WR!B:O,13,FALSE)</f>
        <v>121.76900567298148</v>
      </c>
      <c r="AO57" s="190">
        <f>TableWRRanks324236[[#This Row],[FPS]]+(TableWRRanks324236[[#This Row],[REC]]*0.5)</f>
        <v>148.56295440482336</v>
      </c>
      <c r="AQ57" s="58">
        <v>56</v>
      </c>
      <c r="AR57" s="58">
        <f>VLOOKUP(TableTERanks334337[[#This Row],[RK]],Rankings!A:AI,33,FALSE)</f>
        <v>0</v>
      </c>
      <c r="AS57" s="58" t="str">
        <f>IFERROR(INDEX(TableTECalcPts[TM],MATCH(TableTERanks334337[[#This Row],[Player]],TableTECalcPts[PLAYER],0)),"")</f>
        <v/>
      </c>
      <c r="AT57" s="58" t="str">
        <f>IFERROR(INDEX(TableTECalcPts[BYE],MATCH(TableTERanks334337[[#This Row],[Player]],TableTECalcPts[PLAYER],0)),"")</f>
        <v/>
      </c>
      <c r="AU57" s="100">
        <f>VLOOKUP(TableTERanks334337[[#This Row],[Player]],TE!B:O,4,FALSE)</f>
        <v>0</v>
      </c>
      <c r="AV57" s="100">
        <f>VLOOKUP(TableTERanks334337[[#This Row],[Player]],TE!B:O,5,FALSE)</f>
        <v>0</v>
      </c>
      <c r="AW57" s="100">
        <f>VLOOKUP(TableTERanks334337[[#This Row],[Player]],TE!B:O,6,FALSE)</f>
        <v>0</v>
      </c>
      <c r="AX57" s="100">
        <f>VLOOKUP(TableTERanks334337[[#This Row],[Player]],TE!B:O,7,FALSE)</f>
        <v>0</v>
      </c>
      <c r="AY57" s="95">
        <f>VLOOKUP(TableTERanks334337[[#This Row],[Player]],TE!B:O,11,FALSE)</f>
        <v>0</v>
      </c>
      <c r="AZ57" s="190">
        <f>TableTERanks334337[[#This Row],[FPS]]+(TableTERanks334337[[#This Row],[REC]]*0.5)</f>
        <v>0</v>
      </c>
    </row>
    <row r="58" spans="1:52" x14ac:dyDescent="0.25">
      <c r="A58" s="58">
        <v>57</v>
      </c>
      <c r="B58" s="58">
        <f>VLOOKUP(TableQBRanks304034[[#This Row],[RK]],Rankings!A:T,3,FALSE)</f>
        <v>0</v>
      </c>
      <c r="C58" s="58" t="str">
        <f>IFERROR(INDEX(TableQBCalcPts[TM],MATCH(TableQBRanks304034[[#This Row],[Player]],TableQBCalcPts[PLAYER],0)),"")</f>
        <v/>
      </c>
      <c r="D58" s="58" t="str">
        <f>IFERROR(INDEX(TableQBCalcPts[BYE],MATCH(TableQBRanks304034[[#This Row],[Player]],TableQBCalcPts[PLAYER],0)),"")</f>
        <v/>
      </c>
      <c r="E58" s="100">
        <f>VLOOKUP(TableQBRanks304034[[#This Row],[Player]],QB!B:O,4,FALSE)</f>
        <v>0</v>
      </c>
      <c r="F58" s="100">
        <f>VLOOKUP(TableQBRanks304034[[#This Row],[Player]],QB!B:O,5,FALSE)</f>
        <v>0</v>
      </c>
      <c r="G58" s="100">
        <f>VLOOKUP(TableQBRanks304034[[#This Row],[Player]],QB!B:O,6,FALSE)</f>
        <v>0</v>
      </c>
      <c r="H58" s="100">
        <f>VLOOKUP(TableQBRanks304034[[#This Row],[Player]],QB!B:O,7,FALSE)</f>
        <v>0</v>
      </c>
      <c r="I58" s="100">
        <f>VLOOKUP(TableQBRanks304034[[#This Row],[Player]],QB!B:O,8,FALSE)</f>
        <v>0</v>
      </c>
      <c r="J58" s="100">
        <f>VLOOKUP(TableQBRanks304034[[#This Row],[Player]],QB!B:O,9,FALSE)</f>
        <v>0</v>
      </c>
      <c r="K58" s="100">
        <f>VLOOKUP(TableQBRanks304034[[#This Row],[Player]],QB!B:O,10,FALSE)</f>
        <v>0</v>
      </c>
      <c r="L58" s="100">
        <f>VLOOKUP(TableQBRanks304034[[#This Row],[Player]],QB!B:O,11,FALSE)</f>
        <v>0</v>
      </c>
      <c r="M58" s="95">
        <f>VLOOKUP(TableQBRanks304034[[#This Row],[Player]],QB!B:O,13,FALSE)</f>
        <v>0</v>
      </c>
      <c r="N58" s="140" t="e">
        <f>IF(VLOOKUP(TableQBRanks304034[[#This Row],[Player]],'Ranks w Proj'!$B:$N,13,FALSE)&lt;0,0,VLOOKUP(TableQBRanks304034[[#This Row],[Player]],'Ranks w Proj'!$B:$N,13,FALSE))</f>
        <v>#N/A</v>
      </c>
      <c r="P58" s="58">
        <v>57</v>
      </c>
      <c r="Q58" s="58" t="str">
        <f>VLOOKUP(TableRBRanks314135[[#This Row],[RK]],Rankings!A:AI,23,FALSE)</f>
        <v>Mike Washington</v>
      </c>
      <c r="R58" s="58" t="str">
        <f>IFERROR(INDEX(TableRBCalcPts[TM],MATCH(TableRBRanks314135[[#This Row],[Player]],TableRBCalcPts[PLAYER],0)),"")</f>
        <v>LV</v>
      </c>
      <c r="S58" s="58">
        <f>IFERROR(INDEX(TableRBCalcPts[BYE],MATCH(TableRBRanks314135[[#This Row],[Player]],TableRBCalcPts[PLAYER],0)),"")</f>
        <v>13</v>
      </c>
      <c r="T58" s="100">
        <f>VLOOKUP(TableRBRanks314135[[#This Row],[Player]],RB!B:O,4,FALSE)</f>
        <v>107.78025887999998</v>
      </c>
      <c r="U58" s="100">
        <f>VLOOKUP(TableRBRanks314135[[#This Row],[Player]],RB!B:O,5,FALSE)</f>
        <v>439.74345623039989</v>
      </c>
      <c r="V58" s="100">
        <f>VLOOKUP(TableRBRanks314135[[#This Row],[Player]],RB!B:O,6,FALSE)</f>
        <v>2.2652911711162633</v>
      </c>
      <c r="W58" s="100">
        <f>VLOOKUP(TableRBRanks314135[[#This Row],[Player]],RB!B:O,7,FALSE)</f>
        <v>8.1644976000000007</v>
      </c>
      <c r="X58" s="100">
        <f>VLOOKUP(TableRBRanks314135[[#This Row],[Player]],RB!B:O,8,FALSE)</f>
        <v>5.4457198992000011</v>
      </c>
      <c r="Y58" s="100">
        <f>VLOOKUP(TableRBRanks314135[[#This Row],[Player]],RB!B:O,9,FALSE)</f>
        <v>35.996208533712007</v>
      </c>
      <c r="Z58" s="100">
        <f>VLOOKUP(TableRBRanks314135[[#This Row],[Player]],RB!B:O,10,FALSE)</f>
        <v>8.8304198138479006E-2</v>
      </c>
      <c r="AA58" s="95">
        <f>VLOOKUP(TableRBRanks314135[[#This Row],[Player]],RB!B:O,14,FALSE)</f>
        <v>64.418398641539639</v>
      </c>
      <c r="AB58" s="190">
        <f>TableRBRanks314135[[#This Row],[FPS]]+(TableRBRanks314135[[#This Row],[REC]]*0.5)</f>
        <v>67.141258591139646</v>
      </c>
      <c r="AD58" s="58">
        <v>57</v>
      </c>
      <c r="AE58" s="58" t="str">
        <f>VLOOKUP(TableWRRanks324236[[#This Row],[RK]],Rankings!A:AI,28,FALSE)</f>
        <v>Jalen McMillan</v>
      </c>
      <c r="AF58" s="58" t="str">
        <f>IFERROR(INDEX(TableWRCalcPts[TM],MATCH(TableWRRanks324236[[#This Row],[Player]],TableWRCalcPts[PLAYER],0)),"")</f>
        <v>TB</v>
      </c>
      <c r="AG58" s="58">
        <f>IFERROR(INDEX(TableWRCalcPts[BYE],MATCH(TableWRRanks324236[[#This Row],[Player]],TableWRCalcPts[PLAYER],0)),"")</f>
        <v>10</v>
      </c>
      <c r="AH58" s="100">
        <f>VLOOKUP(TableWRRanks324236[[#This Row],[Player]],WR!B:O,4,FALSE)</f>
        <v>29.607464774999997</v>
      </c>
      <c r="AI58" s="100">
        <f>VLOOKUP(TableWRRanks324236[[#This Row],[Player]],WR!B:O,5,FALSE)</f>
        <v>5.8053852499999996E-2</v>
      </c>
      <c r="AJ58" s="100">
        <f>VLOOKUP(TableWRRanks324236[[#This Row],[Player]],WR!B:O,6,FALSE)</f>
        <v>72.289622579999971</v>
      </c>
      <c r="AK58" s="100">
        <f>VLOOKUP(TableWRRanks324236[[#This Row],[Player]],WR!B:O,7,FALSE)</f>
        <v>44.747276377019979</v>
      </c>
      <c r="AL58" s="100">
        <f>VLOOKUP(TableWRRanks324236[[#This Row],[Player]],WR!B:O,8,FALSE)</f>
        <v>587.97921159404257</v>
      </c>
      <c r="AM58" s="100">
        <f>VLOOKUP(TableWRRanks324236[[#This Row],[Player]],WR!B:O,9,FALSE)</f>
        <v>3.9377603211777581</v>
      </c>
      <c r="AN58" s="95">
        <f>VLOOKUP(TableWRRanks324236[[#This Row],[Player]],WR!B:O,13,FALSE)</f>
        <v>108.1071908674808</v>
      </c>
      <c r="AO58" s="190">
        <f>TableWRRanks324236[[#This Row],[FPS]]+(TableWRRanks324236[[#This Row],[REC]]*0.5)</f>
        <v>130.4808290559908</v>
      </c>
      <c r="AQ58" s="58">
        <v>57</v>
      </c>
      <c r="AR58" s="58">
        <f>VLOOKUP(TableTERanks334337[[#This Row],[RK]],Rankings!A:AI,33,FALSE)</f>
        <v>0</v>
      </c>
      <c r="AS58" s="58" t="str">
        <f>IFERROR(INDEX(TableTECalcPts[TM],MATCH(TableTERanks334337[[#This Row],[Player]],TableTECalcPts[PLAYER],0)),"")</f>
        <v/>
      </c>
      <c r="AT58" s="58" t="str">
        <f>IFERROR(INDEX(TableTECalcPts[BYE],MATCH(TableTERanks334337[[#This Row],[Player]],TableTECalcPts[PLAYER],0)),"")</f>
        <v/>
      </c>
      <c r="AU58" s="100">
        <f>VLOOKUP(TableTERanks334337[[#This Row],[Player]],TE!B:O,4,FALSE)</f>
        <v>0</v>
      </c>
      <c r="AV58" s="100">
        <f>VLOOKUP(TableTERanks334337[[#This Row],[Player]],TE!B:O,5,FALSE)</f>
        <v>0</v>
      </c>
      <c r="AW58" s="100">
        <f>VLOOKUP(TableTERanks334337[[#This Row],[Player]],TE!B:O,6,FALSE)</f>
        <v>0</v>
      </c>
      <c r="AX58" s="100">
        <f>VLOOKUP(TableTERanks334337[[#This Row],[Player]],TE!B:O,7,FALSE)</f>
        <v>0</v>
      </c>
      <c r="AY58" s="95">
        <f>VLOOKUP(TableTERanks334337[[#This Row],[Player]],TE!B:O,11,FALSE)</f>
        <v>0</v>
      </c>
      <c r="AZ58" s="190">
        <f>TableTERanks334337[[#This Row],[FPS]]+(TableTERanks334337[[#This Row],[REC]]*0.5)</f>
        <v>0</v>
      </c>
    </row>
    <row r="59" spans="1:52" x14ac:dyDescent="0.25">
      <c r="A59" s="58">
        <v>58</v>
      </c>
      <c r="B59" s="58">
        <f>VLOOKUP(TableQBRanks304034[[#This Row],[RK]],Rankings!A:T,3,FALSE)</f>
        <v>0</v>
      </c>
      <c r="C59" s="58" t="str">
        <f>IFERROR(INDEX(TableQBCalcPts[TM],MATCH(TableQBRanks304034[[#This Row],[Player]],TableQBCalcPts[PLAYER],0)),"")</f>
        <v/>
      </c>
      <c r="D59" s="58" t="str">
        <f>IFERROR(INDEX(TableQBCalcPts[BYE],MATCH(TableQBRanks304034[[#This Row],[Player]],TableQBCalcPts[PLAYER],0)),"")</f>
        <v/>
      </c>
      <c r="E59" s="100">
        <f>VLOOKUP(TableQBRanks304034[[#This Row],[Player]],QB!B:O,4,FALSE)</f>
        <v>0</v>
      </c>
      <c r="F59" s="100">
        <f>VLOOKUP(TableQBRanks304034[[#This Row],[Player]],QB!B:O,5,FALSE)</f>
        <v>0</v>
      </c>
      <c r="G59" s="100">
        <f>VLOOKUP(TableQBRanks304034[[#This Row],[Player]],QB!B:O,6,FALSE)</f>
        <v>0</v>
      </c>
      <c r="H59" s="100">
        <f>VLOOKUP(TableQBRanks304034[[#This Row],[Player]],QB!B:O,7,FALSE)</f>
        <v>0</v>
      </c>
      <c r="I59" s="100">
        <f>VLOOKUP(TableQBRanks304034[[#This Row],[Player]],QB!B:O,8,FALSE)</f>
        <v>0</v>
      </c>
      <c r="J59" s="100">
        <f>VLOOKUP(TableQBRanks304034[[#This Row],[Player]],QB!B:O,9,FALSE)</f>
        <v>0</v>
      </c>
      <c r="K59" s="100">
        <f>VLOOKUP(TableQBRanks304034[[#This Row],[Player]],QB!B:O,10,FALSE)</f>
        <v>0</v>
      </c>
      <c r="L59" s="100">
        <f>VLOOKUP(TableQBRanks304034[[#This Row],[Player]],QB!B:O,11,FALSE)</f>
        <v>0</v>
      </c>
      <c r="M59" s="95">
        <f>VLOOKUP(TableQBRanks304034[[#This Row],[Player]],QB!B:O,13,FALSE)</f>
        <v>0</v>
      </c>
      <c r="N59" s="140" t="e">
        <f>IF(VLOOKUP(TableQBRanks304034[[#This Row],[Player]],'Ranks w Proj'!$B:$N,13,FALSE)&lt;0,0,VLOOKUP(TableQBRanks304034[[#This Row],[Player]],'Ranks w Proj'!$B:$N,13,FALSE))</f>
        <v>#N/A</v>
      </c>
      <c r="P59" s="58">
        <v>58</v>
      </c>
      <c r="Q59" s="58" t="str">
        <f>VLOOKUP(TableRBRanks314135[[#This Row],[RK]],Rankings!A:AI,23,FALSE)</f>
        <v>Tank Bigsby</v>
      </c>
      <c r="R59" s="58" t="str">
        <f>IFERROR(INDEX(TableRBCalcPts[TM],MATCH(TableRBRanks314135[[#This Row],[Player]],TableRBCalcPts[PLAYER],0)),"")</f>
        <v>PHI</v>
      </c>
      <c r="S59" s="58">
        <f>IFERROR(INDEX(TableRBCalcPts[BYE],MATCH(TableRBRanks314135[[#This Row],[Player]],TableRBCalcPts[PLAYER],0)),"")</f>
        <v>10</v>
      </c>
      <c r="T59" s="100">
        <f>VLOOKUP(TableRBRanks314135[[#This Row],[Player]],RB!B:O,4,FALSE)</f>
        <v>97.007150240000016</v>
      </c>
      <c r="U59" s="100">
        <f>VLOOKUP(TableRBRanks314135[[#This Row],[Player]],RB!B:O,5,FALSE)</f>
        <v>463.69417814720009</v>
      </c>
      <c r="V59" s="100">
        <f>VLOOKUP(TableRBRanks314135[[#This Row],[Player]],RB!B:O,6,FALSE)</f>
        <v>3.4927472680063905</v>
      </c>
      <c r="W59" s="100">
        <f>VLOOKUP(TableRBRanks314135[[#This Row],[Player]],RB!B:O,7,FALSE)</f>
        <v>5.2834504799999999</v>
      </c>
      <c r="X59" s="100">
        <f>VLOOKUP(TableRBRanks314135[[#This Row],[Player]],RB!B:O,8,FALSE)</f>
        <v>3.5113420523377772</v>
      </c>
      <c r="Y59" s="100">
        <f>VLOOKUP(TableRBRanks314135[[#This Row],[Player]],RB!B:O,9,FALSE)</f>
        <v>24.369230447271107</v>
      </c>
      <c r="Z59" s="100">
        <f>VLOOKUP(TableRBRanks314135[[#This Row],[Player]],RB!B:O,10,FALSE)</f>
        <v>0.10534026157013331</v>
      </c>
      <c r="AA59" s="95">
        <f>VLOOKUP(TableRBRanks314135[[#This Row],[Player]],RB!B:O,14,FALSE)</f>
        <v>72.150537063075149</v>
      </c>
      <c r="AB59" s="190">
        <f>TableRBRanks314135[[#This Row],[FPS]]+(TableRBRanks314135[[#This Row],[REC]]*0.5)</f>
        <v>73.906208089244032</v>
      </c>
      <c r="AD59" s="58">
        <v>58</v>
      </c>
      <c r="AE59" s="58" t="str">
        <f>VLOOKUP(TableWRRanks324236[[#This Row],[RK]],Rankings!A:AI,28,FALSE)</f>
        <v>Denzel Boston</v>
      </c>
      <c r="AF59" s="58" t="str">
        <f>IFERROR(INDEX(TableWRCalcPts[TM],MATCH(TableWRRanks324236[[#This Row],[Player]],TableWRCalcPts[PLAYER],0)),"")</f>
        <v>CLE</v>
      </c>
      <c r="AG59" s="58">
        <f>IFERROR(INDEX(TableWRCalcPts[BYE],MATCH(TableWRRanks324236[[#This Row],[Player]],TableWRCalcPts[PLAYER],0)),"")</f>
        <v>11</v>
      </c>
      <c r="AH59" s="100">
        <f>VLOOKUP(TableWRRanks324236[[#This Row],[Player]],WR!B:O,4,FALSE)</f>
        <v>0</v>
      </c>
      <c r="AI59" s="100">
        <f>VLOOKUP(TableWRRanks324236[[#This Row],[Player]],WR!B:O,5,FALSE)</f>
        <v>0</v>
      </c>
      <c r="AJ59" s="100">
        <f>VLOOKUP(TableWRRanks324236[[#This Row],[Player]],WR!B:O,6,FALSE)</f>
        <v>84.116339999999994</v>
      </c>
      <c r="AK59" s="100">
        <f>VLOOKUP(TableWRRanks324236[[#This Row],[Player]],WR!B:O,7,FALSE)</f>
        <v>44.413427519999999</v>
      </c>
      <c r="AL59" s="100">
        <f>VLOOKUP(TableWRRanks324236[[#This Row],[Player]],WR!B:O,8,FALSE)</f>
        <v>597.80473441920003</v>
      </c>
      <c r="AM59" s="100">
        <f>VLOOKUP(TableWRRanks324236[[#This Row],[Player]],WR!B:O,9,FALSE)</f>
        <v>3.02011307136</v>
      </c>
      <c r="AN59" s="95">
        <f>VLOOKUP(TableWRRanks324236[[#This Row],[Player]],WR!B:O,13,FALSE)</f>
        <v>100.10786563008</v>
      </c>
      <c r="AO59" s="190">
        <f>TableWRRanks324236[[#This Row],[FPS]]+(TableWRRanks324236[[#This Row],[REC]]*0.5)</f>
        <v>122.31457939008</v>
      </c>
      <c r="AQ59" s="58">
        <v>58</v>
      </c>
      <c r="AR59" s="58">
        <f>VLOOKUP(TableTERanks334337[[#This Row],[RK]],Rankings!A:AI,33,FALSE)</f>
        <v>0</v>
      </c>
      <c r="AS59" s="58" t="str">
        <f>IFERROR(INDEX(TableTECalcPts[TM],MATCH(TableTERanks334337[[#This Row],[Player]],TableTECalcPts[PLAYER],0)),"")</f>
        <v/>
      </c>
      <c r="AT59" s="58" t="str">
        <f>IFERROR(INDEX(TableTECalcPts[BYE],MATCH(TableTERanks334337[[#This Row],[Player]],TableTECalcPts[PLAYER],0)),"")</f>
        <v/>
      </c>
      <c r="AU59" s="100">
        <f>VLOOKUP(TableTERanks334337[[#This Row],[Player]],TE!B:O,4,FALSE)</f>
        <v>0</v>
      </c>
      <c r="AV59" s="100">
        <f>VLOOKUP(TableTERanks334337[[#This Row],[Player]],TE!B:O,5,FALSE)</f>
        <v>0</v>
      </c>
      <c r="AW59" s="100">
        <f>VLOOKUP(TableTERanks334337[[#This Row],[Player]],TE!B:O,6,FALSE)</f>
        <v>0</v>
      </c>
      <c r="AX59" s="100">
        <f>VLOOKUP(TableTERanks334337[[#This Row],[Player]],TE!B:O,7,FALSE)</f>
        <v>0</v>
      </c>
      <c r="AY59" s="95">
        <f>VLOOKUP(TableTERanks334337[[#This Row],[Player]],TE!B:O,11,FALSE)</f>
        <v>0</v>
      </c>
      <c r="AZ59" s="190">
        <f>TableTERanks334337[[#This Row],[FPS]]+(TableTERanks334337[[#This Row],[REC]]*0.5)</f>
        <v>0</v>
      </c>
    </row>
    <row r="60" spans="1:52" x14ac:dyDescent="0.25">
      <c r="A60" s="58">
        <v>59</v>
      </c>
      <c r="B60" s="58">
        <f>VLOOKUP(TableQBRanks304034[[#This Row],[RK]],Rankings!A:T,3,FALSE)</f>
        <v>0</v>
      </c>
      <c r="C60" s="58" t="str">
        <f>IFERROR(INDEX(TableQBCalcPts[TM],MATCH(TableQBRanks304034[[#This Row],[Player]],TableQBCalcPts[PLAYER],0)),"")</f>
        <v/>
      </c>
      <c r="D60" s="58" t="str">
        <f>IFERROR(INDEX(TableQBCalcPts[BYE],MATCH(TableQBRanks304034[[#This Row],[Player]],TableQBCalcPts[PLAYER],0)),"")</f>
        <v/>
      </c>
      <c r="E60" s="100">
        <f>VLOOKUP(TableQBRanks304034[[#This Row],[Player]],QB!B:O,4,FALSE)</f>
        <v>0</v>
      </c>
      <c r="F60" s="100">
        <f>VLOOKUP(TableQBRanks304034[[#This Row],[Player]],QB!B:O,5,FALSE)</f>
        <v>0</v>
      </c>
      <c r="G60" s="100">
        <f>VLOOKUP(TableQBRanks304034[[#This Row],[Player]],QB!B:O,6,FALSE)</f>
        <v>0</v>
      </c>
      <c r="H60" s="100">
        <f>VLOOKUP(TableQBRanks304034[[#This Row],[Player]],QB!B:O,7,FALSE)</f>
        <v>0</v>
      </c>
      <c r="I60" s="100">
        <f>VLOOKUP(TableQBRanks304034[[#This Row],[Player]],QB!B:O,8,FALSE)</f>
        <v>0</v>
      </c>
      <c r="J60" s="100">
        <f>VLOOKUP(TableQBRanks304034[[#This Row],[Player]],QB!B:O,9,FALSE)</f>
        <v>0</v>
      </c>
      <c r="K60" s="100">
        <f>VLOOKUP(TableQBRanks304034[[#This Row],[Player]],QB!B:O,10,FALSE)</f>
        <v>0</v>
      </c>
      <c r="L60" s="100">
        <f>VLOOKUP(TableQBRanks304034[[#This Row],[Player]],QB!B:O,11,FALSE)</f>
        <v>0</v>
      </c>
      <c r="M60" s="95">
        <f>VLOOKUP(TableQBRanks304034[[#This Row],[Player]],QB!B:O,13,FALSE)</f>
        <v>0</v>
      </c>
      <c r="N60" s="140" t="e">
        <f>IF(VLOOKUP(TableQBRanks304034[[#This Row],[Player]],'Ranks w Proj'!$B:$N,13,FALSE)&lt;0,0,VLOOKUP(TableQBRanks304034[[#This Row],[Player]],'Ranks w Proj'!$B:$N,13,FALSE))</f>
        <v>#N/A</v>
      </c>
      <c r="P60" s="58">
        <v>59</v>
      </c>
      <c r="Q60" s="58" t="str">
        <f>VLOOKUP(TableRBRanks314135[[#This Row],[RK]],Rankings!A:AI,23,FALSE)</f>
        <v>MarShawn Lloyd</v>
      </c>
      <c r="R60" s="58" t="str">
        <f>IFERROR(INDEX(TableRBCalcPts[TM],MATCH(TableRBRanks314135[[#This Row],[Player]],TableRBCalcPts[PLAYER],0)),"")</f>
        <v>GB</v>
      </c>
      <c r="S60" s="58">
        <f>IFERROR(INDEX(TableRBCalcPts[BYE],MATCH(TableRBRanks314135[[#This Row],[Player]],TableRBCalcPts[PLAYER],0)),"")</f>
        <v>11</v>
      </c>
      <c r="T60" s="100">
        <f>VLOOKUP(TableRBRanks314135[[#This Row],[Player]],RB!B:O,4,FALSE)</f>
        <v>101.3964252</v>
      </c>
      <c r="U60" s="100">
        <f>VLOOKUP(TableRBRanks314135[[#This Row],[Player]],RB!B:O,5,FALSE)</f>
        <v>415.49452903946116</v>
      </c>
      <c r="V60" s="100">
        <f>VLOOKUP(TableRBRanks314135[[#This Row],[Player]],RB!B:O,6,FALSE)</f>
        <v>3.2446856064</v>
      </c>
      <c r="W60" s="100">
        <f>VLOOKUP(TableRBRanks314135[[#This Row],[Player]],RB!B:O,7,FALSE)</f>
        <v>10.95732976884422</v>
      </c>
      <c r="X60" s="100">
        <f>VLOOKUP(TableRBRanks314135[[#This Row],[Player]],RB!B:O,8,FALSE)</f>
        <v>7.0160391250452259</v>
      </c>
      <c r="Y60" s="100">
        <f>VLOOKUP(TableRBRanks314135[[#This Row],[Player]],RB!B:O,9,FALSE)</f>
        <v>49.793454542613063</v>
      </c>
      <c r="Z60" s="100">
        <f>VLOOKUP(TableRBRanks314135[[#This Row],[Player]],RB!B:O,10,FALSE)</f>
        <v>0.26660948675171858</v>
      </c>
      <c r="AA60" s="95">
        <f>VLOOKUP(TableRBRanks314135[[#This Row],[Player]],RB!B:O,14,FALSE)</f>
        <v>71.104588479640356</v>
      </c>
      <c r="AB60" s="190">
        <f>TableRBRanks314135[[#This Row],[FPS]]+(TableRBRanks314135[[#This Row],[REC]]*0.5)</f>
        <v>74.612608042162975</v>
      </c>
      <c r="AD60" s="58">
        <v>59</v>
      </c>
      <c r="AE60" s="58" t="str">
        <f>VLOOKUP(TableWRRanks324236[[#This Row],[RK]],Rankings!A:AI,28,FALSE)</f>
        <v>Stefon Diggs</v>
      </c>
      <c r="AF60" s="58" t="str">
        <f>IFERROR(INDEX(TableWRCalcPts[TM],MATCH(TableWRRanks324236[[#This Row],[Player]],TableWRCalcPts[PLAYER],0)),"")</f>
        <v/>
      </c>
      <c r="AG60" s="58" t="str">
        <f>IFERROR(INDEX(TableWRCalcPts[BYE],MATCH(TableWRRanks324236[[#This Row],[Player]],TableWRCalcPts[PLAYER],0)),"")</f>
        <v/>
      </c>
      <c r="AH60" s="100" t="e">
        <f>VLOOKUP(TableWRRanks324236[[#This Row],[Player]],WR!B:O,4,FALSE)</f>
        <v>#N/A</v>
      </c>
      <c r="AI60" s="100" t="e">
        <f>VLOOKUP(TableWRRanks324236[[#This Row],[Player]],WR!B:O,5,FALSE)</f>
        <v>#N/A</v>
      </c>
      <c r="AJ60" s="100" t="e">
        <f>VLOOKUP(TableWRRanks324236[[#This Row],[Player]],WR!B:O,6,FALSE)</f>
        <v>#N/A</v>
      </c>
      <c r="AK60" s="100" t="e">
        <f>VLOOKUP(TableWRRanks324236[[#This Row],[Player]],WR!B:O,7,FALSE)</f>
        <v>#N/A</v>
      </c>
      <c r="AL60" s="100" t="e">
        <f>VLOOKUP(TableWRRanks324236[[#This Row],[Player]],WR!B:O,8,FALSE)</f>
        <v>#N/A</v>
      </c>
      <c r="AM60" s="100" t="e">
        <f>VLOOKUP(TableWRRanks324236[[#This Row],[Player]],WR!B:O,9,FALSE)</f>
        <v>#N/A</v>
      </c>
      <c r="AN60" s="95" t="e">
        <f>VLOOKUP(TableWRRanks324236[[#This Row],[Player]],WR!B:O,13,FALSE)</f>
        <v>#N/A</v>
      </c>
      <c r="AO60" s="190" t="e">
        <f>TableWRRanks324236[[#This Row],[FPS]]+(TableWRRanks324236[[#This Row],[REC]]*0.5)</f>
        <v>#N/A</v>
      </c>
      <c r="AQ60" s="58">
        <v>59</v>
      </c>
      <c r="AR60" s="58">
        <f>VLOOKUP(TableTERanks334337[[#This Row],[RK]],Rankings!A:AI,33,FALSE)</f>
        <v>0</v>
      </c>
      <c r="AS60" s="58" t="str">
        <f>IFERROR(INDEX(TableTECalcPts[TM],MATCH(TableTERanks334337[[#This Row],[Player]],TableTECalcPts[PLAYER],0)),"")</f>
        <v/>
      </c>
      <c r="AT60" s="58" t="str">
        <f>IFERROR(INDEX(TableTECalcPts[BYE],MATCH(TableTERanks334337[[#This Row],[Player]],TableTECalcPts[PLAYER],0)),"")</f>
        <v/>
      </c>
      <c r="AU60" s="100">
        <f>VLOOKUP(TableTERanks334337[[#This Row],[Player]],TE!B:O,4,FALSE)</f>
        <v>0</v>
      </c>
      <c r="AV60" s="100">
        <f>VLOOKUP(TableTERanks334337[[#This Row],[Player]],TE!B:O,5,FALSE)</f>
        <v>0</v>
      </c>
      <c r="AW60" s="100">
        <f>VLOOKUP(TableTERanks334337[[#This Row],[Player]],TE!B:O,6,FALSE)</f>
        <v>0</v>
      </c>
      <c r="AX60" s="100">
        <f>VLOOKUP(TableTERanks334337[[#This Row],[Player]],TE!B:O,7,FALSE)</f>
        <v>0</v>
      </c>
      <c r="AY60" s="95">
        <f>VLOOKUP(TableTERanks334337[[#This Row],[Player]],TE!B:O,11,FALSE)</f>
        <v>0</v>
      </c>
      <c r="AZ60" s="190">
        <f>TableTERanks334337[[#This Row],[FPS]]+(TableTERanks334337[[#This Row],[REC]]*0.5)</f>
        <v>0</v>
      </c>
    </row>
    <row r="61" spans="1:52" x14ac:dyDescent="0.25">
      <c r="A61" s="58">
        <v>60</v>
      </c>
      <c r="B61" s="58">
        <f>VLOOKUP(TableQBRanks304034[[#This Row],[RK]],Rankings!A:T,3,FALSE)</f>
        <v>0</v>
      </c>
      <c r="C61" s="58" t="str">
        <f>IFERROR(INDEX(TableQBCalcPts[TM],MATCH(TableQBRanks304034[[#This Row],[Player]],TableQBCalcPts[PLAYER],0)),"")</f>
        <v/>
      </c>
      <c r="D61" s="58" t="str">
        <f>IFERROR(INDEX(TableQBCalcPts[BYE],MATCH(TableQBRanks304034[[#This Row],[Player]],TableQBCalcPts[PLAYER],0)),"")</f>
        <v/>
      </c>
      <c r="E61" s="100">
        <f>VLOOKUP(TableQBRanks304034[[#This Row],[Player]],QB!B:O,4,FALSE)</f>
        <v>0</v>
      </c>
      <c r="F61" s="100">
        <f>VLOOKUP(TableQBRanks304034[[#This Row],[Player]],QB!B:O,5,FALSE)</f>
        <v>0</v>
      </c>
      <c r="G61" s="100">
        <f>VLOOKUP(TableQBRanks304034[[#This Row],[Player]],QB!B:O,6,FALSE)</f>
        <v>0</v>
      </c>
      <c r="H61" s="100">
        <f>VLOOKUP(TableQBRanks304034[[#This Row],[Player]],QB!B:O,7,FALSE)</f>
        <v>0</v>
      </c>
      <c r="I61" s="100">
        <f>VLOOKUP(TableQBRanks304034[[#This Row],[Player]],QB!B:O,8,FALSE)</f>
        <v>0</v>
      </c>
      <c r="J61" s="100">
        <f>VLOOKUP(TableQBRanks304034[[#This Row],[Player]],QB!B:O,9,FALSE)</f>
        <v>0</v>
      </c>
      <c r="K61" s="100">
        <f>VLOOKUP(TableQBRanks304034[[#This Row],[Player]],QB!B:O,10,FALSE)</f>
        <v>0</v>
      </c>
      <c r="L61" s="100">
        <f>VLOOKUP(TableQBRanks304034[[#This Row],[Player]],QB!B:O,11,FALSE)</f>
        <v>0</v>
      </c>
      <c r="M61" s="95">
        <f>VLOOKUP(TableQBRanks304034[[#This Row],[Player]],QB!B:O,13,FALSE)</f>
        <v>0</v>
      </c>
      <c r="N61" s="140" t="e">
        <f>IF(VLOOKUP(TableQBRanks304034[[#This Row],[Player]],'Ranks w Proj'!$B:$N,13,FALSE)&lt;0,0,VLOOKUP(TableQBRanks304034[[#This Row],[Player]],'Ranks w Proj'!$B:$N,13,FALSE))</f>
        <v>#N/A</v>
      </c>
      <c r="P61" s="58">
        <v>60</v>
      </c>
      <c r="Q61" s="58" t="str">
        <f>VLOOKUP(TableRBRanks314135[[#This Row],[RK]],Rankings!A:AI,23,FALSE)</f>
        <v>Jonah Coleman</v>
      </c>
      <c r="R61" s="58" t="str">
        <f>IFERROR(INDEX(TableRBCalcPts[TM],MATCH(TableRBRanks314135[[#This Row],[Player]],TableRBCalcPts[PLAYER],0)),"")</f>
        <v>DEN</v>
      </c>
      <c r="S61" s="58">
        <f>IFERROR(INDEX(TableRBCalcPts[BYE],MATCH(TableRBRanks314135[[#This Row],[Player]],TableRBCalcPts[PLAYER],0)),"")</f>
        <v>10</v>
      </c>
      <c r="T61" s="100">
        <f>VLOOKUP(TableRBRanks314135[[#This Row],[Player]],RB!B:O,4,FALSE)</f>
        <v>55.374476639999997</v>
      </c>
      <c r="U61" s="100">
        <f>VLOOKUP(TableRBRanks314135[[#This Row],[Player]],RB!B:O,5,FALSE)</f>
        <v>240.87897338399998</v>
      </c>
      <c r="V61" s="100">
        <f>VLOOKUP(TableRBRanks314135[[#This Row],[Player]],RB!B:O,6,FALSE)</f>
        <v>2.32572801888</v>
      </c>
      <c r="W61" s="100">
        <f>VLOOKUP(TableRBRanks314135[[#This Row],[Player]],RB!B:O,7,FALSE)</f>
        <v>9.7014178800000028</v>
      </c>
      <c r="X61" s="100">
        <f>VLOOKUP(TableRBRanks314135[[#This Row],[Player]],RB!B:O,8,FALSE)</f>
        <v>7.2566605742400023</v>
      </c>
      <c r="Y61" s="100">
        <f>VLOOKUP(TableRBRanks314135[[#This Row],[Player]],RB!B:O,9,FALSE)</f>
        <v>50.562817902940751</v>
      </c>
      <c r="Z61" s="100">
        <f>VLOOKUP(TableRBRanks314135[[#This Row],[Player]],RB!B:O,10,FALSE)</f>
        <v>0.14307076282588149</v>
      </c>
      <c r="AA61" s="95">
        <f>VLOOKUP(TableRBRanks314135[[#This Row],[Player]],RB!B:O,14,FALSE)</f>
        <v>47.585302106049355</v>
      </c>
      <c r="AB61" s="190">
        <f>TableRBRanks314135[[#This Row],[FPS]]+(TableRBRanks314135[[#This Row],[REC]]*0.5)</f>
        <v>51.213632393169355</v>
      </c>
      <c r="AD61" s="58">
        <v>60</v>
      </c>
      <c r="AE61" s="58" t="str">
        <f>VLOOKUP(TableWRRanks324236[[#This Row],[RK]],Rankings!A:AI,28,FALSE)</f>
        <v>Antonio Williams</v>
      </c>
      <c r="AF61" s="58" t="str">
        <f>IFERROR(INDEX(TableWRCalcPts[TM],MATCH(TableWRRanks324236[[#This Row],[Player]],TableWRCalcPts[PLAYER],0)),"")</f>
        <v>WSH</v>
      </c>
      <c r="AG61" s="58">
        <f>IFERROR(INDEX(TableWRCalcPts[BYE],MATCH(TableWRRanks324236[[#This Row],[Player]],TableWRCalcPts[PLAYER],0)),"")</f>
        <v>7</v>
      </c>
      <c r="AH61" s="100">
        <f>VLOOKUP(TableWRRanks324236[[#This Row],[Player]],WR!B:O,4,FALSE)</f>
        <v>0</v>
      </c>
      <c r="AI61" s="100">
        <f>VLOOKUP(TableWRRanks324236[[#This Row],[Player]],WR!B:O,5,FALSE)</f>
        <v>0</v>
      </c>
      <c r="AJ61" s="100">
        <f>VLOOKUP(TableWRRanks324236[[#This Row],[Player]],WR!B:O,6,FALSE)</f>
        <v>71.686419839999985</v>
      </c>
      <c r="AK61" s="100">
        <f>VLOOKUP(TableWRRanks324236[[#This Row],[Player]],WR!B:O,7,FALSE)</f>
        <v>49.320256849919986</v>
      </c>
      <c r="AL61" s="100">
        <f>VLOOKUP(TableWRRanks324236[[#This Row],[Player]],WR!B:O,8,FALSE)</f>
        <v>574.5809923015679</v>
      </c>
      <c r="AM61" s="100">
        <f>VLOOKUP(TableWRRanks324236[[#This Row],[Player]],WR!B:O,9,FALSE)</f>
        <v>3.6003787500441589</v>
      </c>
      <c r="AN61" s="95">
        <f>VLOOKUP(TableWRRanks324236[[#This Row],[Player]],WR!B:O,13,FALSE)</f>
        <v>103.72050015538173</v>
      </c>
      <c r="AO61" s="190">
        <f>TableWRRanks324236[[#This Row],[FPS]]+(TableWRRanks324236[[#This Row],[REC]]*0.5)</f>
        <v>128.38062858034172</v>
      </c>
      <c r="AQ61" s="58">
        <v>60</v>
      </c>
      <c r="AR61" s="58">
        <f>VLOOKUP(TableTERanks334337[[#This Row],[RK]],Rankings!A:AI,33,FALSE)</f>
        <v>0</v>
      </c>
      <c r="AS61" s="58" t="str">
        <f>IFERROR(INDEX(TableTECalcPts[TM],MATCH(TableTERanks334337[[#This Row],[Player]],TableTECalcPts[PLAYER],0)),"")</f>
        <v/>
      </c>
      <c r="AT61" s="58" t="str">
        <f>IFERROR(INDEX(TableTECalcPts[BYE],MATCH(TableTERanks334337[[#This Row],[Player]],TableTECalcPts[PLAYER],0)),"")</f>
        <v/>
      </c>
      <c r="AU61" s="100">
        <f>VLOOKUP(TableTERanks334337[[#This Row],[Player]],TE!B:O,4,FALSE)</f>
        <v>0</v>
      </c>
      <c r="AV61" s="100">
        <f>VLOOKUP(TableTERanks334337[[#This Row],[Player]],TE!B:O,5,FALSE)</f>
        <v>0</v>
      </c>
      <c r="AW61" s="100">
        <f>VLOOKUP(TableTERanks334337[[#This Row],[Player]],TE!B:O,6,FALSE)</f>
        <v>0</v>
      </c>
      <c r="AX61" s="100">
        <f>VLOOKUP(TableTERanks334337[[#This Row],[Player]],TE!B:O,7,FALSE)</f>
        <v>0</v>
      </c>
      <c r="AY61" s="95">
        <f>VLOOKUP(TableTERanks334337[[#This Row],[Player]],TE!B:O,11,FALSE)</f>
        <v>0</v>
      </c>
      <c r="AZ61" s="190">
        <f>TableTERanks334337[[#This Row],[FPS]]+(TableTERanks334337[[#This Row],[REC]]*0.5)</f>
        <v>0</v>
      </c>
    </row>
    <row r="62" spans="1:52" x14ac:dyDescent="0.25">
      <c r="A62" s="58">
        <v>61</v>
      </c>
      <c r="B62" s="58">
        <f>VLOOKUP(TableQBRanks304034[[#This Row],[RK]],Rankings!A:T,3,FALSE)</f>
        <v>0</v>
      </c>
      <c r="C62" s="58" t="str">
        <f>IFERROR(INDEX(TableQBCalcPts[TM],MATCH(TableQBRanks304034[[#This Row],[Player]],TableQBCalcPts[PLAYER],0)),"")</f>
        <v/>
      </c>
      <c r="D62" s="58" t="str">
        <f>IFERROR(INDEX(TableQBCalcPts[BYE],MATCH(TableQBRanks304034[[#This Row],[Player]],TableQBCalcPts[PLAYER],0)),"")</f>
        <v/>
      </c>
      <c r="E62" s="100">
        <f>VLOOKUP(TableQBRanks304034[[#This Row],[Player]],QB!B:O,4,FALSE)</f>
        <v>0</v>
      </c>
      <c r="F62" s="100">
        <f>VLOOKUP(TableQBRanks304034[[#This Row],[Player]],QB!B:O,5,FALSE)</f>
        <v>0</v>
      </c>
      <c r="G62" s="100">
        <f>VLOOKUP(TableQBRanks304034[[#This Row],[Player]],QB!B:O,6,FALSE)</f>
        <v>0</v>
      </c>
      <c r="H62" s="100">
        <f>VLOOKUP(TableQBRanks304034[[#This Row],[Player]],QB!B:O,7,FALSE)</f>
        <v>0</v>
      </c>
      <c r="I62" s="100">
        <f>VLOOKUP(TableQBRanks304034[[#This Row],[Player]],QB!B:O,8,FALSE)</f>
        <v>0</v>
      </c>
      <c r="J62" s="100">
        <f>VLOOKUP(TableQBRanks304034[[#This Row],[Player]],QB!B:O,9,FALSE)</f>
        <v>0</v>
      </c>
      <c r="K62" s="100">
        <f>VLOOKUP(TableQBRanks304034[[#This Row],[Player]],QB!B:O,10,FALSE)</f>
        <v>0</v>
      </c>
      <c r="L62" s="100">
        <f>VLOOKUP(TableQBRanks304034[[#This Row],[Player]],QB!B:O,11,FALSE)</f>
        <v>0</v>
      </c>
      <c r="M62" s="95">
        <f>VLOOKUP(TableQBRanks304034[[#This Row],[Player]],QB!B:O,13,FALSE)</f>
        <v>0</v>
      </c>
      <c r="N62" s="140" t="e">
        <f>IF(VLOOKUP(TableQBRanks304034[[#This Row],[Player]],'Ranks w Proj'!$B:$N,13,FALSE)&lt;0,0,VLOOKUP(TableQBRanks304034[[#This Row],[Player]],'Ranks w Proj'!$B:$N,13,FALSE))</f>
        <v>#N/A</v>
      </c>
      <c r="P62" s="58">
        <v>61</v>
      </c>
      <c r="Q62" s="58" t="str">
        <f>VLOOKUP(TableRBRanks314135[[#This Row],[RK]],Rankings!A:AI,23,FALSE)</f>
        <v>Ty Johnson</v>
      </c>
      <c r="R62" s="58" t="str">
        <f>IFERROR(INDEX(TableRBCalcPts[TM],MATCH(TableRBRanks314135[[#This Row],[Player]],TableRBCalcPts[PLAYER],0)),"")</f>
        <v>BUF</v>
      </c>
      <c r="S62" s="58">
        <f>IFERROR(INDEX(TableRBCalcPts[BYE],MATCH(TableRBRanks314135[[#This Row],[Player]],TableRBCalcPts[PLAYER],0)),"")</f>
        <v>7</v>
      </c>
      <c r="T62" s="100">
        <f>VLOOKUP(TableRBRanks314135[[#This Row],[Player]],RB!B:O,4,FALSE)</f>
        <v>58.341301199999997</v>
      </c>
      <c r="U62" s="100">
        <f>VLOOKUP(TableRBRanks314135[[#This Row],[Player]],RB!B:O,5,FALSE)</f>
        <v>244.64132636834495</v>
      </c>
      <c r="V62" s="100">
        <f>VLOOKUP(TableRBRanks314135[[#This Row],[Player]],RB!B:O,6,FALSE)</f>
        <v>2.0585638140148612</v>
      </c>
      <c r="W62" s="100">
        <f>VLOOKUP(TableRBRanks314135[[#This Row],[Player]],RB!B:O,7,FALSE)</f>
        <v>28.091601999999988</v>
      </c>
      <c r="X62" s="100">
        <f>VLOOKUP(TableRBRanks314135[[#This Row],[Player]],RB!B:O,8,FALSE)</f>
        <v>22.330148199333323</v>
      </c>
      <c r="Y62" s="100">
        <f>VLOOKUP(TableRBRanks314135[[#This Row],[Player]],RB!B:O,9,FALSE)</f>
        <v>195.16549526217324</v>
      </c>
      <c r="Z62" s="100">
        <f>VLOOKUP(TableRBRanks314135[[#This Row],[Player]],RB!B:O,10,FALSE)</f>
        <v>1.4610977278333328</v>
      </c>
      <c r="AA62" s="95">
        <f>VLOOKUP(TableRBRanks314135[[#This Row],[Player]],RB!B:O,14,FALSE)</f>
        <v>76.263725513807657</v>
      </c>
      <c r="AB62" s="190">
        <f>TableRBRanks314135[[#This Row],[FPS]]+(TableRBRanks314135[[#This Row],[REC]]*0.5)</f>
        <v>87.428799613474325</v>
      </c>
      <c r="AD62" s="58">
        <v>61</v>
      </c>
      <c r="AE62" s="58" t="str">
        <f>VLOOKUP(TableWRRanks324236[[#This Row],[RK]],Rankings!A:AI,28,FALSE)</f>
        <v>KC Concepcion</v>
      </c>
      <c r="AF62" s="58" t="str">
        <f>IFERROR(INDEX(TableWRCalcPts[TM],MATCH(TableWRRanks324236[[#This Row],[Player]],TableWRCalcPts[PLAYER],0)),"")</f>
        <v>CLE</v>
      </c>
      <c r="AG62" s="58">
        <f>IFERROR(INDEX(TableWRCalcPts[BYE],MATCH(TableWRRanks324236[[#This Row],[Player]],TableWRCalcPts[PLAYER],0)),"")</f>
        <v>11</v>
      </c>
      <c r="AH62" s="100">
        <f>VLOOKUP(TableWRRanks324236[[#This Row],[Player]],WR!B:O,4,FALSE)</f>
        <v>27.958043076923079</v>
      </c>
      <c r="AI62" s="100">
        <f>VLOOKUP(TableWRRanks324236[[#This Row],[Player]],WR!B:O,5,FALSE)</f>
        <v>7.7661230769230774E-2</v>
      </c>
      <c r="AJ62" s="100">
        <f>VLOOKUP(TableWRRanks324236[[#This Row],[Player]],WR!B:O,6,FALSE)</f>
        <v>80.157924000000008</v>
      </c>
      <c r="AK62" s="100">
        <f>VLOOKUP(TableWRRanks324236[[#This Row],[Player]],WR!B:O,7,FALSE)</f>
        <v>44.167016124000007</v>
      </c>
      <c r="AL62" s="100">
        <f>VLOOKUP(TableWRRanks324236[[#This Row],[Player]],WR!B:O,8,FALSE)</f>
        <v>571.46108318056611</v>
      </c>
      <c r="AM62" s="100">
        <f>VLOOKUP(TableWRRanks324236[[#This Row],[Player]],WR!B:O,9,FALSE)</f>
        <v>2.9150230641840005</v>
      </c>
      <c r="AN62" s="95">
        <f>VLOOKUP(TableWRRanks324236[[#This Row],[Player]],WR!B:O,13,FALSE)</f>
        <v>99.98152645746832</v>
      </c>
      <c r="AO62" s="190">
        <f>TableWRRanks324236[[#This Row],[FPS]]+(TableWRRanks324236[[#This Row],[REC]]*0.5)</f>
        <v>122.06503451946833</v>
      </c>
      <c r="AQ62" s="58">
        <v>61</v>
      </c>
      <c r="AR62" s="58">
        <f>VLOOKUP(TableTERanks334337[[#This Row],[RK]],Rankings!A:AI,33,FALSE)</f>
        <v>0</v>
      </c>
      <c r="AS62" s="58" t="str">
        <f>IFERROR(INDEX(TableTECalcPts[TM],MATCH(TableTERanks334337[[#This Row],[Player]],TableTECalcPts[PLAYER],0)),"")</f>
        <v/>
      </c>
      <c r="AT62" s="58" t="str">
        <f>IFERROR(INDEX(TableTECalcPts[BYE],MATCH(TableTERanks334337[[#This Row],[Player]],TableTECalcPts[PLAYER],0)),"")</f>
        <v/>
      </c>
      <c r="AU62" s="100">
        <f>VLOOKUP(TableTERanks334337[[#This Row],[Player]],TE!B:O,4,FALSE)</f>
        <v>0</v>
      </c>
      <c r="AV62" s="100">
        <f>VLOOKUP(TableTERanks334337[[#This Row],[Player]],TE!B:O,5,FALSE)</f>
        <v>0</v>
      </c>
      <c r="AW62" s="100">
        <f>VLOOKUP(TableTERanks334337[[#This Row],[Player]],TE!B:O,6,FALSE)</f>
        <v>0</v>
      </c>
      <c r="AX62" s="100">
        <f>VLOOKUP(TableTERanks334337[[#This Row],[Player]],TE!B:O,7,FALSE)</f>
        <v>0</v>
      </c>
      <c r="AY62" s="95">
        <f>VLOOKUP(TableTERanks334337[[#This Row],[Player]],TE!B:O,11,FALSE)</f>
        <v>0</v>
      </c>
      <c r="AZ62" s="190">
        <f>TableTERanks334337[[#This Row],[FPS]]+(TableTERanks334337[[#This Row],[REC]]*0.5)</f>
        <v>0</v>
      </c>
    </row>
    <row r="63" spans="1:52" x14ac:dyDescent="0.25">
      <c r="A63" s="58">
        <v>62</v>
      </c>
      <c r="B63" s="58">
        <f>VLOOKUP(TableQBRanks304034[[#This Row],[RK]],Rankings!A:T,3,FALSE)</f>
        <v>0</v>
      </c>
      <c r="C63" s="58" t="str">
        <f>IFERROR(INDEX(TableQBCalcPts[TM],MATCH(TableQBRanks304034[[#This Row],[Player]],TableQBCalcPts[PLAYER],0)),"")</f>
        <v/>
      </c>
      <c r="D63" s="58" t="str">
        <f>IFERROR(INDEX(TableQBCalcPts[BYE],MATCH(TableQBRanks304034[[#This Row],[Player]],TableQBCalcPts[PLAYER],0)),"")</f>
        <v/>
      </c>
      <c r="E63" s="100">
        <f>VLOOKUP(TableQBRanks304034[[#This Row],[Player]],QB!B:O,4,FALSE)</f>
        <v>0</v>
      </c>
      <c r="F63" s="100">
        <f>VLOOKUP(TableQBRanks304034[[#This Row],[Player]],QB!B:O,5,FALSE)</f>
        <v>0</v>
      </c>
      <c r="G63" s="100">
        <f>VLOOKUP(TableQBRanks304034[[#This Row],[Player]],QB!B:O,6,FALSE)</f>
        <v>0</v>
      </c>
      <c r="H63" s="100">
        <f>VLOOKUP(TableQBRanks304034[[#This Row],[Player]],QB!B:O,7,FALSE)</f>
        <v>0</v>
      </c>
      <c r="I63" s="100">
        <f>VLOOKUP(TableQBRanks304034[[#This Row],[Player]],QB!B:O,8,FALSE)</f>
        <v>0</v>
      </c>
      <c r="J63" s="100">
        <f>VLOOKUP(TableQBRanks304034[[#This Row],[Player]],QB!B:O,9,FALSE)</f>
        <v>0</v>
      </c>
      <c r="K63" s="100">
        <f>VLOOKUP(TableQBRanks304034[[#This Row],[Player]],QB!B:O,10,FALSE)</f>
        <v>0</v>
      </c>
      <c r="L63" s="100">
        <f>VLOOKUP(TableQBRanks304034[[#This Row],[Player]],QB!B:O,11,FALSE)</f>
        <v>0</v>
      </c>
      <c r="M63" s="95">
        <f>VLOOKUP(TableQBRanks304034[[#This Row],[Player]],QB!B:O,13,FALSE)</f>
        <v>0</v>
      </c>
      <c r="N63" s="140" t="e">
        <f>IF(VLOOKUP(TableQBRanks304034[[#This Row],[Player]],'Ranks w Proj'!$B:$N,13,FALSE)&lt;0,0,VLOOKUP(TableQBRanks304034[[#This Row],[Player]],'Ranks w Proj'!$B:$N,13,FALSE))</f>
        <v>#N/A</v>
      </c>
      <c r="P63" s="58">
        <v>62</v>
      </c>
      <c r="Q63" s="58" t="str">
        <f>VLOOKUP(TableRBRanks314135[[#This Row],[RK]],Rankings!A:AI,23,FALSE)</f>
        <v>Emari Demercado</v>
      </c>
      <c r="R63" s="58" t="str">
        <f>IFERROR(INDEX(TableRBCalcPts[TM],MATCH(TableRBRanks314135[[#This Row],[Player]],TableRBCalcPts[PLAYER],0)),"")</f>
        <v>KC</v>
      </c>
      <c r="S63" s="58">
        <f>IFERROR(INDEX(TableRBCalcPts[BYE],MATCH(TableRBRanks314135[[#This Row],[Player]],TableRBCalcPts[PLAYER],0)),"")</f>
        <v>5</v>
      </c>
      <c r="T63" s="100">
        <f>VLOOKUP(TableRBRanks314135[[#This Row],[Player]],RB!B:O,4,FALSE)</f>
        <v>42.841606500000012</v>
      </c>
      <c r="U63" s="100">
        <f>VLOOKUP(TableRBRanks314135[[#This Row],[Player]],RB!B:O,5,FALSE)</f>
        <v>170.08117780500007</v>
      </c>
      <c r="V63" s="100">
        <f>VLOOKUP(TableRBRanks314135[[#This Row],[Player]],RB!B:O,6,FALSE)</f>
        <v>1.3709314080000004</v>
      </c>
      <c r="W63" s="100">
        <f>VLOOKUP(TableRBRanks314135[[#This Row],[Player]],RB!B:O,7,FALSE)</f>
        <v>28.102871999999998</v>
      </c>
      <c r="X63" s="100">
        <f>VLOOKUP(TableRBRanks314135[[#This Row],[Player]],RB!B:O,8,FALSE)</f>
        <v>20.571302304</v>
      </c>
      <c r="Y63" s="100">
        <f>VLOOKUP(TableRBRanks314135[[#This Row],[Player]],RB!B:O,9,FALSE)</f>
        <v>144.41054217407998</v>
      </c>
      <c r="Z63" s="100">
        <f>VLOOKUP(TableRBRanks314135[[#This Row],[Player]],RB!B:O,10,FALSE)</f>
        <v>0.82285209215999999</v>
      </c>
      <c r="AA63" s="95">
        <f>VLOOKUP(TableRBRanks314135[[#This Row],[Player]],RB!B:O,14,FALSE)</f>
        <v>54.897524150868009</v>
      </c>
      <c r="AB63" s="190">
        <f>TableRBRanks314135[[#This Row],[FPS]]+(TableRBRanks314135[[#This Row],[REC]]*0.5)</f>
        <v>65.183175302868008</v>
      </c>
      <c r="AD63" s="58">
        <v>62</v>
      </c>
      <c r="AE63" s="58" t="str">
        <f>VLOOKUP(TableWRRanks324236[[#This Row],[RK]],Rankings!A:AI,28,FALSE)</f>
        <v>Adonai Mitchell</v>
      </c>
      <c r="AF63" s="58" t="str">
        <f>IFERROR(INDEX(TableWRCalcPts[TM],MATCH(TableWRRanks324236[[#This Row],[Player]],TableWRCalcPts[PLAYER],0)),"")</f>
        <v>NYJ</v>
      </c>
      <c r="AG63" s="58">
        <f>IFERROR(INDEX(TableWRCalcPts[BYE],MATCH(TableWRRanks324236[[#This Row],[Player]],TableWRCalcPts[PLAYER],0)),"")</f>
        <v>13</v>
      </c>
      <c r="AH63" s="100">
        <f>VLOOKUP(TableWRRanks324236[[#This Row],[Player]],WR!B:O,4,FALSE)</f>
        <v>0</v>
      </c>
      <c r="AI63" s="100">
        <f>VLOOKUP(TableWRRanks324236[[#This Row],[Player]],WR!B:O,5,FALSE)</f>
        <v>0</v>
      </c>
      <c r="AJ63" s="100">
        <f>VLOOKUP(TableWRRanks324236[[#This Row],[Player]],WR!B:O,6,FALSE)</f>
        <v>73.621647963709975</v>
      </c>
      <c r="AK63" s="100">
        <f>VLOOKUP(TableWRRanks324236[[#This Row],[Player]],WR!B:O,7,FALSE)</f>
        <v>46.052929941825305</v>
      </c>
      <c r="AL63" s="100">
        <f>VLOOKUP(TableWRRanks324236[[#This Row],[Player]],WR!B:O,8,FALSE)</f>
        <v>592.50297024416</v>
      </c>
      <c r="AM63" s="100">
        <f>VLOOKUP(TableWRRanks324236[[#This Row],[Player]],WR!B:O,9,FALSE)</f>
        <v>3.2697580258695962</v>
      </c>
      <c r="AN63" s="95">
        <f>VLOOKUP(TableWRRanks324236[[#This Row],[Player]],WR!B:O,13,FALSE)</f>
        <v>101.89531015054624</v>
      </c>
      <c r="AO63" s="190">
        <f>TableWRRanks324236[[#This Row],[FPS]]+(TableWRRanks324236[[#This Row],[REC]]*0.5)</f>
        <v>124.92177512145889</v>
      </c>
      <c r="AQ63" s="58">
        <v>62</v>
      </c>
      <c r="AR63" s="58">
        <f>VLOOKUP(TableTERanks334337[[#This Row],[RK]],Rankings!A:AI,33,FALSE)</f>
        <v>0</v>
      </c>
      <c r="AS63" s="58" t="str">
        <f>IFERROR(INDEX(TableTECalcPts[TM],MATCH(TableTERanks334337[[#This Row],[Player]],TableTECalcPts[PLAYER],0)),"")</f>
        <v/>
      </c>
      <c r="AT63" s="58" t="str">
        <f>IFERROR(INDEX(TableTECalcPts[BYE],MATCH(TableTERanks334337[[#This Row],[Player]],TableTECalcPts[PLAYER],0)),"")</f>
        <v/>
      </c>
      <c r="AU63" s="100">
        <f>VLOOKUP(TableTERanks334337[[#This Row],[Player]],TE!B:O,4,FALSE)</f>
        <v>0</v>
      </c>
      <c r="AV63" s="100">
        <f>VLOOKUP(TableTERanks334337[[#This Row],[Player]],TE!B:O,5,FALSE)</f>
        <v>0</v>
      </c>
      <c r="AW63" s="100">
        <f>VLOOKUP(TableTERanks334337[[#This Row],[Player]],TE!B:O,6,FALSE)</f>
        <v>0</v>
      </c>
      <c r="AX63" s="100">
        <f>VLOOKUP(TableTERanks334337[[#This Row],[Player]],TE!B:O,7,FALSE)</f>
        <v>0</v>
      </c>
      <c r="AY63" s="95">
        <f>VLOOKUP(TableTERanks334337[[#This Row],[Player]],TE!B:O,11,FALSE)</f>
        <v>0</v>
      </c>
      <c r="AZ63" s="190">
        <f>TableTERanks334337[[#This Row],[FPS]]+(TableTERanks334337[[#This Row],[REC]]*0.5)</f>
        <v>0</v>
      </c>
    </row>
    <row r="64" spans="1:52" x14ac:dyDescent="0.25">
      <c r="A64" s="58">
        <v>63</v>
      </c>
      <c r="B64" s="58">
        <f>VLOOKUP(TableQBRanks304034[[#This Row],[RK]],Rankings!A:T,3,FALSE)</f>
        <v>0</v>
      </c>
      <c r="C64" s="58" t="str">
        <f>IFERROR(INDEX(TableQBCalcPts[TM],MATCH(TableQBRanks304034[[#This Row],[Player]],TableQBCalcPts[PLAYER],0)),"")</f>
        <v/>
      </c>
      <c r="D64" s="58" t="str">
        <f>IFERROR(INDEX(TableQBCalcPts[BYE],MATCH(TableQBRanks304034[[#This Row],[Player]],TableQBCalcPts[PLAYER],0)),"")</f>
        <v/>
      </c>
      <c r="E64" s="100">
        <f>VLOOKUP(TableQBRanks304034[[#This Row],[Player]],QB!B:O,4,FALSE)</f>
        <v>0</v>
      </c>
      <c r="F64" s="100">
        <f>VLOOKUP(TableQBRanks304034[[#This Row],[Player]],QB!B:O,5,FALSE)</f>
        <v>0</v>
      </c>
      <c r="G64" s="100">
        <f>VLOOKUP(TableQBRanks304034[[#This Row],[Player]],QB!B:O,6,FALSE)</f>
        <v>0</v>
      </c>
      <c r="H64" s="100">
        <f>VLOOKUP(TableQBRanks304034[[#This Row],[Player]],QB!B:O,7,FALSE)</f>
        <v>0</v>
      </c>
      <c r="I64" s="100">
        <f>VLOOKUP(TableQBRanks304034[[#This Row],[Player]],QB!B:O,8,FALSE)</f>
        <v>0</v>
      </c>
      <c r="J64" s="100">
        <f>VLOOKUP(TableQBRanks304034[[#This Row],[Player]],QB!B:O,9,FALSE)</f>
        <v>0</v>
      </c>
      <c r="K64" s="100">
        <f>VLOOKUP(TableQBRanks304034[[#This Row],[Player]],QB!B:O,10,FALSE)</f>
        <v>0</v>
      </c>
      <c r="L64" s="100">
        <f>VLOOKUP(TableQBRanks304034[[#This Row],[Player]],QB!B:O,11,FALSE)</f>
        <v>0</v>
      </c>
      <c r="M64" s="95">
        <f>VLOOKUP(TableQBRanks304034[[#This Row],[Player]],QB!B:O,13,FALSE)</f>
        <v>0</v>
      </c>
      <c r="N64" s="140" t="e">
        <f>IF(VLOOKUP(TableQBRanks304034[[#This Row],[Player]],'Ranks w Proj'!$B:$N,13,FALSE)&lt;0,0,VLOOKUP(TableQBRanks304034[[#This Row],[Player]],'Ranks w Proj'!$B:$N,13,FALSE))</f>
        <v>#N/A</v>
      </c>
      <c r="P64" s="58">
        <v>63</v>
      </c>
      <c r="Q64" s="58" t="str">
        <f>VLOOKUP(TableRBRanks314135[[#This Row],[RK]],Rankings!A:AI,23,FALSE)</f>
        <v>Chris Brooks</v>
      </c>
      <c r="R64" s="58" t="str">
        <f>IFERROR(INDEX(TableRBCalcPts[TM],MATCH(TableRBRanks314135[[#This Row],[Player]],TableRBCalcPts[PLAYER],0)),"")</f>
        <v>GB</v>
      </c>
      <c r="S64" s="58">
        <f>IFERROR(INDEX(TableRBCalcPts[BYE],MATCH(TableRBRanks314135[[#This Row],[Player]],TableRBCalcPts[PLAYER],0)),"")</f>
        <v>11</v>
      </c>
      <c r="T64" s="100">
        <f>VLOOKUP(TableRBRanks314135[[#This Row],[Player]],RB!B:O,4,FALSE)</f>
        <v>41.973403919999996</v>
      </c>
      <c r="U64" s="100">
        <f>VLOOKUP(TableRBRanks314135[[#This Row],[Player]],RB!B:O,5,FALSE)</f>
        <v>173.76610074907819</v>
      </c>
      <c r="V64" s="100">
        <f>VLOOKUP(TableRBRanks314135[[#This Row],[Player]],RB!B:O,6,FALSE)</f>
        <v>1.1752553097599998</v>
      </c>
      <c r="W64" s="100">
        <f>VLOOKUP(TableRBRanks314135[[#This Row],[Player]],RB!B:O,7,FALSE)</f>
        <v>12.000884984924623</v>
      </c>
      <c r="X64" s="100">
        <f>VLOOKUP(TableRBRanks314135[[#This Row],[Player]],RB!B:O,8,FALSE)</f>
        <v>10.15849271057235</v>
      </c>
      <c r="Y64" s="100">
        <f>VLOOKUP(TableRBRanks314135[[#This Row],[Player]],RB!B:O,9,FALSE)</f>
        <v>67.242907432196887</v>
      </c>
      <c r="Z64" s="100">
        <f>VLOOKUP(TableRBRanks314135[[#This Row],[Player]],RB!B:O,10,FALSE)</f>
        <v>0.30238127295348538</v>
      </c>
      <c r="AA64" s="95">
        <f>VLOOKUP(TableRBRanks314135[[#This Row],[Player]],RB!B:O,14,FALSE)</f>
        <v>38.045966669694593</v>
      </c>
      <c r="AB64" s="190">
        <f>TableRBRanks314135[[#This Row],[FPS]]+(TableRBRanks314135[[#This Row],[REC]]*0.5)</f>
        <v>43.125213024980766</v>
      </c>
      <c r="AD64" s="58">
        <v>63</v>
      </c>
      <c r="AE64" s="58" t="str">
        <f>VLOOKUP(TableWRRanks324236[[#This Row],[RK]],Rankings!A:AI,28,FALSE)</f>
        <v>Jalen Nailor</v>
      </c>
      <c r="AF64" s="58" t="str">
        <f>IFERROR(INDEX(TableWRCalcPts[TM],MATCH(TableWRRanks324236[[#This Row],[Player]],TableWRCalcPts[PLAYER],0)),"")</f>
        <v>LV</v>
      </c>
      <c r="AG64" s="58">
        <f>IFERROR(INDEX(TableWRCalcPts[BYE],MATCH(TableWRRanks324236[[#This Row],[Player]],TableWRCalcPts[PLAYER],0)),"")</f>
        <v>13</v>
      </c>
      <c r="AH64" s="100">
        <f>VLOOKUP(TableWRRanks324236[[#This Row],[Player]],WR!B:O,4,FALSE)</f>
        <v>0</v>
      </c>
      <c r="AI64" s="100">
        <f>VLOOKUP(TableWRRanks324236[[#This Row],[Player]],WR!B:O,5,FALSE)</f>
        <v>0</v>
      </c>
      <c r="AJ64" s="100">
        <f>VLOOKUP(TableWRRanks324236[[#This Row],[Player]],WR!B:O,6,FALSE)</f>
        <v>78.379176959999995</v>
      </c>
      <c r="AK64" s="100">
        <f>VLOOKUP(TableWRRanks324236[[#This Row],[Player]],WR!B:O,7,FALSE)</f>
        <v>47.654539591679999</v>
      </c>
      <c r="AL64" s="100">
        <f>VLOOKUP(TableWRRanks324236[[#This Row],[Player]],WR!B:O,8,FALSE)</f>
        <v>608.07192518983675</v>
      </c>
      <c r="AM64" s="100">
        <f>VLOOKUP(TableWRRanks324236[[#This Row],[Player]],WR!B:O,9,FALSE)</f>
        <v>3.0975450734591998</v>
      </c>
      <c r="AN64" s="95">
        <f>VLOOKUP(TableWRRanks324236[[#This Row],[Player]],WR!B:O,13,FALSE)</f>
        <v>103.21973275557887</v>
      </c>
      <c r="AO64" s="190">
        <f>TableWRRanks324236[[#This Row],[FPS]]+(TableWRRanks324236[[#This Row],[REC]]*0.5)</f>
        <v>127.04700255141887</v>
      </c>
      <c r="AQ64" s="58">
        <v>63</v>
      </c>
      <c r="AR64" s="58">
        <f>VLOOKUP(TableTERanks334337[[#This Row],[RK]],Rankings!A:AI,33,FALSE)</f>
        <v>0</v>
      </c>
      <c r="AS64" s="58" t="str">
        <f>IFERROR(INDEX(TableTECalcPts[TM],MATCH(TableTERanks334337[[#This Row],[Player]],TableTECalcPts[PLAYER],0)),"")</f>
        <v/>
      </c>
      <c r="AT64" s="58" t="str">
        <f>IFERROR(INDEX(TableTECalcPts[BYE],MATCH(TableTERanks334337[[#This Row],[Player]],TableTECalcPts[PLAYER],0)),"")</f>
        <v/>
      </c>
      <c r="AU64" s="100">
        <f>VLOOKUP(TableTERanks334337[[#This Row],[Player]],TE!B:O,4,FALSE)</f>
        <v>0</v>
      </c>
      <c r="AV64" s="100">
        <f>VLOOKUP(TableTERanks334337[[#This Row],[Player]],TE!B:O,5,FALSE)</f>
        <v>0</v>
      </c>
      <c r="AW64" s="100">
        <f>VLOOKUP(TableTERanks334337[[#This Row],[Player]],TE!B:O,6,FALSE)</f>
        <v>0</v>
      </c>
      <c r="AX64" s="100">
        <f>VLOOKUP(TableTERanks334337[[#This Row],[Player]],TE!B:O,7,FALSE)</f>
        <v>0</v>
      </c>
      <c r="AY64" s="95">
        <f>VLOOKUP(TableTERanks334337[[#This Row],[Player]],TE!B:O,11,FALSE)</f>
        <v>0</v>
      </c>
      <c r="AZ64" s="190">
        <f>TableTERanks334337[[#This Row],[FPS]]+(TableTERanks334337[[#This Row],[REC]]*0.5)</f>
        <v>0</v>
      </c>
    </row>
    <row r="65" spans="1:52" x14ac:dyDescent="0.25">
      <c r="A65" s="58">
        <v>64</v>
      </c>
      <c r="B65" s="58">
        <f>VLOOKUP(TableQBRanks304034[[#This Row],[RK]],Rankings!A:T,3,FALSE)</f>
        <v>0</v>
      </c>
      <c r="C65" s="58" t="str">
        <f>IFERROR(INDEX(TableQBCalcPts[TM],MATCH(TableQBRanks304034[[#This Row],[Player]],TableQBCalcPts[PLAYER],0)),"")</f>
        <v/>
      </c>
      <c r="D65" s="58" t="str">
        <f>IFERROR(INDEX(TableQBCalcPts[BYE],MATCH(TableQBRanks304034[[#This Row],[Player]],TableQBCalcPts[PLAYER],0)),"")</f>
        <v/>
      </c>
      <c r="E65" s="100">
        <f>VLOOKUP(TableQBRanks304034[[#This Row],[Player]],QB!B:O,4,FALSE)</f>
        <v>0</v>
      </c>
      <c r="F65" s="100">
        <f>VLOOKUP(TableQBRanks304034[[#This Row],[Player]],QB!B:O,5,FALSE)</f>
        <v>0</v>
      </c>
      <c r="G65" s="100">
        <f>VLOOKUP(TableQBRanks304034[[#This Row],[Player]],QB!B:O,6,FALSE)</f>
        <v>0</v>
      </c>
      <c r="H65" s="100">
        <f>VLOOKUP(TableQBRanks304034[[#This Row],[Player]],QB!B:O,7,FALSE)</f>
        <v>0</v>
      </c>
      <c r="I65" s="100">
        <f>VLOOKUP(TableQBRanks304034[[#This Row],[Player]],QB!B:O,8,FALSE)</f>
        <v>0</v>
      </c>
      <c r="J65" s="100">
        <f>VLOOKUP(TableQBRanks304034[[#This Row],[Player]],QB!B:O,9,FALSE)</f>
        <v>0</v>
      </c>
      <c r="K65" s="100">
        <f>VLOOKUP(TableQBRanks304034[[#This Row],[Player]],QB!B:O,10,FALSE)</f>
        <v>0</v>
      </c>
      <c r="L65" s="100">
        <f>VLOOKUP(TableQBRanks304034[[#This Row],[Player]],QB!B:O,11,FALSE)</f>
        <v>0</v>
      </c>
      <c r="M65" s="95">
        <f>VLOOKUP(TableQBRanks304034[[#This Row],[Player]],QB!B:O,13,FALSE)</f>
        <v>0</v>
      </c>
      <c r="N65" s="140" t="e">
        <f>IF(VLOOKUP(TableQBRanks304034[[#This Row],[Player]],'Ranks w Proj'!$B:$N,13,FALSE)&lt;0,0,VLOOKUP(TableQBRanks304034[[#This Row],[Player]],'Ranks w Proj'!$B:$N,13,FALSE))</f>
        <v>#N/A</v>
      </c>
      <c r="P65" s="58">
        <v>64</v>
      </c>
      <c r="Q65" s="58" t="str">
        <f>VLOOKUP(TableRBRanks314135[[#This Row],[RK]],Rankings!A:AI,23,FALSE)</f>
        <v>Jaydon Blue</v>
      </c>
      <c r="R65" s="58" t="str">
        <f>IFERROR(INDEX(TableRBCalcPts[TM],MATCH(TableRBRanks314135[[#This Row],[Player]],TableRBCalcPts[PLAYER],0)),"")</f>
        <v>DAL</v>
      </c>
      <c r="S65" s="58">
        <f>IFERROR(INDEX(TableRBCalcPts[BYE],MATCH(TableRBRanks314135[[#This Row],[Player]],TableRBCalcPts[PLAYER],0)),"")</f>
        <v>14</v>
      </c>
      <c r="T65" s="100">
        <f>VLOOKUP(TableRBRanks314135[[#This Row],[Player]],RB!B:O,4,FALSE)</f>
        <v>49.580674500000008</v>
      </c>
      <c r="U65" s="100">
        <f>VLOOKUP(TableRBRanks314135[[#This Row],[Player]],RB!B:O,5,FALSE)</f>
        <v>203.77657219500006</v>
      </c>
      <c r="V65" s="100">
        <f>VLOOKUP(TableRBRanks314135[[#This Row],[Player]],RB!B:O,6,FALSE)</f>
        <v>1.4378395605000003</v>
      </c>
      <c r="W65" s="100">
        <f>VLOOKUP(TableRBRanks314135[[#This Row],[Player]],RB!B:O,7,FALSE)</f>
        <v>19.891202099999997</v>
      </c>
      <c r="X65" s="100">
        <f>VLOOKUP(TableRBRanks314135[[#This Row],[Player]],RB!B:O,8,FALSE)</f>
        <v>13.289416813547367</v>
      </c>
      <c r="Y65" s="100">
        <f>VLOOKUP(TableRBRanks314135[[#This Row],[Player]],RB!B:O,9,FALSE)</f>
        <v>87.045680128735256</v>
      </c>
      <c r="Z65" s="100">
        <f>VLOOKUP(TableRBRanks314135[[#This Row],[Player]],RB!B:O,10,FALSE)</f>
        <v>0.3189460035251368</v>
      </c>
      <c r="AA65" s="95">
        <f>VLOOKUP(TableRBRanks314135[[#This Row],[Player]],RB!B:O,14,FALSE)</f>
        <v>46.267647023298039</v>
      </c>
      <c r="AB65" s="190">
        <f>TableRBRanks314135[[#This Row],[FPS]]+(TableRBRanks314135[[#This Row],[REC]]*0.5)</f>
        <v>52.91235543007172</v>
      </c>
      <c r="AD65" s="58">
        <v>64</v>
      </c>
      <c r="AE65" s="58" t="str">
        <f>VLOOKUP(TableWRRanks324236[[#This Row],[RK]],Rankings!A:AI,28,FALSE)</f>
        <v>Rashod Bateman</v>
      </c>
      <c r="AF65" s="58" t="str">
        <f>IFERROR(INDEX(TableWRCalcPts[TM],MATCH(TableWRRanks324236[[#This Row],[Player]],TableWRCalcPts[PLAYER],0)),"")</f>
        <v>BAL</v>
      </c>
      <c r="AG65" s="58">
        <f>IFERROR(INDEX(TableWRCalcPts[BYE],MATCH(TableWRRanks324236[[#This Row],[Player]],TableWRCalcPts[PLAYER],0)),"")</f>
        <v>13</v>
      </c>
      <c r="AH65" s="100">
        <f>VLOOKUP(TableWRRanks324236[[#This Row],[Player]],WR!B:O,4,FALSE)</f>
        <v>0</v>
      </c>
      <c r="AI65" s="100">
        <f>VLOOKUP(TableWRRanks324236[[#This Row],[Player]],WR!B:O,5,FALSE)</f>
        <v>0</v>
      </c>
      <c r="AJ65" s="100">
        <f>VLOOKUP(TableWRRanks324236[[#This Row],[Player]],WR!B:O,6,FALSE)</f>
        <v>53.105588480000002</v>
      </c>
      <c r="AK65" s="100">
        <f>VLOOKUP(TableWRRanks324236[[#This Row],[Player]],WR!B:O,7,FALSE)</f>
        <v>33.116430408093741</v>
      </c>
      <c r="AL65" s="100">
        <f>VLOOKUP(TableWRRanks324236[[#This Row],[Player]],WR!B:O,8,FALSE)</f>
        <v>480.18824091735922</v>
      </c>
      <c r="AM65" s="100">
        <f>VLOOKUP(TableWRRanks324236[[#This Row],[Player]],WR!B:O,9,FALSE)</f>
        <v>3.9408552185631551</v>
      </c>
      <c r="AN65" s="95">
        <f>VLOOKUP(TableWRRanks324236[[#This Row],[Player]],WR!B:O,13,FALSE)</f>
        <v>88.222170607161729</v>
      </c>
      <c r="AO65" s="190">
        <f>TableWRRanks324236[[#This Row],[FPS]]+(TableWRRanks324236[[#This Row],[REC]]*0.5)</f>
        <v>104.7803858112086</v>
      </c>
      <c r="AQ65" s="58">
        <v>64</v>
      </c>
      <c r="AR65" s="58">
        <f>VLOOKUP(TableTERanks334337[[#This Row],[RK]],Rankings!A:AI,33,FALSE)</f>
        <v>0</v>
      </c>
      <c r="AS65" s="58" t="str">
        <f>IFERROR(INDEX(TableTECalcPts[TM],MATCH(TableTERanks334337[[#This Row],[Player]],TableTECalcPts[PLAYER],0)),"")</f>
        <v/>
      </c>
      <c r="AT65" s="58" t="str">
        <f>IFERROR(INDEX(TableTECalcPts[BYE],MATCH(TableTERanks334337[[#This Row],[Player]],TableTECalcPts[PLAYER],0)),"")</f>
        <v/>
      </c>
      <c r="AU65" s="100">
        <f>VLOOKUP(TableTERanks334337[[#This Row],[Player]],TE!B:O,4,FALSE)</f>
        <v>0</v>
      </c>
      <c r="AV65" s="100">
        <f>VLOOKUP(TableTERanks334337[[#This Row],[Player]],TE!B:O,5,FALSE)</f>
        <v>0</v>
      </c>
      <c r="AW65" s="100">
        <f>VLOOKUP(TableTERanks334337[[#This Row],[Player]],TE!B:O,6,FALSE)</f>
        <v>0</v>
      </c>
      <c r="AX65" s="100">
        <f>VLOOKUP(TableTERanks334337[[#This Row],[Player]],TE!B:O,7,FALSE)</f>
        <v>0</v>
      </c>
      <c r="AY65" s="95">
        <f>VLOOKUP(TableTERanks334337[[#This Row],[Player]],TE!B:O,11,FALSE)</f>
        <v>0</v>
      </c>
      <c r="AZ65" s="190">
        <f>TableTERanks334337[[#This Row],[FPS]]+(TableTERanks334337[[#This Row],[REC]]*0.5)</f>
        <v>0</v>
      </c>
    </row>
    <row r="66" spans="1:52" x14ac:dyDescent="0.25">
      <c r="A66" s="58">
        <v>65</v>
      </c>
      <c r="B66" s="58">
        <f>VLOOKUP(TableQBRanks304034[[#This Row],[RK]],Rankings!A:T,3,FALSE)</f>
        <v>0</v>
      </c>
      <c r="C66" s="58" t="str">
        <f>IFERROR(INDEX(TableQBCalcPts[TM],MATCH(TableQBRanks304034[[#This Row],[Player]],TableQBCalcPts[PLAYER],0)),"")</f>
        <v/>
      </c>
      <c r="D66" s="58" t="str">
        <f>IFERROR(INDEX(TableQBCalcPts[BYE],MATCH(TableQBRanks304034[[#This Row],[Player]],TableQBCalcPts[PLAYER],0)),"")</f>
        <v/>
      </c>
      <c r="E66" s="100">
        <f>VLOOKUP(TableQBRanks304034[[#This Row],[Player]],QB!B:O,4,FALSE)</f>
        <v>0</v>
      </c>
      <c r="F66" s="100">
        <f>VLOOKUP(TableQBRanks304034[[#This Row],[Player]],QB!B:O,5,FALSE)</f>
        <v>0</v>
      </c>
      <c r="G66" s="100">
        <f>VLOOKUP(TableQBRanks304034[[#This Row],[Player]],QB!B:O,6,FALSE)</f>
        <v>0</v>
      </c>
      <c r="H66" s="100">
        <f>VLOOKUP(TableQBRanks304034[[#This Row],[Player]],QB!B:O,7,FALSE)</f>
        <v>0</v>
      </c>
      <c r="I66" s="100">
        <f>VLOOKUP(TableQBRanks304034[[#This Row],[Player]],QB!B:O,8,FALSE)</f>
        <v>0</v>
      </c>
      <c r="J66" s="100">
        <f>VLOOKUP(TableQBRanks304034[[#This Row],[Player]],QB!B:O,9,FALSE)</f>
        <v>0</v>
      </c>
      <c r="K66" s="100">
        <f>VLOOKUP(TableQBRanks304034[[#This Row],[Player]],QB!B:O,10,FALSE)</f>
        <v>0</v>
      </c>
      <c r="L66" s="100">
        <f>VLOOKUP(TableQBRanks304034[[#This Row],[Player]],QB!B:O,11,FALSE)</f>
        <v>0</v>
      </c>
      <c r="M66" s="95">
        <f>VLOOKUP(TableQBRanks304034[[#This Row],[Player]],QB!B:O,13,FALSE)</f>
        <v>0</v>
      </c>
      <c r="N66" s="140" t="e">
        <f>IF(VLOOKUP(TableQBRanks304034[[#This Row],[Player]],'Ranks w Proj'!$B:$N,13,FALSE)&lt;0,0,VLOOKUP(TableQBRanks304034[[#This Row],[Player]],'Ranks w Proj'!$B:$N,13,FALSE))</f>
        <v>#N/A</v>
      </c>
      <c r="P66" s="58">
        <v>65</v>
      </c>
      <c r="Q66" s="58" t="str">
        <f>VLOOKUP(TableRBRanks314135[[#This Row],[RK]],Rankings!A:AI,23,FALSE)</f>
        <v>Samaje Perine</v>
      </c>
      <c r="R66" s="58" t="str">
        <f>IFERROR(INDEX(TableRBCalcPts[TM],MATCH(TableRBRanks314135[[#This Row],[Player]],TableRBCalcPts[PLAYER],0)),"")</f>
        <v>CIN</v>
      </c>
      <c r="S66" s="58">
        <f>IFERROR(INDEX(TableRBCalcPts[BYE],MATCH(TableRBRanks314135[[#This Row],[Player]],TableRBCalcPts[PLAYER],0)),"")</f>
        <v>6</v>
      </c>
      <c r="T66" s="100">
        <f>VLOOKUP(TableRBRanks314135[[#This Row],[Player]],RB!B:O,4,FALSE)</f>
        <v>86.934697499999999</v>
      </c>
      <c r="U66" s="100">
        <f>VLOOKUP(TableRBRanks314135[[#This Row],[Player]],RB!B:O,5,FALSE)</f>
        <v>376.42724017500001</v>
      </c>
      <c r="V66" s="100">
        <f>VLOOKUP(TableRBRanks314135[[#This Row],[Player]],RB!B:O,6,FALSE)</f>
        <v>2.640391754401255</v>
      </c>
      <c r="W66" s="100">
        <f>VLOOKUP(TableRBRanks314135[[#This Row],[Player]],RB!B:O,7,FALSE)</f>
        <v>26.573925000000003</v>
      </c>
      <c r="X66" s="100">
        <f>VLOOKUP(TableRBRanks314135[[#This Row],[Player]],RB!B:O,8,FALSE)</f>
        <v>22.322097000000003</v>
      </c>
      <c r="Y66" s="100">
        <f>VLOOKUP(TableRBRanks314135[[#This Row],[Player]],RB!B:O,9,FALSE)</f>
        <v>149.47821969471161</v>
      </c>
      <c r="Z66" s="100">
        <f>VLOOKUP(TableRBRanks314135[[#This Row],[Player]],RB!B:O,10,FALSE)</f>
        <v>1.0029674114089127</v>
      </c>
      <c r="AA66" s="95">
        <f>VLOOKUP(TableRBRanks314135[[#This Row],[Player]],RB!B:O,14,FALSE)</f>
        <v>85.611749481832177</v>
      </c>
      <c r="AB66" s="190">
        <f>TableRBRanks314135[[#This Row],[FPS]]+(TableRBRanks314135[[#This Row],[REC]]*0.5)</f>
        <v>96.772797981832184</v>
      </c>
      <c r="AD66" s="58">
        <v>65</v>
      </c>
      <c r="AE66" s="58" t="str">
        <f>VLOOKUP(TableWRRanks324236[[#This Row],[RK]],Rankings!A:AI,28,FALSE)</f>
        <v>Jack Bech</v>
      </c>
      <c r="AF66" s="58" t="str">
        <f>IFERROR(INDEX(TableWRCalcPts[TM],MATCH(TableWRRanks324236[[#This Row],[Player]],TableWRCalcPts[PLAYER],0)),"")</f>
        <v>LV</v>
      </c>
      <c r="AG66" s="58">
        <f>IFERROR(INDEX(TableWRCalcPts[BYE],MATCH(TableWRRanks324236[[#This Row],[Player]],TableWRCalcPts[PLAYER],0)),"")</f>
        <v>13</v>
      </c>
      <c r="AH66" s="100">
        <f>VLOOKUP(TableWRRanks324236[[#This Row],[Player]],WR!B:O,4,FALSE)</f>
        <v>0</v>
      </c>
      <c r="AI66" s="100">
        <f>VLOOKUP(TableWRRanks324236[[#This Row],[Player]],WR!B:O,5,FALSE)</f>
        <v>0</v>
      </c>
      <c r="AJ66" s="100">
        <f>VLOOKUP(TableWRRanks324236[[#This Row],[Player]],WR!B:O,6,FALSE)</f>
        <v>81.100676159999992</v>
      </c>
      <c r="AK66" s="100">
        <f>VLOOKUP(TableWRRanks324236[[#This Row],[Player]],WR!B:O,7,FALSE)</f>
        <v>51.661130713919995</v>
      </c>
      <c r="AL66" s="100">
        <f>VLOOKUP(TableWRRanks324236[[#This Row],[Player]],WR!B:O,8,FALSE)</f>
        <v>568.78904916025908</v>
      </c>
      <c r="AM66" s="100">
        <f>VLOOKUP(TableWRRanks324236[[#This Row],[Player]],WR!B:O,9,FALSE)</f>
        <v>3.0996678428351996</v>
      </c>
      <c r="AN66" s="95">
        <f>VLOOKUP(TableWRRanks324236[[#This Row],[Player]],WR!B:O,13,FALSE)</f>
        <v>101.30747732999711</v>
      </c>
      <c r="AO66" s="190">
        <f>TableWRRanks324236[[#This Row],[FPS]]+(TableWRRanks324236[[#This Row],[REC]]*0.5)</f>
        <v>127.13804268695711</v>
      </c>
      <c r="AQ66" s="58">
        <v>65</v>
      </c>
      <c r="AR66" s="58">
        <f>VLOOKUP(TableTERanks334337[[#This Row],[RK]],Rankings!A:AI,33,FALSE)</f>
        <v>0</v>
      </c>
      <c r="AS66" s="58" t="str">
        <f>IFERROR(INDEX(TableTECalcPts[TM],MATCH(TableTERanks334337[[#This Row],[Player]],TableTECalcPts[PLAYER],0)),"")</f>
        <v/>
      </c>
      <c r="AT66" s="58" t="str">
        <f>IFERROR(INDEX(TableTECalcPts[BYE],MATCH(TableTERanks334337[[#This Row],[Player]],TableTECalcPts[PLAYER],0)),"")</f>
        <v/>
      </c>
      <c r="AU66" s="100">
        <f>VLOOKUP(TableTERanks334337[[#This Row],[Player]],TE!B:O,4,FALSE)</f>
        <v>0</v>
      </c>
      <c r="AV66" s="100">
        <f>VLOOKUP(TableTERanks334337[[#This Row],[Player]],TE!B:O,5,FALSE)</f>
        <v>0</v>
      </c>
      <c r="AW66" s="100">
        <f>VLOOKUP(TableTERanks334337[[#This Row],[Player]],TE!B:O,6,FALSE)</f>
        <v>0</v>
      </c>
      <c r="AX66" s="100">
        <f>VLOOKUP(TableTERanks334337[[#This Row],[Player]],TE!B:O,7,FALSE)</f>
        <v>0</v>
      </c>
      <c r="AY66" s="95">
        <f>VLOOKUP(TableTERanks334337[[#This Row],[Player]],TE!B:O,11,FALSE)</f>
        <v>0</v>
      </c>
      <c r="AZ66" s="190">
        <f>TableTERanks334337[[#This Row],[FPS]]+(TableTERanks334337[[#This Row],[REC]]*0.5)</f>
        <v>0</v>
      </c>
    </row>
    <row r="67" spans="1:52" x14ac:dyDescent="0.25">
      <c r="A67" s="58">
        <v>66</v>
      </c>
      <c r="B67" s="58">
        <f>VLOOKUP(TableQBRanks304034[[#This Row],[RK]],Rankings!A:T,3,FALSE)</f>
        <v>0</v>
      </c>
      <c r="C67" s="58" t="str">
        <f>IFERROR(INDEX(TableQBCalcPts[TM],MATCH(TableQBRanks304034[[#This Row],[Player]],TableQBCalcPts[PLAYER],0)),"")</f>
        <v/>
      </c>
      <c r="D67" s="58" t="str">
        <f>IFERROR(INDEX(TableQBCalcPts[BYE],MATCH(TableQBRanks304034[[#This Row],[Player]],TableQBCalcPts[PLAYER],0)),"")</f>
        <v/>
      </c>
      <c r="E67" s="100">
        <f>VLOOKUP(TableQBRanks304034[[#This Row],[Player]],QB!B:O,4,FALSE)</f>
        <v>0</v>
      </c>
      <c r="F67" s="100">
        <f>VLOOKUP(TableQBRanks304034[[#This Row],[Player]],QB!B:O,5,FALSE)</f>
        <v>0</v>
      </c>
      <c r="G67" s="100">
        <f>VLOOKUP(TableQBRanks304034[[#This Row],[Player]],QB!B:O,6,FALSE)</f>
        <v>0</v>
      </c>
      <c r="H67" s="100">
        <f>VLOOKUP(TableQBRanks304034[[#This Row],[Player]],QB!B:O,7,FALSE)</f>
        <v>0</v>
      </c>
      <c r="I67" s="100">
        <f>VLOOKUP(TableQBRanks304034[[#This Row],[Player]],QB!B:O,8,FALSE)</f>
        <v>0</v>
      </c>
      <c r="J67" s="100">
        <f>VLOOKUP(TableQBRanks304034[[#This Row],[Player]],QB!B:O,9,FALSE)</f>
        <v>0</v>
      </c>
      <c r="K67" s="100">
        <f>VLOOKUP(TableQBRanks304034[[#This Row],[Player]],QB!B:O,10,FALSE)</f>
        <v>0</v>
      </c>
      <c r="L67" s="100">
        <f>VLOOKUP(TableQBRanks304034[[#This Row],[Player]],QB!B:O,11,FALSE)</f>
        <v>0</v>
      </c>
      <c r="M67" s="95">
        <f>VLOOKUP(TableQBRanks304034[[#This Row],[Player]],QB!B:O,13,FALSE)</f>
        <v>0</v>
      </c>
      <c r="N67" s="140" t="e">
        <f>IF(VLOOKUP(TableQBRanks304034[[#This Row],[Player]],'Ranks w Proj'!$B:$N,13,FALSE)&lt;0,0,VLOOKUP(TableQBRanks304034[[#This Row],[Player]],'Ranks w Proj'!$B:$N,13,FALSE))</f>
        <v>#N/A</v>
      </c>
      <c r="P67" s="58">
        <v>66</v>
      </c>
      <c r="Q67" s="58" t="str">
        <f>VLOOKUP(TableRBRanks314135[[#This Row],[RK]],Rankings!A:AI,23,FALSE)</f>
        <v>Kimani Vidal</v>
      </c>
      <c r="R67" s="58" t="str">
        <f>IFERROR(INDEX(TableRBCalcPts[TM],MATCH(TableRBRanks314135[[#This Row],[Player]],TableRBCalcPts[PLAYER],0)),"")</f>
        <v>LAC</v>
      </c>
      <c r="S67" s="58">
        <f>IFERROR(INDEX(TableRBCalcPts[BYE],MATCH(TableRBRanks314135[[#This Row],[Player]],TableRBCalcPts[PLAYER],0)),"")</f>
        <v>7</v>
      </c>
      <c r="T67" s="100">
        <f>VLOOKUP(TableRBRanks314135[[#This Row],[Player]],RB!B:O,4,FALSE)</f>
        <v>36.392396040000001</v>
      </c>
      <c r="U67" s="100">
        <f>VLOOKUP(TableRBRanks314135[[#This Row],[Player]],RB!B:O,5,FALSE)</f>
        <v>153.2119873284</v>
      </c>
      <c r="V67" s="100">
        <f>VLOOKUP(TableRBRanks314135[[#This Row],[Player]],RB!B:O,6,FALSE)</f>
        <v>0.83702510892000004</v>
      </c>
      <c r="W67" s="100">
        <f>VLOOKUP(TableRBRanks314135[[#This Row],[Player]],RB!B:O,7,FALSE)</f>
        <v>11.697205519999997</v>
      </c>
      <c r="X67" s="100">
        <f>VLOOKUP(TableRBRanks314135[[#This Row],[Player]],RB!B:O,8,FALSE)</f>
        <v>8.7729041399999979</v>
      </c>
      <c r="Y67" s="100">
        <f>VLOOKUP(TableRBRanks314135[[#This Row],[Player]],RB!B:O,9,FALSE)</f>
        <v>69.393671747399978</v>
      </c>
      <c r="Z67" s="100">
        <f>VLOOKUP(TableRBRanks314135[[#This Row],[Player]],RB!B:O,10,FALSE)</f>
        <v>0.30705164489999998</v>
      </c>
      <c r="AA67" s="95">
        <f>VLOOKUP(TableRBRanks314135[[#This Row],[Player]],RB!B:O,14,FALSE)</f>
        <v>33.511478500499997</v>
      </c>
      <c r="AB67" s="190">
        <f>TableRBRanks314135[[#This Row],[FPS]]+(TableRBRanks314135[[#This Row],[REC]]*0.5)</f>
        <v>37.897930570499994</v>
      </c>
      <c r="AD67" s="58">
        <v>66</v>
      </c>
      <c r="AE67" s="58" t="str">
        <f>VLOOKUP(TableWRRanks324236[[#This Row],[RK]],Rankings!A:AI,28,FALSE)</f>
        <v>Tre Tucker</v>
      </c>
      <c r="AF67" s="58" t="str">
        <f>IFERROR(INDEX(TableWRCalcPts[TM],MATCH(TableWRRanks324236[[#This Row],[Player]],TableWRCalcPts[PLAYER],0)),"")</f>
        <v>LV</v>
      </c>
      <c r="AG67" s="58">
        <f>IFERROR(INDEX(TableWRCalcPts[BYE],MATCH(TableWRRanks324236[[#This Row],[Player]],TableWRCalcPts[PLAYER],0)),"")</f>
        <v>13</v>
      </c>
      <c r="AH67" s="100">
        <f>VLOOKUP(TableWRRanks324236[[#This Row],[Player]],WR!B:O,4,FALSE)</f>
        <v>67.796032603549392</v>
      </c>
      <c r="AI67" s="100">
        <f>VLOOKUP(TableWRRanks324236[[#This Row],[Player]],WR!B:O,5,FALSE)</f>
        <v>0.10898982799104459</v>
      </c>
      <c r="AJ67" s="100">
        <f>VLOOKUP(TableWRRanks324236[[#This Row],[Player]],WR!B:O,6,FALSE)</f>
        <v>70.758979200000013</v>
      </c>
      <c r="AK67" s="100">
        <f>VLOOKUP(TableWRRanks324236[[#This Row],[Player]],WR!B:O,7,FALSE)</f>
        <v>40.615654060800004</v>
      </c>
      <c r="AL67" s="100">
        <f>VLOOKUP(TableWRRanks324236[[#This Row],[Player]],WR!B:O,8,FALSE)</f>
        <v>482.92012678291206</v>
      </c>
      <c r="AM67" s="100">
        <f>VLOOKUP(TableWRRanks324236[[#This Row],[Player]],WR!B:O,9,FALSE)</f>
        <v>2.7212488220736004</v>
      </c>
      <c r="AN67" s="95">
        <f>VLOOKUP(TableWRRanks324236[[#This Row],[Player]],WR!B:O,13,FALSE)</f>
        <v>92.360874869434014</v>
      </c>
      <c r="AO67" s="190">
        <f>TableWRRanks324236[[#This Row],[FPS]]+(TableWRRanks324236[[#This Row],[REC]]*0.5)</f>
        <v>112.66870189983402</v>
      </c>
      <c r="AQ67" s="58">
        <v>66</v>
      </c>
      <c r="AR67" s="58">
        <f>VLOOKUP(TableTERanks334337[[#This Row],[RK]],Rankings!A:AI,33,FALSE)</f>
        <v>0</v>
      </c>
      <c r="AS67" s="58" t="str">
        <f>IFERROR(INDEX(TableTECalcPts[TM],MATCH(TableTERanks334337[[#This Row],[Player]],TableTECalcPts[PLAYER],0)),"")</f>
        <v/>
      </c>
      <c r="AT67" s="58" t="str">
        <f>IFERROR(INDEX(TableTECalcPts[BYE],MATCH(TableTERanks334337[[#This Row],[Player]],TableTECalcPts[PLAYER],0)),"")</f>
        <v/>
      </c>
      <c r="AU67" s="100">
        <f>VLOOKUP(TableTERanks334337[[#This Row],[Player]],TE!B:O,4,FALSE)</f>
        <v>0</v>
      </c>
      <c r="AV67" s="100">
        <f>VLOOKUP(TableTERanks334337[[#This Row],[Player]],TE!B:O,5,FALSE)</f>
        <v>0</v>
      </c>
      <c r="AW67" s="100">
        <f>VLOOKUP(TableTERanks334337[[#This Row],[Player]],TE!B:O,6,FALSE)</f>
        <v>0</v>
      </c>
      <c r="AX67" s="100">
        <f>VLOOKUP(TableTERanks334337[[#This Row],[Player]],TE!B:O,7,FALSE)</f>
        <v>0</v>
      </c>
      <c r="AY67" s="95">
        <f>VLOOKUP(TableTERanks334337[[#This Row],[Player]],TE!B:O,11,FALSE)</f>
        <v>0</v>
      </c>
      <c r="AZ67" s="190">
        <f>TableTERanks334337[[#This Row],[FPS]]+(TableTERanks334337[[#This Row],[REC]]*0.5)</f>
        <v>0</v>
      </c>
    </row>
    <row r="68" spans="1:52" x14ac:dyDescent="0.25">
      <c r="A68" s="58">
        <v>67</v>
      </c>
      <c r="B68" s="58">
        <f>VLOOKUP(TableQBRanks304034[[#This Row],[RK]],Rankings!A:T,3,FALSE)</f>
        <v>0</v>
      </c>
      <c r="C68" s="58" t="str">
        <f>IFERROR(INDEX(TableQBCalcPts[TM],MATCH(TableQBRanks304034[[#This Row],[Player]],TableQBCalcPts[PLAYER],0)),"")</f>
        <v/>
      </c>
      <c r="D68" s="58" t="str">
        <f>IFERROR(INDEX(TableQBCalcPts[BYE],MATCH(TableQBRanks304034[[#This Row],[Player]],TableQBCalcPts[PLAYER],0)),"")</f>
        <v/>
      </c>
      <c r="E68" s="100">
        <f>VLOOKUP(TableQBRanks304034[[#This Row],[Player]],QB!B:O,4,FALSE)</f>
        <v>0</v>
      </c>
      <c r="F68" s="100">
        <f>VLOOKUP(TableQBRanks304034[[#This Row],[Player]],QB!B:O,5,FALSE)</f>
        <v>0</v>
      </c>
      <c r="G68" s="100">
        <f>VLOOKUP(TableQBRanks304034[[#This Row],[Player]],QB!B:O,6,FALSE)</f>
        <v>0</v>
      </c>
      <c r="H68" s="100">
        <f>VLOOKUP(TableQBRanks304034[[#This Row],[Player]],QB!B:O,7,FALSE)</f>
        <v>0</v>
      </c>
      <c r="I68" s="100">
        <f>VLOOKUP(TableQBRanks304034[[#This Row],[Player]],QB!B:O,8,FALSE)</f>
        <v>0</v>
      </c>
      <c r="J68" s="100">
        <f>VLOOKUP(TableQBRanks304034[[#This Row],[Player]],QB!B:O,9,FALSE)</f>
        <v>0</v>
      </c>
      <c r="K68" s="100">
        <f>VLOOKUP(TableQBRanks304034[[#This Row],[Player]],QB!B:O,10,FALSE)</f>
        <v>0</v>
      </c>
      <c r="L68" s="100">
        <f>VLOOKUP(TableQBRanks304034[[#This Row],[Player]],QB!B:O,11,FALSE)</f>
        <v>0</v>
      </c>
      <c r="M68" s="95">
        <f>VLOOKUP(TableQBRanks304034[[#This Row],[Player]],QB!B:O,13,FALSE)</f>
        <v>0</v>
      </c>
      <c r="N68" s="140" t="e">
        <f>IF(VLOOKUP(TableQBRanks304034[[#This Row],[Player]],'Ranks w Proj'!$B:$N,13,FALSE)&lt;0,0,VLOOKUP(TableQBRanks304034[[#This Row],[Player]],'Ranks w Proj'!$B:$N,13,FALSE))</f>
        <v>#N/A</v>
      </c>
      <c r="P68" s="58">
        <v>67</v>
      </c>
      <c r="Q68" s="58" t="str">
        <f>VLOOKUP(TableRBRanks314135[[#This Row],[RK]],Rankings!A:AI,23,FALSE)</f>
        <v>Kaelon Black</v>
      </c>
      <c r="R68" s="58" t="str">
        <f>IFERROR(INDEX(TableRBCalcPts[TM],MATCH(TableRBRanks314135[[#This Row],[Player]],TableRBCalcPts[PLAYER],0)),"")</f>
        <v>SF</v>
      </c>
      <c r="S68" s="58">
        <f>IFERROR(INDEX(TableRBCalcPts[BYE],MATCH(TableRBRanks314135[[#This Row],[Player]],TableRBCalcPts[PLAYER],0)),"")</f>
        <v>8</v>
      </c>
      <c r="T68" s="100">
        <f>VLOOKUP(TableRBRanks314135[[#This Row],[Player]],RB!B:O,4,FALSE)</f>
        <v>67.384956799999983</v>
      </c>
      <c r="U68" s="100">
        <f>VLOOKUP(TableRBRanks314135[[#This Row],[Player]],RB!B:O,5,FALSE)</f>
        <v>274.25677417599996</v>
      </c>
      <c r="V68" s="100">
        <f>VLOOKUP(TableRBRanks314135[[#This Row],[Player]],RB!B:O,6,FALSE)</f>
        <v>1.8222914794566203</v>
      </c>
      <c r="W68" s="100">
        <f>VLOOKUP(TableRBRanks314135[[#This Row],[Player]],RB!B:O,7,FALSE)</f>
        <v>5.3683616000000001</v>
      </c>
      <c r="X68" s="100">
        <f>VLOOKUP(TableRBRanks314135[[#This Row],[Player]],RB!B:O,8,FALSE)</f>
        <v>3.9618508607999998</v>
      </c>
      <c r="Y68" s="100">
        <f>VLOOKUP(TableRBRanks314135[[#This Row],[Player]],RB!B:O,9,FALSE)</f>
        <v>27.970667077247999</v>
      </c>
      <c r="Z68" s="100">
        <f>VLOOKUP(TableRBRanks314135[[#This Row],[Player]],RB!B:O,10,FALSE)</f>
        <v>0.10531314530767501</v>
      </c>
      <c r="AA68" s="95">
        <f>VLOOKUP(TableRBRanks314135[[#This Row],[Player]],RB!B:O,14,FALSE)</f>
        <v>43.76929730431057</v>
      </c>
      <c r="AB68" s="190">
        <f>TableRBRanks314135[[#This Row],[FPS]]+(TableRBRanks314135[[#This Row],[REC]]*0.5)</f>
        <v>45.750222734710569</v>
      </c>
      <c r="AD68" s="58">
        <v>67</v>
      </c>
      <c r="AE68" s="58" t="str">
        <f>VLOOKUP(TableWRRanks324236[[#This Row],[RK]],Rankings!A:AI,28,FALSE)</f>
        <v>Tyquan Thornton</v>
      </c>
      <c r="AF68" s="58" t="str">
        <f>IFERROR(INDEX(TableWRCalcPts[TM],MATCH(TableWRRanks324236[[#This Row],[Player]],TableWRCalcPts[PLAYER],0)),"")</f>
        <v>KC</v>
      </c>
      <c r="AG68" s="58">
        <f>IFERROR(INDEX(TableWRCalcPts[BYE],MATCH(TableWRRanks324236[[#This Row],[Player]],TableWRCalcPts[PLAYER],0)),"")</f>
        <v>5</v>
      </c>
      <c r="AH68" s="100">
        <f>VLOOKUP(TableWRRanks324236[[#This Row],[Player]],WR!B:O,4,FALSE)</f>
        <v>0</v>
      </c>
      <c r="AI68" s="100">
        <f>VLOOKUP(TableWRRanks324236[[#This Row],[Player]],WR!B:O,5,FALSE)</f>
        <v>0</v>
      </c>
      <c r="AJ68" s="100">
        <f>VLOOKUP(TableWRRanks324236[[#This Row],[Player]],WR!B:O,6,FALSE)</f>
        <v>63.231462000000001</v>
      </c>
      <c r="AK68" s="100">
        <f>VLOOKUP(TableWRRanks324236[[#This Row],[Player]],WR!B:O,7,FALSE)</f>
        <v>35.599313105999997</v>
      </c>
      <c r="AL68" s="100">
        <f>VLOOKUP(TableWRRanks324236[[#This Row],[Player]],WR!B:O,8,FALSE)</f>
        <v>594.29453017048206</v>
      </c>
      <c r="AM68" s="100">
        <f>VLOOKUP(TableWRRanks324236[[#This Row],[Player]],WR!B:O,9,FALSE)</f>
        <v>4.6991093299919999</v>
      </c>
      <c r="AN68" s="95">
        <f>VLOOKUP(TableWRRanks324236[[#This Row],[Player]],WR!B:O,13,FALSE)</f>
        <v>105.42376555000021</v>
      </c>
      <c r="AO68" s="190">
        <f>TableWRRanks324236[[#This Row],[FPS]]+(TableWRRanks324236[[#This Row],[REC]]*0.5)</f>
        <v>123.22342210300022</v>
      </c>
      <c r="AQ68" s="58">
        <v>67</v>
      </c>
      <c r="AR68" s="58">
        <f>VLOOKUP(TableTERanks334337[[#This Row],[RK]],Rankings!A:AI,33,FALSE)</f>
        <v>0</v>
      </c>
      <c r="AS68" s="58" t="str">
        <f>IFERROR(INDEX(TableTECalcPts[TM],MATCH(TableTERanks334337[[#This Row],[Player]],TableTECalcPts[PLAYER],0)),"")</f>
        <v/>
      </c>
      <c r="AT68" s="58" t="str">
        <f>IFERROR(INDEX(TableTECalcPts[BYE],MATCH(TableTERanks334337[[#This Row],[Player]],TableTECalcPts[PLAYER],0)),"")</f>
        <v/>
      </c>
      <c r="AU68" s="100">
        <f>VLOOKUP(TableTERanks334337[[#This Row],[Player]],TE!B:O,4,FALSE)</f>
        <v>0</v>
      </c>
      <c r="AV68" s="100">
        <f>VLOOKUP(TableTERanks334337[[#This Row],[Player]],TE!B:O,5,FALSE)</f>
        <v>0</v>
      </c>
      <c r="AW68" s="100">
        <f>VLOOKUP(TableTERanks334337[[#This Row],[Player]],TE!B:O,6,FALSE)</f>
        <v>0</v>
      </c>
      <c r="AX68" s="100">
        <f>VLOOKUP(TableTERanks334337[[#This Row],[Player]],TE!B:O,7,FALSE)</f>
        <v>0</v>
      </c>
      <c r="AY68" s="95">
        <f>VLOOKUP(TableTERanks334337[[#This Row],[Player]],TE!B:O,11,FALSE)</f>
        <v>0</v>
      </c>
      <c r="AZ68" s="190">
        <f>TableTERanks334337[[#This Row],[FPS]]+(TableTERanks334337[[#This Row],[REC]]*0.5)</f>
        <v>0</v>
      </c>
    </row>
    <row r="69" spans="1:52" x14ac:dyDescent="0.25">
      <c r="A69" s="58">
        <v>68</v>
      </c>
      <c r="B69" s="58">
        <f>VLOOKUP(TableQBRanks304034[[#This Row],[RK]],Rankings!A:T,3,FALSE)</f>
        <v>0</v>
      </c>
      <c r="C69" s="58" t="str">
        <f>IFERROR(INDEX(TableQBCalcPts[TM],MATCH(TableQBRanks304034[[#This Row],[Player]],TableQBCalcPts[PLAYER],0)),"")</f>
        <v/>
      </c>
      <c r="D69" s="58" t="str">
        <f>IFERROR(INDEX(TableQBCalcPts[BYE],MATCH(TableQBRanks304034[[#This Row],[Player]],TableQBCalcPts[PLAYER],0)),"")</f>
        <v/>
      </c>
      <c r="E69" s="100">
        <f>VLOOKUP(TableQBRanks304034[[#This Row],[Player]],QB!B:O,4,FALSE)</f>
        <v>0</v>
      </c>
      <c r="F69" s="100">
        <f>VLOOKUP(TableQBRanks304034[[#This Row],[Player]],QB!B:O,5,FALSE)</f>
        <v>0</v>
      </c>
      <c r="G69" s="100">
        <f>VLOOKUP(TableQBRanks304034[[#This Row],[Player]],QB!B:O,6,FALSE)</f>
        <v>0</v>
      </c>
      <c r="H69" s="100">
        <f>VLOOKUP(TableQBRanks304034[[#This Row],[Player]],QB!B:O,7,FALSE)</f>
        <v>0</v>
      </c>
      <c r="I69" s="100">
        <f>VLOOKUP(TableQBRanks304034[[#This Row],[Player]],QB!B:O,8,FALSE)</f>
        <v>0</v>
      </c>
      <c r="J69" s="100">
        <f>VLOOKUP(TableQBRanks304034[[#This Row],[Player]],QB!B:O,9,FALSE)</f>
        <v>0</v>
      </c>
      <c r="K69" s="100">
        <f>VLOOKUP(TableQBRanks304034[[#This Row],[Player]],QB!B:O,10,FALSE)</f>
        <v>0</v>
      </c>
      <c r="L69" s="100">
        <f>VLOOKUP(TableQBRanks304034[[#This Row],[Player]],QB!B:O,11,FALSE)</f>
        <v>0</v>
      </c>
      <c r="M69" s="95">
        <f>VLOOKUP(TableQBRanks304034[[#This Row],[Player]],QB!B:O,13,FALSE)</f>
        <v>0</v>
      </c>
      <c r="N69" s="140" t="e">
        <f>IF(VLOOKUP(TableQBRanks304034[[#This Row],[Player]],'Ranks w Proj'!$B:$N,13,FALSE)&lt;0,0,VLOOKUP(TableQBRanks304034[[#This Row],[Player]],'Ranks w Proj'!$B:$N,13,FALSE))</f>
        <v>#N/A</v>
      </c>
      <c r="P69" s="58">
        <v>68</v>
      </c>
      <c r="Q69" s="58" t="str">
        <f>VLOOKUP(TableRBRanks314135[[#This Row],[RK]],Rankings!A:AI,23,FALSE)</f>
        <v>Ollie Gordon</v>
      </c>
      <c r="R69" s="58" t="str">
        <f>IFERROR(INDEX(TableRBCalcPts[TM],MATCH(TableRBRanks314135[[#This Row],[Player]],TableRBCalcPts[PLAYER],0)),"")</f>
        <v>MIA</v>
      </c>
      <c r="S69" s="58">
        <f>IFERROR(INDEX(TableRBCalcPts[BYE],MATCH(TableRBRanks314135[[#This Row],[Player]],TableRBCalcPts[PLAYER],0)),"")</f>
        <v>6</v>
      </c>
      <c r="T69" s="100">
        <f>VLOOKUP(TableRBRanks314135[[#This Row],[Player]],RB!B:O,4,FALSE)</f>
        <v>82.265393940974334</v>
      </c>
      <c r="U69" s="100">
        <f>VLOOKUP(TableRBRanks314135[[#This Row],[Player]],RB!B:O,5,FALSE)</f>
        <v>322.48034424861936</v>
      </c>
      <c r="V69" s="100">
        <f>VLOOKUP(TableRBRanks314135[[#This Row],[Player]],RB!B:O,6,FALSE)</f>
        <v>1.8098386667014352</v>
      </c>
      <c r="W69" s="100">
        <f>VLOOKUP(TableRBRanks314135[[#This Row],[Player]],RB!B:O,7,FALSE)</f>
        <v>4.9244705999999994</v>
      </c>
      <c r="X69" s="100">
        <f>VLOOKUP(TableRBRanks314135[[#This Row],[Player]],RB!B:O,8,FALSE)</f>
        <v>3.6933529499999995</v>
      </c>
      <c r="Y69" s="100">
        <f>VLOOKUP(TableRBRanks314135[[#This Row],[Player]],RB!B:O,9,FALSE)</f>
        <v>23.637458879999997</v>
      </c>
      <c r="Z69" s="100">
        <f>VLOOKUP(TableRBRanks314135[[#This Row],[Player]],RB!B:O,10,FALSE)</f>
        <v>0.12795832822847683</v>
      </c>
      <c r="AA69" s="95">
        <f>VLOOKUP(TableRBRanks314135[[#This Row],[Player]],RB!B:O,14,FALSE)</f>
        <v>48.085238757441402</v>
      </c>
      <c r="AB69" s="190">
        <f>TableRBRanks314135[[#This Row],[FPS]]+(TableRBRanks314135[[#This Row],[REC]]*0.5)</f>
        <v>49.931915232441405</v>
      </c>
      <c r="AD69" s="58">
        <v>68</v>
      </c>
      <c r="AE69" s="58" t="str">
        <f>VLOOKUP(TableWRRanks324236[[#This Row],[RK]],Rankings!A:AI,28,FALSE)</f>
        <v>Isaac TeSlaa</v>
      </c>
      <c r="AF69" s="58" t="str">
        <f>IFERROR(INDEX(TableWRCalcPts[TM],MATCH(TableWRRanks324236[[#This Row],[Player]],TableWRCalcPts[PLAYER],0)),"")</f>
        <v>DET</v>
      </c>
      <c r="AG69" s="58">
        <f>IFERROR(INDEX(TableWRCalcPts[BYE],MATCH(TableWRRanks324236[[#This Row],[Player]],TableWRCalcPts[PLAYER],0)),"")</f>
        <v>6</v>
      </c>
      <c r="AH69" s="100">
        <f>VLOOKUP(TableWRRanks324236[[#This Row],[Player]],WR!B:O,4,FALSE)</f>
        <v>0</v>
      </c>
      <c r="AI69" s="100">
        <f>VLOOKUP(TableWRRanks324236[[#This Row],[Player]],WR!B:O,5,FALSE)</f>
        <v>0</v>
      </c>
      <c r="AJ69" s="100">
        <f>VLOOKUP(TableWRRanks324236[[#This Row],[Player]],WR!B:O,6,FALSE)</f>
        <v>48.589262399999996</v>
      </c>
      <c r="AK69" s="100">
        <f>VLOOKUP(TableWRRanks324236[[#This Row],[Player]],WR!B:O,7,FALSE)</f>
        <v>32.726917171199993</v>
      </c>
      <c r="AL69" s="100">
        <f>VLOOKUP(TableWRRanks324236[[#This Row],[Player]],WR!B:O,8,FALSE)</f>
        <v>451.63145696255992</v>
      </c>
      <c r="AM69" s="100">
        <f>VLOOKUP(TableWRRanks324236[[#This Row],[Player]],WR!B:O,9,FALSE)</f>
        <v>4.5490414867967992</v>
      </c>
      <c r="AN69" s="95">
        <f>VLOOKUP(TableWRRanks324236[[#This Row],[Player]],WR!B:O,13,FALSE)</f>
        <v>88.820853202636783</v>
      </c>
      <c r="AO69" s="190">
        <f>TableWRRanks324236[[#This Row],[FPS]]+(TableWRRanks324236[[#This Row],[REC]]*0.5)</f>
        <v>105.18431178823678</v>
      </c>
      <c r="AQ69" s="58">
        <v>68</v>
      </c>
      <c r="AR69" s="58">
        <f>VLOOKUP(TableTERanks334337[[#This Row],[RK]],Rankings!A:AI,33,FALSE)</f>
        <v>0</v>
      </c>
      <c r="AS69" s="58" t="str">
        <f>IFERROR(INDEX(TableTECalcPts[TM],MATCH(TableTERanks334337[[#This Row],[Player]],TableTECalcPts[PLAYER],0)),"")</f>
        <v/>
      </c>
      <c r="AT69" s="58" t="str">
        <f>IFERROR(INDEX(TableTECalcPts[BYE],MATCH(TableTERanks334337[[#This Row],[Player]],TableTECalcPts[PLAYER],0)),"")</f>
        <v/>
      </c>
      <c r="AU69" s="100">
        <f>VLOOKUP(TableTERanks334337[[#This Row],[Player]],TE!B:O,4,FALSE)</f>
        <v>0</v>
      </c>
      <c r="AV69" s="100">
        <f>VLOOKUP(TableTERanks334337[[#This Row],[Player]],TE!B:O,5,FALSE)</f>
        <v>0</v>
      </c>
      <c r="AW69" s="100">
        <f>VLOOKUP(TableTERanks334337[[#This Row],[Player]],TE!B:O,6,FALSE)</f>
        <v>0</v>
      </c>
      <c r="AX69" s="100">
        <f>VLOOKUP(TableTERanks334337[[#This Row],[Player]],TE!B:O,7,FALSE)</f>
        <v>0</v>
      </c>
      <c r="AY69" s="95">
        <f>VLOOKUP(TableTERanks334337[[#This Row],[Player]],TE!B:O,11,FALSE)</f>
        <v>0</v>
      </c>
      <c r="AZ69" s="190">
        <f>TableTERanks334337[[#This Row],[FPS]]+(TableTERanks334337[[#This Row],[REC]]*0.5)</f>
        <v>0</v>
      </c>
    </row>
    <row r="70" spans="1:52" x14ac:dyDescent="0.25">
      <c r="A70" s="58">
        <v>69</v>
      </c>
      <c r="B70" s="58">
        <f>VLOOKUP(TableQBRanks304034[[#This Row],[RK]],Rankings!A:T,3,FALSE)</f>
        <v>0</v>
      </c>
      <c r="C70" s="58" t="str">
        <f>IFERROR(INDEX(TableQBCalcPts[TM],MATCH(TableQBRanks304034[[#This Row],[Player]],TableQBCalcPts[PLAYER],0)),"")</f>
        <v/>
      </c>
      <c r="D70" s="58" t="str">
        <f>IFERROR(INDEX(TableQBCalcPts[BYE],MATCH(TableQBRanks304034[[#This Row],[Player]],TableQBCalcPts[PLAYER],0)),"")</f>
        <v/>
      </c>
      <c r="E70" s="100">
        <f>VLOOKUP(TableQBRanks304034[[#This Row],[Player]],QB!B:O,4,FALSE)</f>
        <v>0</v>
      </c>
      <c r="F70" s="100">
        <f>VLOOKUP(TableQBRanks304034[[#This Row],[Player]],QB!B:O,5,FALSE)</f>
        <v>0</v>
      </c>
      <c r="G70" s="100">
        <f>VLOOKUP(TableQBRanks304034[[#This Row],[Player]],QB!B:O,6,FALSE)</f>
        <v>0</v>
      </c>
      <c r="H70" s="100">
        <f>VLOOKUP(TableQBRanks304034[[#This Row],[Player]],QB!B:O,7,FALSE)</f>
        <v>0</v>
      </c>
      <c r="I70" s="100">
        <f>VLOOKUP(TableQBRanks304034[[#This Row],[Player]],QB!B:O,8,FALSE)</f>
        <v>0</v>
      </c>
      <c r="J70" s="100">
        <f>VLOOKUP(TableQBRanks304034[[#This Row],[Player]],QB!B:O,9,FALSE)</f>
        <v>0</v>
      </c>
      <c r="K70" s="100">
        <f>VLOOKUP(TableQBRanks304034[[#This Row],[Player]],QB!B:O,10,FALSE)</f>
        <v>0</v>
      </c>
      <c r="L70" s="100">
        <f>VLOOKUP(TableQBRanks304034[[#This Row],[Player]],QB!B:O,11,FALSE)</f>
        <v>0</v>
      </c>
      <c r="M70" s="95">
        <f>VLOOKUP(TableQBRanks304034[[#This Row],[Player]],QB!B:O,13,FALSE)</f>
        <v>0</v>
      </c>
      <c r="N70" s="140" t="e">
        <f>IF(VLOOKUP(TableQBRanks304034[[#This Row],[Player]],'Ranks w Proj'!$B:$N,13,FALSE)&lt;0,0,VLOOKUP(TableQBRanks304034[[#This Row],[Player]],'Ranks w Proj'!$B:$N,13,FALSE))</f>
        <v>#N/A</v>
      </c>
      <c r="P70" s="58">
        <v>69</v>
      </c>
      <c r="Q70" s="58" t="str">
        <f>VLOOKUP(TableRBRanks314135[[#This Row],[RK]],Rankings!A:AI,23,FALSE)</f>
        <v>Ray Davis</v>
      </c>
      <c r="R70" s="58" t="str">
        <f>IFERROR(INDEX(TableRBCalcPts[TM],MATCH(TableRBRanks314135[[#This Row],[Player]],TableRBCalcPts[PLAYER],0)),"")</f>
        <v>BUF</v>
      </c>
      <c r="S70" s="58">
        <f>IFERROR(INDEX(TableRBCalcPts[BYE],MATCH(TableRBRanks314135[[#This Row],[Player]],TableRBCalcPts[PLAYER],0)),"")</f>
        <v>7</v>
      </c>
      <c r="T70" s="100">
        <f>VLOOKUP(TableRBRanks314135[[#This Row],[Player]],RB!B:O,4,FALSE)</f>
        <v>54.352152400000001</v>
      </c>
      <c r="U70" s="100">
        <f>VLOOKUP(TableRBRanks314135[[#This Row],[Player]],RB!B:O,5,FALSE)</f>
        <v>247.26168301074537</v>
      </c>
      <c r="V70" s="100">
        <f>VLOOKUP(TableRBRanks314135[[#This Row],[Player]],RB!B:O,6,FALSE)</f>
        <v>1.6305645719999999</v>
      </c>
      <c r="W70" s="100">
        <f>VLOOKUP(TableRBRanks314135[[#This Row],[Player]],RB!B:O,7,FALSE)</f>
        <v>10.725884399999998</v>
      </c>
      <c r="X70" s="100">
        <f>VLOOKUP(TableRBRanks314135[[#This Row],[Player]],RB!B:O,8,FALSE)</f>
        <v>8.3018345255999986</v>
      </c>
      <c r="Y70" s="100">
        <f>VLOOKUP(TableRBRanks314135[[#This Row],[Player]],RB!B:O,9,FALSE)</f>
        <v>67.659951383639992</v>
      </c>
      <c r="Z70" s="100">
        <f>VLOOKUP(TableRBRanks314135[[#This Row],[Player]],RB!B:O,10,FALSE)</f>
        <v>0.5562229132151999</v>
      </c>
      <c r="AA70" s="95">
        <f>VLOOKUP(TableRBRanks314135[[#This Row],[Player]],RB!B:O,14,FALSE)</f>
        <v>48.763805613529733</v>
      </c>
      <c r="AB70" s="190">
        <f>TableRBRanks314135[[#This Row],[FPS]]+(TableRBRanks314135[[#This Row],[REC]]*0.5)</f>
        <v>52.914722876329733</v>
      </c>
      <c r="AD70" s="58">
        <v>69</v>
      </c>
      <c r="AE70" s="58" t="str">
        <f>VLOOKUP(TableWRRanks324236[[#This Row],[RK]],Rankings!A:AI,28,FALSE)</f>
        <v>Zachariah Branch</v>
      </c>
      <c r="AF70" s="58" t="str">
        <f>IFERROR(INDEX(TableWRCalcPts[TM],MATCH(TableWRRanks324236[[#This Row],[Player]],TableWRCalcPts[PLAYER],0)),"")</f>
        <v>ATL</v>
      </c>
      <c r="AG70" s="58">
        <f>IFERROR(INDEX(TableWRCalcPts[BYE],MATCH(TableWRRanks324236[[#This Row],[Player]],TableWRCalcPts[PLAYER],0)),"")</f>
        <v>11</v>
      </c>
      <c r="AH70" s="100">
        <f>VLOOKUP(TableWRRanks324236[[#This Row],[Player]],WR!B:O,4,FALSE)</f>
        <v>15.318138675</v>
      </c>
      <c r="AI70" s="100">
        <f>VLOOKUP(TableWRRanks324236[[#This Row],[Player]],WR!B:O,5,FALSE)</f>
        <v>8.0621782500000003E-2</v>
      </c>
      <c r="AJ70" s="100">
        <f>VLOOKUP(TableWRRanks324236[[#This Row],[Player]],WR!B:O,6,FALSE)</f>
        <v>59.604001800000013</v>
      </c>
      <c r="AK70" s="100">
        <f>VLOOKUP(TableWRRanks324236[[#This Row],[Player]],WR!B:O,7,FALSE)</f>
        <v>33.25903300440001</v>
      </c>
      <c r="AL70" s="100">
        <f>VLOOKUP(TableWRRanks324236[[#This Row],[Player]],WR!B:O,8,FALSE)</f>
        <v>403.0994800133281</v>
      </c>
      <c r="AM70" s="100">
        <f>VLOOKUP(TableWRRanks324236[[#This Row],[Player]],WR!B:O,9,FALSE)</f>
        <v>2.2616142442992007</v>
      </c>
      <c r="AN70" s="95">
        <f>VLOOKUP(TableWRRanks324236[[#This Row],[Player]],WR!B:O,13,FALSE)</f>
        <v>72.524694531828018</v>
      </c>
      <c r="AO70" s="190">
        <f>TableWRRanks324236[[#This Row],[FPS]]+(TableWRRanks324236[[#This Row],[REC]]*0.5)</f>
        <v>89.154211034028023</v>
      </c>
      <c r="AQ70" s="58">
        <v>69</v>
      </c>
      <c r="AR70" s="58">
        <f>VLOOKUP(TableTERanks334337[[#This Row],[RK]],Rankings!A:AI,33,FALSE)</f>
        <v>0</v>
      </c>
      <c r="AS70" s="58" t="str">
        <f>IFERROR(INDEX(TableTECalcPts[TM],MATCH(TableTERanks334337[[#This Row],[Player]],TableTECalcPts[PLAYER],0)),"")</f>
        <v/>
      </c>
      <c r="AT70" s="58" t="str">
        <f>IFERROR(INDEX(TableTECalcPts[BYE],MATCH(TableTERanks334337[[#This Row],[Player]],TableTECalcPts[PLAYER],0)),"")</f>
        <v/>
      </c>
      <c r="AU70" s="100">
        <f>VLOOKUP(TableTERanks334337[[#This Row],[Player]],TE!B:O,4,FALSE)</f>
        <v>0</v>
      </c>
      <c r="AV70" s="100">
        <f>VLOOKUP(TableTERanks334337[[#This Row],[Player]],TE!B:O,5,FALSE)</f>
        <v>0</v>
      </c>
      <c r="AW70" s="100">
        <f>VLOOKUP(TableTERanks334337[[#This Row],[Player]],TE!B:O,6,FALSE)</f>
        <v>0</v>
      </c>
      <c r="AX70" s="100">
        <f>VLOOKUP(TableTERanks334337[[#This Row],[Player]],TE!B:O,7,FALSE)</f>
        <v>0</v>
      </c>
      <c r="AY70" s="95">
        <f>VLOOKUP(TableTERanks334337[[#This Row],[Player]],TE!B:O,11,FALSE)</f>
        <v>0</v>
      </c>
      <c r="AZ70" s="190">
        <f>TableTERanks334337[[#This Row],[FPS]]+(TableTERanks334337[[#This Row],[REC]]*0.5)</f>
        <v>0</v>
      </c>
    </row>
    <row r="71" spans="1:52" x14ac:dyDescent="0.25">
      <c r="A71" s="58">
        <v>70</v>
      </c>
      <c r="B71" s="58">
        <f>VLOOKUP(TableQBRanks304034[[#This Row],[RK]],Rankings!A:T,3,FALSE)</f>
        <v>0</v>
      </c>
      <c r="C71" s="58" t="str">
        <f>IFERROR(INDEX(TableQBCalcPts[TM],MATCH(TableQBRanks304034[[#This Row],[Player]],TableQBCalcPts[PLAYER],0)),"")</f>
        <v/>
      </c>
      <c r="D71" s="58" t="str">
        <f>IFERROR(INDEX(TableQBCalcPts[BYE],MATCH(TableQBRanks304034[[#This Row],[Player]],TableQBCalcPts[PLAYER],0)),"")</f>
        <v/>
      </c>
      <c r="E71" s="100">
        <f>VLOOKUP(TableQBRanks304034[[#This Row],[Player]],QB!B:O,4,FALSE)</f>
        <v>0</v>
      </c>
      <c r="F71" s="100">
        <f>VLOOKUP(TableQBRanks304034[[#This Row],[Player]],QB!B:O,5,FALSE)</f>
        <v>0</v>
      </c>
      <c r="G71" s="100">
        <f>VLOOKUP(TableQBRanks304034[[#This Row],[Player]],QB!B:O,6,FALSE)</f>
        <v>0</v>
      </c>
      <c r="H71" s="100">
        <f>VLOOKUP(TableQBRanks304034[[#This Row],[Player]],QB!B:O,7,FALSE)</f>
        <v>0</v>
      </c>
      <c r="I71" s="100">
        <f>VLOOKUP(TableQBRanks304034[[#This Row],[Player]],QB!B:O,8,FALSE)</f>
        <v>0</v>
      </c>
      <c r="J71" s="100">
        <f>VLOOKUP(TableQBRanks304034[[#This Row],[Player]],QB!B:O,9,FALSE)</f>
        <v>0</v>
      </c>
      <c r="K71" s="100">
        <f>VLOOKUP(TableQBRanks304034[[#This Row],[Player]],QB!B:O,10,FALSE)</f>
        <v>0</v>
      </c>
      <c r="L71" s="100">
        <f>VLOOKUP(TableQBRanks304034[[#This Row],[Player]],QB!B:O,11,FALSE)</f>
        <v>0</v>
      </c>
      <c r="M71" s="95">
        <f>VLOOKUP(TableQBRanks304034[[#This Row],[Player]],QB!B:O,13,FALSE)</f>
        <v>0</v>
      </c>
      <c r="N71" s="140" t="e">
        <f>IF(VLOOKUP(TableQBRanks304034[[#This Row],[Player]],'Ranks w Proj'!$B:$N,13,FALSE)&lt;0,0,VLOOKUP(TableQBRanks304034[[#This Row],[Player]],'Ranks w Proj'!$B:$N,13,FALSE))</f>
        <v>#N/A</v>
      </c>
      <c r="P71" s="58">
        <v>70</v>
      </c>
      <c r="Q71" s="58" t="str">
        <f>VLOOKUP(TableRBRanks314135[[#This Row],[RK]],Rankings!A:AI,23,FALSE)</f>
        <v>Demond Claiborne</v>
      </c>
      <c r="R71" s="58" t="str">
        <f>IFERROR(INDEX(TableRBCalcPts[TM],MATCH(TableRBRanks314135[[#This Row],[Player]],TableRBCalcPts[PLAYER],0)),"")</f>
        <v>MIN</v>
      </c>
      <c r="S71" s="58">
        <f>IFERROR(INDEX(TableRBCalcPts[BYE],MATCH(TableRBRanks314135[[#This Row],[Player]],TableRBCalcPts[PLAYER],0)),"")</f>
        <v>6</v>
      </c>
      <c r="T71" s="100">
        <f>VLOOKUP(TableRBRanks314135[[#This Row],[Player]],RB!B:O,4,FALSE)</f>
        <v>30.20551296</v>
      </c>
      <c r="U71" s="100">
        <f>VLOOKUP(TableRBRanks314135[[#This Row],[Player]],RB!B:O,5,FALSE)</f>
        <v>129.05991901090908</v>
      </c>
      <c r="V71" s="100">
        <f>VLOOKUP(TableRBRanks314135[[#This Row],[Player]],RB!B:O,6,FALSE)</f>
        <v>0.99678192768000007</v>
      </c>
      <c r="W71" s="100">
        <f>VLOOKUP(TableRBRanks314135[[#This Row],[Player]],RB!B:O,7,FALSE)</f>
        <v>21.726772480000001</v>
      </c>
      <c r="X71" s="100">
        <f>VLOOKUP(TableRBRanks314135[[#This Row],[Player]],RB!B:O,8,FALSE)</f>
        <v>17.012062851840003</v>
      </c>
      <c r="Y71" s="100">
        <f>VLOOKUP(TableRBRanks314135[[#This Row],[Player]],RB!B:O,9,FALSE)</f>
        <v>112.27961482214401</v>
      </c>
      <c r="Z71" s="100">
        <f>VLOOKUP(TableRBRanks314135[[#This Row],[Player]],RB!B:O,10,FALSE)</f>
        <v>0.51036188555520012</v>
      </c>
      <c r="AA71" s="95">
        <f>VLOOKUP(TableRBRanks314135[[#This Row],[Player]],RB!B:O,14,FALSE)</f>
        <v>41.682847688636514</v>
      </c>
      <c r="AB71" s="190">
        <f>TableRBRanks314135[[#This Row],[FPS]]+(TableRBRanks314135[[#This Row],[REC]]*0.5)</f>
        <v>50.188879114556514</v>
      </c>
      <c r="AD71" s="58">
        <v>70</v>
      </c>
      <c r="AE71" s="58" t="str">
        <f>VLOOKUP(TableWRRanks324236[[#This Row],[RK]],Rankings!A:AI,28,FALSE)</f>
        <v>Caleb Douglas</v>
      </c>
      <c r="AF71" s="58" t="str">
        <f>IFERROR(INDEX(TableWRCalcPts[TM],MATCH(TableWRRanks324236[[#This Row],[Player]],TableWRCalcPts[PLAYER],0)),"")</f>
        <v>MIA</v>
      </c>
      <c r="AG71" s="58">
        <f>IFERROR(INDEX(TableWRCalcPts[BYE],MATCH(TableWRRanks324236[[#This Row],[Player]],TableWRCalcPts[PLAYER],0)),"")</f>
        <v>6</v>
      </c>
      <c r="AH71" s="100">
        <f>VLOOKUP(TableWRRanks324236[[#This Row],[Player]],WR!B:O,4,FALSE)</f>
        <v>0</v>
      </c>
      <c r="AI71" s="100">
        <f>VLOOKUP(TableWRRanks324236[[#This Row],[Player]],WR!B:O,5,FALSE)</f>
        <v>0</v>
      </c>
      <c r="AJ71" s="100">
        <f>VLOOKUP(TableWRRanks324236[[#This Row],[Player]],WR!B:O,6,FALSE)</f>
        <v>73.37461193999998</v>
      </c>
      <c r="AK71" s="100">
        <f>VLOOKUP(TableWRRanks324236[[#This Row],[Player]],WR!B:O,7,FALSE)</f>
        <v>41.530030358039987</v>
      </c>
      <c r="AL71" s="100">
        <f>VLOOKUP(TableWRRanks324236[[#This Row],[Player]],WR!B:O,8,FALSE)</f>
        <v>583.08162622688133</v>
      </c>
      <c r="AM71" s="100">
        <f>VLOOKUP(TableWRRanks324236[[#This Row],[Player]],WR!B:O,9,FALSE)</f>
        <v>2.7409820036306392</v>
      </c>
      <c r="AN71" s="95">
        <f>VLOOKUP(TableWRRanks324236[[#This Row],[Player]],WR!B:O,13,FALSE)</f>
        <v>95.519069823491961</v>
      </c>
      <c r="AO71" s="190">
        <f>TableWRRanks324236[[#This Row],[FPS]]+(TableWRRanks324236[[#This Row],[REC]]*0.5)</f>
        <v>116.28408500251196</v>
      </c>
      <c r="AQ71" s="58">
        <v>70</v>
      </c>
      <c r="AR71" s="58">
        <f>VLOOKUP(TableTERanks334337[[#This Row],[RK]],Rankings!A:AI,33,FALSE)</f>
        <v>0</v>
      </c>
      <c r="AS71" s="58" t="str">
        <f>IFERROR(INDEX(TableTECalcPts[TM],MATCH(TableTERanks334337[[#This Row],[Player]],TableTECalcPts[PLAYER],0)),"")</f>
        <v/>
      </c>
      <c r="AT71" s="58" t="str">
        <f>IFERROR(INDEX(TableTECalcPts[BYE],MATCH(TableTERanks334337[[#This Row],[Player]],TableTECalcPts[PLAYER],0)),"")</f>
        <v/>
      </c>
      <c r="AU71" s="100">
        <f>VLOOKUP(TableTERanks334337[[#This Row],[Player]],TE!B:O,4,FALSE)</f>
        <v>0</v>
      </c>
      <c r="AV71" s="100">
        <f>VLOOKUP(TableTERanks334337[[#This Row],[Player]],TE!B:O,5,FALSE)</f>
        <v>0</v>
      </c>
      <c r="AW71" s="100">
        <f>VLOOKUP(TableTERanks334337[[#This Row],[Player]],TE!B:O,6,FALSE)</f>
        <v>0</v>
      </c>
      <c r="AX71" s="100">
        <f>VLOOKUP(TableTERanks334337[[#This Row],[Player]],TE!B:O,7,FALSE)</f>
        <v>0</v>
      </c>
      <c r="AY71" s="95">
        <f>VLOOKUP(TableTERanks334337[[#This Row],[Player]],TE!B:O,11,FALSE)</f>
        <v>0</v>
      </c>
      <c r="AZ71" s="190">
        <f>TableTERanks334337[[#This Row],[FPS]]+(TableTERanks334337[[#This Row],[REC]]*0.5)</f>
        <v>0</v>
      </c>
    </row>
    <row r="72" spans="1:52" x14ac:dyDescent="0.25">
      <c r="A72" s="58">
        <v>71</v>
      </c>
      <c r="B72" s="58">
        <f>VLOOKUP(TableQBRanks304034[[#This Row],[RK]],Rankings!A:T,3,FALSE)</f>
        <v>0</v>
      </c>
      <c r="C72" s="58" t="str">
        <f>IFERROR(INDEX(TableQBCalcPts[TM],MATCH(TableQBRanks304034[[#This Row],[Player]],TableQBCalcPts[PLAYER],0)),"")</f>
        <v/>
      </c>
      <c r="D72" s="58" t="str">
        <f>IFERROR(INDEX(TableQBCalcPts[BYE],MATCH(TableQBRanks304034[[#This Row],[Player]],TableQBCalcPts[PLAYER],0)),"")</f>
        <v/>
      </c>
      <c r="E72" s="100">
        <f>VLOOKUP(TableQBRanks304034[[#This Row],[Player]],QB!B:O,4,FALSE)</f>
        <v>0</v>
      </c>
      <c r="F72" s="100">
        <f>VLOOKUP(TableQBRanks304034[[#This Row],[Player]],QB!B:O,5,FALSE)</f>
        <v>0</v>
      </c>
      <c r="G72" s="100">
        <f>VLOOKUP(TableQBRanks304034[[#This Row],[Player]],QB!B:O,6,FALSE)</f>
        <v>0</v>
      </c>
      <c r="H72" s="100">
        <f>VLOOKUP(TableQBRanks304034[[#This Row],[Player]],QB!B:O,7,FALSE)</f>
        <v>0</v>
      </c>
      <c r="I72" s="100">
        <f>VLOOKUP(TableQBRanks304034[[#This Row],[Player]],QB!B:O,8,FALSE)</f>
        <v>0</v>
      </c>
      <c r="J72" s="100">
        <f>VLOOKUP(TableQBRanks304034[[#This Row],[Player]],QB!B:O,9,FALSE)</f>
        <v>0</v>
      </c>
      <c r="K72" s="100">
        <f>VLOOKUP(TableQBRanks304034[[#This Row],[Player]],QB!B:O,10,FALSE)</f>
        <v>0</v>
      </c>
      <c r="L72" s="100">
        <f>VLOOKUP(TableQBRanks304034[[#This Row],[Player]],QB!B:O,11,FALSE)</f>
        <v>0</v>
      </c>
      <c r="M72" s="95">
        <f>VLOOKUP(TableQBRanks304034[[#This Row],[Player]],QB!B:O,13,FALSE)</f>
        <v>0</v>
      </c>
      <c r="N72" s="140" t="e">
        <f>IF(VLOOKUP(TableQBRanks304034[[#This Row],[Player]],'Ranks w Proj'!$B:$N,13,FALSE)&lt;0,0,VLOOKUP(TableQBRanks304034[[#This Row],[Player]],'Ranks w Proj'!$B:$N,13,FALSE))</f>
        <v>#N/A</v>
      </c>
      <c r="P72" s="58">
        <v>71</v>
      </c>
      <c r="Q72" s="58" t="str">
        <f>VLOOKUP(TableRBRanks314135[[#This Row],[RK]],Rankings!A:AI,23,FALSE)</f>
        <v>LeQuint Allen</v>
      </c>
      <c r="R72" s="58" t="str">
        <f>IFERROR(INDEX(TableRBCalcPts[TM],MATCH(TableRBRanks314135[[#This Row],[Player]],TableRBCalcPts[PLAYER],0)),"")</f>
        <v>JAX</v>
      </c>
      <c r="S72" s="58">
        <f>IFERROR(INDEX(TableRBCalcPts[BYE],MATCH(TableRBRanks314135[[#This Row],[Player]],TableRBCalcPts[PLAYER],0)),"")</f>
        <v>7</v>
      </c>
      <c r="T72" s="100">
        <f>VLOOKUP(TableRBRanks314135[[#This Row],[Player]],RB!B:O,4,FALSE)</f>
        <v>19.296116699999999</v>
      </c>
      <c r="U72" s="100">
        <f>VLOOKUP(TableRBRanks314135[[#This Row],[Player]],RB!B:O,5,FALSE)</f>
        <v>78.921117302999988</v>
      </c>
      <c r="V72" s="100">
        <f>VLOOKUP(TableRBRanks314135[[#This Row],[Player]],RB!B:O,6,FALSE)</f>
        <v>0.57888350099999997</v>
      </c>
      <c r="W72" s="100">
        <f>VLOOKUP(TableRBRanks314135[[#This Row],[Player]],RB!B:O,7,FALSE)</f>
        <v>15.111173700000002</v>
      </c>
      <c r="X72" s="100">
        <f>VLOOKUP(TableRBRanks314135[[#This Row],[Player]],RB!B:O,8,FALSE)</f>
        <v>10.675567740600004</v>
      </c>
      <c r="Y72" s="100">
        <f>VLOOKUP(TableRBRanks314135[[#This Row],[Player]],RB!B:O,9,FALSE)</f>
        <v>74.408707151982028</v>
      </c>
      <c r="Z72" s="100">
        <f>VLOOKUP(TableRBRanks314135[[#This Row],[Player]],RB!B:O,10,FALSE)</f>
        <v>0.38432043866160009</v>
      </c>
      <c r="AA72" s="95">
        <f>VLOOKUP(TableRBRanks314135[[#This Row],[Player]],RB!B:O,14,FALSE)</f>
        <v>26.449989953767805</v>
      </c>
      <c r="AB72" s="190">
        <f>TableRBRanks314135[[#This Row],[FPS]]+(TableRBRanks314135[[#This Row],[REC]]*0.5)</f>
        <v>31.787773824067806</v>
      </c>
      <c r="AD72" s="58">
        <v>71</v>
      </c>
      <c r="AE72" s="58" t="str">
        <f>VLOOKUP(TableWRRanks324236[[#This Row],[RK]],Rankings!A:AI,28,FALSE)</f>
        <v>Andrei Iosivas</v>
      </c>
      <c r="AF72" s="58" t="str">
        <f>IFERROR(INDEX(TableWRCalcPts[TM],MATCH(TableWRRanks324236[[#This Row],[Player]],TableWRCalcPts[PLAYER],0)),"")</f>
        <v>CIN</v>
      </c>
      <c r="AG72" s="58">
        <f>IFERROR(INDEX(TableWRCalcPts[BYE],MATCH(TableWRRanks324236[[#This Row],[Player]],TableWRCalcPts[PLAYER],0)),"")</f>
        <v>6</v>
      </c>
      <c r="AH72" s="100">
        <f>VLOOKUP(TableWRRanks324236[[#This Row],[Player]],WR!B:O,4,FALSE)</f>
        <v>11.102636344640434</v>
      </c>
      <c r="AI72" s="100">
        <f>VLOOKUP(TableWRRanks324236[[#This Row],[Player]],WR!B:O,5,FALSE)</f>
        <v>3.0905902306648577E-2</v>
      </c>
      <c r="AJ72" s="100">
        <f>VLOOKUP(TableWRRanks324236[[#This Row],[Player]],WR!B:O,6,FALSE)</f>
        <v>68.965662499999993</v>
      </c>
      <c r="AK72" s="100">
        <f>VLOOKUP(TableWRRanks324236[[#This Row],[Player]],WR!B:O,7,FALSE)</f>
        <v>46.691190297135407</v>
      </c>
      <c r="AL72" s="100">
        <f>VLOOKUP(TableWRRanks324236[[#This Row],[Player]],WR!B:O,8,FALSE)</f>
        <v>524.46087475833326</v>
      </c>
      <c r="AM72" s="100">
        <f>VLOOKUP(TableWRRanks324236[[#This Row],[Player]],WR!B:O,9,FALSE)</f>
        <v>4.0154423655536444</v>
      </c>
      <c r="AN72" s="95">
        <f>VLOOKUP(TableWRRanks324236[[#This Row],[Player]],WR!B:O,13,FALSE)</f>
        <v>101.18003586602683</v>
      </c>
      <c r="AO72" s="190">
        <f>TableWRRanks324236[[#This Row],[FPS]]+(TableWRRanks324236[[#This Row],[REC]]*0.5)</f>
        <v>124.52563101459452</v>
      </c>
      <c r="AQ72" s="58">
        <v>71</v>
      </c>
      <c r="AR72" s="58">
        <f>VLOOKUP(TableTERanks334337[[#This Row],[RK]],Rankings!A:AI,33,FALSE)</f>
        <v>0</v>
      </c>
      <c r="AS72" s="58" t="str">
        <f>IFERROR(INDEX(TableTECalcPts[TM],MATCH(TableTERanks334337[[#This Row],[Player]],TableTECalcPts[PLAYER],0)),"")</f>
        <v/>
      </c>
      <c r="AT72" s="58" t="str">
        <f>IFERROR(INDEX(TableTECalcPts[BYE],MATCH(TableTERanks334337[[#This Row],[Player]],TableTECalcPts[PLAYER],0)),"")</f>
        <v/>
      </c>
      <c r="AU72" s="100">
        <f>VLOOKUP(TableTERanks334337[[#This Row],[Player]],TE!B:O,4,FALSE)</f>
        <v>0</v>
      </c>
      <c r="AV72" s="100">
        <f>VLOOKUP(TableTERanks334337[[#This Row],[Player]],TE!B:O,5,FALSE)</f>
        <v>0</v>
      </c>
      <c r="AW72" s="100">
        <f>VLOOKUP(TableTERanks334337[[#This Row],[Player]],TE!B:O,6,FALSE)</f>
        <v>0</v>
      </c>
      <c r="AX72" s="100">
        <f>VLOOKUP(TableTERanks334337[[#This Row],[Player]],TE!B:O,7,FALSE)</f>
        <v>0</v>
      </c>
      <c r="AY72" s="95">
        <f>VLOOKUP(TableTERanks334337[[#This Row],[Player]],TE!B:O,11,FALSE)</f>
        <v>0</v>
      </c>
      <c r="AZ72" s="190">
        <f>TableTERanks334337[[#This Row],[FPS]]+(TableTERanks334337[[#This Row],[REC]]*0.5)</f>
        <v>0</v>
      </c>
    </row>
    <row r="73" spans="1:52" x14ac:dyDescent="0.25">
      <c r="A73" s="58">
        <v>72</v>
      </c>
      <c r="B73" s="58">
        <f>VLOOKUP(TableQBRanks304034[[#This Row],[RK]],Rankings!A:T,3,FALSE)</f>
        <v>0</v>
      </c>
      <c r="C73" s="58" t="str">
        <f>IFERROR(INDEX(TableQBCalcPts[TM],MATCH(TableQBRanks304034[[#This Row],[Player]],TableQBCalcPts[PLAYER],0)),"")</f>
        <v/>
      </c>
      <c r="D73" s="58" t="str">
        <f>IFERROR(INDEX(TableQBCalcPts[BYE],MATCH(TableQBRanks304034[[#This Row],[Player]],TableQBCalcPts[PLAYER],0)),"")</f>
        <v/>
      </c>
      <c r="E73" s="100">
        <f>VLOOKUP(TableQBRanks304034[[#This Row],[Player]],QB!B:O,4,FALSE)</f>
        <v>0</v>
      </c>
      <c r="F73" s="100">
        <f>VLOOKUP(TableQBRanks304034[[#This Row],[Player]],QB!B:O,5,FALSE)</f>
        <v>0</v>
      </c>
      <c r="G73" s="100">
        <f>VLOOKUP(TableQBRanks304034[[#This Row],[Player]],QB!B:O,6,FALSE)</f>
        <v>0</v>
      </c>
      <c r="H73" s="100">
        <f>VLOOKUP(TableQBRanks304034[[#This Row],[Player]],QB!B:O,7,FALSE)</f>
        <v>0</v>
      </c>
      <c r="I73" s="100">
        <f>VLOOKUP(TableQBRanks304034[[#This Row],[Player]],QB!B:O,8,FALSE)</f>
        <v>0</v>
      </c>
      <c r="J73" s="100">
        <f>VLOOKUP(TableQBRanks304034[[#This Row],[Player]],QB!B:O,9,FALSE)</f>
        <v>0</v>
      </c>
      <c r="K73" s="100">
        <f>VLOOKUP(TableQBRanks304034[[#This Row],[Player]],QB!B:O,10,FALSE)</f>
        <v>0</v>
      </c>
      <c r="L73" s="100">
        <f>VLOOKUP(TableQBRanks304034[[#This Row],[Player]],QB!B:O,11,FALSE)</f>
        <v>0</v>
      </c>
      <c r="M73" s="95">
        <f>VLOOKUP(TableQBRanks304034[[#This Row],[Player]],QB!B:O,13,FALSE)</f>
        <v>0</v>
      </c>
      <c r="N73" s="140" t="e">
        <f>IF(VLOOKUP(TableQBRanks304034[[#This Row],[Player]],'Ranks w Proj'!$B:$N,13,FALSE)&lt;0,0,VLOOKUP(TableQBRanks304034[[#This Row],[Player]],'Ranks w Proj'!$B:$N,13,FALSE))</f>
        <v>#N/A</v>
      </c>
      <c r="P73" s="58">
        <v>72</v>
      </c>
      <c r="Q73" s="58" t="str">
        <f>VLOOKUP(TableRBRanks314135[[#This Row],[RK]],Rankings!A:AI,23,FALSE)</f>
        <v>Jaylen Wright</v>
      </c>
      <c r="R73" s="58" t="str">
        <f>IFERROR(INDEX(TableRBCalcPts[TM],MATCH(TableRBRanks314135[[#This Row],[Player]],TableRBCalcPts[PLAYER],0)),"")</f>
        <v>MIA</v>
      </c>
      <c r="S73" s="58">
        <f>IFERROR(INDEX(TableRBCalcPts[BYE],MATCH(TableRBRanks314135[[#This Row],[Player]],TableRBCalcPts[PLAYER],0)),"")</f>
        <v>6</v>
      </c>
      <c r="T73" s="100">
        <f>VLOOKUP(TableRBRanks314135[[#This Row],[Player]],RB!B:O,4,FALSE)</f>
        <v>34.074423525847358</v>
      </c>
      <c r="U73" s="100">
        <f>VLOOKUP(TableRBRanks314135[[#This Row],[Player]],RB!B:O,5,FALSE)</f>
        <v>137.66067104442334</v>
      </c>
      <c r="V73" s="100">
        <f>VLOOKUP(TableRBRanks314135[[#This Row],[Player]],RB!B:O,6,FALSE)</f>
        <v>0.68148847051694716</v>
      </c>
      <c r="W73" s="100">
        <f>VLOOKUP(TableRBRanks314135[[#This Row],[Player]],RB!B:O,7,FALSE)</f>
        <v>10.341388259999999</v>
      </c>
      <c r="X73" s="100">
        <f>VLOOKUP(TableRBRanks314135[[#This Row],[Player]],RB!B:O,8,FALSE)</f>
        <v>7.3236726763199984</v>
      </c>
      <c r="Y73" s="100">
        <f>VLOOKUP(TableRBRanks314135[[#This Row],[Player]],RB!B:O,9,FALSE)</f>
        <v>56.530624401719976</v>
      </c>
      <c r="Z73" s="100">
        <f>VLOOKUP(TableRBRanks314135[[#This Row],[Player]],RB!B:O,10,FALSE)</f>
        <v>0.21971018028959993</v>
      </c>
      <c r="AA73" s="95">
        <f>VLOOKUP(TableRBRanks314135[[#This Row],[Player]],RB!B:O,14,FALSE)</f>
        <v>28.488157787613616</v>
      </c>
      <c r="AB73" s="190">
        <f>TableRBRanks314135[[#This Row],[FPS]]+(TableRBRanks314135[[#This Row],[REC]]*0.5)</f>
        <v>32.149994125773617</v>
      </c>
      <c r="AD73" s="58">
        <v>72</v>
      </c>
      <c r="AE73" s="58" t="str">
        <f>VLOOKUP(TableWRRanks324236[[#This Row],[RK]],Rankings!A:AI,28,FALSE)</f>
        <v>Chris Bell</v>
      </c>
      <c r="AF73" s="58" t="str">
        <f>IFERROR(INDEX(TableWRCalcPts[TM],MATCH(TableWRRanks324236[[#This Row],[Player]],TableWRCalcPts[PLAYER],0)),"")</f>
        <v>MIA</v>
      </c>
      <c r="AG73" s="58">
        <f>IFERROR(INDEX(TableWRCalcPts[BYE],MATCH(TableWRRanks324236[[#This Row],[Player]],TableWRCalcPts[PLAYER],0)),"")</f>
        <v>6</v>
      </c>
      <c r="AH73" s="100">
        <f>VLOOKUP(TableWRRanks324236[[#This Row],[Player]],WR!B:O,4,FALSE)</f>
        <v>0</v>
      </c>
      <c r="AI73" s="100">
        <f>VLOOKUP(TableWRRanks324236[[#This Row],[Player]],WR!B:O,5,FALSE)</f>
        <v>0</v>
      </c>
      <c r="AJ73" s="100">
        <f>VLOOKUP(TableWRRanks324236[[#This Row],[Player]],WR!B:O,6,FALSE)</f>
        <v>40.873105979999998</v>
      </c>
      <c r="AK73" s="100">
        <f>VLOOKUP(TableWRRanks324236[[#This Row],[Player]],WR!B:O,7,FALSE)</f>
        <v>23.788147680359998</v>
      </c>
      <c r="AL73" s="100">
        <f>VLOOKUP(TableWRRanks324236[[#This Row],[Player]],WR!B:O,8,FALSE)</f>
        <v>319.95058630084196</v>
      </c>
      <c r="AM73" s="100">
        <f>VLOOKUP(TableWRRanks324236[[#This Row],[Player]],WR!B:O,9,FALSE)</f>
        <v>1.52244145154304</v>
      </c>
      <c r="AN73" s="95">
        <f>VLOOKUP(TableWRRanks324236[[#This Row],[Player]],WR!B:O,13,FALSE)</f>
        <v>53.023781179522445</v>
      </c>
      <c r="AO73" s="190">
        <f>TableWRRanks324236[[#This Row],[FPS]]+(TableWRRanks324236[[#This Row],[REC]]*0.5)</f>
        <v>64.917855019702444</v>
      </c>
      <c r="AQ73" s="58">
        <v>72</v>
      </c>
      <c r="AR73" s="58">
        <f>VLOOKUP(TableTERanks334337[[#This Row],[RK]],Rankings!A:AI,33,FALSE)</f>
        <v>0</v>
      </c>
      <c r="AS73" s="58" t="str">
        <f>IFERROR(INDEX(TableTECalcPts[TM],MATCH(TableTERanks334337[[#This Row],[Player]],TableTECalcPts[PLAYER],0)),"")</f>
        <v/>
      </c>
      <c r="AT73" s="58" t="str">
        <f>IFERROR(INDEX(TableTECalcPts[BYE],MATCH(TableTERanks334337[[#This Row],[Player]],TableTECalcPts[PLAYER],0)),"")</f>
        <v/>
      </c>
      <c r="AU73" s="100">
        <f>VLOOKUP(TableTERanks334337[[#This Row],[Player]],TE!B:O,4,FALSE)</f>
        <v>0</v>
      </c>
      <c r="AV73" s="100">
        <f>VLOOKUP(TableTERanks334337[[#This Row],[Player]],TE!B:O,5,FALSE)</f>
        <v>0</v>
      </c>
      <c r="AW73" s="100">
        <f>VLOOKUP(TableTERanks334337[[#This Row],[Player]],TE!B:O,6,FALSE)</f>
        <v>0</v>
      </c>
      <c r="AX73" s="100">
        <f>VLOOKUP(TableTERanks334337[[#This Row],[Player]],TE!B:O,7,FALSE)</f>
        <v>0</v>
      </c>
      <c r="AY73" s="95">
        <f>VLOOKUP(TableTERanks334337[[#This Row],[Player]],TE!B:O,11,FALSE)</f>
        <v>0</v>
      </c>
      <c r="AZ73" s="190">
        <f>TableTERanks334337[[#This Row],[FPS]]+(TableTERanks334337[[#This Row],[REC]]*0.5)</f>
        <v>0</v>
      </c>
    </row>
    <row r="74" spans="1:52" x14ac:dyDescent="0.25">
      <c r="A74" s="58">
        <v>73</v>
      </c>
      <c r="B74" s="58">
        <f>VLOOKUP(TableQBRanks304034[[#This Row],[RK]],Rankings!A:T,3,FALSE)</f>
        <v>0</v>
      </c>
      <c r="C74" s="58" t="str">
        <f>IFERROR(INDEX(TableQBCalcPts[TM],MATCH(TableQBRanks304034[[#This Row],[Player]],TableQBCalcPts[PLAYER],0)),"")</f>
        <v/>
      </c>
      <c r="D74" s="58" t="str">
        <f>IFERROR(INDEX(TableQBCalcPts[BYE],MATCH(TableQBRanks304034[[#This Row],[Player]],TableQBCalcPts[PLAYER],0)),"")</f>
        <v/>
      </c>
      <c r="E74" s="100">
        <f>VLOOKUP(TableQBRanks304034[[#This Row],[Player]],QB!B:O,4,FALSE)</f>
        <v>0</v>
      </c>
      <c r="F74" s="100">
        <f>VLOOKUP(TableQBRanks304034[[#This Row],[Player]],QB!B:O,5,FALSE)</f>
        <v>0</v>
      </c>
      <c r="G74" s="100">
        <f>VLOOKUP(TableQBRanks304034[[#This Row],[Player]],QB!B:O,6,FALSE)</f>
        <v>0</v>
      </c>
      <c r="H74" s="100">
        <f>VLOOKUP(TableQBRanks304034[[#This Row],[Player]],QB!B:O,7,FALSE)</f>
        <v>0</v>
      </c>
      <c r="I74" s="100">
        <f>VLOOKUP(TableQBRanks304034[[#This Row],[Player]],QB!B:O,8,FALSE)</f>
        <v>0</v>
      </c>
      <c r="J74" s="100">
        <f>VLOOKUP(TableQBRanks304034[[#This Row],[Player]],QB!B:O,9,FALSE)</f>
        <v>0</v>
      </c>
      <c r="K74" s="100">
        <f>VLOOKUP(TableQBRanks304034[[#This Row],[Player]],QB!B:O,10,FALSE)</f>
        <v>0</v>
      </c>
      <c r="L74" s="100">
        <f>VLOOKUP(TableQBRanks304034[[#This Row],[Player]],QB!B:O,11,FALSE)</f>
        <v>0</v>
      </c>
      <c r="M74" s="95">
        <f>VLOOKUP(TableQBRanks304034[[#This Row],[Player]],QB!B:O,13,FALSE)</f>
        <v>0</v>
      </c>
      <c r="N74" s="140" t="e">
        <f>IF(VLOOKUP(TableQBRanks304034[[#This Row],[Player]],'Ranks w Proj'!$B:$N,13,FALSE)&lt;0,0,VLOOKUP(TableQBRanks304034[[#This Row],[Player]],'Ranks w Proj'!$B:$N,13,FALSE))</f>
        <v>#N/A</v>
      </c>
      <c r="P74" s="58">
        <v>73</v>
      </c>
      <c r="Q74" s="58" t="str">
        <f>VLOOKUP(TableRBRanks314135[[#This Row],[RK]],Rankings!A:AI,23,FALSE)</f>
        <v>Sean Tucker</v>
      </c>
      <c r="R74" s="58" t="str">
        <f>IFERROR(INDEX(TableRBCalcPts[TM],MATCH(TableRBRanks314135[[#This Row],[Player]],TableRBCalcPts[PLAYER],0)),"")</f>
        <v>TB</v>
      </c>
      <c r="S74" s="58">
        <f>IFERROR(INDEX(TableRBCalcPts[BYE],MATCH(TableRBRanks314135[[#This Row],[Player]],TableRBCalcPts[PLAYER],0)),"")</f>
        <v>10</v>
      </c>
      <c r="T74" s="100">
        <f>VLOOKUP(TableRBRanks314135[[#This Row],[Player]],RB!B:O,4,FALSE)</f>
        <v>62.233729879999984</v>
      </c>
      <c r="U74" s="100">
        <f>VLOOKUP(TableRBRanks314135[[#This Row],[Player]],RB!B:O,5,FALSE)</f>
        <v>247.06790762359995</v>
      </c>
      <c r="V74" s="100">
        <f>VLOOKUP(TableRBRanks314135[[#This Row],[Player]],RB!B:O,6,FALSE)</f>
        <v>2.1159468159199997</v>
      </c>
      <c r="W74" s="100">
        <f>VLOOKUP(TableRBRanks314135[[#This Row],[Player]],RB!B:O,7,FALSE)</f>
        <v>1.6554875399999991</v>
      </c>
      <c r="X74" s="100">
        <f>VLOOKUP(TableRBRanks314135[[#This Row],[Player]],RB!B:O,8,FALSE)</f>
        <v>1.2416156549999993</v>
      </c>
      <c r="Y74" s="100">
        <f>VLOOKUP(TableRBRanks314135[[#This Row],[Player]],RB!B:O,9,FALSE)</f>
        <v>8.8030549939499938</v>
      </c>
      <c r="Z74" s="100">
        <f>VLOOKUP(TableRBRanks314135[[#This Row],[Player]],RB!B:O,10,FALSE)</f>
        <v>4.7181394889999971E-2</v>
      </c>
      <c r="AA74" s="95">
        <f>VLOOKUP(TableRBRanks314135[[#This Row],[Player]],RB!B:O,14,FALSE)</f>
        <v>39.186673354115001</v>
      </c>
      <c r="AB74" s="190">
        <f>TableRBRanks314135[[#This Row],[FPS]]+(TableRBRanks314135[[#This Row],[REC]]*0.5)</f>
        <v>39.807481181615003</v>
      </c>
      <c r="AD74" s="58">
        <v>73</v>
      </c>
      <c r="AE74" s="58" t="str">
        <f>VLOOKUP(TableWRRanks324236[[#This Row],[RK]],Rankings!A:AI,28,FALSE)</f>
        <v>Kayshon Boutte</v>
      </c>
      <c r="AF74" s="58" t="str">
        <f>IFERROR(INDEX(TableWRCalcPts[TM],MATCH(TableWRRanks324236[[#This Row],[Player]],TableWRCalcPts[PLAYER],0)),"")</f>
        <v>NE</v>
      </c>
      <c r="AG74" s="58">
        <f>IFERROR(INDEX(TableWRCalcPts[BYE],MATCH(TableWRRanks324236[[#This Row],[Player]],TableWRCalcPts[PLAYER],0)),"")</f>
        <v>11</v>
      </c>
      <c r="AH74" s="100">
        <f>VLOOKUP(TableWRRanks324236[[#This Row],[Player]],WR!B:O,4,FALSE)</f>
        <v>0</v>
      </c>
      <c r="AI74" s="100">
        <f>VLOOKUP(TableWRRanks324236[[#This Row],[Player]],WR!B:O,5,FALSE)</f>
        <v>0</v>
      </c>
      <c r="AJ74" s="100">
        <f>VLOOKUP(TableWRRanks324236[[#This Row],[Player]],WR!B:O,6,FALSE)</f>
        <v>34.358927399999985</v>
      </c>
      <c r="AK74" s="100">
        <f>VLOOKUP(TableWRRanks324236[[#This Row],[Player]],WR!B:O,7,FALSE)</f>
        <v>24.326120599199989</v>
      </c>
      <c r="AL74" s="100">
        <f>VLOOKUP(TableWRRanks324236[[#This Row],[Player]],WR!B:O,8,FALSE)</f>
        <v>341.29547200677581</v>
      </c>
      <c r="AM74" s="100">
        <f>VLOOKUP(TableWRRanks324236[[#This Row],[Player]],WR!B:O,9,FALSE)</f>
        <v>1.7028284419439994</v>
      </c>
      <c r="AN74" s="95">
        <f>VLOOKUP(TableWRRanks324236[[#This Row],[Player]],WR!B:O,13,FALSE)</f>
        <v>56.509578151941582</v>
      </c>
      <c r="AO74" s="190">
        <f>TableWRRanks324236[[#This Row],[FPS]]+(TableWRRanks324236[[#This Row],[REC]]*0.5)</f>
        <v>68.672638451541573</v>
      </c>
      <c r="AQ74" s="58">
        <v>73</v>
      </c>
      <c r="AR74" s="58">
        <f>VLOOKUP(TableTERanks334337[[#This Row],[RK]],Rankings!A:AI,33,FALSE)</f>
        <v>0</v>
      </c>
      <c r="AS74" s="58" t="str">
        <f>IFERROR(INDEX(TableTECalcPts[TM],MATCH(TableTERanks334337[[#This Row],[Player]],TableTECalcPts[PLAYER],0)),"")</f>
        <v/>
      </c>
      <c r="AT74" s="58" t="str">
        <f>IFERROR(INDEX(TableTECalcPts[BYE],MATCH(TableTERanks334337[[#This Row],[Player]],TableTECalcPts[PLAYER],0)),"")</f>
        <v/>
      </c>
      <c r="AU74" s="100">
        <f>VLOOKUP(TableTERanks334337[[#This Row],[Player]],TE!B:O,4,FALSE)</f>
        <v>0</v>
      </c>
      <c r="AV74" s="100">
        <f>VLOOKUP(TableTERanks334337[[#This Row],[Player]],TE!B:O,5,FALSE)</f>
        <v>0</v>
      </c>
      <c r="AW74" s="100">
        <f>VLOOKUP(TableTERanks334337[[#This Row],[Player]],TE!B:O,6,FALSE)</f>
        <v>0</v>
      </c>
      <c r="AX74" s="100">
        <f>VLOOKUP(TableTERanks334337[[#This Row],[Player]],TE!B:O,7,FALSE)</f>
        <v>0</v>
      </c>
      <c r="AY74" s="95">
        <f>VLOOKUP(TableTERanks334337[[#This Row],[Player]],TE!B:O,11,FALSE)</f>
        <v>0</v>
      </c>
      <c r="AZ74" s="190">
        <f>TableTERanks334337[[#This Row],[FPS]]+(TableTERanks334337[[#This Row],[REC]]*0.5)</f>
        <v>0</v>
      </c>
    </row>
    <row r="75" spans="1:52" x14ac:dyDescent="0.25">
      <c r="A75" s="58">
        <v>74</v>
      </c>
      <c r="B75" s="58">
        <f>VLOOKUP(TableQBRanks304034[[#This Row],[RK]],Rankings!A:T,3,FALSE)</f>
        <v>0</v>
      </c>
      <c r="C75" s="58" t="str">
        <f>IFERROR(INDEX(TableQBCalcPts[TM],MATCH(TableQBRanks304034[[#This Row],[Player]],TableQBCalcPts[PLAYER],0)),"")</f>
        <v/>
      </c>
      <c r="D75" s="58" t="str">
        <f>IFERROR(INDEX(TableQBCalcPts[BYE],MATCH(TableQBRanks304034[[#This Row],[Player]],TableQBCalcPts[PLAYER],0)),"")</f>
        <v/>
      </c>
      <c r="E75" s="100">
        <f>VLOOKUP(TableQBRanks304034[[#This Row],[Player]],QB!B:O,4,FALSE)</f>
        <v>0</v>
      </c>
      <c r="F75" s="100">
        <f>VLOOKUP(TableQBRanks304034[[#This Row],[Player]],QB!B:O,5,FALSE)</f>
        <v>0</v>
      </c>
      <c r="G75" s="100">
        <f>VLOOKUP(TableQBRanks304034[[#This Row],[Player]],QB!B:O,6,FALSE)</f>
        <v>0</v>
      </c>
      <c r="H75" s="100">
        <f>VLOOKUP(TableQBRanks304034[[#This Row],[Player]],QB!B:O,7,FALSE)</f>
        <v>0</v>
      </c>
      <c r="I75" s="100">
        <f>VLOOKUP(TableQBRanks304034[[#This Row],[Player]],QB!B:O,8,FALSE)</f>
        <v>0</v>
      </c>
      <c r="J75" s="100">
        <f>VLOOKUP(TableQBRanks304034[[#This Row],[Player]],QB!B:O,9,FALSE)</f>
        <v>0</v>
      </c>
      <c r="K75" s="100">
        <f>VLOOKUP(TableQBRanks304034[[#This Row],[Player]],QB!B:O,10,FALSE)</f>
        <v>0</v>
      </c>
      <c r="L75" s="100">
        <f>VLOOKUP(TableQBRanks304034[[#This Row],[Player]],QB!B:O,11,FALSE)</f>
        <v>0</v>
      </c>
      <c r="M75" s="95">
        <f>VLOOKUP(TableQBRanks304034[[#This Row],[Player]],QB!B:O,13,FALSE)</f>
        <v>0</v>
      </c>
      <c r="N75" s="140" t="e">
        <f>IF(VLOOKUP(TableQBRanks304034[[#This Row],[Player]],'Ranks w Proj'!$B:$N,13,FALSE)&lt;0,0,VLOOKUP(TableQBRanks304034[[#This Row],[Player]],'Ranks w Proj'!$B:$N,13,FALSE))</f>
        <v>#N/A</v>
      </c>
      <c r="P75" s="58">
        <v>74</v>
      </c>
      <c r="Q75" s="58" t="str">
        <f>VLOOKUP(TableRBRanks314135[[#This Row],[RK]],Rankings!A:AI,23,FALSE)</f>
        <v>Seth McGowan</v>
      </c>
      <c r="R75" s="58" t="str">
        <f>IFERROR(INDEX(TableRBCalcPts[TM],MATCH(TableRBRanks314135[[#This Row],[Player]],TableRBCalcPts[PLAYER],0)),"")</f>
        <v>IND</v>
      </c>
      <c r="S75" s="58">
        <f>IFERROR(INDEX(TableRBCalcPts[BYE],MATCH(TableRBRanks314135[[#This Row],[Player]],TableRBCalcPts[PLAYER],0)),"")</f>
        <v>13</v>
      </c>
      <c r="T75" s="100">
        <f>VLOOKUP(TableRBRanks314135[[#This Row],[Player]],RB!B:O,4,FALSE)</f>
        <v>41.112332799999997</v>
      </c>
      <c r="U75" s="100">
        <f>VLOOKUP(TableRBRanks314135[[#This Row],[Player]],RB!B:O,5,FALSE)</f>
        <v>167.73831782399998</v>
      </c>
      <c r="V75" s="100">
        <f>VLOOKUP(TableRBRanks314135[[#This Row],[Player]],RB!B:O,6,FALSE)</f>
        <v>1.5211563135999999</v>
      </c>
      <c r="W75" s="100">
        <f>VLOOKUP(TableRBRanks314135[[#This Row],[Player]],RB!B:O,7,FALSE)</f>
        <v>2.6130719999999998</v>
      </c>
      <c r="X75" s="100">
        <f>VLOOKUP(TableRBRanks314135[[#This Row],[Player]],RB!B:O,8,FALSE)</f>
        <v>1.9598039999999999</v>
      </c>
      <c r="Y75" s="100">
        <f>VLOOKUP(TableRBRanks314135[[#This Row],[Player]],RB!B:O,9,FALSE)</f>
        <v>12.043963424675757</v>
      </c>
      <c r="Z75" s="100">
        <f>VLOOKUP(TableRBRanks314135[[#This Row],[Player]],RB!B:O,10,FALSE)</f>
        <v>3.9196080000000001E-2</v>
      </c>
      <c r="AA75" s="95">
        <f>VLOOKUP(TableRBRanks314135[[#This Row],[Player]],RB!B:O,14,FALSE)</f>
        <v>28.320244486467573</v>
      </c>
      <c r="AB75" s="190">
        <f>TableRBRanks314135[[#This Row],[FPS]]+(TableRBRanks314135[[#This Row],[REC]]*0.5)</f>
        <v>29.300146486467572</v>
      </c>
      <c r="AD75" s="58">
        <v>74</v>
      </c>
      <c r="AE75" s="58" t="str">
        <f>VLOOKUP(TableWRRanks324236[[#This Row],[RK]],Rankings!A:AI,28,FALSE)</f>
        <v>Omar Cooper</v>
      </c>
      <c r="AF75" s="58" t="str">
        <f>IFERROR(INDEX(TableWRCalcPts[TM],MATCH(TableWRRanks324236[[#This Row],[Player]],TableWRCalcPts[PLAYER],0)),"")</f>
        <v>NYJ</v>
      </c>
      <c r="AG75" s="58">
        <f>IFERROR(INDEX(TableWRCalcPts[BYE],MATCH(TableWRRanks324236[[#This Row],[Player]],TableWRCalcPts[PLAYER],0)),"")</f>
        <v>13</v>
      </c>
      <c r="AH75" s="100">
        <f>VLOOKUP(TableWRRanks324236[[#This Row],[Player]],WR!B:O,4,FALSE)</f>
        <v>9.185115333333334</v>
      </c>
      <c r="AI75" s="100">
        <f>VLOOKUP(TableWRRanks324236[[#This Row],[Player]],WR!B:O,5,FALSE)</f>
        <v>3.5327366666666672E-2</v>
      </c>
      <c r="AJ75" s="100">
        <f>VLOOKUP(TableWRRanks324236[[#This Row],[Player]],WR!B:O,6,FALSE)</f>
        <v>105.09349747491423</v>
      </c>
      <c r="AK75" s="100">
        <f>VLOOKUP(TableWRRanks324236[[#This Row],[Player]],WR!B:O,7,FALSE)</f>
        <v>62.478995464132538</v>
      </c>
      <c r="AL75" s="100">
        <f>VLOOKUP(TableWRRanks324236[[#This Row],[Player]],WR!B:O,8,FALSE)</f>
        <v>724.7563473839374</v>
      </c>
      <c r="AM75" s="100">
        <f>VLOOKUP(TableWRRanks324236[[#This Row],[Player]],WR!B:O,9,FALSE)</f>
        <v>4.373529682489278</v>
      </c>
      <c r="AN75" s="95">
        <f>VLOOKUP(TableWRRanks324236[[#This Row],[Player]],WR!B:O,13,FALSE)</f>
        <v>131.08678629872901</v>
      </c>
      <c r="AO75" s="190">
        <f>TableWRRanks324236[[#This Row],[FPS]]+(TableWRRanks324236[[#This Row],[REC]]*0.5)</f>
        <v>162.32628403079528</v>
      </c>
      <c r="AQ75" s="58">
        <v>74</v>
      </c>
      <c r="AR75" s="58">
        <f>VLOOKUP(TableTERanks334337[[#This Row],[RK]],Rankings!A:AI,33,FALSE)</f>
        <v>0</v>
      </c>
      <c r="AS75" s="58" t="str">
        <f>IFERROR(INDEX(TableTECalcPts[TM],MATCH(TableTERanks334337[[#This Row],[Player]],TableTECalcPts[PLAYER],0)),"")</f>
        <v/>
      </c>
      <c r="AT75" s="58" t="str">
        <f>IFERROR(INDEX(TableTECalcPts[BYE],MATCH(TableTERanks334337[[#This Row],[Player]],TableTECalcPts[PLAYER],0)),"")</f>
        <v/>
      </c>
      <c r="AU75" s="100">
        <f>VLOOKUP(TableTERanks334337[[#This Row],[Player]],TE!B:O,4,FALSE)</f>
        <v>0</v>
      </c>
      <c r="AV75" s="100">
        <f>VLOOKUP(TableTERanks334337[[#This Row],[Player]],TE!B:O,5,FALSE)</f>
        <v>0</v>
      </c>
      <c r="AW75" s="100">
        <f>VLOOKUP(TableTERanks334337[[#This Row],[Player]],TE!B:O,6,FALSE)</f>
        <v>0</v>
      </c>
      <c r="AX75" s="100">
        <f>VLOOKUP(TableTERanks334337[[#This Row],[Player]],TE!B:O,7,FALSE)</f>
        <v>0</v>
      </c>
      <c r="AY75" s="95">
        <f>VLOOKUP(TableTERanks334337[[#This Row],[Player]],TE!B:O,11,FALSE)</f>
        <v>0</v>
      </c>
      <c r="AZ75" s="190">
        <f>TableTERanks334337[[#This Row],[FPS]]+(TableTERanks334337[[#This Row],[REC]]*0.5)</f>
        <v>0</v>
      </c>
    </row>
    <row r="76" spans="1:52" x14ac:dyDescent="0.25">
      <c r="A76" s="58">
        <v>75</v>
      </c>
      <c r="B76" s="58">
        <f>VLOOKUP(TableQBRanks304034[[#This Row],[RK]],Rankings!A:T,3,FALSE)</f>
        <v>0</v>
      </c>
      <c r="C76" s="58" t="str">
        <f>IFERROR(INDEX(TableQBCalcPts[TM],MATCH(TableQBRanks304034[[#This Row],[Player]],TableQBCalcPts[PLAYER],0)),"")</f>
        <v/>
      </c>
      <c r="D76" s="58" t="str">
        <f>IFERROR(INDEX(TableQBCalcPts[BYE],MATCH(TableQBRanks304034[[#This Row],[Player]],TableQBCalcPts[PLAYER],0)),"")</f>
        <v/>
      </c>
      <c r="E76" s="100">
        <f>VLOOKUP(TableQBRanks304034[[#This Row],[Player]],QB!B:O,4,FALSE)</f>
        <v>0</v>
      </c>
      <c r="F76" s="100">
        <f>VLOOKUP(TableQBRanks304034[[#This Row],[Player]],QB!B:O,5,FALSE)</f>
        <v>0</v>
      </c>
      <c r="G76" s="100">
        <f>VLOOKUP(TableQBRanks304034[[#This Row],[Player]],QB!B:O,6,FALSE)</f>
        <v>0</v>
      </c>
      <c r="H76" s="100">
        <f>VLOOKUP(TableQBRanks304034[[#This Row],[Player]],QB!B:O,7,FALSE)</f>
        <v>0</v>
      </c>
      <c r="I76" s="100">
        <f>VLOOKUP(TableQBRanks304034[[#This Row],[Player]],QB!B:O,8,FALSE)</f>
        <v>0</v>
      </c>
      <c r="J76" s="100">
        <f>VLOOKUP(TableQBRanks304034[[#This Row],[Player]],QB!B:O,9,FALSE)</f>
        <v>0</v>
      </c>
      <c r="K76" s="100">
        <f>VLOOKUP(TableQBRanks304034[[#This Row],[Player]],QB!B:O,10,FALSE)</f>
        <v>0</v>
      </c>
      <c r="L76" s="100">
        <f>VLOOKUP(TableQBRanks304034[[#This Row],[Player]],QB!B:O,11,FALSE)</f>
        <v>0</v>
      </c>
      <c r="M76" s="95">
        <f>VLOOKUP(TableQBRanks304034[[#This Row],[Player]],QB!B:O,13,FALSE)</f>
        <v>0</v>
      </c>
      <c r="N76" s="140" t="e">
        <f>IF(VLOOKUP(TableQBRanks304034[[#This Row],[Player]],'Ranks w Proj'!$B:$N,13,FALSE)&lt;0,0,VLOOKUP(TableQBRanks304034[[#This Row],[Player]],'Ranks w Proj'!$B:$N,13,FALSE))</f>
        <v>#N/A</v>
      </c>
      <c r="P76" s="58">
        <v>75</v>
      </c>
      <c r="Q76" s="58" t="str">
        <f>VLOOKUP(TableRBRanks314135[[#This Row],[RK]],Rankings!A:AI,23,FALSE)</f>
        <v>Trey Benson</v>
      </c>
      <c r="R76" s="58" t="str">
        <f>IFERROR(INDEX(TableRBCalcPts[TM],MATCH(TableRBRanks314135[[#This Row],[Player]],TableRBCalcPts[PLAYER],0)),"")</f>
        <v>ARI</v>
      </c>
      <c r="S76" s="58">
        <f>IFERROR(INDEX(TableRBCalcPts[BYE],MATCH(TableRBRanks314135[[#This Row],[Player]],TableRBCalcPts[PLAYER],0)),"")</f>
        <v>14</v>
      </c>
      <c r="T76" s="100">
        <f>VLOOKUP(TableRBRanks314135[[#This Row],[Player]],RB!B:O,4,FALSE)</f>
        <v>45.864587999999991</v>
      </c>
      <c r="U76" s="100">
        <f>VLOOKUP(TableRBRanks314135[[#This Row],[Player]],RB!B:O,5,FALSE)</f>
        <v>203.63877071999997</v>
      </c>
      <c r="V76" s="100">
        <f>VLOOKUP(TableRBRanks314135[[#This Row],[Player]],RB!B:O,6,FALSE)</f>
        <v>1.0548855239999997</v>
      </c>
      <c r="W76" s="100">
        <f>VLOOKUP(TableRBRanks314135[[#This Row],[Player]],RB!B:O,7,FALSE)</f>
        <v>8.3390160000000009</v>
      </c>
      <c r="X76" s="100">
        <f>VLOOKUP(TableRBRanks314135[[#This Row],[Player]],RB!B:O,8,FALSE)</f>
        <v>6.1946976000000005</v>
      </c>
      <c r="Y76" s="100">
        <f>VLOOKUP(TableRBRanks314135[[#This Row],[Player]],RB!B:O,9,FALSE)</f>
        <v>42.247837632000007</v>
      </c>
      <c r="Z76" s="100">
        <f>VLOOKUP(TableRBRanks314135[[#This Row],[Player]],RB!B:O,10,FALSE)</f>
        <v>0.23825760000000004</v>
      </c>
      <c r="AA76" s="95">
        <f>VLOOKUP(TableRBRanks314135[[#This Row],[Player]],RB!B:O,14,FALSE)</f>
        <v>35.444868379199995</v>
      </c>
      <c r="AB76" s="190">
        <f>TableRBRanks314135[[#This Row],[FPS]]+(TableRBRanks314135[[#This Row],[REC]]*0.5)</f>
        <v>38.542217179199994</v>
      </c>
      <c r="AD76" s="58">
        <v>75</v>
      </c>
      <c r="AE76" s="58" t="str">
        <f>VLOOKUP(TableWRRanks324236[[#This Row],[RK]],Rankings!A:AI,28,FALSE)</f>
        <v>Germie Bernard</v>
      </c>
      <c r="AF76" s="58" t="str">
        <f>IFERROR(INDEX(TableWRCalcPts[TM],MATCH(TableWRRanks324236[[#This Row],[Player]],TableWRCalcPts[PLAYER],0)),"")</f>
        <v>PIT</v>
      </c>
      <c r="AG76" s="58">
        <f>IFERROR(INDEX(TableWRCalcPts[BYE],MATCH(TableWRRanks324236[[#This Row],[Player]],TableWRCalcPts[PLAYER],0)),"")</f>
        <v>9</v>
      </c>
      <c r="AH76" s="100">
        <f>VLOOKUP(TableWRRanks324236[[#This Row],[Player]],WR!B:O,4,FALSE)</f>
        <v>26.777519999999992</v>
      </c>
      <c r="AI76" s="100">
        <f>VLOOKUP(TableWRRanks324236[[#This Row],[Player]],WR!B:O,5,FALSE)</f>
        <v>3.1240439999999991E-2</v>
      </c>
      <c r="AJ76" s="100">
        <f>VLOOKUP(TableWRRanks324236[[#This Row],[Player]],WR!B:O,6,FALSE)</f>
        <v>77.249088000000015</v>
      </c>
      <c r="AK76" s="100">
        <f>VLOOKUP(TableWRRanks324236[[#This Row],[Player]],WR!B:O,7,FALSE)</f>
        <v>46.394433281620259</v>
      </c>
      <c r="AL76" s="100">
        <f>VLOOKUP(TableWRRanks324236[[#This Row],[Player]],WR!B:O,8,FALSE)</f>
        <v>489.92521545390997</v>
      </c>
      <c r="AM76" s="100">
        <f>VLOOKUP(TableWRRanks324236[[#This Row],[Player]],WR!B:O,9,FALSE)</f>
        <v>2.8148655019746838</v>
      </c>
      <c r="AN76" s="95">
        <f>VLOOKUP(TableWRRanks324236[[#This Row],[Player]],WR!B:O,13,FALSE)</f>
        <v>91.944125838049231</v>
      </c>
      <c r="AO76" s="190">
        <f>TableWRRanks324236[[#This Row],[FPS]]+(TableWRRanks324236[[#This Row],[REC]]*0.5)</f>
        <v>115.14134247885936</v>
      </c>
      <c r="AQ76" s="58">
        <v>75</v>
      </c>
      <c r="AR76" s="58">
        <f>VLOOKUP(TableTERanks334337[[#This Row],[RK]],Rankings!A:AI,33,FALSE)</f>
        <v>0</v>
      </c>
      <c r="AS76" s="58" t="str">
        <f>IFERROR(INDEX(TableTECalcPts[TM],MATCH(TableTERanks334337[[#This Row],[Player]],TableTECalcPts[PLAYER],0)),"")</f>
        <v/>
      </c>
      <c r="AT76" s="58" t="str">
        <f>IFERROR(INDEX(TableTECalcPts[BYE],MATCH(TableTERanks334337[[#This Row],[Player]],TableTECalcPts[PLAYER],0)),"")</f>
        <v/>
      </c>
      <c r="AU76" s="100">
        <f>VLOOKUP(TableTERanks334337[[#This Row],[Player]],TE!B:O,4,FALSE)</f>
        <v>0</v>
      </c>
      <c r="AV76" s="100">
        <f>VLOOKUP(TableTERanks334337[[#This Row],[Player]],TE!B:O,5,FALSE)</f>
        <v>0</v>
      </c>
      <c r="AW76" s="100">
        <f>VLOOKUP(TableTERanks334337[[#This Row],[Player]],TE!B:O,6,FALSE)</f>
        <v>0</v>
      </c>
      <c r="AX76" s="100">
        <f>VLOOKUP(TableTERanks334337[[#This Row],[Player]],TE!B:O,7,FALSE)</f>
        <v>0</v>
      </c>
      <c r="AY76" s="95">
        <f>VLOOKUP(TableTERanks334337[[#This Row],[Player]],TE!B:O,11,FALSE)</f>
        <v>0</v>
      </c>
      <c r="AZ76" s="190">
        <f>TableTERanks334337[[#This Row],[FPS]]+(TableTERanks334337[[#This Row],[REC]]*0.5)</f>
        <v>0</v>
      </c>
    </row>
    <row r="77" spans="1:52" x14ac:dyDescent="0.25">
      <c r="A77" s="58">
        <v>76</v>
      </c>
      <c r="B77" s="58">
        <f>VLOOKUP(TableQBRanks304034[[#This Row],[RK]],Rankings!A:T,3,FALSE)</f>
        <v>0</v>
      </c>
      <c r="C77" s="58" t="str">
        <f>IFERROR(INDEX(TableQBCalcPts[TM],MATCH(TableQBRanks304034[[#This Row],[Player]],TableQBCalcPts[PLAYER],0)),"")</f>
        <v/>
      </c>
      <c r="D77" s="58" t="str">
        <f>IFERROR(INDEX(TableQBCalcPts[BYE],MATCH(TableQBRanks304034[[#This Row],[Player]],TableQBCalcPts[PLAYER],0)),"")</f>
        <v/>
      </c>
      <c r="E77" s="100">
        <f>VLOOKUP(TableQBRanks304034[[#This Row],[Player]],QB!B:O,4,FALSE)</f>
        <v>0</v>
      </c>
      <c r="F77" s="100">
        <f>VLOOKUP(TableQBRanks304034[[#This Row],[Player]],QB!B:O,5,FALSE)</f>
        <v>0</v>
      </c>
      <c r="G77" s="100">
        <f>VLOOKUP(TableQBRanks304034[[#This Row],[Player]],QB!B:O,6,FALSE)</f>
        <v>0</v>
      </c>
      <c r="H77" s="100">
        <f>VLOOKUP(TableQBRanks304034[[#This Row],[Player]],QB!B:O,7,FALSE)</f>
        <v>0</v>
      </c>
      <c r="I77" s="100">
        <f>VLOOKUP(TableQBRanks304034[[#This Row],[Player]],QB!B:O,8,FALSE)</f>
        <v>0</v>
      </c>
      <c r="J77" s="100">
        <f>VLOOKUP(TableQBRanks304034[[#This Row],[Player]],QB!B:O,9,FALSE)</f>
        <v>0</v>
      </c>
      <c r="K77" s="100">
        <f>VLOOKUP(TableQBRanks304034[[#This Row],[Player]],QB!B:O,10,FALSE)</f>
        <v>0</v>
      </c>
      <c r="L77" s="100">
        <f>VLOOKUP(TableQBRanks304034[[#This Row],[Player]],QB!B:O,11,FALSE)</f>
        <v>0</v>
      </c>
      <c r="M77" s="95">
        <f>VLOOKUP(TableQBRanks304034[[#This Row],[Player]],QB!B:O,13,FALSE)</f>
        <v>0</v>
      </c>
      <c r="N77" s="140" t="e">
        <f>IF(VLOOKUP(TableQBRanks304034[[#This Row],[Player]],'Ranks w Proj'!$B:$N,13,FALSE)&lt;0,0,VLOOKUP(TableQBRanks304034[[#This Row],[Player]],'Ranks w Proj'!$B:$N,13,FALSE))</f>
        <v>#N/A</v>
      </c>
      <c r="P77" s="58">
        <v>76</v>
      </c>
      <c r="Q77" s="58" t="str">
        <f>VLOOKUP(TableRBRanks314135[[#This Row],[RK]],Rankings!A:AI,23,FALSE)</f>
        <v>Malik Davis</v>
      </c>
      <c r="R77" s="58" t="str">
        <f>IFERROR(INDEX(TableRBCalcPts[TM],MATCH(TableRBRanks314135[[#This Row],[Player]],TableRBCalcPts[PLAYER],0)),"")</f>
        <v>DAL</v>
      </c>
      <c r="S77" s="58">
        <f>IFERROR(INDEX(TableRBCalcPts[BYE],MATCH(TableRBRanks314135[[#This Row],[Player]],TableRBCalcPts[PLAYER],0)),"")</f>
        <v>14</v>
      </c>
      <c r="T77" s="100">
        <f>VLOOKUP(TableRBRanks314135[[#This Row],[Player]],RB!B:O,4,FALSE)</f>
        <v>46.131584100000005</v>
      </c>
      <c r="U77" s="100">
        <f>VLOOKUP(TableRBRanks314135[[#This Row],[Player]],RB!B:O,5,FALSE)</f>
        <v>205.74686508600001</v>
      </c>
      <c r="V77" s="100">
        <f>VLOOKUP(TableRBRanks314135[[#This Row],[Player]],RB!B:O,6,FALSE)</f>
        <v>1.6146054435000003</v>
      </c>
      <c r="W77" s="100">
        <f>VLOOKUP(TableRBRanks314135[[#This Row],[Player]],RB!B:O,7,FALSE)</f>
        <v>6.0276369999999995</v>
      </c>
      <c r="X77" s="100">
        <f>VLOOKUP(TableRBRanks314135[[#This Row],[Player]],RB!B:O,8,FALSE)</f>
        <v>4.0385167900000001</v>
      </c>
      <c r="Y77" s="100">
        <f>VLOOKUP(TableRBRanks314135[[#This Row],[Player]],RB!B:O,9,FALSE)</f>
        <v>25.429642123903989</v>
      </c>
      <c r="Z77" s="100">
        <f>VLOOKUP(TableRBRanks314135[[#This Row],[Player]],RB!B:O,10,FALSE)</f>
        <v>0.1211555037</v>
      </c>
      <c r="AA77" s="95">
        <f>VLOOKUP(TableRBRanks314135[[#This Row],[Player]],RB!B:O,14,FALSE)</f>
        <v>35.551474799190409</v>
      </c>
      <c r="AB77" s="190">
        <f>TableRBRanks314135[[#This Row],[FPS]]+(TableRBRanks314135[[#This Row],[REC]]*0.5)</f>
        <v>37.57073319419041</v>
      </c>
      <c r="AD77" s="58">
        <v>76</v>
      </c>
      <c r="AE77" s="58" t="str">
        <f>VLOOKUP(TableWRRanks324236[[#This Row],[RK]],Rankings!A:AI,28,FALSE)</f>
        <v>Ryan Flournoy</v>
      </c>
      <c r="AF77" s="58" t="str">
        <f>IFERROR(INDEX(TableWRCalcPts[TM],MATCH(TableWRRanks324236[[#This Row],[Player]],TableWRCalcPts[PLAYER],0)),"")</f>
        <v>DAL</v>
      </c>
      <c r="AG77" s="58">
        <f>IFERROR(INDEX(TableWRCalcPts[BYE],MATCH(TableWRRanks324236[[#This Row],[Player]],TableWRCalcPts[PLAYER],0)),"")</f>
        <v>14</v>
      </c>
      <c r="AH77" s="100">
        <f>VLOOKUP(TableWRRanks324236[[#This Row],[Player]],WR!B:O,4,FALSE)</f>
        <v>0</v>
      </c>
      <c r="AI77" s="100">
        <f>VLOOKUP(TableWRRanks324236[[#This Row],[Player]],WR!B:O,5,FALSE)</f>
        <v>0</v>
      </c>
      <c r="AJ77" s="100">
        <f>VLOOKUP(TableWRRanks324236[[#This Row],[Player]],WR!B:O,6,FALSE)</f>
        <v>55.454260399999988</v>
      </c>
      <c r="AK77" s="100">
        <f>VLOOKUP(TableWRRanks324236[[#This Row],[Player]],WR!B:O,7,FALSE)</f>
        <v>41.844770048630053</v>
      </c>
      <c r="AL77" s="100">
        <f>VLOOKUP(TableWRRanks324236[[#This Row],[Player]],WR!B:O,8,FALSE)</f>
        <v>472.67761780374371</v>
      </c>
      <c r="AM77" s="100">
        <f>VLOOKUP(TableWRRanks324236[[#This Row],[Player]],WR!B:O,9,FALSE)</f>
        <v>3.6823397642794444</v>
      </c>
      <c r="AN77" s="95">
        <f>VLOOKUP(TableWRRanks324236[[#This Row],[Player]],WR!B:O,13,FALSE)</f>
        <v>90.284185390366062</v>
      </c>
      <c r="AO77" s="190">
        <f>TableWRRanks324236[[#This Row],[FPS]]+(TableWRRanks324236[[#This Row],[REC]]*0.5)</f>
        <v>111.2065704146811</v>
      </c>
      <c r="AQ77" s="58">
        <v>76</v>
      </c>
      <c r="AR77" s="58">
        <f>VLOOKUP(TableTERanks334337[[#This Row],[RK]],Rankings!A:AI,33,FALSE)</f>
        <v>0</v>
      </c>
      <c r="AS77" s="58" t="str">
        <f>IFERROR(INDEX(TableTECalcPts[TM],MATCH(TableTERanks334337[[#This Row],[Player]],TableTECalcPts[PLAYER],0)),"")</f>
        <v/>
      </c>
      <c r="AT77" s="58" t="str">
        <f>IFERROR(INDEX(TableTECalcPts[BYE],MATCH(TableTERanks334337[[#This Row],[Player]],TableTECalcPts[PLAYER],0)),"")</f>
        <v/>
      </c>
      <c r="AU77" s="100">
        <f>VLOOKUP(TableTERanks334337[[#This Row],[Player]],TE!B:O,4,FALSE)</f>
        <v>0</v>
      </c>
      <c r="AV77" s="100">
        <f>VLOOKUP(TableTERanks334337[[#This Row],[Player]],TE!B:O,5,FALSE)</f>
        <v>0</v>
      </c>
      <c r="AW77" s="100">
        <f>VLOOKUP(TableTERanks334337[[#This Row],[Player]],TE!B:O,6,FALSE)</f>
        <v>0</v>
      </c>
      <c r="AX77" s="100">
        <f>VLOOKUP(TableTERanks334337[[#This Row],[Player]],TE!B:O,7,FALSE)</f>
        <v>0</v>
      </c>
      <c r="AY77" s="95">
        <f>VLOOKUP(TableTERanks334337[[#This Row],[Player]],TE!B:O,11,FALSE)</f>
        <v>0</v>
      </c>
      <c r="AZ77" s="190">
        <f>TableTERanks334337[[#This Row],[FPS]]+(TableTERanks334337[[#This Row],[REC]]*0.5)</f>
        <v>0</v>
      </c>
    </row>
    <row r="78" spans="1:52" x14ac:dyDescent="0.25">
      <c r="A78" s="58">
        <v>77</v>
      </c>
      <c r="B78" s="58">
        <f>VLOOKUP(TableQBRanks304034[[#This Row],[RK]],Rankings!A:T,3,FALSE)</f>
        <v>0</v>
      </c>
      <c r="C78" s="58" t="str">
        <f>IFERROR(INDEX(TableQBCalcPts[TM],MATCH(TableQBRanks304034[[#This Row],[Player]],TableQBCalcPts[PLAYER],0)),"")</f>
        <v/>
      </c>
      <c r="D78" s="58" t="str">
        <f>IFERROR(INDEX(TableQBCalcPts[BYE],MATCH(TableQBRanks304034[[#This Row],[Player]],TableQBCalcPts[PLAYER],0)),"")</f>
        <v/>
      </c>
      <c r="E78" s="100">
        <f>VLOOKUP(TableQBRanks304034[[#This Row],[Player]],QB!B:O,4,FALSE)</f>
        <v>0</v>
      </c>
      <c r="F78" s="100">
        <f>VLOOKUP(TableQBRanks304034[[#This Row],[Player]],QB!B:O,5,FALSE)</f>
        <v>0</v>
      </c>
      <c r="G78" s="100">
        <f>VLOOKUP(TableQBRanks304034[[#This Row],[Player]],QB!B:O,6,FALSE)</f>
        <v>0</v>
      </c>
      <c r="H78" s="100">
        <f>VLOOKUP(TableQBRanks304034[[#This Row],[Player]],QB!B:O,7,FALSE)</f>
        <v>0</v>
      </c>
      <c r="I78" s="100">
        <f>VLOOKUP(TableQBRanks304034[[#This Row],[Player]],QB!B:O,8,FALSE)</f>
        <v>0</v>
      </c>
      <c r="J78" s="100">
        <f>VLOOKUP(TableQBRanks304034[[#This Row],[Player]],QB!B:O,9,FALSE)</f>
        <v>0</v>
      </c>
      <c r="K78" s="100">
        <f>VLOOKUP(TableQBRanks304034[[#This Row],[Player]],QB!B:O,10,FALSE)</f>
        <v>0</v>
      </c>
      <c r="L78" s="100">
        <f>VLOOKUP(TableQBRanks304034[[#This Row],[Player]],QB!B:O,11,FALSE)</f>
        <v>0</v>
      </c>
      <c r="M78" s="95">
        <f>VLOOKUP(TableQBRanks304034[[#This Row],[Player]],QB!B:O,13,FALSE)</f>
        <v>0</v>
      </c>
      <c r="N78" s="140" t="e">
        <f>IF(VLOOKUP(TableQBRanks304034[[#This Row],[Player]],'Ranks w Proj'!$B:$N,13,FALSE)&lt;0,0,VLOOKUP(TableQBRanks304034[[#This Row],[Player]],'Ranks w Proj'!$B:$N,13,FALSE))</f>
        <v>#N/A</v>
      </c>
      <c r="P78" s="58">
        <v>77</v>
      </c>
      <c r="Q78" s="58" t="str">
        <f>VLOOKUP(TableRBRanks314135[[#This Row],[RK]],Rankings!A:AI,23,FALSE)</f>
        <v>Emmett Johnson</v>
      </c>
      <c r="R78" s="58" t="str">
        <f>IFERROR(INDEX(TableRBCalcPts[TM],MATCH(TableRBRanks314135[[#This Row],[Player]],TableRBCalcPts[PLAYER],0)),"")</f>
        <v>KC</v>
      </c>
      <c r="S78" s="58">
        <f>IFERROR(INDEX(TableRBCalcPts[BYE],MATCH(TableRBRanks314135[[#This Row],[Player]],TableRBCalcPts[PLAYER],0)),"")</f>
        <v>5</v>
      </c>
      <c r="T78" s="100">
        <f>VLOOKUP(TableRBRanks314135[[#This Row],[Player]],RB!B:O,4,FALSE)</f>
        <v>39.812401999999999</v>
      </c>
      <c r="U78" s="100">
        <f>VLOOKUP(TableRBRanks314135[[#This Row],[Player]],RB!B:O,5,FALSE)</f>
        <v>164.82334427999999</v>
      </c>
      <c r="V78" s="100">
        <f>VLOOKUP(TableRBRanks314135[[#This Row],[Player]],RB!B:O,6,FALSE)</f>
        <v>1.3934340700000001</v>
      </c>
      <c r="W78" s="100">
        <f>VLOOKUP(TableRBRanks314135[[#This Row],[Player]],RB!B:O,7,FALSE)</f>
        <v>21.077153999999997</v>
      </c>
      <c r="X78" s="100">
        <f>VLOOKUP(TableRBRanks314135[[#This Row],[Player]],RB!B:O,8,FALSE)</f>
        <v>15.618171113999997</v>
      </c>
      <c r="Y78" s="100">
        <f>VLOOKUP(TableRBRanks314135[[#This Row],[Player]],RB!B:O,9,FALSE)</f>
        <v>112.93139113199999</v>
      </c>
      <c r="Z78" s="100">
        <f>VLOOKUP(TableRBRanks314135[[#This Row],[Player]],RB!B:O,10,FALSE)</f>
        <v>0.70281770012999989</v>
      </c>
      <c r="AA78" s="95">
        <f>VLOOKUP(TableRBRanks314135[[#This Row],[Player]],RB!B:O,14,FALSE)</f>
        <v>48.16206971898</v>
      </c>
      <c r="AB78" s="190">
        <f>TableRBRanks314135[[#This Row],[FPS]]+(TableRBRanks314135[[#This Row],[REC]]*0.5)</f>
        <v>55.971155275979996</v>
      </c>
      <c r="AD78" s="58">
        <v>77</v>
      </c>
      <c r="AE78" s="58" t="str">
        <f>VLOOKUP(TableWRRanks324236[[#This Row],[RK]],Rankings!A:AI,28,FALSE)</f>
        <v>Jauan Jennings</v>
      </c>
      <c r="AF78" s="58" t="str">
        <f>IFERROR(INDEX(TableWRCalcPts[TM],MATCH(TableWRRanks324236[[#This Row],[Player]],TableWRCalcPts[PLAYER],0)),"")</f>
        <v>MIN</v>
      </c>
      <c r="AG78" s="58">
        <f>IFERROR(INDEX(TableWRCalcPts[BYE],MATCH(TableWRRanks324236[[#This Row],[Player]],TableWRCalcPts[PLAYER],0)),"")</f>
        <v>6</v>
      </c>
      <c r="AH78" s="100">
        <f>VLOOKUP(TableWRRanks324236[[#This Row],[Player]],WR!B:O,4,FALSE)</f>
        <v>0</v>
      </c>
      <c r="AI78" s="100">
        <f>VLOOKUP(TableWRRanks324236[[#This Row],[Player]],WR!B:O,5,FALSE)</f>
        <v>0</v>
      </c>
      <c r="AJ78" s="100">
        <f>VLOOKUP(TableWRRanks324236[[#This Row],[Player]],WR!B:O,6,FALSE)</f>
        <v>62.530711039999993</v>
      </c>
      <c r="AK78" s="100">
        <f>VLOOKUP(TableWRRanks324236[[#This Row],[Player]],WR!B:O,7,FALSE)</f>
        <v>40.808526304414812</v>
      </c>
      <c r="AL78" s="100">
        <f>VLOOKUP(TableWRRanks324236[[#This Row],[Player]],WR!B:O,8,FALSE)</f>
        <v>452.45311847928878</v>
      </c>
      <c r="AM78" s="100">
        <f>VLOOKUP(TableWRRanks324236[[#This Row],[Player]],WR!B:O,9,FALSE)</f>
        <v>2.8565968413090372</v>
      </c>
      <c r="AN78" s="95">
        <f>VLOOKUP(TableWRRanks324236[[#This Row],[Player]],WR!B:O,13,FALSE)</f>
        <v>82.789156047990502</v>
      </c>
      <c r="AO78" s="190">
        <f>TableWRRanks324236[[#This Row],[FPS]]+(TableWRRanks324236[[#This Row],[REC]]*0.5)</f>
        <v>103.19341920019791</v>
      </c>
      <c r="AQ78" s="58">
        <v>77</v>
      </c>
      <c r="AR78" s="58">
        <f>VLOOKUP(TableTERanks334337[[#This Row],[RK]],Rankings!A:AI,33,FALSE)</f>
        <v>0</v>
      </c>
      <c r="AS78" s="58" t="str">
        <f>IFERROR(INDEX(TableTECalcPts[TM],MATCH(TableTERanks334337[[#This Row],[Player]],TableTECalcPts[PLAYER],0)),"")</f>
        <v/>
      </c>
      <c r="AT78" s="58" t="str">
        <f>IFERROR(INDEX(TableTECalcPts[BYE],MATCH(TableTERanks334337[[#This Row],[Player]],TableTECalcPts[PLAYER],0)),"")</f>
        <v/>
      </c>
      <c r="AU78" s="100">
        <f>VLOOKUP(TableTERanks334337[[#This Row],[Player]],TE!B:O,4,FALSE)</f>
        <v>0</v>
      </c>
      <c r="AV78" s="100">
        <f>VLOOKUP(TableTERanks334337[[#This Row],[Player]],TE!B:O,5,FALSE)</f>
        <v>0</v>
      </c>
      <c r="AW78" s="100">
        <f>VLOOKUP(TableTERanks334337[[#This Row],[Player]],TE!B:O,6,FALSE)</f>
        <v>0</v>
      </c>
      <c r="AX78" s="100">
        <f>VLOOKUP(TableTERanks334337[[#This Row],[Player]],TE!B:O,7,FALSE)</f>
        <v>0</v>
      </c>
      <c r="AY78" s="95">
        <f>VLOOKUP(TableTERanks334337[[#This Row],[Player]],TE!B:O,11,FALSE)</f>
        <v>0</v>
      </c>
      <c r="AZ78" s="190">
        <f>TableTERanks334337[[#This Row],[FPS]]+(TableTERanks334337[[#This Row],[REC]]*0.5)</f>
        <v>0</v>
      </c>
    </row>
    <row r="79" spans="1:52" x14ac:dyDescent="0.25">
      <c r="A79" s="58">
        <v>78</v>
      </c>
      <c r="B79" s="58">
        <f>VLOOKUP(TableQBRanks304034[[#This Row],[RK]],Rankings!A:T,3,FALSE)</f>
        <v>0</v>
      </c>
      <c r="C79" s="58" t="str">
        <f>IFERROR(INDEX(TableQBCalcPts[TM],MATCH(TableQBRanks304034[[#This Row],[Player]],TableQBCalcPts[PLAYER],0)),"")</f>
        <v/>
      </c>
      <c r="D79" s="58" t="str">
        <f>IFERROR(INDEX(TableQBCalcPts[BYE],MATCH(TableQBRanks304034[[#This Row],[Player]],TableQBCalcPts[PLAYER],0)),"")</f>
        <v/>
      </c>
      <c r="E79" s="100">
        <f>VLOOKUP(TableQBRanks304034[[#This Row],[Player]],QB!B:O,4,FALSE)</f>
        <v>0</v>
      </c>
      <c r="F79" s="100">
        <f>VLOOKUP(TableQBRanks304034[[#This Row],[Player]],QB!B:O,5,FALSE)</f>
        <v>0</v>
      </c>
      <c r="G79" s="100">
        <f>VLOOKUP(TableQBRanks304034[[#This Row],[Player]],QB!B:O,6,FALSE)</f>
        <v>0</v>
      </c>
      <c r="H79" s="100">
        <f>VLOOKUP(TableQBRanks304034[[#This Row],[Player]],QB!B:O,7,FALSE)</f>
        <v>0</v>
      </c>
      <c r="I79" s="100">
        <f>VLOOKUP(TableQBRanks304034[[#This Row],[Player]],QB!B:O,8,FALSE)</f>
        <v>0</v>
      </c>
      <c r="J79" s="100">
        <f>VLOOKUP(TableQBRanks304034[[#This Row],[Player]],QB!B:O,9,FALSE)</f>
        <v>0</v>
      </c>
      <c r="K79" s="100">
        <f>VLOOKUP(TableQBRanks304034[[#This Row],[Player]],QB!B:O,10,FALSE)</f>
        <v>0</v>
      </c>
      <c r="L79" s="100">
        <f>VLOOKUP(TableQBRanks304034[[#This Row],[Player]],QB!B:O,11,FALSE)</f>
        <v>0</v>
      </c>
      <c r="M79" s="95">
        <f>VLOOKUP(TableQBRanks304034[[#This Row],[Player]],QB!B:O,13,FALSE)</f>
        <v>0</v>
      </c>
      <c r="N79" s="140" t="e">
        <f>IF(VLOOKUP(TableQBRanks304034[[#This Row],[Player]],'Ranks w Proj'!$B:$N,13,FALSE)&lt;0,0,VLOOKUP(TableQBRanks304034[[#This Row],[Player]],'Ranks w Proj'!$B:$N,13,FALSE))</f>
        <v>#N/A</v>
      </c>
      <c r="P79" s="58">
        <v>78</v>
      </c>
      <c r="Q79" s="58" t="str">
        <f>VLOOKUP(TableRBRanks314135[[#This Row],[RK]],Rankings!A:AI,23,FALSE)</f>
        <v>Isaiah Davis</v>
      </c>
      <c r="R79" s="58" t="str">
        <f>IFERROR(INDEX(TableRBCalcPts[TM],MATCH(TableRBRanks314135[[#This Row],[Player]],TableRBCalcPts[PLAYER],0)),"")</f>
        <v>NYJ</v>
      </c>
      <c r="S79" s="58">
        <f>IFERROR(INDEX(TableRBCalcPts[BYE],MATCH(TableRBRanks314135[[#This Row],[Player]],TableRBCalcPts[PLAYER],0)),"")</f>
        <v>13</v>
      </c>
      <c r="T79" s="100">
        <f>VLOOKUP(TableRBRanks314135[[#This Row],[Player]],RB!B:O,4,FALSE)</f>
        <v>30.098916399999997</v>
      </c>
      <c r="U79" s="100">
        <f>VLOOKUP(TableRBRanks314135[[#This Row],[Player]],RB!B:O,5,FALSE)</f>
        <v>129.42534051999999</v>
      </c>
      <c r="V79" s="100">
        <f>VLOOKUP(TableRBRanks314135[[#This Row],[Player]],RB!B:O,6,FALSE)</f>
        <v>0.90296749199999982</v>
      </c>
      <c r="W79" s="100">
        <f>VLOOKUP(TableRBRanks314135[[#This Row],[Player]],RB!B:O,7,FALSE)</f>
        <v>8.4299596905011391</v>
      </c>
      <c r="X79" s="100">
        <f>VLOOKUP(TableRBRanks314135[[#This Row],[Player]],RB!B:O,8,FALSE)</f>
        <v>6.3224697678758544</v>
      </c>
      <c r="Y79" s="100">
        <f>VLOOKUP(TableRBRanks314135[[#This Row],[Player]],RB!B:O,9,FALSE)</f>
        <v>52.447136538447616</v>
      </c>
      <c r="Z79" s="100">
        <f>VLOOKUP(TableRBRanks314135[[#This Row],[Player]],RB!B:O,10,FALSE)</f>
        <v>0.13400351508017394</v>
      </c>
      <c r="AA79" s="95">
        <f>VLOOKUP(TableRBRanks314135[[#This Row],[Player]],RB!B:O,14,FALSE)</f>
        <v>27.570308632263728</v>
      </c>
      <c r="AB79" s="190">
        <f>TableRBRanks314135[[#This Row],[FPS]]+(TableRBRanks314135[[#This Row],[REC]]*0.5)</f>
        <v>30.731543516201654</v>
      </c>
      <c r="AD79" s="58">
        <v>78</v>
      </c>
      <c r="AE79" s="58" t="str">
        <f>VLOOKUP(TableWRRanks324236[[#This Row],[RK]],Rankings!A:AI,28,FALSE)</f>
        <v>Calvin Ridley</v>
      </c>
      <c r="AF79" s="58" t="str">
        <f>IFERROR(INDEX(TableWRCalcPts[TM],MATCH(TableWRRanks324236[[#This Row],[Player]],TableWRCalcPts[PLAYER],0)),"")</f>
        <v>TEN</v>
      </c>
      <c r="AG79" s="58">
        <f>IFERROR(INDEX(TableWRCalcPts[BYE],MATCH(TableWRRanks324236[[#This Row],[Player]],TableWRCalcPts[PLAYER],0)),"")</f>
        <v>9</v>
      </c>
      <c r="AH79" s="100">
        <f>VLOOKUP(TableWRRanks324236[[#This Row],[Player]],WR!B:O,4,FALSE)</f>
        <v>0</v>
      </c>
      <c r="AI79" s="100">
        <f>VLOOKUP(TableWRRanks324236[[#This Row],[Player]],WR!B:O,5,FALSE)</f>
        <v>0</v>
      </c>
      <c r="AJ79" s="100">
        <f>VLOOKUP(TableWRRanks324236[[#This Row],[Player]],WR!B:O,6,FALSE)</f>
        <v>80.738138880000008</v>
      </c>
      <c r="AK79" s="100">
        <f>VLOOKUP(TableWRRanks324236[[#This Row],[Player]],WR!B:O,7,FALSE)</f>
        <v>43.517856856320009</v>
      </c>
      <c r="AL79" s="100">
        <f>VLOOKUP(TableWRRanks324236[[#This Row],[Player]],WR!B:O,8,FALSE)</f>
        <v>617.08321022261771</v>
      </c>
      <c r="AM79" s="100">
        <f>VLOOKUP(TableWRRanks324236[[#This Row],[Player]],WR!B:O,9,FALSE)</f>
        <v>3.6554999759308808</v>
      </c>
      <c r="AN79" s="95">
        <f>VLOOKUP(TableWRRanks324236[[#This Row],[Player]],WR!B:O,13,FALSE)</f>
        <v>105.40024930600705</v>
      </c>
      <c r="AO79" s="190">
        <f>TableWRRanks324236[[#This Row],[FPS]]+(TableWRRanks324236[[#This Row],[REC]]*0.5)</f>
        <v>127.15917773416706</v>
      </c>
      <c r="AQ79" s="58">
        <v>78</v>
      </c>
      <c r="AR79" s="58">
        <f>VLOOKUP(TableTERanks334337[[#This Row],[RK]],Rankings!A:AI,33,FALSE)</f>
        <v>0</v>
      </c>
      <c r="AS79" s="58" t="str">
        <f>IFERROR(INDEX(TableTECalcPts[TM],MATCH(TableTERanks334337[[#This Row],[Player]],TableTECalcPts[PLAYER],0)),"")</f>
        <v/>
      </c>
      <c r="AT79" s="58" t="str">
        <f>IFERROR(INDEX(TableTECalcPts[BYE],MATCH(TableTERanks334337[[#This Row],[Player]],TableTECalcPts[PLAYER],0)),"")</f>
        <v/>
      </c>
      <c r="AU79" s="100">
        <f>VLOOKUP(TableTERanks334337[[#This Row],[Player]],TE!B:O,4,FALSE)</f>
        <v>0</v>
      </c>
      <c r="AV79" s="100">
        <f>VLOOKUP(TableTERanks334337[[#This Row],[Player]],TE!B:O,5,FALSE)</f>
        <v>0</v>
      </c>
      <c r="AW79" s="100">
        <f>VLOOKUP(TableTERanks334337[[#This Row],[Player]],TE!B:O,6,FALSE)</f>
        <v>0</v>
      </c>
      <c r="AX79" s="100">
        <f>VLOOKUP(TableTERanks334337[[#This Row],[Player]],TE!B:O,7,FALSE)</f>
        <v>0</v>
      </c>
      <c r="AY79" s="95">
        <f>VLOOKUP(TableTERanks334337[[#This Row],[Player]],TE!B:O,11,FALSE)</f>
        <v>0</v>
      </c>
      <c r="AZ79" s="190">
        <f>TableTERanks334337[[#This Row],[FPS]]+(TableTERanks334337[[#This Row],[REC]]*0.5)</f>
        <v>0</v>
      </c>
    </row>
    <row r="80" spans="1:52" x14ac:dyDescent="0.25">
      <c r="A80" s="58">
        <v>79</v>
      </c>
      <c r="B80" s="58">
        <f>VLOOKUP(TableQBRanks304034[[#This Row],[RK]],Rankings!A:T,3,FALSE)</f>
        <v>0</v>
      </c>
      <c r="C80" s="58" t="str">
        <f>IFERROR(INDEX(TableQBCalcPts[TM],MATCH(TableQBRanks304034[[#This Row],[Player]],TableQBCalcPts[PLAYER],0)),"")</f>
        <v/>
      </c>
      <c r="D80" s="58" t="str">
        <f>IFERROR(INDEX(TableQBCalcPts[BYE],MATCH(TableQBRanks304034[[#This Row],[Player]],TableQBCalcPts[PLAYER],0)),"")</f>
        <v/>
      </c>
      <c r="E80" s="100">
        <f>VLOOKUP(TableQBRanks304034[[#This Row],[Player]],QB!B:O,4,FALSE)</f>
        <v>0</v>
      </c>
      <c r="F80" s="100">
        <f>VLOOKUP(TableQBRanks304034[[#This Row],[Player]],QB!B:O,5,FALSE)</f>
        <v>0</v>
      </c>
      <c r="G80" s="100">
        <f>VLOOKUP(TableQBRanks304034[[#This Row],[Player]],QB!B:O,6,FALSE)</f>
        <v>0</v>
      </c>
      <c r="H80" s="100">
        <f>VLOOKUP(TableQBRanks304034[[#This Row],[Player]],QB!B:O,7,FALSE)</f>
        <v>0</v>
      </c>
      <c r="I80" s="100">
        <f>VLOOKUP(TableQBRanks304034[[#This Row],[Player]],QB!B:O,8,FALSE)</f>
        <v>0</v>
      </c>
      <c r="J80" s="100">
        <f>VLOOKUP(TableQBRanks304034[[#This Row],[Player]],QB!B:O,9,FALSE)</f>
        <v>0</v>
      </c>
      <c r="K80" s="100">
        <f>VLOOKUP(TableQBRanks304034[[#This Row],[Player]],QB!B:O,10,FALSE)</f>
        <v>0</v>
      </c>
      <c r="L80" s="100">
        <f>VLOOKUP(TableQBRanks304034[[#This Row],[Player]],QB!B:O,11,FALSE)</f>
        <v>0</v>
      </c>
      <c r="M80" s="95">
        <f>VLOOKUP(TableQBRanks304034[[#This Row],[Player]],QB!B:O,13,FALSE)</f>
        <v>0</v>
      </c>
      <c r="N80" s="140" t="e">
        <f>IF(VLOOKUP(TableQBRanks304034[[#This Row],[Player]],'Ranks w Proj'!$B:$N,13,FALSE)&lt;0,0,VLOOKUP(TableQBRanks304034[[#This Row],[Player]],'Ranks w Proj'!$B:$N,13,FALSE))</f>
        <v>#N/A</v>
      </c>
      <c r="P80" s="58">
        <v>79</v>
      </c>
      <c r="Q80" s="58" t="str">
        <f>VLOOKUP(TableRBRanks314135[[#This Row],[RK]],Rankings!A:AI,23,FALSE)</f>
        <v>Kendre Miller</v>
      </c>
      <c r="R80" s="58" t="str">
        <f>IFERROR(INDEX(TableRBCalcPts[TM],MATCH(TableRBRanks314135[[#This Row],[Player]],TableRBCalcPts[PLAYER],0)),"")</f>
        <v>NO</v>
      </c>
      <c r="S80" s="58">
        <f>IFERROR(INDEX(TableRBCalcPts[BYE],MATCH(TableRBRanks314135[[#This Row],[Player]],TableRBCalcPts[PLAYER],0)),"")</f>
        <v>8</v>
      </c>
      <c r="T80" s="100">
        <f>VLOOKUP(TableRBRanks314135[[#This Row],[Player]],RB!B:O,4,FALSE)</f>
        <v>26.769899519999999</v>
      </c>
      <c r="U80" s="100">
        <f>VLOOKUP(TableRBRanks314135[[#This Row],[Player]],RB!B:O,5,FALSE)</f>
        <v>107.8826950656</v>
      </c>
      <c r="V80" s="100">
        <f>VLOOKUP(TableRBRanks314135[[#This Row],[Player]],RB!B:O,6,FALSE)</f>
        <v>0.53539799040000002</v>
      </c>
      <c r="W80" s="100">
        <f>VLOOKUP(TableRBRanks314135[[#This Row],[Player]],RB!B:O,7,FALSE)</f>
        <v>5.0778112000000002</v>
      </c>
      <c r="X80" s="100">
        <f>VLOOKUP(TableRBRanks314135[[#This Row],[Player]],RB!B:O,8,FALSE)</f>
        <v>3.8083584000000004</v>
      </c>
      <c r="Y80" s="100">
        <f>VLOOKUP(TableRBRanks314135[[#This Row],[Player]],RB!B:O,9,FALSE)</f>
        <v>30.79548781162265</v>
      </c>
      <c r="Z80" s="100">
        <f>VLOOKUP(TableRBRanks314135[[#This Row],[Player]],RB!B:O,10,FALSE)</f>
        <v>0.11805911040000001</v>
      </c>
      <c r="AA80" s="95">
        <f>VLOOKUP(TableRBRanks314135[[#This Row],[Player]],RB!B:O,14,FALSE)</f>
        <v>19.692740092522268</v>
      </c>
      <c r="AB80" s="190">
        <f>TableRBRanks314135[[#This Row],[FPS]]+(TableRBRanks314135[[#This Row],[REC]]*0.5)</f>
        <v>21.596919292522269</v>
      </c>
      <c r="AD80" s="58">
        <v>79</v>
      </c>
      <c r="AE80" s="58" t="str">
        <f>VLOOKUP(TableWRRanks324236[[#This Row],[RK]],Rankings!A:AI,28,FALSE)</f>
        <v>Malik Washington</v>
      </c>
      <c r="AF80" s="58" t="str">
        <f>IFERROR(INDEX(TableWRCalcPts[TM],MATCH(TableWRRanks324236[[#This Row],[Player]],TableWRCalcPts[PLAYER],0)),"")</f>
        <v>MIA</v>
      </c>
      <c r="AG80" s="58">
        <f>IFERROR(INDEX(TableWRCalcPts[BYE],MATCH(TableWRRanks324236[[#This Row],[Player]],TableWRCalcPts[PLAYER],0)),"")</f>
        <v>6</v>
      </c>
      <c r="AH80" s="100">
        <f>VLOOKUP(TableWRRanks324236[[#This Row],[Player]],WR!B:O,4,FALSE)</f>
        <v>48.719747676547435</v>
      </c>
      <c r="AI80" s="100">
        <f>VLOOKUP(TableWRRanks324236[[#This Row],[Player]],WR!B:O,5,FALSE)</f>
        <v>0.20159895590295487</v>
      </c>
      <c r="AJ80" s="100">
        <f>VLOOKUP(TableWRRanks324236[[#This Row],[Player]],WR!B:O,6,FALSE)</f>
        <v>63.525670739999988</v>
      </c>
      <c r="AK80" s="100">
        <f>VLOOKUP(TableWRRanks324236[[#This Row],[Player]],WR!B:O,7,FALSE)</f>
        <v>43.197456103199997</v>
      </c>
      <c r="AL80" s="100">
        <f>VLOOKUP(TableWRRanks324236[[#This Row],[Player]],WR!B:O,8,FALSE)</f>
        <v>409.94385841936798</v>
      </c>
      <c r="AM80" s="100">
        <f>VLOOKUP(TableWRRanks324236[[#This Row],[Player]],WR!B:O,9,FALSE)</f>
        <v>1.9438855246439999</v>
      </c>
      <c r="AN80" s="95">
        <f>VLOOKUP(TableWRRanks324236[[#This Row],[Player]],WR!B:O,13,FALSE)</f>
        <v>80.337995544473287</v>
      </c>
      <c r="AO80" s="190">
        <f>TableWRRanks324236[[#This Row],[FPS]]+(TableWRRanks324236[[#This Row],[REC]]*0.5)</f>
        <v>101.93672359607328</v>
      </c>
      <c r="AQ80" s="58">
        <v>79</v>
      </c>
      <c r="AR80" s="58">
        <f>VLOOKUP(TableTERanks334337[[#This Row],[RK]],Rankings!A:AI,33,FALSE)</f>
        <v>0</v>
      </c>
      <c r="AS80" s="58" t="str">
        <f>IFERROR(INDEX(TableTECalcPts[TM],MATCH(TableTERanks334337[[#This Row],[Player]],TableTECalcPts[PLAYER],0)),"")</f>
        <v/>
      </c>
      <c r="AT80" s="58" t="str">
        <f>IFERROR(INDEX(TableTECalcPts[BYE],MATCH(TableTERanks334337[[#This Row],[Player]],TableTECalcPts[PLAYER],0)),"")</f>
        <v/>
      </c>
      <c r="AU80" s="100">
        <f>VLOOKUP(TableTERanks334337[[#This Row],[Player]],TE!B:O,4,FALSE)</f>
        <v>0</v>
      </c>
      <c r="AV80" s="100">
        <f>VLOOKUP(TableTERanks334337[[#This Row],[Player]],TE!B:O,5,FALSE)</f>
        <v>0</v>
      </c>
      <c r="AW80" s="100">
        <f>VLOOKUP(TableTERanks334337[[#This Row],[Player]],TE!B:O,6,FALSE)</f>
        <v>0</v>
      </c>
      <c r="AX80" s="100">
        <f>VLOOKUP(TableTERanks334337[[#This Row],[Player]],TE!B:O,7,FALSE)</f>
        <v>0</v>
      </c>
      <c r="AY80" s="95">
        <f>VLOOKUP(TableTERanks334337[[#This Row],[Player]],TE!B:O,11,FALSE)</f>
        <v>0</v>
      </c>
      <c r="AZ80" s="190">
        <f>TableTERanks334337[[#This Row],[FPS]]+(TableTERanks334337[[#This Row],[REC]]*0.5)</f>
        <v>0</v>
      </c>
    </row>
    <row r="81" spans="16:52" x14ac:dyDescent="0.25">
      <c r="P81" s="58">
        <v>80</v>
      </c>
      <c r="Q81" s="58" t="str">
        <f>VLOOKUP(TableRBRanks314135[[#This Row],[RK]],Rankings!A:AI,23,FALSE)</f>
        <v>Will Shipley</v>
      </c>
      <c r="R81" s="58" t="str">
        <f>IFERROR(INDEX(TableRBCalcPts[TM],MATCH(TableRBRanks314135[[#This Row],[Player]],TableRBCalcPts[PLAYER],0)),"")</f>
        <v>PHI</v>
      </c>
      <c r="S81" s="58">
        <f>IFERROR(INDEX(TableRBCalcPts[BYE],MATCH(TableRBRanks314135[[#This Row],[Player]],TableRBCalcPts[PLAYER],0)),"")</f>
        <v>10</v>
      </c>
      <c r="T81" s="100">
        <f>VLOOKUP(TableRBRanks314135[[#This Row],[Player]],RB!B:O,4,FALSE)</f>
        <v>13.325158000000004</v>
      </c>
      <c r="U81" s="100">
        <f>VLOOKUP(TableRBRanks314135[[#This Row],[Player]],RB!B:O,5,FALSE)</f>
        <v>53.567135160000007</v>
      </c>
      <c r="V81" s="100">
        <f>VLOOKUP(TableRBRanks314135[[#This Row],[Player]],RB!B:O,6,FALSE)</f>
        <v>0.19987737000000005</v>
      </c>
      <c r="W81" s="100">
        <f>VLOOKUP(TableRBRanks314135[[#This Row],[Player]],RB!B:O,7,FALSE)</f>
        <v>7.2047051999999994</v>
      </c>
      <c r="X81" s="100">
        <f>VLOOKUP(TableRBRanks314135[[#This Row],[Player]],RB!B:O,8,FALSE)</f>
        <v>5.3675053739999994</v>
      </c>
      <c r="Y81" s="100">
        <f>VLOOKUP(TableRBRanks314135[[#This Row],[Player]],RB!B:O,9,FALSE)</f>
        <v>36.499036543199992</v>
      </c>
      <c r="Z81" s="100">
        <f>VLOOKUP(TableRBRanks314135[[#This Row],[Player]],RB!B:O,10,FALSE)</f>
        <v>0.12345262360199999</v>
      </c>
      <c r="AA81" s="95">
        <f>VLOOKUP(TableRBRanks314135[[#This Row],[Player]],RB!B:O,14,FALSE)</f>
        <v>13.630349818932</v>
      </c>
      <c r="AB81" s="190">
        <f>TableRBRanks314135[[#This Row],[FPS]]+(TableRBRanks314135[[#This Row],[REC]]*0.5)</f>
        <v>16.314102505931999</v>
      </c>
      <c r="AD81" s="58">
        <v>80</v>
      </c>
      <c r="AE81" s="58" t="str">
        <f>VLOOKUP(TableWRRanks324236[[#This Row],[RK]],Rankings!A:AI,28,FALSE)</f>
        <v>Cooper Kupp</v>
      </c>
      <c r="AF81" s="58" t="str">
        <f>IFERROR(INDEX(TableWRCalcPts[TM],MATCH(TableWRRanks324236[[#This Row],[Player]],TableWRCalcPts[PLAYER],0)),"")</f>
        <v>SEA</v>
      </c>
      <c r="AG81" s="58">
        <f>IFERROR(INDEX(TableWRCalcPts[BYE],MATCH(TableWRRanks324236[[#This Row],[Player]],TableWRCalcPts[PLAYER],0)),"")</f>
        <v>11</v>
      </c>
      <c r="AH81" s="100">
        <f>VLOOKUP(TableWRRanks324236[[#This Row],[Player]],WR!B:O,4,FALSE)</f>
        <v>0</v>
      </c>
      <c r="AI81" s="100">
        <f>VLOOKUP(TableWRRanks324236[[#This Row],[Player]],WR!B:O,5,FALSE)</f>
        <v>0</v>
      </c>
      <c r="AJ81" s="100">
        <f>VLOOKUP(TableWRRanks324236[[#This Row],[Player]],WR!B:O,6,FALSE)</f>
        <v>63.09093</v>
      </c>
      <c r="AK81" s="100">
        <f>VLOOKUP(TableWRRanks324236[[#This Row],[Player]],WR!B:O,7,FALSE)</f>
        <v>41.70310473</v>
      </c>
      <c r="AL81" s="100">
        <f>VLOOKUP(TableWRRanks324236[[#This Row],[Player]],WR!B:O,8,FALSE)</f>
        <v>507.52678456410001</v>
      </c>
      <c r="AM81" s="100">
        <f>VLOOKUP(TableWRRanks324236[[#This Row],[Player]],WR!B:O,9,FALSE)</f>
        <v>3.2111390642099997</v>
      </c>
      <c r="AN81" s="95">
        <f>VLOOKUP(TableWRRanks324236[[#This Row],[Player]],WR!B:O,13,FALSE)</f>
        <v>90.871065206669996</v>
      </c>
      <c r="AO81" s="190">
        <f>TableWRRanks324236[[#This Row],[FPS]]+(TableWRRanks324236[[#This Row],[REC]]*0.5)</f>
        <v>111.72261757167</v>
      </c>
      <c r="AQ81" s="58">
        <v>80</v>
      </c>
      <c r="AR81" s="58">
        <f>VLOOKUP(TableTERanks334337[[#This Row],[RK]],Rankings!A:AI,33,FALSE)</f>
        <v>0</v>
      </c>
      <c r="AS81" s="58" t="str">
        <f>IFERROR(INDEX(TableTECalcPts[TM],MATCH(TableTERanks334337[[#This Row],[Player]],TableTECalcPts[PLAYER],0)),"")</f>
        <v/>
      </c>
      <c r="AT81" s="58" t="str">
        <f>IFERROR(INDEX(TableTECalcPts[BYE],MATCH(TableTERanks334337[[#This Row],[Player]],TableTECalcPts[PLAYER],0)),"")</f>
        <v/>
      </c>
      <c r="AU81" s="100">
        <f>VLOOKUP(TableTERanks334337[[#This Row],[Player]],TE!B:O,4,FALSE)</f>
        <v>0</v>
      </c>
      <c r="AV81" s="100">
        <f>VLOOKUP(TableTERanks334337[[#This Row],[Player]],TE!B:O,5,FALSE)</f>
        <v>0</v>
      </c>
      <c r="AW81" s="100">
        <f>VLOOKUP(TableTERanks334337[[#This Row],[Player]],TE!B:O,6,FALSE)</f>
        <v>0</v>
      </c>
      <c r="AX81" s="100">
        <f>VLOOKUP(TableTERanks334337[[#This Row],[Player]],TE!B:O,7,FALSE)</f>
        <v>0</v>
      </c>
      <c r="AY81" s="95">
        <f>VLOOKUP(TableTERanks334337[[#This Row],[Player]],TE!B:O,11,FALSE)</f>
        <v>0</v>
      </c>
      <c r="AZ81" s="190">
        <f>TableTERanks334337[[#This Row],[FPS]]+(TableTERanks334337[[#This Row],[REC]]*0.5)</f>
        <v>0</v>
      </c>
    </row>
    <row r="82" spans="16:52" x14ac:dyDescent="0.25">
      <c r="P82" s="58">
        <v>81</v>
      </c>
      <c r="Q82" s="58" t="str">
        <f>VLOOKUP(TableRBRanks314135[[#This Row],[RK]],Rankings!A:AI,23,FALSE)</f>
        <v>James Conner</v>
      </c>
      <c r="R82" s="58" t="str">
        <f>IFERROR(INDEX(TableRBCalcPts[TM],MATCH(TableRBRanks314135[[#This Row],[Player]],TableRBCalcPts[PLAYER],0)),"")</f>
        <v>ARI</v>
      </c>
      <c r="S82" s="58">
        <f>IFERROR(INDEX(TableRBCalcPts[BYE],MATCH(TableRBRanks314135[[#This Row],[Player]],TableRBCalcPts[PLAYER],0)),"")</f>
        <v>14</v>
      </c>
      <c r="T82" s="100">
        <f>VLOOKUP(TableRBRanks314135[[#This Row],[Player]],RB!B:O,4,FALSE)</f>
        <v>8.7361119999999985</v>
      </c>
      <c r="U82" s="100">
        <f>VLOOKUP(TableRBRanks314135[[#This Row],[Player]],RB!B:O,5,FALSE)</f>
        <v>33.273701584484463</v>
      </c>
      <c r="V82" s="100">
        <f>VLOOKUP(TableRBRanks314135[[#This Row],[Player]],RB!B:O,6,FALSE)</f>
        <v>0.1954207190461914</v>
      </c>
      <c r="W82" s="100">
        <f>VLOOKUP(TableRBRanks314135[[#This Row],[Player]],RB!B:O,7,FALSE)</f>
        <v>8.8949504000000008</v>
      </c>
      <c r="X82" s="100">
        <f>VLOOKUP(TableRBRanks314135[[#This Row],[Player]],RB!B:O,8,FALSE)</f>
        <v>6.6712128000000011</v>
      </c>
      <c r="Y82" s="100">
        <f>VLOOKUP(TableRBRanks314135[[#This Row],[Player]],RB!B:O,9,FALSE)</f>
        <v>43.362883200000006</v>
      </c>
      <c r="Z82" s="100">
        <f>VLOOKUP(TableRBRanks314135[[#This Row],[Player]],RB!B:O,10,FALSE)</f>
        <v>0.26684851200000004</v>
      </c>
      <c r="AA82" s="95">
        <f>VLOOKUP(TableRBRanks314135[[#This Row],[Player]],RB!B:O,14,FALSE)</f>
        <v>13.772880264725597</v>
      </c>
      <c r="AB82" s="190">
        <f>TableRBRanks314135[[#This Row],[FPS]]+(TableRBRanks314135[[#This Row],[REC]]*0.5)</f>
        <v>17.108486664725596</v>
      </c>
      <c r="AD82" s="58">
        <v>81</v>
      </c>
      <c r="AE82" s="58" t="str">
        <f>VLOOKUP(TableWRRanks324236[[#This Row],[RK]],Rankings!A:AI,28,FALSE)</f>
        <v>Darnell Mooney</v>
      </c>
      <c r="AF82" s="58" t="str">
        <f>IFERROR(INDEX(TableWRCalcPts[TM],MATCH(TableWRRanks324236[[#This Row],[Player]],TableWRCalcPts[PLAYER],0)),"")</f>
        <v>NYG</v>
      </c>
      <c r="AG82" s="58">
        <f>IFERROR(INDEX(TableWRCalcPts[BYE],MATCH(TableWRRanks324236[[#This Row],[Player]],TableWRCalcPts[PLAYER],0)),"")</f>
        <v>8</v>
      </c>
      <c r="AH82" s="100">
        <f>VLOOKUP(TableWRRanks324236[[#This Row],[Player]],WR!B:O,4,FALSE)</f>
        <v>0</v>
      </c>
      <c r="AI82" s="100">
        <f>VLOOKUP(TableWRRanks324236[[#This Row],[Player]],WR!B:O,5,FALSE)</f>
        <v>0</v>
      </c>
      <c r="AJ82" s="100">
        <f>VLOOKUP(TableWRRanks324236[[#This Row],[Player]],WR!B:O,6,FALSE)</f>
        <v>66.746540699999997</v>
      </c>
      <c r="AK82" s="100">
        <f>VLOOKUP(TableWRRanks324236[[#This Row],[Player]],WR!B:O,7,FALSE)</f>
        <v>36.643850844300005</v>
      </c>
      <c r="AL82" s="100">
        <f>VLOOKUP(TableWRRanks324236[[#This Row],[Player]],WR!B:O,8,FALSE)</f>
        <v>461.34608212973706</v>
      </c>
      <c r="AM82" s="100">
        <f>VLOOKUP(TableWRRanks324236[[#This Row],[Player]],WR!B:O,9,FALSE)</f>
        <v>2.6750011116339003</v>
      </c>
      <c r="AN82" s="95">
        <f>VLOOKUP(TableWRRanks324236[[#This Row],[Player]],WR!B:O,13,FALSE)</f>
        <v>80.506540304927114</v>
      </c>
      <c r="AO82" s="190">
        <f>TableWRRanks324236[[#This Row],[FPS]]+(TableWRRanks324236[[#This Row],[REC]]*0.5)</f>
        <v>98.828465727077116</v>
      </c>
      <c r="AQ82" s="58">
        <v>81</v>
      </c>
      <c r="AR82" s="58">
        <f>VLOOKUP(TableTERanks334337[[#This Row],[RK]],Rankings!A:AI,33,FALSE)</f>
        <v>0</v>
      </c>
      <c r="AS82" s="58" t="str">
        <f>IFERROR(INDEX(TableTECalcPts[TM],MATCH(TableTERanks334337[[#This Row],[Player]],TableTECalcPts[PLAYER],0)),"")</f>
        <v/>
      </c>
      <c r="AT82" s="58" t="str">
        <f>IFERROR(INDEX(TableTECalcPts[BYE],MATCH(TableTERanks334337[[#This Row],[Player]],TableTECalcPts[PLAYER],0)),"")</f>
        <v/>
      </c>
      <c r="AU82" s="100">
        <f>VLOOKUP(TableTERanks334337[[#This Row],[Player]],TE!B:O,4,FALSE)</f>
        <v>0</v>
      </c>
      <c r="AV82" s="100">
        <f>VLOOKUP(TableTERanks334337[[#This Row],[Player]],TE!B:O,5,FALSE)</f>
        <v>0</v>
      </c>
      <c r="AW82" s="100">
        <f>VLOOKUP(TableTERanks334337[[#This Row],[Player]],TE!B:O,6,FALSE)</f>
        <v>0</v>
      </c>
      <c r="AX82" s="100">
        <f>VLOOKUP(TableTERanks334337[[#This Row],[Player]],TE!B:O,7,FALSE)</f>
        <v>0</v>
      </c>
      <c r="AY82" s="95">
        <f>VLOOKUP(TableTERanks334337[[#This Row],[Player]],TE!B:O,11,FALSE)</f>
        <v>0</v>
      </c>
      <c r="AZ82" s="190">
        <f>TableTERanks334337[[#This Row],[FPS]]+(TableTERanks334337[[#This Row],[REC]]*0.5)</f>
        <v>0</v>
      </c>
    </row>
    <row r="83" spans="16:52" x14ac:dyDescent="0.25">
      <c r="P83" s="58">
        <v>82</v>
      </c>
      <c r="Q83" s="58" t="str">
        <f>VLOOKUP(TableRBRanks314135[[#This Row],[RK]],Rankings!A:AI,23,FALSE)</f>
        <v>Zach Charbonnet</v>
      </c>
      <c r="R83" s="58" t="str">
        <f>IFERROR(INDEX(TableRBCalcPts[TM],MATCH(TableRBRanks314135[[#This Row],[Player]],TableRBCalcPts[PLAYER],0)),"")</f>
        <v>SEA</v>
      </c>
      <c r="S83" s="58">
        <f>IFERROR(INDEX(TableRBCalcPts[BYE],MATCH(TableRBRanks314135[[#This Row],[Player]],TableRBCalcPts[PLAYER],0)),"")</f>
        <v>11</v>
      </c>
      <c r="T83" s="100">
        <f>VLOOKUP(TableRBRanks314135[[#This Row],[Player]],RB!B:O,4,FALSE)</f>
        <v>45.343837387261864</v>
      </c>
      <c r="U83" s="100">
        <f>VLOOKUP(TableRBRanks314135[[#This Row],[Player]],RB!B:O,5,FALSE)</f>
        <v>187.37888790166693</v>
      </c>
      <c r="V83" s="100">
        <f>VLOOKUP(TableRBRanks314135[[#This Row],[Player]],RB!B:O,6,FALSE)</f>
        <v>1.7230658207159508</v>
      </c>
      <c r="W83" s="100">
        <f>VLOOKUP(TableRBRanks314135[[#This Row],[Player]],RB!B:O,7,FALSE)</f>
        <v>7.5709115999999996</v>
      </c>
      <c r="X83" s="100">
        <f>VLOOKUP(TableRBRanks314135[[#This Row],[Player]],RB!B:O,8,FALSE)</f>
        <v>5.6176164071999999</v>
      </c>
      <c r="Y83" s="100">
        <f>VLOOKUP(TableRBRanks314135[[#This Row],[Player]],RB!B:O,9,FALSE)</f>
        <v>44.835138104922024</v>
      </c>
      <c r="Z83" s="100">
        <f>VLOOKUP(TableRBRanks314135[[#This Row],[Player]],RB!B:O,10,FALSE)</f>
        <v>0.18538134143760002</v>
      </c>
      <c r="AA83" s="95">
        <f>VLOOKUP(TableRBRanks314135[[#This Row],[Player]],RB!B:O,14,FALSE)</f>
        <v>37.480893777180206</v>
      </c>
      <c r="AB83" s="190">
        <f>TableRBRanks314135[[#This Row],[FPS]]+(TableRBRanks314135[[#This Row],[REC]]*0.5)</f>
        <v>40.289701980780208</v>
      </c>
      <c r="AD83" s="58">
        <v>82</v>
      </c>
      <c r="AE83" s="58" t="str">
        <f>VLOOKUP(TableWRRanks324236[[#This Row],[RK]],Rankings!A:AI,28,FALSE)</f>
        <v>Dont'e Thornton</v>
      </c>
      <c r="AF83" s="58" t="str">
        <f>IFERROR(INDEX(TableWRCalcPts[TM],MATCH(TableWRRanks324236[[#This Row],[Player]],TableWRCalcPts[PLAYER],0)),"")</f>
        <v>LV</v>
      </c>
      <c r="AG83" s="58">
        <f>IFERROR(INDEX(TableWRCalcPts[BYE],MATCH(TableWRRanks324236[[#This Row],[Player]],TableWRCalcPts[PLAYER],0)),"")</f>
        <v>13</v>
      </c>
      <c r="AH83" s="100">
        <f>VLOOKUP(TableWRRanks324236[[#This Row],[Player]],WR!B:O,4,FALSE)</f>
        <v>0</v>
      </c>
      <c r="AI83" s="100">
        <f>VLOOKUP(TableWRRanks324236[[#This Row],[Player]],WR!B:O,5,FALSE)</f>
        <v>0</v>
      </c>
      <c r="AJ83" s="100">
        <f>VLOOKUP(TableWRRanks324236[[#This Row],[Player]],WR!B:O,6,FALSE)</f>
        <v>47.354086079999995</v>
      </c>
      <c r="AK83" s="100">
        <f>VLOOKUP(TableWRRanks324236[[#This Row],[Player]],WR!B:O,7,FALSE)</f>
        <v>26.56564229088</v>
      </c>
      <c r="AL83" s="100">
        <f>VLOOKUP(TableWRRanks324236[[#This Row],[Player]],WR!B:O,8,FALSE)</f>
        <v>364.74626865378241</v>
      </c>
      <c r="AM83" s="100">
        <f>VLOOKUP(TableWRRanks324236[[#This Row],[Player]],WR!B:O,9,FALSE)</f>
        <v>1.5939385374527999</v>
      </c>
      <c r="AN83" s="95">
        <f>VLOOKUP(TableWRRanks324236[[#This Row],[Player]],WR!B:O,13,FALSE)</f>
        <v>59.321079235535038</v>
      </c>
      <c r="AO83" s="190">
        <f>TableWRRanks324236[[#This Row],[FPS]]+(TableWRRanks324236[[#This Row],[REC]]*0.5)</f>
        <v>72.603900380975034</v>
      </c>
      <c r="AQ83" s="58">
        <v>82</v>
      </c>
      <c r="AR83" s="58">
        <f>VLOOKUP(TableTERanks334337[[#This Row],[RK]],Rankings!A:AI,33,FALSE)</f>
        <v>0</v>
      </c>
      <c r="AS83" s="58" t="str">
        <f>IFERROR(INDEX(TableTECalcPts[TM],MATCH(TableTERanks334337[[#This Row],[Player]],TableTECalcPts[PLAYER],0)),"")</f>
        <v/>
      </c>
      <c r="AT83" s="58" t="str">
        <f>IFERROR(INDEX(TableTECalcPts[BYE],MATCH(TableTERanks334337[[#This Row],[Player]],TableTECalcPts[PLAYER],0)),"")</f>
        <v/>
      </c>
      <c r="AU83" s="100">
        <f>VLOOKUP(TableTERanks334337[[#This Row],[Player]],TE!B:O,4,FALSE)</f>
        <v>0</v>
      </c>
      <c r="AV83" s="100">
        <f>VLOOKUP(TableTERanks334337[[#This Row],[Player]],TE!B:O,5,FALSE)</f>
        <v>0</v>
      </c>
      <c r="AW83" s="100">
        <f>VLOOKUP(TableTERanks334337[[#This Row],[Player]],TE!B:O,6,FALSE)</f>
        <v>0</v>
      </c>
      <c r="AX83" s="100">
        <f>VLOOKUP(TableTERanks334337[[#This Row],[Player]],TE!B:O,7,FALSE)</f>
        <v>0</v>
      </c>
      <c r="AY83" s="95">
        <f>VLOOKUP(TableTERanks334337[[#This Row],[Player]],TE!B:O,11,FALSE)</f>
        <v>0</v>
      </c>
      <c r="AZ83" s="190">
        <f>TableTERanks334337[[#This Row],[FPS]]+(TableTERanks334337[[#This Row],[REC]]*0.5)</f>
        <v>0</v>
      </c>
    </row>
    <row r="84" spans="16:52" x14ac:dyDescent="0.25">
      <c r="P84" s="58">
        <v>83</v>
      </c>
      <c r="Q84" s="58" t="str">
        <f>VLOOKUP(TableRBRanks314135[[#This Row],[RK]],Rankings!A:AI,23,FALSE)</f>
        <v>Kaleb Johnson</v>
      </c>
      <c r="R84" s="58" t="str">
        <f>IFERROR(INDEX(TableRBCalcPts[TM],MATCH(TableRBRanks314135[[#This Row],[Player]],TableRBCalcPts[PLAYER],0)),"")</f>
        <v>PIT</v>
      </c>
      <c r="S84" s="58">
        <f>IFERROR(INDEX(TableRBCalcPts[BYE],MATCH(TableRBRanks314135[[#This Row],[Player]],TableRBCalcPts[PLAYER],0)),"")</f>
        <v>9</v>
      </c>
      <c r="T84" s="100">
        <f>VLOOKUP(TableRBRanks314135[[#This Row],[Player]],RB!B:O,4,FALSE)</f>
        <v>15.173927999999998</v>
      </c>
      <c r="U84" s="100">
        <f>VLOOKUP(TableRBRanks314135[[#This Row],[Player]],RB!B:O,5,FALSE)</f>
        <v>54.626140799999995</v>
      </c>
      <c r="V84" s="100">
        <f>VLOOKUP(TableRBRanks314135[[#This Row],[Player]],RB!B:O,6,FALSE)</f>
        <v>0.30347855999999995</v>
      </c>
      <c r="W84" s="100">
        <f>VLOOKUP(TableRBRanks314135[[#This Row],[Player]],RB!B:O,7,FALSE)</f>
        <v>2.8400400000000001</v>
      </c>
      <c r="X84" s="100">
        <f>VLOOKUP(TableRBRanks314135[[#This Row],[Player]],RB!B:O,8,FALSE)</f>
        <v>2.1300300000000001</v>
      </c>
      <c r="Y84" s="100">
        <f>VLOOKUP(TableRBRanks314135[[#This Row],[Player]],RB!B:O,9,FALSE)</f>
        <v>12.797088531439316</v>
      </c>
      <c r="Z84" s="100">
        <f>VLOOKUP(TableRBRanks314135[[#This Row],[Player]],RB!B:O,10,FALSE)</f>
        <v>4.2600600000000002E-2</v>
      </c>
      <c r="AA84" s="95">
        <f>VLOOKUP(TableRBRanks314135[[#This Row],[Player]],RB!B:O,14,FALSE)</f>
        <v>9.8838128931439329</v>
      </c>
      <c r="AB84" s="190">
        <f>TableRBRanks314135[[#This Row],[FPS]]+(TableRBRanks314135[[#This Row],[REC]]*0.5)</f>
        <v>10.948827893143934</v>
      </c>
      <c r="AD84" s="58">
        <v>83</v>
      </c>
      <c r="AE84" s="58" t="str">
        <f>VLOOKUP(TableWRRanks324236[[#This Row],[RK]],Rankings!A:AI,28,FALSE)</f>
        <v>Jaylin Noel</v>
      </c>
      <c r="AF84" s="58" t="str">
        <f>IFERROR(INDEX(TableWRCalcPts[TM],MATCH(TableWRRanks324236[[#This Row],[Player]],TableWRCalcPts[PLAYER],0)),"")</f>
        <v>HOU</v>
      </c>
      <c r="AG84" s="58">
        <f>IFERROR(INDEX(TableWRCalcPts[BYE],MATCH(TableWRRanks324236[[#This Row],[Player]],TableWRCalcPts[PLAYER],0)),"")</f>
        <v>8</v>
      </c>
      <c r="AH84" s="100">
        <f>VLOOKUP(TableWRRanks324236[[#This Row],[Player]],WR!B:O,4,FALSE)</f>
        <v>24.062199700000004</v>
      </c>
      <c r="AI84" s="100">
        <f>VLOOKUP(TableWRRanks324236[[#This Row],[Player]],WR!B:O,5,FALSE)</f>
        <v>5.4686817500000012E-2</v>
      </c>
      <c r="AJ84" s="100">
        <f>VLOOKUP(TableWRRanks324236[[#This Row],[Player]],WR!B:O,6,FALSE)</f>
        <v>60.152973299999992</v>
      </c>
      <c r="AK84" s="100">
        <f>VLOOKUP(TableWRRanks324236[[#This Row],[Player]],WR!B:O,7,FALSE)</f>
        <v>36.548155833769009</v>
      </c>
      <c r="AL84" s="100">
        <f>VLOOKUP(TableWRRanks324236[[#This Row],[Player]],WR!B:O,8,FALSE)</f>
        <v>398.3748985880822</v>
      </c>
      <c r="AM84" s="100">
        <f>VLOOKUP(TableWRRanks324236[[#This Row],[Player]],WR!B:O,9,FALSE)</f>
        <v>2.3025338175274475</v>
      </c>
      <c r="AN84" s="95">
        <f>VLOOKUP(TableWRRanks324236[[#This Row],[Player]],WR!B:O,13,FALSE)</f>
        <v>74.661111555857417</v>
      </c>
      <c r="AO84" s="190">
        <f>TableWRRanks324236[[#This Row],[FPS]]+(TableWRRanks324236[[#This Row],[REC]]*0.5)</f>
        <v>92.935189472741925</v>
      </c>
      <c r="AQ84" s="58">
        <v>83</v>
      </c>
      <c r="AR84" s="58">
        <f>VLOOKUP(TableTERanks334337[[#This Row],[RK]],Rankings!A:AI,33,FALSE)</f>
        <v>0</v>
      </c>
      <c r="AS84" s="58" t="str">
        <f>IFERROR(INDEX(TableTECalcPts[TM],MATCH(TableTERanks334337[[#This Row],[Player]],TableTECalcPts[PLAYER],0)),"")</f>
        <v/>
      </c>
      <c r="AT84" s="58" t="str">
        <f>IFERROR(INDEX(TableTECalcPts[BYE],MATCH(TableTERanks334337[[#This Row],[Player]],TableTECalcPts[PLAYER],0)),"")</f>
        <v/>
      </c>
      <c r="AU84" s="100">
        <f>VLOOKUP(TableTERanks334337[[#This Row],[Player]],TE!B:O,4,FALSE)</f>
        <v>0</v>
      </c>
      <c r="AV84" s="100">
        <f>VLOOKUP(TableTERanks334337[[#This Row],[Player]],TE!B:O,5,FALSE)</f>
        <v>0</v>
      </c>
      <c r="AW84" s="100">
        <f>VLOOKUP(TableTERanks334337[[#This Row],[Player]],TE!B:O,6,FALSE)</f>
        <v>0</v>
      </c>
      <c r="AX84" s="100">
        <f>VLOOKUP(TableTERanks334337[[#This Row],[Player]],TE!B:O,7,FALSE)</f>
        <v>0</v>
      </c>
      <c r="AY84" s="95">
        <f>VLOOKUP(TableTERanks334337[[#This Row],[Player]],TE!B:O,11,FALSE)</f>
        <v>0</v>
      </c>
      <c r="AZ84" s="190">
        <f>TableTERanks334337[[#This Row],[FPS]]+(TableTERanks334337[[#This Row],[REC]]*0.5)</f>
        <v>0</v>
      </c>
    </row>
    <row r="85" spans="16:52" x14ac:dyDescent="0.25">
      <c r="P85" s="58">
        <v>84</v>
      </c>
      <c r="Q85" s="58" t="str">
        <f>VLOOKUP(TableRBRanks314135[[#This Row],[RK]],Rankings!A:AI,23,FALSE)</f>
        <v>Adam Randall</v>
      </c>
      <c r="R85" s="58" t="str">
        <f>IFERROR(INDEX(TableRBCalcPts[TM],MATCH(TableRBRanks314135[[#This Row],[Player]],TableRBCalcPts[PLAYER],0)),"")</f>
        <v>BAL</v>
      </c>
      <c r="S85" s="58">
        <f>IFERROR(INDEX(TableRBCalcPts[BYE],MATCH(TableRBRanks314135[[#This Row],[Player]],TableRBCalcPts[PLAYER],0)),"")</f>
        <v>13</v>
      </c>
      <c r="T85" s="100">
        <f>VLOOKUP(TableRBRanks314135[[#This Row],[Player]],RB!B:O,4,FALSE)</f>
        <v>21.237269653811889</v>
      </c>
      <c r="U85" s="100">
        <f>VLOOKUP(TableRBRanks314135[[#This Row],[Player]],RB!B:O,5,FALSE)</f>
        <v>88.703411982478883</v>
      </c>
      <c r="V85" s="100">
        <f>VLOOKUP(TableRBRanks314135[[#This Row],[Player]],RB!B:O,6,FALSE)</f>
        <v>0.46426317935038602</v>
      </c>
      <c r="W85" s="100">
        <f>VLOOKUP(TableRBRanks314135[[#This Row],[Player]],RB!B:O,7,FALSE)</f>
        <v>5.1695705599999995</v>
      </c>
      <c r="X85" s="100">
        <f>VLOOKUP(TableRBRanks314135[[#This Row],[Player]],RB!B:O,8,FALSE)</f>
        <v>3.8771779199999994</v>
      </c>
      <c r="Y85" s="100">
        <f>VLOOKUP(TableRBRanks314135[[#This Row],[Player]],RB!B:O,9,FALSE)</f>
        <v>29.424141265580108</v>
      </c>
      <c r="Z85" s="100">
        <f>VLOOKUP(TableRBRanks314135[[#This Row],[Player]],RB!B:O,10,FALSE)</f>
        <v>0.15896429471999998</v>
      </c>
      <c r="AA85" s="95">
        <f>VLOOKUP(TableRBRanks314135[[#This Row],[Player]],RB!B:O,14,FALSE)</f>
        <v>17.490709129228215</v>
      </c>
      <c r="AB85" s="190">
        <f>TableRBRanks314135[[#This Row],[FPS]]+(TableRBRanks314135[[#This Row],[REC]]*0.5)</f>
        <v>19.429298089228215</v>
      </c>
      <c r="AD85" s="58">
        <v>84</v>
      </c>
      <c r="AE85" s="58" t="str">
        <f>VLOOKUP(TableWRRanks324236[[#This Row],[RK]],Rankings!A:AI,28,FALSE)</f>
        <v>Darius Slayton</v>
      </c>
      <c r="AF85" s="58" t="str">
        <f>IFERROR(INDEX(TableWRCalcPts[TM],MATCH(TableWRRanks324236[[#This Row],[Player]],TableWRCalcPts[PLAYER],0)),"")</f>
        <v>NYG</v>
      </c>
      <c r="AG85" s="58">
        <f>IFERROR(INDEX(TableWRCalcPts[BYE],MATCH(TableWRRanks324236[[#This Row],[Player]],TableWRCalcPts[PLAYER],0)),"")</f>
        <v>8</v>
      </c>
      <c r="AH85" s="100">
        <f>VLOOKUP(TableWRRanks324236[[#This Row],[Player]],WR!B:O,4,FALSE)</f>
        <v>0</v>
      </c>
      <c r="AI85" s="100">
        <f>VLOOKUP(TableWRRanks324236[[#This Row],[Player]],WR!B:O,5,FALSE)</f>
        <v>0</v>
      </c>
      <c r="AJ85" s="100">
        <f>VLOOKUP(TableWRRanks324236[[#This Row],[Player]],WR!B:O,6,FALSE)</f>
        <v>41.036762060000008</v>
      </c>
      <c r="AK85" s="100">
        <f>VLOOKUP(TableWRRanks324236[[#This Row],[Player]],WR!B:O,7,FALSE)</f>
        <v>26.058343908100007</v>
      </c>
      <c r="AL85" s="100">
        <f>VLOOKUP(TableWRRanks324236[[#This Row],[Player]],WR!B:O,8,FALSE)</f>
        <v>371.33140069042508</v>
      </c>
      <c r="AM85" s="100">
        <f>VLOOKUP(TableWRRanks324236[[#This Row],[Player]],WR!B:O,9,FALSE)</f>
        <v>1.6937923540265005</v>
      </c>
      <c r="AN85" s="95">
        <f>VLOOKUP(TableWRRanks324236[[#This Row],[Player]],WR!B:O,13,FALSE)</f>
        <v>60.325066147251512</v>
      </c>
      <c r="AO85" s="190">
        <f>TableWRRanks324236[[#This Row],[FPS]]+(TableWRRanks324236[[#This Row],[REC]]*0.5)</f>
        <v>73.354238101301519</v>
      </c>
      <c r="AQ85" s="58">
        <v>84</v>
      </c>
      <c r="AR85" s="58">
        <f>VLOOKUP(TableTERanks334337[[#This Row],[RK]],Rankings!A:AI,33,FALSE)</f>
        <v>0</v>
      </c>
      <c r="AS85" s="58" t="str">
        <f>IFERROR(INDEX(TableTECalcPts[TM],MATCH(TableTERanks334337[[#This Row],[Player]],TableTECalcPts[PLAYER],0)),"")</f>
        <v/>
      </c>
      <c r="AT85" s="58" t="str">
        <f>IFERROR(INDEX(TableTECalcPts[BYE],MATCH(TableTERanks334337[[#This Row],[Player]],TableTECalcPts[PLAYER],0)),"")</f>
        <v/>
      </c>
      <c r="AU85" s="100">
        <f>VLOOKUP(TableTERanks334337[[#This Row],[Player]],TE!B:O,4,FALSE)</f>
        <v>0</v>
      </c>
      <c r="AV85" s="100">
        <f>VLOOKUP(TableTERanks334337[[#This Row],[Player]],TE!B:O,5,FALSE)</f>
        <v>0</v>
      </c>
      <c r="AW85" s="100">
        <f>VLOOKUP(TableTERanks334337[[#This Row],[Player]],TE!B:O,6,FALSE)</f>
        <v>0</v>
      </c>
      <c r="AX85" s="100">
        <f>VLOOKUP(TableTERanks334337[[#This Row],[Player]],TE!B:O,7,FALSE)</f>
        <v>0</v>
      </c>
      <c r="AY85" s="95">
        <f>VLOOKUP(TableTERanks334337[[#This Row],[Player]],TE!B:O,11,FALSE)</f>
        <v>0</v>
      </c>
      <c r="AZ85" s="190">
        <f>TableTERanks334337[[#This Row],[FPS]]+(TableTERanks334337[[#This Row],[REC]]*0.5)</f>
        <v>0</v>
      </c>
    </row>
    <row r="86" spans="16:52" x14ac:dyDescent="0.25">
      <c r="P86" s="58">
        <v>85</v>
      </c>
      <c r="Q86" s="58" t="str">
        <f>VLOOKUP(TableRBRanks314135[[#This Row],[RK]],Rankings!A:AI,23,FALSE)</f>
        <v>Jordan James</v>
      </c>
      <c r="R86" s="58" t="str">
        <f>IFERROR(INDEX(TableRBCalcPts[TM],MATCH(TableRBRanks314135[[#This Row],[Player]],TableRBCalcPts[PLAYER],0)),"")</f>
        <v>SF</v>
      </c>
      <c r="S86" s="58">
        <f>IFERROR(INDEX(TableRBCalcPts[BYE],MATCH(TableRBRanks314135[[#This Row],[Player]],TableRBCalcPts[PLAYER],0)),"")</f>
        <v>8</v>
      </c>
      <c r="T86" s="100">
        <f>VLOOKUP(TableRBRanks314135[[#This Row],[Player]],RB!B:O,4,FALSE)</f>
        <v>36.713183360000002</v>
      </c>
      <c r="U86" s="100">
        <f>VLOOKUP(TableRBRanks314135[[#This Row],[Player]],RB!B:O,5,FALSE)</f>
        <v>148.3212607744</v>
      </c>
      <c r="V86" s="100">
        <f>VLOOKUP(TableRBRanks314135[[#This Row],[Player]],RB!B:O,6,FALSE)</f>
        <v>1.0408231880525365</v>
      </c>
      <c r="W86" s="100">
        <f>VLOOKUP(TableRBRanks314135[[#This Row],[Player]],RB!B:O,7,FALSE)</f>
        <v>13.420904000000002</v>
      </c>
      <c r="X86" s="100">
        <f>VLOOKUP(TableRBRanks314135[[#This Row],[Player]],RB!B:O,8,FALSE)</f>
        <v>10.683039584000003</v>
      </c>
      <c r="Y86" s="100">
        <f>VLOOKUP(TableRBRanks314135[[#This Row],[Player]],RB!B:O,9,FALSE)</f>
        <v>76.917885004800027</v>
      </c>
      <c r="Z86" s="100">
        <f>VLOOKUP(TableRBRanks314135[[#This Row],[Player]],RB!B:O,10,FALSE)</f>
        <v>0.3375294912927938</v>
      </c>
      <c r="AA86" s="95">
        <f>VLOOKUP(TableRBRanks314135[[#This Row],[Player]],RB!B:O,14,FALSE)</f>
        <v>36.135550445991981</v>
      </c>
      <c r="AB86" s="190">
        <f>TableRBRanks314135[[#This Row],[FPS]]+(TableRBRanks314135[[#This Row],[REC]]*0.5)</f>
        <v>41.477070237991981</v>
      </c>
      <c r="AD86" s="58">
        <v>85</v>
      </c>
      <c r="AE86" s="58" t="str">
        <f>VLOOKUP(TableWRRanks324236[[#This Row],[RK]],Rankings!A:AI,28,FALSE)</f>
        <v>Malachi Fields</v>
      </c>
      <c r="AF86" s="58" t="str">
        <f>IFERROR(INDEX(TableWRCalcPts[TM],MATCH(TableWRRanks324236[[#This Row],[Player]],TableWRCalcPts[PLAYER],0)),"")</f>
        <v>NYG</v>
      </c>
      <c r="AG86" s="58">
        <f>IFERROR(INDEX(TableWRCalcPts[BYE],MATCH(TableWRRanks324236[[#This Row],[Player]],TableWRCalcPts[PLAYER],0)),"")</f>
        <v>8</v>
      </c>
      <c r="AH86" s="100">
        <f>VLOOKUP(TableWRRanks324236[[#This Row],[Player]],WR!B:O,4,FALSE)</f>
        <v>0</v>
      </c>
      <c r="AI86" s="100">
        <f>VLOOKUP(TableWRRanks324236[[#This Row],[Player]],WR!B:O,5,FALSE)</f>
        <v>0</v>
      </c>
      <c r="AJ86" s="100">
        <f>VLOOKUP(TableWRRanks324236[[#This Row],[Player]],WR!B:O,6,FALSE)</f>
        <v>43.014437339999994</v>
      </c>
      <c r="AK86" s="100">
        <f>VLOOKUP(TableWRRanks324236[[#This Row],[Player]],WR!B:O,7,FALSE)</f>
        <v>26.496893401439994</v>
      </c>
      <c r="AL86" s="100">
        <f>VLOOKUP(TableWRRanks324236[[#This Row],[Player]],WR!B:O,8,FALSE)</f>
        <v>338.10035980237433</v>
      </c>
      <c r="AM86" s="100">
        <f>VLOOKUP(TableWRRanks324236[[#This Row],[Player]],WR!B:O,9,FALSE)</f>
        <v>2.1727452589180798</v>
      </c>
      <c r="AN86" s="95">
        <f>VLOOKUP(TableWRRanks324236[[#This Row],[Player]],WR!B:O,13,FALSE)</f>
        <v>60.094954234465909</v>
      </c>
      <c r="AO86" s="190">
        <f>TableWRRanks324236[[#This Row],[FPS]]+(TableWRRanks324236[[#This Row],[REC]]*0.5)</f>
        <v>73.343400935185912</v>
      </c>
      <c r="AQ86" s="58">
        <v>85</v>
      </c>
      <c r="AR86" s="58">
        <f>VLOOKUP(TableTERanks334337[[#This Row],[RK]],Rankings!A:AI,33,FALSE)</f>
        <v>0</v>
      </c>
      <c r="AS86" s="58" t="str">
        <f>IFERROR(INDEX(TableTECalcPts[TM],MATCH(TableTERanks334337[[#This Row],[Player]],TableTECalcPts[PLAYER],0)),"")</f>
        <v/>
      </c>
      <c r="AT86" s="58" t="str">
        <f>IFERROR(INDEX(TableTECalcPts[BYE],MATCH(TableTERanks334337[[#This Row],[Player]],TableTECalcPts[PLAYER],0)),"")</f>
        <v/>
      </c>
      <c r="AU86" s="100">
        <f>VLOOKUP(TableTERanks334337[[#This Row],[Player]],TE!B:O,4,FALSE)</f>
        <v>0</v>
      </c>
      <c r="AV86" s="100">
        <f>VLOOKUP(TableTERanks334337[[#This Row],[Player]],TE!B:O,5,FALSE)</f>
        <v>0</v>
      </c>
      <c r="AW86" s="100">
        <f>VLOOKUP(TableTERanks334337[[#This Row],[Player]],TE!B:O,6,FALSE)</f>
        <v>0</v>
      </c>
      <c r="AX86" s="100">
        <f>VLOOKUP(TableTERanks334337[[#This Row],[Player]],TE!B:O,7,FALSE)</f>
        <v>0</v>
      </c>
      <c r="AY86" s="95">
        <f>VLOOKUP(TableTERanks334337[[#This Row],[Player]],TE!B:O,11,FALSE)</f>
        <v>0</v>
      </c>
      <c r="AZ86" s="190">
        <f>TableTERanks334337[[#This Row],[FPS]]+(TableTERanks334337[[#This Row],[REC]]*0.5)</f>
        <v>0</v>
      </c>
    </row>
    <row r="87" spans="16:52" x14ac:dyDescent="0.25">
      <c r="P87" s="58">
        <v>86</v>
      </c>
      <c r="Q87" s="58" t="str">
        <f>VLOOKUP(TableRBRanks314135[[#This Row],[RK]],Rankings!A:AI,23,FALSE)</f>
        <v>Najee Harris</v>
      </c>
      <c r="R87" s="58" t="str">
        <f>IFERROR(INDEX(TableRBCalcPts[TM],MATCH(TableRBRanks314135[[#This Row],[Player]],TableRBCalcPts[PLAYER],0)),"")</f>
        <v/>
      </c>
      <c r="S87" s="58" t="str">
        <f>IFERROR(INDEX(TableRBCalcPts[BYE],MATCH(TableRBRanks314135[[#This Row],[Player]],TableRBCalcPts[PLAYER],0)),"")</f>
        <v/>
      </c>
      <c r="T87" s="100" t="e">
        <f>VLOOKUP(TableRBRanks314135[[#This Row],[Player]],RB!B:O,4,FALSE)</f>
        <v>#N/A</v>
      </c>
      <c r="U87" s="100" t="e">
        <f>VLOOKUP(TableRBRanks314135[[#This Row],[Player]],RB!B:O,5,FALSE)</f>
        <v>#N/A</v>
      </c>
      <c r="V87" s="100" t="e">
        <f>VLOOKUP(TableRBRanks314135[[#This Row],[Player]],RB!B:O,6,FALSE)</f>
        <v>#N/A</v>
      </c>
      <c r="W87" s="100" t="e">
        <f>VLOOKUP(TableRBRanks314135[[#This Row],[Player]],RB!B:O,7,FALSE)</f>
        <v>#N/A</v>
      </c>
      <c r="X87" s="100" t="e">
        <f>VLOOKUP(TableRBRanks314135[[#This Row],[Player]],RB!B:O,8,FALSE)</f>
        <v>#N/A</v>
      </c>
      <c r="Y87" s="100" t="e">
        <f>VLOOKUP(TableRBRanks314135[[#This Row],[Player]],RB!B:O,9,FALSE)</f>
        <v>#N/A</v>
      </c>
      <c r="Z87" s="100" t="e">
        <f>VLOOKUP(TableRBRanks314135[[#This Row],[Player]],RB!B:O,10,FALSE)</f>
        <v>#N/A</v>
      </c>
      <c r="AA87" s="95" t="e">
        <f>VLOOKUP(TableRBRanks314135[[#This Row],[Player]],RB!B:O,14,FALSE)</f>
        <v>#N/A</v>
      </c>
      <c r="AB87" s="190" t="e">
        <f>TableRBRanks314135[[#This Row],[FPS]]+(TableRBRanks314135[[#This Row],[REC]]*0.5)</f>
        <v>#N/A</v>
      </c>
      <c r="AD87" s="58">
        <v>86</v>
      </c>
      <c r="AE87" s="58" t="str">
        <f>VLOOKUP(TableWRRanks324236[[#This Row],[RK]],Rankings!A:AI,28,FALSE)</f>
        <v>Keon Coleman</v>
      </c>
      <c r="AF87" s="58" t="str">
        <f>IFERROR(INDEX(TableWRCalcPts[TM],MATCH(TableWRRanks324236[[#This Row],[Player]],TableWRCalcPts[PLAYER],0)),"")</f>
        <v>BUF</v>
      </c>
      <c r="AG87" s="58">
        <f>IFERROR(INDEX(TableWRCalcPts[BYE],MATCH(TableWRRanks324236[[#This Row],[Player]],TableWRCalcPts[PLAYER],0)),"")</f>
        <v>7</v>
      </c>
      <c r="AH87" s="100">
        <f>VLOOKUP(TableWRRanks324236[[#This Row],[Player]],WR!B:O,4,FALSE)</f>
        <v>0</v>
      </c>
      <c r="AI87" s="100">
        <f>VLOOKUP(TableWRRanks324236[[#This Row],[Player]],WR!B:O,5,FALSE)</f>
        <v>0</v>
      </c>
      <c r="AJ87" s="100">
        <f>VLOOKUP(TableWRRanks324236[[#This Row],[Player]],WR!B:O,6,FALSE)</f>
        <v>36.774460799999986</v>
      </c>
      <c r="AK87" s="100">
        <f>VLOOKUP(TableWRRanks324236[[#This Row],[Player]],WR!B:O,7,FALSE)</f>
        <v>19.637562067199994</v>
      </c>
      <c r="AL87" s="100">
        <f>VLOOKUP(TableWRRanks324236[[#This Row],[Player]],WR!B:O,8,FALSE)</f>
        <v>281.01351318163194</v>
      </c>
      <c r="AM87" s="100">
        <f>VLOOKUP(TableWRRanks324236[[#This Row],[Player]],WR!B:O,9,FALSE)</f>
        <v>1.9833937687871994</v>
      </c>
      <c r="AN87" s="95">
        <f>VLOOKUP(TableWRRanks324236[[#This Row],[Player]],WR!B:O,13,FALSE)</f>
        <v>49.820494964486386</v>
      </c>
      <c r="AO87" s="190">
        <f>TableWRRanks324236[[#This Row],[FPS]]+(TableWRRanks324236[[#This Row],[REC]]*0.5)</f>
        <v>59.639275998086383</v>
      </c>
      <c r="AQ87" s="58">
        <v>86</v>
      </c>
      <c r="AR87" s="58">
        <f>VLOOKUP(TableTERanks334337[[#This Row],[RK]],Rankings!A:AI,33,FALSE)</f>
        <v>0</v>
      </c>
      <c r="AS87" s="58" t="str">
        <f>IFERROR(INDEX(TableTECalcPts[TM],MATCH(TableTERanks334337[[#This Row],[Player]],TableTECalcPts[PLAYER],0)),"")</f>
        <v/>
      </c>
      <c r="AT87" s="58" t="str">
        <f>IFERROR(INDEX(TableTECalcPts[BYE],MATCH(TableTERanks334337[[#This Row],[Player]],TableTECalcPts[PLAYER],0)),"")</f>
        <v/>
      </c>
      <c r="AU87" s="100">
        <f>VLOOKUP(TableTERanks334337[[#This Row],[Player]],TE!B:O,4,FALSE)</f>
        <v>0</v>
      </c>
      <c r="AV87" s="100">
        <f>VLOOKUP(TableTERanks334337[[#This Row],[Player]],TE!B:O,5,FALSE)</f>
        <v>0</v>
      </c>
      <c r="AW87" s="100">
        <f>VLOOKUP(TableTERanks334337[[#This Row],[Player]],TE!B:O,6,FALSE)</f>
        <v>0</v>
      </c>
      <c r="AX87" s="100">
        <f>VLOOKUP(TableTERanks334337[[#This Row],[Player]],TE!B:O,7,FALSE)</f>
        <v>0</v>
      </c>
      <c r="AY87" s="95">
        <f>VLOOKUP(TableTERanks334337[[#This Row],[Player]],TE!B:O,11,FALSE)</f>
        <v>0</v>
      </c>
      <c r="AZ87" s="190">
        <f>TableTERanks334337[[#This Row],[FPS]]+(TableTERanks334337[[#This Row],[REC]]*0.5)</f>
        <v>0</v>
      </c>
    </row>
    <row r="88" spans="16:52" x14ac:dyDescent="0.25">
      <c r="P88" s="58">
        <v>87</v>
      </c>
      <c r="Q88" s="58" t="str">
        <f>VLOOKUP(TableRBRanks314135[[#This Row],[RK]],Rankings!A:AI,23,FALSE)</f>
        <v>Jaleel McLaughlin</v>
      </c>
      <c r="R88" s="58" t="str">
        <f>IFERROR(INDEX(TableRBCalcPts[TM],MATCH(TableRBRanks314135[[#This Row],[Player]],TableRBCalcPts[PLAYER],0)),"")</f>
        <v>DEN</v>
      </c>
      <c r="S88" s="58">
        <f>IFERROR(INDEX(TableRBCalcPts[BYE],MATCH(TableRBRanks314135[[#This Row],[Player]],TableRBCalcPts[PLAYER],0)),"")</f>
        <v>10</v>
      </c>
      <c r="T88" s="100">
        <f>VLOOKUP(TableRBRanks314135[[#This Row],[Player]],RB!B:O,4,FALSE)</f>
        <v>4.4656835999999993</v>
      </c>
      <c r="U88" s="100">
        <f>VLOOKUP(TableRBRanks314135[[#This Row],[Player]],RB!B:O,5,FALSE)</f>
        <v>21.926506475999997</v>
      </c>
      <c r="V88" s="100">
        <f>VLOOKUP(TableRBRanks314135[[#This Row],[Player]],RB!B:O,6,FALSE)</f>
        <v>0.12503914079999998</v>
      </c>
      <c r="W88" s="100">
        <f>VLOOKUP(TableRBRanks314135[[#This Row],[Player]],RB!B:O,7,FALSE)</f>
        <v>5.7067164000000004</v>
      </c>
      <c r="X88" s="100">
        <f>VLOOKUP(TableRBRanks314135[[#This Row],[Player]],RB!B:O,8,FALSE)</f>
        <v>4.1430761064000006</v>
      </c>
      <c r="Y88" s="100">
        <f>VLOOKUP(TableRBRanks314135[[#This Row],[Player]],RB!B:O,9,FALSE)</f>
        <v>30.688224578722757</v>
      </c>
      <c r="Z88" s="100">
        <f>VLOOKUP(TableRBRanks314135[[#This Row],[Player]],RB!B:O,10,FALSE)</f>
        <v>0.1424148438568355</v>
      </c>
      <c r="AA88" s="95">
        <f>VLOOKUP(TableRBRanks314135[[#This Row],[Player]],RB!B:O,14,FALSE)</f>
        <v>8.9377350666132891</v>
      </c>
      <c r="AB88" s="190">
        <f>TableRBRanks314135[[#This Row],[FPS]]+(TableRBRanks314135[[#This Row],[REC]]*0.5)</f>
        <v>11.00927311981329</v>
      </c>
      <c r="AD88" s="58">
        <v>87</v>
      </c>
      <c r="AE88" s="58" t="str">
        <f>VLOOKUP(TableWRRanks324236[[#This Row],[RK]],Rankings!A:AI,28,FALSE)</f>
        <v>Tre' Harris</v>
      </c>
      <c r="AF88" s="58" t="str">
        <f>IFERROR(INDEX(TableWRCalcPts[TM],MATCH(TableWRRanks324236[[#This Row],[Player]],TableWRCalcPts[PLAYER],0)),"")</f>
        <v>LAC</v>
      </c>
      <c r="AG88" s="58">
        <f>IFERROR(INDEX(TableWRCalcPts[BYE],MATCH(TableWRRanks324236[[#This Row],[Player]],TableWRCalcPts[PLAYER],0)),"")</f>
        <v>7</v>
      </c>
      <c r="AH88" s="100">
        <f>VLOOKUP(TableWRRanks324236[[#This Row],[Player]],WR!B:O,4,FALSE)</f>
        <v>0</v>
      </c>
      <c r="AI88" s="100">
        <f>VLOOKUP(TableWRRanks324236[[#This Row],[Player]],WR!B:O,5,FALSE)</f>
        <v>0</v>
      </c>
      <c r="AJ88" s="100">
        <f>VLOOKUP(TableWRRanks324236[[#This Row],[Player]],WR!B:O,6,FALSE)</f>
        <v>44.130366279999997</v>
      </c>
      <c r="AK88" s="100">
        <f>VLOOKUP(TableWRRanks324236[[#This Row],[Player]],WR!B:O,7,FALSE)</f>
        <v>26.64474945207547</v>
      </c>
      <c r="AL88" s="100">
        <f>VLOOKUP(TableWRRanks324236[[#This Row],[Player]],WR!B:O,8,FALSE)</f>
        <v>319.2915265200038</v>
      </c>
      <c r="AM88" s="100">
        <f>VLOOKUP(TableWRRanks324236[[#This Row],[Player]],WR!B:O,9,FALSE)</f>
        <v>1.5720402176724526</v>
      </c>
      <c r="AN88" s="95">
        <f>VLOOKUP(TableWRRanks324236[[#This Row],[Player]],WR!B:O,13,FALSE)</f>
        <v>54.683768684072831</v>
      </c>
      <c r="AO88" s="190">
        <f>TableWRRanks324236[[#This Row],[FPS]]+(TableWRRanks324236[[#This Row],[REC]]*0.5)</f>
        <v>68.006143410110568</v>
      </c>
      <c r="AQ88" s="58">
        <v>87</v>
      </c>
      <c r="AR88" s="58">
        <f>VLOOKUP(TableTERanks334337[[#This Row],[RK]],Rankings!A:AI,33,FALSE)</f>
        <v>0</v>
      </c>
      <c r="AS88" s="58" t="str">
        <f>IFERROR(INDEX(TableTECalcPts[TM],MATCH(TableTERanks334337[[#This Row],[Player]],TableTECalcPts[PLAYER],0)),"")</f>
        <v/>
      </c>
      <c r="AT88" s="58" t="str">
        <f>IFERROR(INDEX(TableTECalcPts[BYE],MATCH(TableTERanks334337[[#This Row],[Player]],TableTECalcPts[PLAYER],0)),"")</f>
        <v/>
      </c>
      <c r="AU88" s="100">
        <f>VLOOKUP(TableTERanks334337[[#This Row],[Player]],TE!B:O,4,FALSE)</f>
        <v>0</v>
      </c>
      <c r="AV88" s="100">
        <f>VLOOKUP(TableTERanks334337[[#This Row],[Player]],TE!B:O,5,FALSE)</f>
        <v>0</v>
      </c>
      <c r="AW88" s="100">
        <f>VLOOKUP(TableTERanks334337[[#This Row],[Player]],TE!B:O,6,FALSE)</f>
        <v>0</v>
      </c>
      <c r="AX88" s="100">
        <f>VLOOKUP(TableTERanks334337[[#This Row],[Player]],TE!B:O,7,FALSE)</f>
        <v>0</v>
      </c>
      <c r="AY88" s="95">
        <f>VLOOKUP(TableTERanks334337[[#This Row],[Player]],TE!B:O,11,FALSE)</f>
        <v>0</v>
      </c>
      <c r="AZ88" s="190">
        <f>TableTERanks334337[[#This Row],[FPS]]+(TableTERanks334337[[#This Row],[REC]]*0.5)</f>
        <v>0</v>
      </c>
    </row>
    <row r="89" spans="16:52" x14ac:dyDescent="0.25">
      <c r="P89" s="58">
        <v>88</v>
      </c>
      <c r="Q89" s="58" t="str">
        <f>VLOOKUP(TableRBRanks314135[[#This Row],[RK]],Rankings!A:AI,23,FALSE)</f>
        <v>Devin Neal</v>
      </c>
      <c r="R89" s="58" t="str">
        <f>IFERROR(INDEX(TableRBCalcPts[TM],MATCH(TableRBRanks314135[[#This Row],[Player]],TableRBCalcPts[PLAYER],0)),"")</f>
        <v>NO</v>
      </c>
      <c r="S89" s="58">
        <f>IFERROR(INDEX(TableRBCalcPts[BYE],MATCH(TableRBRanks314135[[#This Row],[Player]],TableRBCalcPts[PLAYER],0)),"")</f>
        <v>8</v>
      </c>
      <c r="T89" s="100">
        <f>VLOOKUP(TableRBRanks314135[[#This Row],[Player]],RB!B:O,4,FALSE)</f>
        <v>9.914777599999999</v>
      </c>
      <c r="U89" s="100">
        <f>VLOOKUP(TableRBRanks314135[[#This Row],[Player]],RB!B:O,5,FALSE)</f>
        <v>37.676154879999991</v>
      </c>
      <c r="V89" s="100">
        <f>VLOOKUP(TableRBRanks314135[[#This Row],[Player]],RB!B:O,6,FALSE)</f>
        <v>0.24786944</v>
      </c>
      <c r="W89" s="100">
        <f>VLOOKUP(TableRBRanks314135[[#This Row],[Player]],RB!B:O,7,FALSE)</f>
        <v>2.5389056000000001</v>
      </c>
      <c r="X89" s="100">
        <f>VLOOKUP(TableRBRanks314135[[#This Row],[Player]],RB!B:O,8,FALSE)</f>
        <v>1.7848506367999999</v>
      </c>
      <c r="Y89" s="100">
        <f>VLOOKUP(TableRBRanks314135[[#This Row],[Player]],RB!B:O,9,FALSE)</f>
        <v>12.690288027648</v>
      </c>
      <c r="Z89" s="100">
        <f>VLOOKUP(TableRBRanks314135[[#This Row],[Player]],RB!B:O,10,FALSE)</f>
        <v>4.462126592E-2</v>
      </c>
      <c r="AA89" s="95">
        <f>VLOOKUP(TableRBRanks314135[[#This Row],[Player]],RB!B:O,14,FALSE)</f>
        <v>7.6840138446847996</v>
      </c>
      <c r="AB89" s="190">
        <f>TableRBRanks314135[[#This Row],[FPS]]+(TableRBRanks314135[[#This Row],[REC]]*0.5)</f>
        <v>8.5764391630847996</v>
      </c>
      <c r="AD89" s="58">
        <v>88</v>
      </c>
      <c r="AE89" s="58" t="str">
        <f>VLOOKUP(TableWRRanks324236[[#This Row],[RK]],Rankings!A:AI,28,FALSE)</f>
        <v>Dontayvion Wicks</v>
      </c>
      <c r="AF89" s="58" t="str">
        <f>IFERROR(INDEX(TableWRCalcPts[TM],MATCH(TableWRRanks324236[[#This Row],[Player]],TableWRCalcPts[PLAYER],0)),"")</f>
        <v>PHI</v>
      </c>
      <c r="AG89" s="58">
        <f>IFERROR(INDEX(TableWRCalcPts[BYE],MATCH(TableWRRanks324236[[#This Row],[Player]],TableWRCalcPts[PLAYER],0)),"")</f>
        <v>10</v>
      </c>
      <c r="AH89" s="100">
        <f>VLOOKUP(TableWRRanks324236[[#This Row],[Player]],WR!B:O,4,FALSE)</f>
        <v>0</v>
      </c>
      <c r="AI89" s="100">
        <f>VLOOKUP(TableWRRanks324236[[#This Row],[Player]],WR!B:O,5,FALSE)</f>
        <v>0</v>
      </c>
      <c r="AJ89" s="100">
        <f>VLOOKUP(TableWRRanks324236[[#This Row],[Player]],WR!B:O,6,FALSE)</f>
        <v>41.306976479999996</v>
      </c>
      <c r="AK89" s="100">
        <f>VLOOKUP(TableWRRanks324236[[#This Row],[Player]],WR!B:O,7,FALSE)</f>
        <v>23.710204499519996</v>
      </c>
      <c r="AL89" s="100">
        <f>VLOOKUP(TableWRRanks324236[[#This Row],[Player]],WR!B:O,8,FALSE)</f>
        <v>288.31608671416313</v>
      </c>
      <c r="AM89" s="100">
        <f>VLOOKUP(TableWRRanks324236[[#This Row],[Player]],WR!B:O,9,FALSE)</f>
        <v>1.8968163599615997</v>
      </c>
      <c r="AN89" s="95">
        <f>VLOOKUP(TableWRRanks324236[[#This Row],[Player]],WR!B:O,13,FALSE)</f>
        <v>52.067609080945914</v>
      </c>
      <c r="AO89" s="190">
        <f>TableWRRanks324236[[#This Row],[FPS]]+(TableWRRanks324236[[#This Row],[REC]]*0.5)</f>
        <v>63.922711330705908</v>
      </c>
      <c r="AQ89" s="58">
        <v>88</v>
      </c>
      <c r="AR89" s="58">
        <f>VLOOKUP(TableTERanks334337[[#This Row],[RK]],Rankings!A:AI,33,FALSE)</f>
        <v>0</v>
      </c>
      <c r="AS89" s="58" t="str">
        <f>IFERROR(INDEX(TableTECalcPts[TM],MATCH(TableTERanks334337[[#This Row],[Player]],TableTECalcPts[PLAYER],0)),"")</f>
        <v/>
      </c>
      <c r="AT89" s="58" t="str">
        <f>IFERROR(INDEX(TableTECalcPts[BYE],MATCH(TableTERanks334337[[#This Row],[Player]],TableTECalcPts[PLAYER],0)),"")</f>
        <v/>
      </c>
      <c r="AU89" s="100">
        <f>VLOOKUP(TableTERanks334337[[#This Row],[Player]],TE!B:O,4,FALSE)</f>
        <v>0</v>
      </c>
      <c r="AV89" s="100">
        <f>VLOOKUP(TableTERanks334337[[#This Row],[Player]],TE!B:O,5,FALSE)</f>
        <v>0</v>
      </c>
      <c r="AW89" s="100">
        <f>VLOOKUP(TableTERanks334337[[#This Row],[Player]],TE!B:O,6,FALSE)</f>
        <v>0</v>
      </c>
      <c r="AX89" s="100">
        <f>VLOOKUP(TableTERanks334337[[#This Row],[Player]],TE!B:O,7,FALSE)</f>
        <v>0</v>
      </c>
      <c r="AY89" s="95">
        <f>VLOOKUP(TableTERanks334337[[#This Row],[Player]],TE!B:O,11,FALSE)</f>
        <v>0</v>
      </c>
      <c r="AZ89" s="190">
        <f>TableTERanks334337[[#This Row],[FPS]]+(TableTERanks334337[[#This Row],[REC]]*0.5)</f>
        <v>0</v>
      </c>
    </row>
    <row r="90" spans="16:52" x14ac:dyDescent="0.25">
      <c r="P90" s="58">
        <v>89</v>
      </c>
      <c r="Q90" s="58" t="str">
        <f>VLOOKUP(TableRBRanks314135[[#This Row],[RK]],Rankings!A:AI,23,FALSE)</f>
        <v>Eli Heidenreich</v>
      </c>
      <c r="R90" s="58" t="str">
        <f>IFERROR(INDEX(TableRBCalcPts[TM],MATCH(TableRBRanks314135[[#This Row],[Player]],TableRBCalcPts[PLAYER],0)),"")</f>
        <v>PIT</v>
      </c>
      <c r="S90" s="58">
        <f>IFERROR(INDEX(TableRBCalcPts[BYE],MATCH(TableRBRanks314135[[#This Row],[Player]],TableRBCalcPts[PLAYER],0)),"")</f>
        <v>9</v>
      </c>
      <c r="T90" s="100">
        <f>VLOOKUP(TableRBRanks314135[[#This Row],[Player]],RB!B:O,4,FALSE)</f>
        <v>11.603591999999997</v>
      </c>
      <c r="U90" s="100">
        <f>VLOOKUP(TableRBRanks314135[[#This Row],[Player]],RB!B:O,5,FALSE)</f>
        <v>52.56427175999999</v>
      </c>
      <c r="V90" s="100">
        <f>VLOOKUP(TableRBRanks314135[[#This Row],[Player]],RB!B:O,6,FALSE)</f>
        <v>0.32490057599999994</v>
      </c>
      <c r="W90" s="100">
        <f>VLOOKUP(TableRBRanks314135[[#This Row],[Player]],RB!B:O,7,FALSE)</f>
        <v>8.5201200000000004</v>
      </c>
      <c r="X90" s="100">
        <f>VLOOKUP(TableRBRanks314135[[#This Row],[Player]],RB!B:O,8,FALSE)</f>
        <v>7.1143001999999997</v>
      </c>
      <c r="Y90" s="100">
        <f>VLOOKUP(TableRBRanks314135[[#This Row],[Player]],RB!B:O,9,FALSE)</f>
        <v>46.242951300000001</v>
      </c>
      <c r="Z90" s="100">
        <f>VLOOKUP(TableRBRanks314135[[#This Row],[Player]],RB!B:O,10,FALSE)</f>
        <v>0.52645821479999999</v>
      </c>
      <c r="AA90" s="95">
        <f>VLOOKUP(TableRBRanks314135[[#This Row],[Player]],RB!B:O,14,FALSE)</f>
        <v>18.546025150799998</v>
      </c>
      <c r="AB90" s="190">
        <f>TableRBRanks314135[[#This Row],[FPS]]+(TableRBRanks314135[[#This Row],[REC]]*0.5)</f>
        <v>22.1031752508</v>
      </c>
      <c r="AD90" s="58">
        <v>89</v>
      </c>
      <c r="AE90" s="58" t="str">
        <f>VLOOKUP(TableWRRanks324236[[#This Row],[RK]],Rankings!A:AI,28,FALSE)</f>
        <v>Jalen Tolbert</v>
      </c>
      <c r="AF90" s="58" t="str">
        <f>IFERROR(INDEX(TableWRCalcPts[TM],MATCH(TableWRRanks324236[[#This Row],[Player]],TableWRCalcPts[PLAYER],0)),"")</f>
        <v>MIA</v>
      </c>
      <c r="AG90" s="58">
        <f>IFERROR(INDEX(TableWRCalcPts[BYE],MATCH(TableWRRanks324236[[#This Row],[Player]],TableWRCalcPts[PLAYER],0)),"")</f>
        <v>6</v>
      </c>
      <c r="AH90" s="100">
        <f>VLOOKUP(TableWRRanks324236[[#This Row],[Player]],WR!B:O,4,FALSE)</f>
        <v>0</v>
      </c>
      <c r="AI90" s="100">
        <f>VLOOKUP(TableWRRanks324236[[#This Row],[Player]],WR!B:O,5,FALSE)</f>
        <v>0</v>
      </c>
      <c r="AJ90" s="100">
        <f>VLOOKUP(TableWRRanks324236[[#This Row],[Player]],WR!B:O,6,FALSE)</f>
        <v>70.912376639999991</v>
      </c>
      <c r="AK90" s="100">
        <f>VLOOKUP(TableWRRanks324236[[#This Row],[Player]],WR!B:O,7,FALSE)</f>
        <v>48.787715128319988</v>
      </c>
      <c r="AL90" s="100">
        <f>VLOOKUP(TableWRRanks324236[[#This Row],[Player]],WR!B:O,8,FALSE)</f>
        <v>566.91324979107821</v>
      </c>
      <c r="AM90" s="100">
        <f>VLOOKUP(TableWRRanks324236[[#This Row],[Player]],WR!B:O,9,FALSE)</f>
        <v>3.1224137682124793</v>
      </c>
      <c r="AN90" s="95">
        <f>VLOOKUP(TableWRRanks324236[[#This Row],[Player]],WR!B:O,13,FALSE)</f>
        <v>99.819665152542697</v>
      </c>
      <c r="AO90" s="190">
        <f>TableWRRanks324236[[#This Row],[FPS]]+(TableWRRanks324236[[#This Row],[REC]]*0.5)</f>
        <v>124.2135227167027</v>
      </c>
      <c r="AQ90" s="58">
        <v>89</v>
      </c>
      <c r="AR90" s="58">
        <f>VLOOKUP(TableTERanks334337[[#This Row],[RK]],Rankings!A:AI,33,FALSE)</f>
        <v>0</v>
      </c>
      <c r="AS90" s="58" t="str">
        <f>IFERROR(INDEX(TableTECalcPts[TM],MATCH(TableTERanks334337[[#This Row],[Player]],TableTECalcPts[PLAYER],0)),"")</f>
        <v/>
      </c>
      <c r="AT90" s="58" t="str">
        <f>IFERROR(INDEX(TableTECalcPts[BYE],MATCH(TableTERanks334337[[#This Row],[Player]],TableTECalcPts[PLAYER],0)),"")</f>
        <v/>
      </c>
      <c r="AU90" s="100">
        <f>VLOOKUP(TableTERanks334337[[#This Row],[Player]],TE!B:O,4,FALSE)</f>
        <v>0</v>
      </c>
      <c r="AV90" s="100">
        <f>VLOOKUP(TableTERanks334337[[#This Row],[Player]],TE!B:O,5,FALSE)</f>
        <v>0</v>
      </c>
      <c r="AW90" s="100">
        <f>VLOOKUP(TableTERanks334337[[#This Row],[Player]],TE!B:O,6,FALSE)</f>
        <v>0</v>
      </c>
      <c r="AX90" s="100">
        <f>VLOOKUP(TableTERanks334337[[#This Row],[Player]],TE!B:O,7,FALSE)</f>
        <v>0</v>
      </c>
      <c r="AY90" s="95">
        <f>VLOOKUP(TableTERanks334337[[#This Row],[Player]],TE!B:O,11,FALSE)</f>
        <v>0</v>
      </c>
      <c r="AZ90" s="190">
        <f>TableTERanks334337[[#This Row],[FPS]]+(TableTERanks334337[[#This Row],[REC]]*0.5)</f>
        <v>0</v>
      </c>
    </row>
    <row r="91" spans="16:52" x14ac:dyDescent="0.25">
      <c r="P91" s="58">
        <v>90</v>
      </c>
      <c r="Q91" s="58" t="str">
        <f>VLOOKUP(TableRBRanks314135[[#This Row],[RK]],Rankings!A:AI,23,FALSE)</f>
        <v>Tahj Brooks</v>
      </c>
      <c r="R91" s="58" t="str">
        <f>IFERROR(INDEX(TableRBCalcPts[TM],MATCH(TableRBRanks314135[[#This Row],[Player]],TableRBCalcPts[PLAYER],0)),"")</f>
        <v>CIN</v>
      </c>
      <c r="S91" s="58">
        <f>IFERROR(INDEX(TableRBCalcPts[BYE],MATCH(TableRBRanks314135[[#This Row],[Player]],TableRBCalcPts[PLAYER],0)),"")</f>
        <v>6</v>
      </c>
      <c r="T91" s="100">
        <f>VLOOKUP(TableRBRanks314135[[#This Row],[Player]],RB!B:O,4,FALSE)</f>
        <v>19.361002499999998</v>
      </c>
      <c r="U91" s="100">
        <f>VLOOKUP(TableRBRanks314135[[#This Row],[Player]],RB!B:O,5,FALSE)</f>
        <v>78.799280174999993</v>
      </c>
      <c r="V91" s="100">
        <f>VLOOKUP(TableRBRanks314135[[#This Row],[Player]],RB!B:O,6,FALSE)</f>
        <v>0.50338606499999994</v>
      </c>
      <c r="W91" s="100">
        <f>VLOOKUP(TableRBRanks314135[[#This Row],[Player]],RB!B:O,7,FALSE)</f>
        <v>3.1635624999999998</v>
      </c>
      <c r="X91" s="100">
        <f>VLOOKUP(TableRBRanks314135[[#This Row],[Player]],RB!B:O,8,FALSE)</f>
        <v>2.372671875</v>
      </c>
      <c r="Y91" s="100">
        <f>VLOOKUP(TableRBRanks314135[[#This Row],[Player]],RB!B:O,9,FALSE)</f>
        <v>13.116142206253409</v>
      </c>
      <c r="Z91" s="100">
        <f>VLOOKUP(TableRBRanks314135[[#This Row],[Player]],RB!B:O,10,FALSE)</f>
        <v>0.14066030755591924</v>
      </c>
      <c r="AA91" s="95">
        <f>VLOOKUP(TableRBRanks314135[[#This Row],[Player]],RB!B:O,14,FALSE)</f>
        <v>14.242156410960854</v>
      </c>
      <c r="AB91" s="190">
        <f>TableRBRanks314135[[#This Row],[FPS]]+(TableRBRanks314135[[#This Row],[REC]]*0.5)</f>
        <v>15.428492348460853</v>
      </c>
      <c r="AD91" s="58">
        <v>90</v>
      </c>
      <c r="AE91" s="58" t="str">
        <f>VLOOKUP(TableWRRanks324236[[#This Row],[RK]],Rankings!A:AI,28,FALSE)</f>
        <v>De'Zhaun Stribling</v>
      </c>
      <c r="AF91" s="58" t="str">
        <f>IFERROR(INDEX(TableWRCalcPts[TM],MATCH(TableWRRanks324236[[#This Row],[Player]],TableWRCalcPts[PLAYER],0)),"")</f>
        <v>SF</v>
      </c>
      <c r="AG91" s="58">
        <f>IFERROR(INDEX(TableWRCalcPts[BYE],MATCH(TableWRRanks324236[[#This Row],[Player]],TableWRCalcPts[PLAYER],0)),"")</f>
        <v>8</v>
      </c>
      <c r="AH91" s="100">
        <f>VLOOKUP(TableWRRanks324236[[#This Row],[Player]],WR!B:O,4,FALSE)</f>
        <v>20.9125728</v>
      </c>
      <c r="AI91" s="100">
        <f>VLOOKUP(TableWRRanks324236[[#This Row],[Player]],WR!B:O,5,FALSE)</f>
        <v>0.17427144</v>
      </c>
      <c r="AJ91" s="100">
        <f>VLOOKUP(TableWRRanks324236[[#This Row],[Player]],WR!B:O,6,FALSE)</f>
        <v>33.82067808</v>
      </c>
      <c r="AK91" s="100">
        <f>VLOOKUP(TableWRRanks324236[[#This Row],[Player]],WR!B:O,7,FALSE)</f>
        <v>17.958780060480002</v>
      </c>
      <c r="AL91" s="100">
        <f>VLOOKUP(TableWRRanks324236[[#This Row],[Player]],WR!B:O,8,FALSE)</f>
        <v>253.93715005518723</v>
      </c>
      <c r="AM91" s="100">
        <f>VLOOKUP(TableWRRanks324236[[#This Row],[Player]],WR!B:O,9,FALSE)</f>
        <v>1.27507338429408</v>
      </c>
      <c r="AN91" s="95">
        <f>VLOOKUP(TableWRRanks324236[[#This Row],[Player]],WR!B:O,13,FALSE)</f>
        <v>45.1604312615232</v>
      </c>
      <c r="AO91" s="190">
        <f>TableWRRanks324236[[#This Row],[FPS]]+(TableWRRanks324236[[#This Row],[REC]]*0.5)</f>
        <v>54.139821291763198</v>
      </c>
      <c r="AQ91" s="58">
        <v>90</v>
      </c>
      <c r="AR91" s="58">
        <f>VLOOKUP(TableTERanks334337[[#This Row],[RK]],Rankings!A:AI,33,FALSE)</f>
        <v>0</v>
      </c>
      <c r="AS91" s="58" t="str">
        <f>IFERROR(INDEX(TableTECalcPts[TM],MATCH(TableTERanks334337[[#This Row],[Player]],TableTECalcPts[PLAYER],0)),"")</f>
        <v/>
      </c>
      <c r="AT91" s="58" t="str">
        <f>IFERROR(INDEX(TableTECalcPts[BYE],MATCH(TableTERanks334337[[#This Row],[Player]],TableTECalcPts[PLAYER],0)),"")</f>
        <v/>
      </c>
      <c r="AU91" s="100">
        <f>VLOOKUP(TableTERanks334337[[#This Row],[Player]],TE!B:O,4,FALSE)</f>
        <v>0</v>
      </c>
      <c r="AV91" s="100">
        <f>VLOOKUP(TableTERanks334337[[#This Row],[Player]],TE!B:O,5,FALSE)</f>
        <v>0</v>
      </c>
      <c r="AW91" s="100">
        <f>VLOOKUP(TableTERanks334337[[#This Row],[Player]],TE!B:O,6,FALSE)</f>
        <v>0</v>
      </c>
      <c r="AX91" s="100">
        <f>VLOOKUP(TableTERanks334337[[#This Row],[Player]],TE!B:O,7,FALSE)</f>
        <v>0</v>
      </c>
      <c r="AY91" s="95">
        <f>VLOOKUP(TableTERanks334337[[#This Row],[Player]],TE!B:O,11,FALSE)</f>
        <v>0</v>
      </c>
      <c r="AZ91" s="190">
        <f>TableTERanks334337[[#This Row],[FPS]]+(TableTERanks334337[[#This Row],[REC]]*0.5)</f>
        <v>0</v>
      </c>
    </row>
    <row r="92" spans="16:52" x14ac:dyDescent="0.25">
      <c r="P92" s="58">
        <v>91</v>
      </c>
      <c r="Q92" s="58">
        <f>VLOOKUP(TableRBRanks314135[[#This Row],[RK]],Rankings!A:AI,23,FALSE)</f>
        <v>0</v>
      </c>
      <c r="R92" s="58" t="str">
        <f>IFERROR(INDEX(TableRBCalcPts[TM],MATCH(TableRBRanks314135[[#This Row],[Player]],TableRBCalcPts[PLAYER],0)),"")</f>
        <v/>
      </c>
      <c r="S92" s="58" t="str">
        <f>IFERROR(INDEX(TableRBCalcPts[BYE],MATCH(TableRBRanks314135[[#This Row],[Player]],TableRBCalcPts[PLAYER],0)),"")</f>
        <v/>
      </c>
      <c r="T92" s="100">
        <f>VLOOKUP(TableRBRanks314135[[#This Row],[Player]],RB!B:O,4,FALSE)</f>
        <v>0</v>
      </c>
      <c r="U92" s="100">
        <f>VLOOKUP(TableRBRanks314135[[#This Row],[Player]],RB!B:O,5,FALSE)</f>
        <v>0</v>
      </c>
      <c r="V92" s="100">
        <f>VLOOKUP(TableRBRanks314135[[#This Row],[Player]],RB!B:O,6,FALSE)</f>
        <v>0</v>
      </c>
      <c r="W92" s="100">
        <f>VLOOKUP(TableRBRanks314135[[#This Row],[Player]],RB!B:O,7,FALSE)</f>
        <v>0</v>
      </c>
      <c r="X92" s="100">
        <f>VLOOKUP(TableRBRanks314135[[#This Row],[Player]],RB!B:O,8,FALSE)</f>
        <v>0</v>
      </c>
      <c r="Y92" s="100">
        <f>VLOOKUP(TableRBRanks314135[[#This Row],[Player]],RB!B:O,9,FALSE)</f>
        <v>0</v>
      </c>
      <c r="Z92" s="100">
        <f>VLOOKUP(TableRBRanks314135[[#This Row],[Player]],RB!B:O,10,FALSE)</f>
        <v>0</v>
      </c>
      <c r="AA92" s="95">
        <f>VLOOKUP(TableRBRanks314135[[#This Row],[Player]],RB!B:O,14,FALSE)</f>
        <v>0</v>
      </c>
      <c r="AB92" s="190">
        <f>TableRBRanks314135[[#This Row],[FPS]]+(TableRBRanks314135[[#This Row],[REC]]*0.5)</f>
        <v>0</v>
      </c>
      <c r="AD92" s="58">
        <v>91</v>
      </c>
      <c r="AE92" s="58" t="str">
        <f>VLOOKUP(TableWRRanks324236[[#This Row],[RK]],Rankings!A:AI,28,FALSE)</f>
        <v>Xavier Legette</v>
      </c>
      <c r="AF92" s="58" t="str">
        <f>IFERROR(INDEX(TableWRCalcPts[TM],MATCH(TableWRRanks324236[[#This Row],[Player]],TableWRCalcPts[PLAYER],0)),"")</f>
        <v>CAR</v>
      </c>
      <c r="AG92" s="58">
        <f>IFERROR(INDEX(TableWRCalcPts[BYE],MATCH(TableWRRanks324236[[#This Row],[Player]],TableWRCalcPts[PLAYER],0)),"")</f>
        <v>5</v>
      </c>
      <c r="AH92" s="100">
        <f>VLOOKUP(TableWRRanks324236[[#This Row],[Player]],WR!B:O,4,FALSE)</f>
        <v>0</v>
      </c>
      <c r="AI92" s="100">
        <f>VLOOKUP(TableWRRanks324236[[#This Row],[Player]],WR!B:O,5,FALSE)</f>
        <v>0</v>
      </c>
      <c r="AJ92" s="100">
        <f>VLOOKUP(TableWRRanks324236[[#This Row],[Player]],WR!B:O,6,FALSE)</f>
        <v>47.923028999999993</v>
      </c>
      <c r="AK92" s="100">
        <f>VLOOKUP(TableWRRanks324236[[#This Row],[Player]],WR!B:O,7,FALSE)</f>
        <v>28.945509515999994</v>
      </c>
      <c r="AL92" s="100">
        <f>VLOOKUP(TableWRRanks324236[[#This Row],[Player]],WR!B:O,8,FALSE)</f>
        <v>298.90970693152786</v>
      </c>
      <c r="AM92" s="100">
        <f>VLOOKUP(TableWRRanks324236[[#This Row],[Player]],WR!B:O,9,FALSE)</f>
        <v>2.4314227993439999</v>
      </c>
      <c r="AN92" s="95">
        <f>VLOOKUP(TableWRRanks324236[[#This Row],[Player]],WR!B:O,13,FALSE)</f>
        <v>58.952262247216787</v>
      </c>
      <c r="AO92" s="190">
        <f>TableWRRanks324236[[#This Row],[FPS]]+(TableWRRanks324236[[#This Row],[REC]]*0.5)</f>
        <v>73.425017005216787</v>
      </c>
      <c r="AQ92" s="58">
        <v>91</v>
      </c>
      <c r="AR92" s="58">
        <f>VLOOKUP(TableTERanks334337[[#This Row],[RK]],Rankings!A:AI,33,FALSE)</f>
        <v>0</v>
      </c>
      <c r="AS92" s="58" t="str">
        <f>IFERROR(INDEX(TableTECalcPts[TM],MATCH(TableTERanks334337[[#This Row],[Player]],TableTECalcPts[PLAYER],0)),"")</f>
        <v/>
      </c>
      <c r="AT92" s="58" t="str">
        <f>IFERROR(INDEX(TableTECalcPts[BYE],MATCH(TableTERanks334337[[#This Row],[Player]],TableTECalcPts[PLAYER],0)),"")</f>
        <v/>
      </c>
      <c r="AU92" s="100">
        <f>VLOOKUP(TableTERanks334337[[#This Row],[Player]],TE!B:O,4,FALSE)</f>
        <v>0</v>
      </c>
      <c r="AV92" s="100">
        <f>VLOOKUP(TableTERanks334337[[#This Row],[Player]],TE!B:O,5,FALSE)</f>
        <v>0</v>
      </c>
      <c r="AW92" s="100">
        <f>VLOOKUP(TableTERanks334337[[#This Row],[Player]],TE!B:O,6,FALSE)</f>
        <v>0</v>
      </c>
      <c r="AX92" s="100">
        <f>VLOOKUP(TableTERanks334337[[#This Row],[Player]],TE!B:O,7,FALSE)</f>
        <v>0</v>
      </c>
      <c r="AY92" s="95">
        <f>VLOOKUP(TableTERanks334337[[#This Row],[Player]],TE!B:O,11,FALSE)</f>
        <v>0</v>
      </c>
      <c r="AZ92" s="190">
        <f>TableTERanks334337[[#This Row],[FPS]]+(TableTERanks334337[[#This Row],[REC]]*0.5)</f>
        <v>0</v>
      </c>
    </row>
    <row r="93" spans="16:52" x14ac:dyDescent="0.25">
      <c r="P93" s="58">
        <v>92</v>
      </c>
      <c r="Q93" s="58">
        <f>VLOOKUP(TableRBRanks314135[[#This Row],[RK]],Rankings!A:AI,23,FALSE)</f>
        <v>0</v>
      </c>
      <c r="R93" s="58" t="str">
        <f>IFERROR(INDEX(TableRBCalcPts[TM],MATCH(TableRBRanks314135[[#This Row],[Player]],TableRBCalcPts[PLAYER],0)),"")</f>
        <v/>
      </c>
      <c r="S93" s="58" t="str">
        <f>IFERROR(INDEX(TableRBCalcPts[BYE],MATCH(TableRBRanks314135[[#This Row],[Player]],TableRBCalcPts[PLAYER],0)),"")</f>
        <v/>
      </c>
      <c r="T93" s="100">
        <f>VLOOKUP(TableRBRanks314135[[#This Row],[Player]],RB!B:O,4,FALSE)</f>
        <v>0</v>
      </c>
      <c r="U93" s="100">
        <f>VLOOKUP(TableRBRanks314135[[#This Row],[Player]],RB!B:O,5,FALSE)</f>
        <v>0</v>
      </c>
      <c r="V93" s="100">
        <f>VLOOKUP(TableRBRanks314135[[#This Row],[Player]],RB!B:O,6,FALSE)</f>
        <v>0</v>
      </c>
      <c r="W93" s="100">
        <f>VLOOKUP(TableRBRanks314135[[#This Row],[Player]],RB!B:O,7,FALSE)</f>
        <v>0</v>
      </c>
      <c r="X93" s="100">
        <f>VLOOKUP(TableRBRanks314135[[#This Row],[Player]],RB!B:O,8,FALSE)</f>
        <v>0</v>
      </c>
      <c r="Y93" s="100">
        <f>VLOOKUP(TableRBRanks314135[[#This Row],[Player]],RB!B:O,9,FALSE)</f>
        <v>0</v>
      </c>
      <c r="Z93" s="100">
        <f>VLOOKUP(TableRBRanks314135[[#This Row],[Player]],RB!B:O,10,FALSE)</f>
        <v>0</v>
      </c>
      <c r="AA93" s="95">
        <f>VLOOKUP(TableRBRanks314135[[#This Row],[Player]],RB!B:O,14,FALSE)</f>
        <v>0</v>
      </c>
      <c r="AB93" s="190">
        <f>TableRBRanks314135[[#This Row],[FPS]]+(TableRBRanks314135[[#This Row],[REC]]*0.5)</f>
        <v>0</v>
      </c>
      <c r="AD93" s="58">
        <v>92</v>
      </c>
      <c r="AE93" s="58" t="str">
        <f>VLOOKUP(TableWRRanks324236[[#This Row],[RK]],Rankings!A:AI,28,FALSE)</f>
        <v>Savion Williams</v>
      </c>
      <c r="AF93" s="58" t="str">
        <f>IFERROR(INDEX(TableWRCalcPts[TM],MATCH(TableWRRanks324236[[#This Row],[Player]],TableWRCalcPts[PLAYER],0)),"")</f>
        <v>GB</v>
      </c>
      <c r="AG93" s="58">
        <f>IFERROR(INDEX(TableWRCalcPts[BYE],MATCH(TableWRRanks324236[[#This Row],[Player]],TableWRCalcPts[PLAYER],0)),"")</f>
        <v>11</v>
      </c>
      <c r="AH93" s="100">
        <f>VLOOKUP(TableWRRanks324236[[#This Row],[Player]],WR!B:O,4,FALSE)</f>
        <v>53.064177325634297</v>
      </c>
      <c r="AI93" s="100">
        <f>VLOOKUP(TableWRRanks324236[[#This Row],[Player]],WR!B:O,5,FALSE)</f>
        <v>0.35370845999999995</v>
      </c>
      <c r="AJ93" s="100">
        <f>VLOOKUP(TableWRRanks324236[[#This Row],[Player]],WR!B:O,6,FALSE)</f>
        <v>38.089765386934666</v>
      </c>
      <c r="AK93" s="100">
        <f>VLOOKUP(TableWRRanks324236[[#This Row],[Player]],WR!B:O,7,FALSE)</f>
        <v>23.176769482008243</v>
      </c>
      <c r="AL93" s="100">
        <f>VLOOKUP(TableWRRanks324236[[#This Row],[Player]],WR!B:O,8,FALSE)</f>
        <v>211.022985283228</v>
      </c>
      <c r="AM93" s="100">
        <f>VLOOKUP(TableWRRanks324236[[#This Row],[Player]],WR!B:O,9,FALSE)</f>
        <v>1.6899727747297675</v>
      </c>
      <c r="AN93" s="95">
        <f>VLOOKUP(TableWRRanks324236[[#This Row],[Player]],WR!B:O,13,FALSE)</f>
        <v>50.259188410268962</v>
      </c>
      <c r="AO93" s="190">
        <f>TableWRRanks324236[[#This Row],[FPS]]+(TableWRRanks324236[[#This Row],[REC]]*0.5)</f>
        <v>61.847573151273082</v>
      </c>
      <c r="AQ93" s="58">
        <v>92</v>
      </c>
      <c r="AR93" s="58">
        <f>VLOOKUP(TableTERanks334337[[#This Row],[RK]],Rankings!A:AI,33,FALSE)</f>
        <v>0</v>
      </c>
      <c r="AS93" s="58" t="str">
        <f>IFERROR(INDEX(TableTECalcPts[TM],MATCH(TableTERanks334337[[#This Row],[Player]],TableTECalcPts[PLAYER],0)),"")</f>
        <v/>
      </c>
      <c r="AT93" s="58" t="str">
        <f>IFERROR(INDEX(TableTECalcPts[BYE],MATCH(TableTERanks334337[[#This Row],[Player]],TableTECalcPts[PLAYER],0)),"")</f>
        <v/>
      </c>
      <c r="AU93" s="100">
        <f>VLOOKUP(TableTERanks334337[[#This Row],[Player]],TE!B:O,4,FALSE)</f>
        <v>0</v>
      </c>
      <c r="AV93" s="100">
        <f>VLOOKUP(TableTERanks334337[[#This Row],[Player]],TE!B:O,5,FALSE)</f>
        <v>0</v>
      </c>
      <c r="AW93" s="100">
        <f>VLOOKUP(TableTERanks334337[[#This Row],[Player]],TE!B:O,6,FALSE)</f>
        <v>0</v>
      </c>
      <c r="AX93" s="100">
        <f>VLOOKUP(TableTERanks334337[[#This Row],[Player]],TE!B:O,7,FALSE)</f>
        <v>0</v>
      </c>
      <c r="AY93" s="95">
        <f>VLOOKUP(TableTERanks334337[[#This Row],[Player]],TE!B:O,11,FALSE)</f>
        <v>0</v>
      </c>
      <c r="AZ93" s="190">
        <f>TableTERanks334337[[#This Row],[FPS]]+(TableTERanks334337[[#This Row],[REC]]*0.5)</f>
        <v>0</v>
      </c>
    </row>
    <row r="94" spans="16:52" x14ac:dyDescent="0.25">
      <c r="P94" s="58">
        <v>93</v>
      </c>
      <c r="Q94" s="58">
        <f>VLOOKUP(TableRBRanks314135[[#This Row],[RK]],Rankings!A:AI,23,FALSE)</f>
        <v>0</v>
      </c>
      <c r="R94" s="58" t="str">
        <f>IFERROR(INDEX(TableRBCalcPts[TM],MATCH(TableRBRanks314135[[#This Row],[Player]],TableRBCalcPts[PLAYER],0)),"")</f>
        <v/>
      </c>
      <c r="S94" s="58" t="str">
        <f>IFERROR(INDEX(TableRBCalcPts[BYE],MATCH(TableRBRanks314135[[#This Row],[Player]],TableRBCalcPts[PLAYER],0)),"")</f>
        <v/>
      </c>
      <c r="T94" s="100">
        <f>VLOOKUP(TableRBRanks314135[[#This Row],[Player]],RB!B:O,4,FALSE)</f>
        <v>0</v>
      </c>
      <c r="U94" s="100">
        <f>VLOOKUP(TableRBRanks314135[[#This Row],[Player]],RB!B:O,5,FALSE)</f>
        <v>0</v>
      </c>
      <c r="V94" s="100">
        <f>VLOOKUP(TableRBRanks314135[[#This Row],[Player]],RB!B:O,6,FALSE)</f>
        <v>0</v>
      </c>
      <c r="W94" s="100">
        <f>VLOOKUP(TableRBRanks314135[[#This Row],[Player]],RB!B:O,7,FALSE)</f>
        <v>0</v>
      </c>
      <c r="X94" s="100">
        <f>VLOOKUP(TableRBRanks314135[[#This Row],[Player]],RB!B:O,8,FALSE)</f>
        <v>0</v>
      </c>
      <c r="Y94" s="100">
        <f>VLOOKUP(TableRBRanks314135[[#This Row],[Player]],RB!B:O,9,FALSE)</f>
        <v>0</v>
      </c>
      <c r="Z94" s="100">
        <f>VLOOKUP(TableRBRanks314135[[#This Row],[Player]],RB!B:O,10,FALSE)</f>
        <v>0</v>
      </c>
      <c r="AA94" s="95">
        <f>VLOOKUP(TableRBRanks314135[[#This Row],[Player]],RB!B:O,14,FALSE)</f>
        <v>0</v>
      </c>
      <c r="AB94" s="190">
        <f>TableRBRanks314135[[#This Row],[FPS]]+(TableRBRanks314135[[#This Row],[REC]]*0.5)</f>
        <v>0</v>
      </c>
      <c r="AD94" s="58">
        <v>93</v>
      </c>
      <c r="AE94" s="58" t="str">
        <f>VLOOKUP(TableWRRanks324236[[#This Row],[RK]],Rankings!A:AI,28,FALSE)</f>
        <v>Konata Mumpfield</v>
      </c>
      <c r="AF94" s="58" t="str">
        <f>IFERROR(INDEX(TableWRCalcPts[TM],MATCH(TableWRRanks324236[[#This Row],[Player]],TableWRCalcPts[PLAYER],0)),"")</f>
        <v>LAR</v>
      </c>
      <c r="AG94" s="58">
        <f>IFERROR(INDEX(TableWRCalcPts[BYE],MATCH(TableWRRanks324236[[#This Row],[Player]],TableWRCalcPts[PLAYER],0)),"")</f>
        <v>11</v>
      </c>
      <c r="AH94" s="100">
        <f>VLOOKUP(TableWRRanks324236[[#This Row],[Player]],WR!B:O,4,FALSE)</f>
        <v>0</v>
      </c>
      <c r="AI94" s="100">
        <f>VLOOKUP(TableWRRanks324236[[#This Row],[Player]],WR!B:O,5,FALSE)</f>
        <v>0</v>
      </c>
      <c r="AJ94" s="100">
        <f>VLOOKUP(TableWRRanks324236[[#This Row],[Player]],WR!B:O,6,FALSE)</f>
        <v>29.403825654608088</v>
      </c>
      <c r="AK94" s="100">
        <f>VLOOKUP(TableWRRanks324236[[#This Row],[Player]],WR!B:O,7,FALSE)</f>
        <v>19.847582316860461</v>
      </c>
      <c r="AL94" s="100">
        <f>VLOOKUP(TableWRRanks324236[[#This Row],[Player]],WR!B:O,8,FALSE)</f>
        <v>214.10706797559692</v>
      </c>
      <c r="AM94" s="100">
        <f>VLOOKUP(TableWRRanks324236[[#This Row],[Player]],WR!B:O,9,FALSE)</f>
        <v>1.3893307621802324</v>
      </c>
      <c r="AN94" s="95">
        <f>VLOOKUP(TableWRRanks324236[[#This Row],[Player]],WR!B:O,13,FALSE)</f>
        <v>39.670482529071322</v>
      </c>
      <c r="AO94" s="190">
        <f>TableWRRanks324236[[#This Row],[FPS]]+(TableWRRanks324236[[#This Row],[REC]]*0.5)</f>
        <v>49.594273687501556</v>
      </c>
      <c r="AQ94" s="58">
        <v>93</v>
      </c>
      <c r="AR94" s="58">
        <f>VLOOKUP(TableTERanks334337[[#This Row],[RK]],Rankings!A:AI,33,FALSE)</f>
        <v>0</v>
      </c>
      <c r="AS94" s="58" t="str">
        <f>IFERROR(INDEX(TableTECalcPts[TM],MATCH(TableTERanks334337[[#This Row],[Player]],TableTECalcPts[PLAYER],0)),"")</f>
        <v/>
      </c>
      <c r="AT94" s="58" t="str">
        <f>IFERROR(INDEX(TableTECalcPts[BYE],MATCH(TableTERanks334337[[#This Row],[Player]],TableTECalcPts[PLAYER],0)),"")</f>
        <v/>
      </c>
      <c r="AU94" s="100">
        <f>VLOOKUP(TableTERanks334337[[#This Row],[Player]],TE!B:O,4,FALSE)</f>
        <v>0</v>
      </c>
      <c r="AV94" s="100">
        <f>VLOOKUP(TableTERanks334337[[#This Row],[Player]],TE!B:O,5,FALSE)</f>
        <v>0</v>
      </c>
      <c r="AW94" s="100">
        <f>VLOOKUP(TableTERanks334337[[#This Row],[Player]],TE!B:O,6,FALSE)</f>
        <v>0</v>
      </c>
      <c r="AX94" s="100">
        <f>VLOOKUP(TableTERanks334337[[#This Row],[Player]],TE!B:O,7,FALSE)</f>
        <v>0</v>
      </c>
      <c r="AY94" s="95">
        <f>VLOOKUP(TableTERanks334337[[#This Row],[Player]],TE!B:O,11,FALSE)</f>
        <v>0</v>
      </c>
      <c r="AZ94" s="190">
        <f>TableTERanks334337[[#This Row],[FPS]]+(TableTERanks334337[[#This Row],[REC]]*0.5)</f>
        <v>0</v>
      </c>
    </row>
    <row r="95" spans="16:52" x14ac:dyDescent="0.25">
      <c r="P95" s="58">
        <v>94</v>
      </c>
      <c r="Q95" s="58">
        <f>VLOOKUP(TableRBRanks314135[[#This Row],[RK]],Rankings!A:AI,23,FALSE)</f>
        <v>0</v>
      </c>
      <c r="R95" s="58" t="str">
        <f>IFERROR(INDEX(TableRBCalcPts[TM],MATCH(TableRBRanks314135[[#This Row],[Player]],TableRBCalcPts[PLAYER],0)),"")</f>
        <v/>
      </c>
      <c r="S95" s="58" t="str">
        <f>IFERROR(INDEX(TableRBCalcPts[BYE],MATCH(TableRBRanks314135[[#This Row],[Player]],TableRBCalcPts[PLAYER],0)),"")</f>
        <v/>
      </c>
      <c r="T95" s="100">
        <f>VLOOKUP(TableRBRanks314135[[#This Row],[Player]],RB!B:O,4,FALSE)</f>
        <v>0</v>
      </c>
      <c r="U95" s="100">
        <f>VLOOKUP(TableRBRanks314135[[#This Row],[Player]],RB!B:O,5,FALSE)</f>
        <v>0</v>
      </c>
      <c r="V95" s="100">
        <f>VLOOKUP(TableRBRanks314135[[#This Row],[Player]],RB!B:O,6,FALSE)</f>
        <v>0</v>
      </c>
      <c r="W95" s="100">
        <f>VLOOKUP(TableRBRanks314135[[#This Row],[Player]],RB!B:O,7,FALSE)</f>
        <v>0</v>
      </c>
      <c r="X95" s="100">
        <f>VLOOKUP(TableRBRanks314135[[#This Row],[Player]],RB!B:O,8,FALSE)</f>
        <v>0</v>
      </c>
      <c r="Y95" s="100">
        <f>VLOOKUP(TableRBRanks314135[[#This Row],[Player]],RB!B:O,9,FALSE)</f>
        <v>0</v>
      </c>
      <c r="Z95" s="100">
        <f>VLOOKUP(TableRBRanks314135[[#This Row],[Player]],RB!B:O,10,FALSE)</f>
        <v>0</v>
      </c>
      <c r="AA95" s="95">
        <f>VLOOKUP(TableRBRanks314135[[#This Row],[Player]],RB!B:O,14,FALSE)</f>
        <v>0</v>
      </c>
      <c r="AB95" s="190">
        <f>TableRBRanks314135[[#This Row],[FPS]]+(TableRBRanks314135[[#This Row],[REC]]*0.5)</f>
        <v>0</v>
      </c>
      <c r="AD95" s="58">
        <v>94</v>
      </c>
      <c r="AE95" s="58" t="str">
        <f>VLOOKUP(TableWRRanks324236[[#This Row],[RK]],Rankings!A:AI,28,FALSE)</f>
        <v>Tank Dell</v>
      </c>
      <c r="AF95" s="58" t="str">
        <f>IFERROR(INDEX(TableWRCalcPts[TM],MATCH(TableWRRanks324236[[#This Row],[Player]],TableWRCalcPts[PLAYER],0)),"")</f>
        <v>HOU</v>
      </c>
      <c r="AG95" s="58">
        <f>IFERROR(INDEX(TableWRCalcPts[BYE],MATCH(TableWRRanks324236[[#This Row],[Player]],TableWRCalcPts[PLAYER],0)),"")</f>
        <v>8</v>
      </c>
      <c r="AH95" s="100">
        <f>VLOOKUP(TableWRRanks324236[[#This Row],[Player]],WR!B:O,4,FALSE)</f>
        <v>0</v>
      </c>
      <c r="AI95" s="100">
        <f>VLOOKUP(TableWRRanks324236[[#This Row],[Player]],WR!B:O,5,FALSE)</f>
        <v>0</v>
      </c>
      <c r="AJ95" s="100">
        <f>VLOOKUP(TableWRRanks324236[[#This Row],[Player]],WR!B:O,6,FALSE)</f>
        <v>51.559691399999998</v>
      </c>
      <c r="AK95" s="100">
        <f>VLOOKUP(TableWRRanks324236[[#This Row],[Player]],WR!B:O,7,FALSE)</f>
        <v>32.482605581999998</v>
      </c>
      <c r="AL95" s="100">
        <f>VLOOKUP(TableWRRanks324236[[#This Row],[Player]],WR!B:O,8,FALSE)</f>
        <v>367.37826913241997</v>
      </c>
      <c r="AM95" s="100">
        <f>VLOOKUP(TableWRRanks324236[[#This Row],[Player]],WR!B:O,9,FALSE)</f>
        <v>2.6960562633060001</v>
      </c>
      <c r="AN95" s="95">
        <f>VLOOKUP(TableWRRanks324236[[#This Row],[Player]],WR!B:O,13,FALSE)</f>
        <v>69.155467284078</v>
      </c>
      <c r="AO95" s="190">
        <f>TableWRRanks324236[[#This Row],[FPS]]+(TableWRRanks324236[[#This Row],[REC]]*0.5)</f>
        <v>85.396770075077995</v>
      </c>
      <c r="AQ95" s="58">
        <v>94</v>
      </c>
      <c r="AR95" s="58">
        <f>VLOOKUP(TableTERanks334337[[#This Row],[RK]],Rankings!A:AI,33,FALSE)</f>
        <v>0</v>
      </c>
      <c r="AS95" s="58" t="str">
        <f>IFERROR(INDEX(TableTECalcPts[TM],MATCH(TableTERanks334337[[#This Row],[Player]],TableTECalcPts[PLAYER],0)),"")</f>
        <v/>
      </c>
      <c r="AT95" s="58" t="str">
        <f>IFERROR(INDEX(TableTECalcPts[BYE],MATCH(TableTERanks334337[[#This Row],[Player]],TableTECalcPts[PLAYER],0)),"")</f>
        <v/>
      </c>
      <c r="AU95" s="100">
        <f>VLOOKUP(TableTERanks334337[[#This Row],[Player]],TE!B:O,4,FALSE)</f>
        <v>0</v>
      </c>
      <c r="AV95" s="100">
        <f>VLOOKUP(TableTERanks334337[[#This Row],[Player]],TE!B:O,5,FALSE)</f>
        <v>0</v>
      </c>
      <c r="AW95" s="100">
        <f>VLOOKUP(TableTERanks334337[[#This Row],[Player]],TE!B:O,6,FALSE)</f>
        <v>0</v>
      </c>
      <c r="AX95" s="100">
        <f>VLOOKUP(TableTERanks334337[[#This Row],[Player]],TE!B:O,7,FALSE)</f>
        <v>0</v>
      </c>
      <c r="AY95" s="95">
        <f>VLOOKUP(TableTERanks334337[[#This Row],[Player]],TE!B:O,11,FALSE)</f>
        <v>0</v>
      </c>
      <c r="AZ95" s="190">
        <f>TableTERanks334337[[#This Row],[FPS]]+(TableTERanks334337[[#This Row],[REC]]*0.5)</f>
        <v>0</v>
      </c>
    </row>
    <row r="96" spans="16:52" x14ac:dyDescent="0.25">
      <c r="P96" s="58">
        <v>95</v>
      </c>
      <c r="Q96" s="58">
        <f>VLOOKUP(TableRBRanks314135[[#This Row],[RK]],Rankings!A:AI,23,FALSE)</f>
        <v>0</v>
      </c>
      <c r="R96" s="58" t="str">
        <f>IFERROR(INDEX(TableRBCalcPts[TM],MATCH(TableRBRanks314135[[#This Row],[Player]],TableRBCalcPts[PLAYER],0)),"")</f>
        <v/>
      </c>
      <c r="S96" s="58" t="str">
        <f>IFERROR(INDEX(TableRBCalcPts[BYE],MATCH(TableRBRanks314135[[#This Row],[Player]],TableRBCalcPts[PLAYER],0)),"")</f>
        <v/>
      </c>
      <c r="T96" s="100">
        <f>VLOOKUP(TableRBRanks314135[[#This Row],[Player]],RB!B:O,4,FALSE)</f>
        <v>0</v>
      </c>
      <c r="U96" s="100">
        <f>VLOOKUP(TableRBRanks314135[[#This Row],[Player]],RB!B:O,5,FALSE)</f>
        <v>0</v>
      </c>
      <c r="V96" s="100">
        <f>VLOOKUP(TableRBRanks314135[[#This Row],[Player]],RB!B:O,6,FALSE)</f>
        <v>0</v>
      </c>
      <c r="W96" s="100">
        <f>VLOOKUP(TableRBRanks314135[[#This Row],[Player]],RB!B:O,7,FALSE)</f>
        <v>0</v>
      </c>
      <c r="X96" s="100">
        <f>VLOOKUP(TableRBRanks314135[[#This Row],[Player]],RB!B:O,8,FALSE)</f>
        <v>0</v>
      </c>
      <c r="Y96" s="100">
        <f>VLOOKUP(TableRBRanks314135[[#This Row],[Player]],RB!B:O,9,FALSE)</f>
        <v>0</v>
      </c>
      <c r="Z96" s="100">
        <f>VLOOKUP(TableRBRanks314135[[#This Row],[Player]],RB!B:O,10,FALSE)</f>
        <v>0</v>
      </c>
      <c r="AA96" s="95">
        <f>VLOOKUP(TableRBRanks314135[[#This Row],[Player]],RB!B:O,14,FALSE)</f>
        <v>0</v>
      </c>
      <c r="AB96" s="190">
        <f>TableRBRanks314135[[#This Row],[FPS]]+(TableRBRanks314135[[#This Row],[REC]]*0.5)</f>
        <v>0</v>
      </c>
      <c r="AD96" s="58">
        <v>95</v>
      </c>
      <c r="AE96" s="58" t="str">
        <f>VLOOKUP(TableWRRanks324236[[#This Row],[RK]],Rankings!A:AI,28,FALSE)</f>
        <v>Troy Franklin</v>
      </c>
      <c r="AF96" s="58" t="str">
        <f>IFERROR(INDEX(TableWRCalcPts[TM],MATCH(TableWRRanks324236[[#This Row],[Player]],TableWRCalcPts[PLAYER],0)),"")</f>
        <v>DEN</v>
      </c>
      <c r="AG96" s="58">
        <f>IFERROR(INDEX(TableWRCalcPts[BYE],MATCH(TableWRRanks324236[[#This Row],[Player]],TableWRCalcPts[PLAYER],0)),"")</f>
        <v>10</v>
      </c>
      <c r="AH96" s="100">
        <f>VLOOKUP(TableWRRanks324236[[#This Row],[Player]],WR!B:O,4,FALSE)</f>
        <v>0</v>
      </c>
      <c r="AI96" s="100">
        <f>VLOOKUP(TableWRRanks324236[[#This Row],[Player]],WR!B:O,5,FALSE)</f>
        <v>0</v>
      </c>
      <c r="AJ96" s="100">
        <f>VLOOKUP(TableWRRanks324236[[#This Row],[Player]],WR!B:O,6,FALSE)</f>
        <v>46.22440284000001</v>
      </c>
      <c r="AK96" s="100">
        <f>VLOOKUP(TableWRRanks324236[[#This Row],[Player]],WR!B:O,7,FALSE)</f>
        <v>28.890251775000007</v>
      </c>
      <c r="AL96" s="100">
        <f>VLOOKUP(TableWRRanks324236[[#This Row],[Player]],WR!B:O,8,FALSE)</f>
        <v>332.44445441089141</v>
      </c>
      <c r="AM96" s="100">
        <f>VLOOKUP(TableWRRanks324236[[#This Row],[Player]],WR!B:O,9,FALSE)</f>
        <v>2.5423421562000006</v>
      </c>
      <c r="AN96" s="95">
        <f>VLOOKUP(TableWRRanks324236[[#This Row],[Player]],WR!B:O,13,FALSE)</f>
        <v>62.943624265789154</v>
      </c>
      <c r="AO96" s="190">
        <f>TableWRRanks324236[[#This Row],[FPS]]+(TableWRRanks324236[[#This Row],[REC]]*0.5)</f>
        <v>77.388750153289152</v>
      </c>
      <c r="AQ96" s="58">
        <v>95</v>
      </c>
      <c r="AR96" s="58">
        <f>VLOOKUP(TableTERanks334337[[#This Row],[RK]],Rankings!A:AI,33,FALSE)</f>
        <v>0</v>
      </c>
      <c r="AS96" s="58" t="str">
        <f>IFERROR(INDEX(TableTECalcPts[TM],MATCH(TableTERanks334337[[#This Row],[Player]],TableTECalcPts[PLAYER],0)),"")</f>
        <v/>
      </c>
      <c r="AT96" s="58" t="str">
        <f>IFERROR(INDEX(TableTECalcPts[BYE],MATCH(TableTERanks334337[[#This Row],[Player]],TableTECalcPts[PLAYER],0)),"")</f>
        <v/>
      </c>
      <c r="AU96" s="100">
        <f>VLOOKUP(TableTERanks334337[[#This Row],[Player]],TE!B:O,4,FALSE)</f>
        <v>0</v>
      </c>
      <c r="AV96" s="100">
        <f>VLOOKUP(TableTERanks334337[[#This Row],[Player]],TE!B:O,5,FALSE)</f>
        <v>0</v>
      </c>
      <c r="AW96" s="100">
        <f>VLOOKUP(TableTERanks334337[[#This Row],[Player]],TE!B:O,6,FALSE)</f>
        <v>0</v>
      </c>
      <c r="AX96" s="100">
        <f>VLOOKUP(TableTERanks334337[[#This Row],[Player]],TE!B:O,7,FALSE)</f>
        <v>0</v>
      </c>
      <c r="AY96" s="95">
        <f>VLOOKUP(TableTERanks334337[[#This Row],[Player]],TE!B:O,11,FALSE)</f>
        <v>0</v>
      </c>
      <c r="AZ96" s="190">
        <f>TableTERanks334337[[#This Row],[FPS]]+(TableTERanks334337[[#This Row],[REC]]*0.5)</f>
        <v>0</v>
      </c>
    </row>
    <row r="97" spans="16:52" x14ac:dyDescent="0.25">
      <c r="P97" s="58">
        <v>96</v>
      </c>
      <c r="Q97" s="58">
        <f>VLOOKUP(TableRBRanks314135[[#This Row],[RK]],Rankings!A:AI,23,FALSE)</f>
        <v>0</v>
      </c>
      <c r="R97" s="58" t="str">
        <f>IFERROR(INDEX(TableRBCalcPts[TM],MATCH(TableRBRanks314135[[#This Row],[Player]],TableRBCalcPts[PLAYER],0)),"")</f>
        <v/>
      </c>
      <c r="S97" s="58" t="str">
        <f>IFERROR(INDEX(TableRBCalcPts[BYE],MATCH(TableRBRanks314135[[#This Row],[Player]],TableRBCalcPts[PLAYER],0)),"")</f>
        <v/>
      </c>
      <c r="T97" s="100">
        <f>VLOOKUP(TableRBRanks314135[[#This Row],[Player]],RB!B:O,4,FALSE)</f>
        <v>0</v>
      </c>
      <c r="U97" s="100">
        <f>VLOOKUP(TableRBRanks314135[[#This Row],[Player]],RB!B:O,5,FALSE)</f>
        <v>0</v>
      </c>
      <c r="V97" s="100">
        <f>VLOOKUP(TableRBRanks314135[[#This Row],[Player]],RB!B:O,6,FALSE)</f>
        <v>0</v>
      </c>
      <c r="W97" s="100">
        <f>VLOOKUP(TableRBRanks314135[[#This Row],[Player]],RB!B:O,7,FALSE)</f>
        <v>0</v>
      </c>
      <c r="X97" s="100">
        <f>VLOOKUP(TableRBRanks314135[[#This Row],[Player]],RB!B:O,8,FALSE)</f>
        <v>0</v>
      </c>
      <c r="Y97" s="100">
        <f>VLOOKUP(TableRBRanks314135[[#This Row],[Player]],RB!B:O,9,FALSE)</f>
        <v>0</v>
      </c>
      <c r="Z97" s="100">
        <f>VLOOKUP(TableRBRanks314135[[#This Row],[Player]],RB!B:O,10,FALSE)</f>
        <v>0</v>
      </c>
      <c r="AA97" s="95">
        <f>VLOOKUP(TableRBRanks314135[[#This Row],[Player]],RB!B:O,14,FALSE)</f>
        <v>0</v>
      </c>
      <c r="AB97" s="190">
        <f>TableRBRanks314135[[#This Row],[FPS]]+(TableRBRanks314135[[#This Row],[REC]]*0.5)</f>
        <v>0</v>
      </c>
      <c r="AD97" s="58">
        <v>96</v>
      </c>
      <c r="AE97" s="58" t="str">
        <f>VLOOKUP(TableWRRanks324236[[#This Row],[RK]],Rankings!A:AI,28,FALSE)</f>
        <v>Olamide Zaccheaus</v>
      </c>
      <c r="AF97" s="58" t="str">
        <f>IFERROR(INDEX(TableWRCalcPts[TM],MATCH(TableWRRanks324236[[#This Row],[Player]],TableWRCalcPts[PLAYER],0)),"")</f>
        <v>ATL</v>
      </c>
      <c r="AG97" s="58">
        <f>IFERROR(INDEX(TableWRCalcPts[BYE],MATCH(TableWRRanks324236[[#This Row],[Player]],TableWRCalcPts[PLAYER],0)),"")</f>
        <v>11</v>
      </c>
      <c r="AH97" s="100">
        <f>VLOOKUP(TableWRRanks324236[[#This Row],[Player]],WR!B:O,4,FALSE)</f>
        <v>0</v>
      </c>
      <c r="AI97" s="100">
        <f>VLOOKUP(TableWRRanks324236[[#This Row],[Player]],WR!B:O,5,FALSE)</f>
        <v>0</v>
      </c>
      <c r="AJ97" s="100">
        <f>VLOOKUP(TableWRRanks324236[[#This Row],[Player]],WR!B:O,6,FALSE)</f>
        <v>46.547887120000013</v>
      </c>
      <c r="AK97" s="100">
        <f>VLOOKUP(TableWRRanks324236[[#This Row],[Player]],WR!B:O,7,FALSE)</f>
        <v>30.19048217180514</v>
      </c>
      <c r="AL97" s="100">
        <f>VLOOKUP(TableWRRanks324236[[#This Row],[Player]],WR!B:O,8,FALSE)</f>
        <v>304.01815547007777</v>
      </c>
      <c r="AM97" s="100">
        <f>VLOOKUP(TableWRRanks324236[[#This Row],[Player]],WR!B:O,9,FALSE)</f>
        <v>1.5614429057625647</v>
      </c>
      <c r="AN97" s="95">
        <f>VLOOKUP(TableWRRanks324236[[#This Row],[Player]],WR!B:O,13,FALSE)</f>
        <v>54.86571406748574</v>
      </c>
      <c r="AO97" s="190">
        <f>TableWRRanks324236[[#This Row],[FPS]]+(TableWRRanks324236[[#This Row],[REC]]*0.5)</f>
        <v>69.960955153388312</v>
      </c>
      <c r="AQ97" s="58">
        <v>96</v>
      </c>
      <c r="AR97" s="58">
        <f>VLOOKUP(TableTERanks334337[[#This Row],[RK]],Rankings!A:AI,33,FALSE)</f>
        <v>0</v>
      </c>
      <c r="AS97" s="58" t="str">
        <f>IFERROR(INDEX(TableTECalcPts[TM],MATCH(TableTERanks334337[[#This Row],[Player]],TableTECalcPts[PLAYER],0)),"")</f>
        <v/>
      </c>
      <c r="AT97" s="58" t="str">
        <f>IFERROR(INDEX(TableTECalcPts[BYE],MATCH(TableTERanks334337[[#This Row],[Player]],TableTECalcPts[PLAYER],0)),"")</f>
        <v/>
      </c>
      <c r="AU97" s="100">
        <f>VLOOKUP(TableTERanks334337[[#This Row],[Player]],TE!B:O,4,FALSE)</f>
        <v>0</v>
      </c>
      <c r="AV97" s="100">
        <f>VLOOKUP(TableTERanks334337[[#This Row],[Player]],TE!B:O,5,FALSE)</f>
        <v>0</v>
      </c>
      <c r="AW97" s="100">
        <f>VLOOKUP(TableTERanks334337[[#This Row],[Player]],TE!B:O,6,FALSE)</f>
        <v>0</v>
      </c>
      <c r="AX97" s="100">
        <f>VLOOKUP(TableTERanks334337[[#This Row],[Player]],TE!B:O,7,FALSE)</f>
        <v>0</v>
      </c>
      <c r="AY97" s="95">
        <f>VLOOKUP(TableTERanks334337[[#This Row],[Player]],TE!B:O,11,FALSE)</f>
        <v>0</v>
      </c>
      <c r="AZ97" s="190">
        <f>TableTERanks334337[[#This Row],[FPS]]+(TableTERanks334337[[#This Row],[REC]]*0.5)</f>
        <v>0</v>
      </c>
    </row>
    <row r="98" spans="16:52" x14ac:dyDescent="0.25">
      <c r="P98" s="58">
        <v>97</v>
      </c>
      <c r="Q98" s="58">
        <f>VLOOKUP(TableRBRanks314135[[#This Row],[RK]],Rankings!A:AI,23,FALSE)</f>
        <v>0</v>
      </c>
      <c r="R98" s="58" t="str">
        <f>IFERROR(INDEX(TableRBCalcPts[TM],MATCH(TableRBRanks314135[[#This Row],[Player]],TableRBCalcPts[PLAYER],0)),"")</f>
        <v/>
      </c>
      <c r="S98" s="58" t="str">
        <f>IFERROR(INDEX(TableRBCalcPts[BYE],MATCH(TableRBRanks314135[[#This Row],[Player]],TableRBCalcPts[PLAYER],0)),"")</f>
        <v/>
      </c>
      <c r="T98" s="100">
        <f>VLOOKUP(TableRBRanks314135[[#This Row],[Player]],RB!B:O,4,FALSE)</f>
        <v>0</v>
      </c>
      <c r="U98" s="100">
        <f>VLOOKUP(TableRBRanks314135[[#This Row],[Player]],RB!B:O,5,FALSE)</f>
        <v>0</v>
      </c>
      <c r="V98" s="100">
        <f>VLOOKUP(TableRBRanks314135[[#This Row],[Player]],RB!B:O,6,FALSE)</f>
        <v>0</v>
      </c>
      <c r="W98" s="100">
        <f>VLOOKUP(TableRBRanks314135[[#This Row],[Player]],RB!B:O,7,FALSE)</f>
        <v>0</v>
      </c>
      <c r="X98" s="100">
        <f>VLOOKUP(TableRBRanks314135[[#This Row],[Player]],RB!B:O,8,FALSE)</f>
        <v>0</v>
      </c>
      <c r="Y98" s="100">
        <f>VLOOKUP(TableRBRanks314135[[#This Row],[Player]],RB!B:O,9,FALSE)</f>
        <v>0</v>
      </c>
      <c r="Z98" s="100">
        <f>VLOOKUP(TableRBRanks314135[[#This Row],[Player]],RB!B:O,10,FALSE)</f>
        <v>0</v>
      </c>
      <c r="AA98" s="95">
        <f>VLOOKUP(TableRBRanks314135[[#This Row],[Player]],RB!B:O,14,FALSE)</f>
        <v>0</v>
      </c>
      <c r="AB98" s="190">
        <f>TableRBRanks314135[[#This Row],[FPS]]+(TableRBRanks314135[[#This Row],[REC]]*0.5)</f>
        <v>0</v>
      </c>
      <c r="AD98" s="58">
        <v>97</v>
      </c>
      <c r="AE98" s="58" t="str">
        <f>VLOOKUP(TableWRRanks324236[[#This Row],[RK]],Rankings!A:AI,28,FALSE)</f>
        <v>Mack Hollins</v>
      </c>
      <c r="AF98" s="58" t="str">
        <f>IFERROR(INDEX(TableWRCalcPts[TM],MATCH(TableWRRanks324236[[#This Row],[Player]],TableWRCalcPts[PLAYER],0)),"")</f>
        <v>NE</v>
      </c>
      <c r="AG98" s="58">
        <f>IFERROR(INDEX(TableWRCalcPts[BYE],MATCH(TableWRRanks324236[[#This Row],[Player]],TableWRCalcPts[PLAYER],0)),"")</f>
        <v>11</v>
      </c>
      <c r="AH98" s="100">
        <f>VLOOKUP(TableWRRanks324236[[#This Row],[Player]],WR!B:O,4,FALSE)</f>
        <v>6.6663029999999992</v>
      </c>
      <c r="AI98" s="100">
        <f>VLOOKUP(TableWRRanks324236[[#This Row],[Player]],WR!B:O,5,FALSE)</f>
        <v>1.5554706999999999E-2</v>
      </c>
      <c r="AJ98" s="100">
        <f>VLOOKUP(TableWRRanks324236[[#This Row],[Player]],WR!B:O,6,FALSE)</f>
        <v>27.814369799999984</v>
      </c>
      <c r="AK98" s="100">
        <f>VLOOKUP(TableWRRanks324236[[#This Row],[Player]],WR!B:O,7,FALSE)</f>
        <v>19.887274406999989</v>
      </c>
      <c r="AL98" s="100">
        <f>VLOOKUP(TableWRRanks324236[[#This Row],[Player]],WR!B:O,8,FALSE)</f>
        <v>232.33389638627654</v>
      </c>
      <c r="AM98" s="100">
        <f>VLOOKUP(TableWRRanks324236[[#This Row],[Player]],WR!B:O,9,FALSE)</f>
        <v>1.4119964828969991</v>
      </c>
      <c r="AN98" s="95">
        <f>VLOOKUP(TableWRRanks324236[[#This Row],[Player]],WR!B:O,13,FALSE)</f>
        <v>42.408964281509647</v>
      </c>
      <c r="AO98" s="190">
        <f>TableWRRanks324236[[#This Row],[FPS]]+(TableWRRanks324236[[#This Row],[REC]]*0.5)</f>
        <v>52.352601485009643</v>
      </c>
      <c r="AQ98" s="58">
        <v>97</v>
      </c>
      <c r="AR98" s="58">
        <f>VLOOKUP(TableTERanks334337[[#This Row],[RK]],Rankings!A:AI,33,FALSE)</f>
        <v>0</v>
      </c>
      <c r="AS98" s="58" t="str">
        <f>IFERROR(INDEX(TableTECalcPts[TM],MATCH(TableTERanks334337[[#This Row],[Player]],TableTECalcPts[PLAYER],0)),"")</f>
        <v/>
      </c>
      <c r="AT98" s="58" t="str">
        <f>IFERROR(INDEX(TableTECalcPts[BYE],MATCH(TableTERanks334337[[#This Row],[Player]],TableTECalcPts[PLAYER],0)),"")</f>
        <v/>
      </c>
      <c r="AU98" s="100">
        <f>VLOOKUP(TableTERanks334337[[#This Row],[Player]],TE!B:O,4,FALSE)</f>
        <v>0</v>
      </c>
      <c r="AV98" s="100">
        <f>VLOOKUP(TableTERanks334337[[#This Row],[Player]],TE!B:O,5,FALSE)</f>
        <v>0</v>
      </c>
      <c r="AW98" s="100">
        <f>VLOOKUP(TableTERanks334337[[#This Row],[Player]],TE!B:O,6,FALSE)</f>
        <v>0</v>
      </c>
      <c r="AX98" s="100">
        <f>VLOOKUP(TableTERanks334337[[#This Row],[Player]],TE!B:O,7,FALSE)</f>
        <v>0</v>
      </c>
      <c r="AY98" s="95">
        <f>VLOOKUP(TableTERanks334337[[#This Row],[Player]],TE!B:O,11,FALSE)</f>
        <v>0</v>
      </c>
      <c r="AZ98" s="190">
        <f>TableTERanks334337[[#This Row],[FPS]]+(TableTERanks334337[[#This Row],[REC]]*0.5)</f>
        <v>0</v>
      </c>
    </row>
    <row r="99" spans="16:52" x14ac:dyDescent="0.25">
      <c r="P99" s="58">
        <v>98</v>
      </c>
      <c r="Q99" s="58">
        <f>VLOOKUP(TableRBRanks314135[[#This Row],[RK]],Rankings!A:AI,23,FALSE)</f>
        <v>0</v>
      </c>
      <c r="R99" s="58" t="str">
        <f>IFERROR(INDEX(TableRBCalcPts[TM],MATCH(TableRBRanks314135[[#This Row],[Player]],TableRBCalcPts[PLAYER],0)),"")</f>
        <v/>
      </c>
      <c r="S99" s="58" t="str">
        <f>IFERROR(INDEX(TableRBCalcPts[BYE],MATCH(TableRBRanks314135[[#This Row],[Player]],TableRBCalcPts[PLAYER],0)),"")</f>
        <v/>
      </c>
      <c r="T99" s="100">
        <f>VLOOKUP(TableRBRanks314135[[#This Row],[Player]],RB!B:O,4,FALSE)</f>
        <v>0</v>
      </c>
      <c r="U99" s="100">
        <f>VLOOKUP(TableRBRanks314135[[#This Row],[Player]],RB!B:O,5,FALSE)</f>
        <v>0</v>
      </c>
      <c r="V99" s="100">
        <f>VLOOKUP(TableRBRanks314135[[#This Row],[Player]],RB!B:O,6,FALSE)</f>
        <v>0</v>
      </c>
      <c r="W99" s="100">
        <f>VLOOKUP(TableRBRanks314135[[#This Row],[Player]],RB!B:O,7,FALSE)</f>
        <v>0</v>
      </c>
      <c r="X99" s="100">
        <f>VLOOKUP(TableRBRanks314135[[#This Row],[Player]],RB!B:O,8,FALSE)</f>
        <v>0</v>
      </c>
      <c r="Y99" s="100">
        <f>VLOOKUP(TableRBRanks314135[[#This Row],[Player]],RB!B:O,9,FALSE)</f>
        <v>0</v>
      </c>
      <c r="Z99" s="100">
        <f>VLOOKUP(TableRBRanks314135[[#This Row],[Player]],RB!B:O,10,FALSE)</f>
        <v>0</v>
      </c>
      <c r="AA99" s="95">
        <f>VLOOKUP(TableRBRanks314135[[#This Row],[Player]],RB!B:O,14,FALSE)</f>
        <v>0</v>
      </c>
      <c r="AB99" s="190">
        <f>TableRBRanks314135[[#This Row],[FPS]]+(TableRBRanks314135[[#This Row],[REC]]*0.5)</f>
        <v>0</v>
      </c>
      <c r="AD99" s="58">
        <v>98</v>
      </c>
      <c r="AE99" s="58" t="str">
        <f>VLOOKUP(TableWRRanks324236[[#This Row],[RK]],Rankings!A:AI,28,FALSE)</f>
        <v>Elijah Sarratt</v>
      </c>
      <c r="AF99" s="58" t="str">
        <f>IFERROR(INDEX(TableWRCalcPts[TM],MATCH(TableWRRanks324236[[#This Row],[Player]],TableWRCalcPts[PLAYER],0)),"")</f>
        <v>BAL</v>
      </c>
      <c r="AG99" s="58">
        <f>IFERROR(INDEX(TableWRCalcPts[BYE],MATCH(TableWRRanks324236[[#This Row],[Player]],TableWRCalcPts[PLAYER],0)),"")</f>
        <v>13</v>
      </c>
      <c r="AH99" s="100">
        <f>VLOOKUP(TableWRRanks324236[[#This Row],[Player]],WR!B:O,4,FALSE)</f>
        <v>0</v>
      </c>
      <c r="AI99" s="100">
        <f>VLOOKUP(TableWRRanks324236[[#This Row],[Player]],WR!B:O,5,FALSE)</f>
        <v>0</v>
      </c>
      <c r="AJ99" s="100">
        <f>VLOOKUP(TableWRRanks324236[[#This Row],[Player]],WR!B:O,6,FALSE)</f>
        <v>44.6462912</v>
      </c>
      <c r="AK99" s="100">
        <f>VLOOKUP(TableWRRanks324236[[#This Row],[Player]],WR!B:O,7,FALSE)</f>
        <v>26.207184553424476</v>
      </c>
      <c r="AL99" s="100">
        <f>VLOOKUP(TableWRRanks324236[[#This Row],[Player]],WR!B:O,8,FALSE)</f>
        <v>361.32337658647765</v>
      </c>
      <c r="AM99" s="100">
        <f>VLOOKUP(TableWRRanks324236[[#This Row],[Player]],WR!B:O,9,FALSE)</f>
        <v>2.5158897171287498</v>
      </c>
      <c r="AN99" s="95">
        <f>VLOOKUP(TableWRRanks324236[[#This Row],[Player]],WR!B:O,13,FALSE)</f>
        <v>64.331268238132509</v>
      </c>
      <c r="AO99" s="190">
        <f>TableWRRanks324236[[#This Row],[FPS]]+(TableWRRanks324236[[#This Row],[REC]]*0.5)</f>
        <v>77.434860514844743</v>
      </c>
      <c r="AQ99" s="58">
        <v>98</v>
      </c>
      <c r="AR99" s="58">
        <f>VLOOKUP(TableTERanks334337[[#This Row],[RK]],Rankings!A:AI,33,FALSE)</f>
        <v>0</v>
      </c>
      <c r="AS99" s="58" t="str">
        <f>IFERROR(INDEX(TableTECalcPts[TM],MATCH(TableTERanks334337[[#This Row],[Player]],TableTECalcPts[PLAYER],0)),"")</f>
        <v/>
      </c>
      <c r="AT99" s="58" t="str">
        <f>IFERROR(INDEX(TableTECalcPts[BYE],MATCH(TableTERanks334337[[#This Row],[Player]],TableTECalcPts[PLAYER],0)),"")</f>
        <v/>
      </c>
      <c r="AU99" s="100">
        <f>VLOOKUP(TableTERanks334337[[#This Row],[Player]],TE!B:O,4,FALSE)</f>
        <v>0</v>
      </c>
      <c r="AV99" s="100">
        <f>VLOOKUP(TableTERanks334337[[#This Row],[Player]],TE!B:O,5,FALSE)</f>
        <v>0</v>
      </c>
      <c r="AW99" s="100">
        <f>VLOOKUP(TableTERanks334337[[#This Row],[Player]],TE!B:O,6,FALSE)</f>
        <v>0</v>
      </c>
      <c r="AX99" s="100">
        <f>VLOOKUP(TableTERanks334337[[#This Row],[Player]],TE!B:O,7,FALSE)</f>
        <v>0</v>
      </c>
      <c r="AY99" s="95">
        <f>VLOOKUP(TableTERanks334337[[#This Row],[Player]],TE!B:O,11,FALSE)</f>
        <v>0</v>
      </c>
      <c r="AZ99" s="190">
        <f>TableTERanks334337[[#This Row],[FPS]]+(TableTERanks334337[[#This Row],[REC]]*0.5)</f>
        <v>0</v>
      </c>
    </row>
    <row r="100" spans="16:52" x14ac:dyDescent="0.25">
      <c r="P100" s="58">
        <v>99</v>
      </c>
      <c r="Q100" s="58">
        <f>VLOOKUP(TableRBRanks314135[[#This Row],[RK]],Rankings!A:AI,23,FALSE)</f>
        <v>0</v>
      </c>
      <c r="R100" s="58" t="str">
        <f>IFERROR(INDEX(TableRBCalcPts[TM],MATCH(TableRBRanks314135[[#This Row],[Player]],TableRBCalcPts[PLAYER],0)),"")</f>
        <v/>
      </c>
      <c r="S100" s="58" t="str">
        <f>IFERROR(INDEX(TableRBCalcPts[BYE],MATCH(TableRBRanks314135[[#This Row],[Player]],TableRBCalcPts[PLAYER],0)),"")</f>
        <v/>
      </c>
      <c r="T100" s="100">
        <f>VLOOKUP(TableRBRanks314135[[#This Row],[Player]],RB!B:O,4,FALSE)</f>
        <v>0</v>
      </c>
      <c r="U100" s="100">
        <f>VLOOKUP(TableRBRanks314135[[#This Row],[Player]],RB!B:O,5,FALSE)</f>
        <v>0</v>
      </c>
      <c r="V100" s="100">
        <f>VLOOKUP(TableRBRanks314135[[#This Row],[Player]],RB!B:O,6,FALSE)</f>
        <v>0</v>
      </c>
      <c r="W100" s="100">
        <f>VLOOKUP(TableRBRanks314135[[#This Row],[Player]],RB!B:O,7,FALSE)</f>
        <v>0</v>
      </c>
      <c r="X100" s="100">
        <f>VLOOKUP(TableRBRanks314135[[#This Row],[Player]],RB!B:O,8,FALSE)</f>
        <v>0</v>
      </c>
      <c r="Y100" s="100">
        <f>VLOOKUP(TableRBRanks314135[[#This Row],[Player]],RB!B:O,9,FALSE)</f>
        <v>0</v>
      </c>
      <c r="Z100" s="100">
        <f>VLOOKUP(TableRBRanks314135[[#This Row],[Player]],RB!B:O,10,FALSE)</f>
        <v>0</v>
      </c>
      <c r="AA100" s="95">
        <f>VLOOKUP(TableRBRanks314135[[#This Row],[Player]],RB!B:O,14,FALSE)</f>
        <v>0</v>
      </c>
      <c r="AB100" s="190">
        <f>TableRBRanks314135[[#This Row],[FPS]]+(TableRBRanks314135[[#This Row],[REC]]*0.5)</f>
        <v>0</v>
      </c>
      <c r="AD100" s="58">
        <v>99</v>
      </c>
      <c r="AE100" s="58" t="str">
        <f>VLOOKUP(TableWRRanks324236[[#This Row],[RK]],Rankings!A:AI,28,FALSE)</f>
        <v>DeMario Douglas</v>
      </c>
      <c r="AF100" s="58" t="str">
        <f>IFERROR(INDEX(TableWRCalcPts[TM],MATCH(TableWRRanks324236[[#This Row],[Player]],TableWRCalcPts[PLAYER],0)),"")</f>
        <v>NE</v>
      </c>
      <c r="AG100" s="58">
        <f>IFERROR(INDEX(TableWRCalcPts[BYE],MATCH(TableWRRanks324236[[#This Row],[Player]],TableWRCalcPts[PLAYER],0)),"")</f>
        <v>11</v>
      </c>
      <c r="AH100" s="100">
        <f>VLOOKUP(TableWRRanks324236[[#This Row],[Player]],WR!B:O,4,FALSE)</f>
        <v>0</v>
      </c>
      <c r="AI100" s="100">
        <f>VLOOKUP(TableWRRanks324236[[#This Row],[Player]],WR!B:O,5,FALSE)</f>
        <v>0</v>
      </c>
      <c r="AJ100" s="100">
        <f>VLOOKUP(TableWRRanks324236[[#This Row],[Player]],WR!B:O,6,FALSE)</f>
        <v>23.996711199999989</v>
      </c>
      <c r="AK100" s="100">
        <f>VLOOKUP(TableWRRanks324236[[#This Row],[Player]],WR!B:O,7,FALSE)</f>
        <v>18.069523533599991</v>
      </c>
      <c r="AL100" s="100">
        <f>VLOOKUP(TableWRRanks324236[[#This Row],[Player]],WR!B:O,8,FALSE)</f>
        <v>226.50154011703694</v>
      </c>
      <c r="AM100" s="100">
        <f>VLOOKUP(TableWRRanks324236[[#This Row],[Player]],WR!B:O,9,FALSE)</f>
        <v>1.3010056944191992</v>
      </c>
      <c r="AN100" s="95">
        <f>VLOOKUP(TableWRRanks324236[[#This Row],[Player]],WR!B:O,13,FALSE)</f>
        <v>39.490949945018883</v>
      </c>
      <c r="AO100" s="190">
        <f>TableWRRanks324236[[#This Row],[FPS]]+(TableWRRanks324236[[#This Row],[REC]]*0.5)</f>
        <v>48.525711711818879</v>
      </c>
      <c r="AQ100" s="58">
        <v>99</v>
      </c>
      <c r="AR100" s="58">
        <f>VLOOKUP(TableTERanks334337[[#This Row],[RK]],Rankings!A:AI,33,FALSE)</f>
        <v>0</v>
      </c>
      <c r="AS100" s="58" t="str">
        <f>IFERROR(INDEX(TableTECalcPts[TM],MATCH(TableTERanks334337[[#This Row],[Player]],TableTECalcPts[PLAYER],0)),"")</f>
        <v/>
      </c>
      <c r="AT100" s="58" t="str">
        <f>IFERROR(INDEX(TableTECalcPts[BYE],MATCH(TableTERanks334337[[#This Row],[Player]],TableTECalcPts[PLAYER],0)),"")</f>
        <v/>
      </c>
      <c r="AU100" s="100">
        <f>VLOOKUP(TableTERanks334337[[#This Row],[Player]],TE!B:O,4,FALSE)</f>
        <v>0</v>
      </c>
      <c r="AV100" s="100">
        <f>VLOOKUP(TableTERanks334337[[#This Row],[Player]],TE!B:O,5,FALSE)</f>
        <v>0</v>
      </c>
      <c r="AW100" s="100">
        <f>VLOOKUP(TableTERanks334337[[#This Row],[Player]],TE!B:O,6,FALSE)</f>
        <v>0</v>
      </c>
      <c r="AX100" s="100">
        <f>VLOOKUP(TableTERanks334337[[#This Row],[Player]],TE!B:O,7,FALSE)</f>
        <v>0</v>
      </c>
      <c r="AY100" s="95">
        <f>VLOOKUP(TableTERanks334337[[#This Row],[Player]],TE!B:O,11,FALSE)</f>
        <v>0</v>
      </c>
      <c r="AZ100" s="190">
        <f>TableTERanks334337[[#This Row],[FPS]]+(TableTERanks334337[[#This Row],[REC]]*0.5)</f>
        <v>0</v>
      </c>
    </row>
    <row r="101" spans="16:52" x14ac:dyDescent="0.25">
      <c r="P101" s="58">
        <v>100</v>
      </c>
      <c r="Q101" s="58">
        <f>VLOOKUP(TableRBRanks314135[[#This Row],[RK]],Rankings!A:AI,23,FALSE)</f>
        <v>0</v>
      </c>
      <c r="R101" s="58" t="str">
        <f>IFERROR(INDEX(TableRBCalcPts[TM],MATCH(TableRBRanks314135[[#This Row],[Player]],TableRBCalcPts[PLAYER],0)),"")</f>
        <v/>
      </c>
      <c r="S101" s="58" t="str">
        <f>IFERROR(INDEX(TableRBCalcPts[BYE],MATCH(TableRBRanks314135[[#This Row],[Player]],TableRBCalcPts[PLAYER],0)),"")</f>
        <v/>
      </c>
      <c r="T101" s="100">
        <f>VLOOKUP(TableRBRanks314135[[#This Row],[Player]],RB!B:O,4,FALSE)</f>
        <v>0</v>
      </c>
      <c r="U101" s="100">
        <f>VLOOKUP(TableRBRanks314135[[#This Row],[Player]],RB!B:O,5,FALSE)</f>
        <v>0</v>
      </c>
      <c r="V101" s="100">
        <f>VLOOKUP(TableRBRanks314135[[#This Row],[Player]],RB!B:O,6,FALSE)</f>
        <v>0</v>
      </c>
      <c r="W101" s="100">
        <f>VLOOKUP(TableRBRanks314135[[#This Row],[Player]],RB!B:O,7,FALSE)</f>
        <v>0</v>
      </c>
      <c r="X101" s="100">
        <f>VLOOKUP(TableRBRanks314135[[#This Row],[Player]],RB!B:O,8,FALSE)</f>
        <v>0</v>
      </c>
      <c r="Y101" s="100">
        <f>VLOOKUP(TableRBRanks314135[[#This Row],[Player]],RB!B:O,9,FALSE)</f>
        <v>0</v>
      </c>
      <c r="Z101" s="100">
        <f>VLOOKUP(TableRBRanks314135[[#This Row],[Player]],RB!B:O,10,FALSE)</f>
        <v>0</v>
      </c>
      <c r="AA101" s="95">
        <f>VLOOKUP(TableRBRanks314135[[#This Row],[Player]],RB!B:O,14,FALSE)</f>
        <v>0</v>
      </c>
      <c r="AB101" s="190">
        <f>TableRBRanks314135[[#This Row],[FPS]]+(TableRBRanks314135[[#This Row],[REC]]*0.5)</f>
        <v>0</v>
      </c>
      <c r="AD101" s="58">
        <v>100</v>
      </c>
      <c r="AE101" s="58" t="str">
        <f>VLOOKUP(TableWRRanks324236[[#This Row],[RK]],Rankings!A:AI,28,FALSE)</f>
        <v>KaVontae Turpin</v>
      </c>
      <c r="AF101" s="58" t="str">
        <f>IFERROR(INDEX(TableWRCalcPts[TM],MATCH(TableWRRanks324236[[#This Row],[Player]],TableWRCalcPts[PLAYER],0)),"")</f>
        <v>DAL</v>
      </c>
      <c r="AG101" s="58">
        <f>IFERROR(INDEX(TableWRCalcPts[BYE],MATCH(TableWRRanks324236[[#This Row],[Player]],TableWRCalcPts[PLAYER],0)),"")</f>
        <v>14</v>
      </c>
      <c r="AH101" s="100">
        <f>VLOOKUP(TableWRRanks324236[[#This Row],[Player]],WR!B:O,4,FALSE)</f>
        <v>85.88473528786632</v>
      </c>
      <c r="AI101" s="100">
        <f>VLOOKUP(TableWRRanks324236[[#This Row],[Player]],WR!B:O,5,FALSE)</f>
        <v>0.14827909616178298</v>
      </c>
      <c r="AJ101" s="100">
        <f>VLOOKUP(TableWRRanks324236[[#This Row],[Player]],WR!B:O,6,FALSE)</f>
        <v>33.754767199999996</v>
      </c>
      <c r="AK101" s="100">
        <f>VLOOKUP(TableWRRanks324236[[#This Row],[Player]],WR!B:O,7,FALSE)</f>
        <v>24.100903780799996</v>
      </c>
      <c r="AL101" s="100">
        <f>VLOOKUP(TableWRRanks324236[[#This Row],[Player]],WR!B:O,8,FALSE)</f>
        <v>303.37231656835706</v>
      </c>
      <c r="AM101" s="100">
        <f>VLOOKUP(TableWRRanks324236[[#This Row],[Player]],WR!B:O,9,FALSE)</f>
        <v>2.0726777251487993</v>
      </c>
      <c r="AN101" s="95">
        <f>VLOOKUP(TableWRRanks324236[[#This Row],[Player]],WR!B:O,13,FALSE)</f>
        <v>64.301898003885839</v>
      </c>
      <c r="AO101" s="190">
        <f>TableWRRanks324236[[#This Row],[FPS]]+(TableWRRanks324236[[#This Row],[REC]]*0.5)</f>
        <v>76.352349894285837</v>
      </c>
      <c r="AQ101" s="58">
        <v>100</v>
      </c>
      <c r="AR101" s="58">
        <f>VLOOKUP(TableTERanks334337[[#This Row],[RK]],Rankings!A:AI,33,FALSE)</f>
        <v>0</v>
      </c>
      <c r="AS101" s="58" t="str">
        <f>IFERROR(INDEX(TableTECalcPts[TM],MATCH(TableTERanks334337[[#This Row],[Player]],TableTECalcPts[PLAYER],0)),"")</f>
        <v/>
      </c>
      <c r="AT101" s="58" t="str">
        <f>IFERROR(INDEX(TableTECalcPts[BYE],MATCH(TableTERanks334337[[#This Row],[Player]],TableTECalcPts[PLAYER],0)),"")</f>
        <v/>
      </c>
      <c r="AU101" s="100">
        <f>VLOOKUP(TableTERanks334337[[#This Row],[Player]],TE!B:O,4,FALSE)</f>
        <v>0</v>
      </c>
      <c r="AV101" s="100">
        <f>VLOOKUP(TableTERanks334337[[#This Row],[Player]],TE!B:O,5,FALSE)</f>
        <v>0</v>
      </c>
      <c r="AW101" s="100">
        <f>VLOOKUP(TableTERanks334337[[#This Row],[Player]],TE!B:O,6,FALSE)</f>
        <v>0</v>
      </c>
      <c r="AX101" s="100">
        <f>VLOOKUP(TableTERanks334337[[#This Row],[Player]],TE!B:O,7,FALSE)</f>
        <v>0</v>
      </c>
      <c r="AY101" s="95">
        <f>VLOOKUP(TableTERanks334337[[#This Row],[Player]],TE!B:O,11,FALSE)</f>
        <v>0</v>
      </c>
      <c r="AZ101" s="190">
        <f>TableTERanks334337[[#This Row],[FPS]]+(TableTERanks334337[[#This Row],[REC]]*0.5)</f>
        <v>0</v>
      </c>
    </row>
    <row r="102" spans="16:52" x14ac:dyDescent="0.25">
      <c r="P102" s="58">
        <v>101</v>
      </c>
      <c r="Q102" s="58">
        <f>VLOOKUP(TableRBRanks314135[[#This Row],[RK]],Rankings!A:AI,23,FALSE)</f>
        <v>0</v>
      </c>
      <c r="R102" s="58" t="str">
        <f>IFERROR(INDEX(TableRBCalcPts[TM],MATCH(TableRBRanks314135[[#This Row],[Player]],TableRBCalcPts[PLAYER],0)),"")</f>
        <v/>
      </c>
      <c r="S102" s="58" t="str">
        <f>IFERROR(INDEX(TableRBCalcPts[BYE],MATCH(TableRBRanks314135[[#This Row],[Player]],TableRBCalcPts[PLAYER],0)),"")</f>
        <v/>
      </c>
      <c r="T102" s="100">
        <f>VLOOKUP(TableRBRanks314135[[#This Row],[Player]],RB!B:O,4,FALSE)</f>
        <v>0</v>
      </c>
      <c r="U102" s="100">
        <f>VLOOKUP(TableRBRanks314135[[#This Row],[Player]],RB!B:O,5,FALSE)</f>
        <v>0</v>
      </c>
      <c r="V102" s="100">
        <f>VLOOKUP(TableRBRanks314135[[#This Row],[Player]],RB!B:O,6,FALSE)</f>
        <v>0</v>
      </c>
      <c r="W102" s="100">
        <f>VLOOKUP(TableRBRanks314135[[#This Row],[Player]],RB!B:O,7,FALSE)</f>
        <v>0</v>
      </c>
      <c r="X102" s="100">
        <f>VLOOKUP(TableRBRanks314135[[#This Row],[Player]],RB!B:O,8,FALSE)</f>
        <v>0</v>
      </c>
      <c r="Y102" s="100">
        <f>VLOOKUP(TableRBRanks314135[[#This Row],[Player]],RB!B:O,9,FALSE)</f>
        <v>0</v>
      </c>
      <c r="Z102" s="100">
        <f>VLOOKUP(TableRBRanks314135[[#This Row],[Player]],RB!B:O,10,FALSE)</f>
        <v>0</v>
      </c>
      <c r="AA102" s="95">
        <f>VLOOKUP(TableRBRanks314135[[#This Row],[Player]],RB!B:O,14,FALSE)</f>
        <v>0</v>
      </c>
      <c r="AB102" s="190">
        <f>TableRBRanks314135[[#This Row],[FPS]]+(TableRBRanks314135[[#This Row],[REC]]*0.5)</f>
        <v>0</v>
      </c>
      <c r="AD102" s="58">
        <v>101</v>
      </c>
      <c r="AE102" s="58" t="str">
        <f>VLOOKUP(TableWRRanks324236[[#This Row],[RK]],Rankings!A:AI,28,FALSE)</f>
        <v>Kendrick Bourne</v>
      </c>
      <c r="AF102" s="58" t="str">
        <f>IFERROR(INDEX(TableWRCalcPts[TM],MATCH(TableWRRanks324236[[#This Row],[Player]],TableWRCalcPts[PLAYER],0)),"")</f>
        <v>ARI</v>
      </c>
      <c r="AG102" s="58">
        <f>IFERROR(INDEX(TableWRCalcPts[BYE],MATCH(TableWRRanks324236[[#This Row],[Player]],TableWRCalcPts[PLAYER],0)),"")</f>
        <v>14</v>
      </c>
      <c r="AH102" s="100">
        <f>VLOOKUP(TableWRRanks324236[[#This Row],[Player]],WR!B:O,4,FALSE)</f>
        <v>0</v>
      </c>
      <c r="AI102" s="100">
        <f>VLOOKUP(TableWRRanks324236[[#This Row],[Player]],WR!B:O,5,FALSE)</f>
        <v>0</v>
      </c>
      <c r="AJ102" s="100">
        <f>VLOOKUP(TableWRRanks324236[[#This Row],[Player]],WR!B:O,6,FALSE)</f>
        <v>44.474752000000002</v>
      </c>
      <c r="AK102" s="100">
        <f>VLOOKUP(TableWRRanks324236[[#This Row],[Player]],WR!B:O,7,FALSE)</f>
        <v>27.529871488000001</v>
      </c>
      <c r="AL102" s="100">
        <f>VLOOKUP(TableWRRanks324236[[#This Row],[Player]],WR!B:O,8,FALSE)</f>
        <v>296.77201464064001</v>
      </c>
      <c r="AM102" s="100">
        <f>VLOOKUP(TableWRRanks324236[[#This Row],[Player]],WR!B:O,9,FALSE)</f>
        <v>1.6517922892800001</v>
      </c>
      <c r="AN102" s="95">
        <f>VLOOKUP(TableWRRanks324236[[#This Row],[Player]],WR!B:O,13,FALSE)</f>
        <v>53.352890943744001</v>
      </c>
      <c r="AO102" s="190">
        <f>TableWRRanks324236[[#This Row],[FPS]]+(TableWRRanks324236[[#This Row],[REC]]*0.5)</f>
        <v>67.117826687744</v>
      </c>
    </row>
    <row r="103" spans="16:52" x14ac:dyDescent="0.25">
      <c r="P103" s="58">
        <v>102</v>
      </c>
      <c r="Q103" s="58">
        <f>VLOOKUP(TableRBRanks314135[[#This Row],[RK]],Rankings!A:AI,23,FALSE)</f>
        <v>0</v>
      </c>
      <c r="R103" s="58" t="str">
        <f>IFERROR(INDEX(TableRBCalcPts[TM],MATCH(TableRBRanks314135[[#This Row],[Player]],TableRBCalcPts[PLAYER],0)),"")</f>
        <v/>
      </c>
      <c r="S103" s="58" t="str">
        <f>IFERROR(INDEX(TableRBCalcPts[BYE],MATCH(TableRBRanks314135[[#This Row],[Player]],TableRBCalcPts[PLAYER],0)),"")</f>
        <v/>
      </c>
      <c r="T103" s="100">
        <f>VLOOKUP(TableRBRanks314135[[#This Row],[Player]],RB!B:O,4,FALSE)</f>
        <v>0</v>
      </c>
      <c r="U103" s="100">
        <f>VLOOKUP(TableRBRanks314135[[#This Row],[Player]],RB!B:O,5,FALSE)</f>
        <v>0</v>
      </c>
      <c r="V103" s="100">
        <f>VLOOKUP(TableRBRanks314135[[#This Row],[Player]],RB!B:O,6,FALSE)</f>
        <v>0</v>
      </c>
      <c r="W103" s="100">
        <f>VLOOKUP(TableRBRanks314135[[#This Row],[Player]],RB!B:O,7,FALSE)</f>
        <v>0</v>
      </c>
      <c r="X103" s="100">
        <f>VLOOKUP(TableRBRanks314135[[#This Row],[Player]],RB!B:O,8,FALSE)</f>
        <v>0</v>
      </c>
      <c r="Y103" s="100">
        <f>VLOOKUP(TableRBRanks314135[[#This Row],[Player]],RB!B:O,9,FALSE)</f>
        <v>0</v>
      </c>
      <c r="Z103" s="100">
        <f>VLOOKUP(TableRBRanks314135[[#This Row],[Player]],RB!B:O,10,FALSE)</f>
        <v>0</v>
      </c>
      <c r="AA103" s="95">
        <f>VLOOKUP(TableRBRanks314135[[#This Row],[Player]],RB!B:O,14,FALSE)</f>
        <v>0</v>
      </c>
      <c r="AB103" s="190">
        <f>TableRBRanks314135[[#This Row],[FPS]]+(TableRBRanks314135[[#This Row],[REC]]*0.5)</f>
        <v>0</v>
      </c>
      <c r="AD103" s="58">
        <v>102</v>
      </c>
      <c r="AE103" s="58" t="str">
        <f>VLOOKUP(TableWRRanks324236[[#This Row],[RK]],Rankings!A:AI,28,FALSE)</f>
        <v>Travis Hunter</v>
      </c>
      <c r="AF103" s="58" t="str">
        <f>IFERROR(INDEX(TableWRCalcPts[TM],MATCH(TableWRRanks324236[[#This Row],[Player]],TableWRCalcPts[PLAYER],0)),"")</f>
        <v>JAX</v>
      </c>
      <c r="AG103" s="58">
        <f>IFERROR(INDEX(TableWRCalcPts[BYE],MATCH(TableWRRanks324236[[#This Row],[Player]],TableWRCalcPts[PLAYER],0)),"")</f>
        <v>7</v>
      </c>
      <c r="AH103" s="100">
        <f>VLOOKUP(TableWRRanks324236[[#This Row],[Player]],WR!B:O,4,FALSE)</f>
        <v>0</v>
      </c>
      <c r="AI103" s="100">
        <f>VLOOKUP(TableWRRanks324236[[#This Row],[Player]],WR!B:O,5,FALSE)</f>
        <v>0</v>
      </c>
      <c r="AJ103" s="100">
        <f>VLOOKUP(TableWRRanks324236[[#This Row],[Player]],WR!B:O,6,FALSE)</f>
        <v>35.819078400000002</v>
      </c>
      <c r="AK103" s="100">
        <f>VLOOKUP(TableWRRanks324236[[#This Row],[Player]],WR!B:O,7,FALSE)</f>
        <v>22.351104921600001</v>
      </c>
      <c r="AL103" s="100">
        <f>VLOOKUP(TableWRRanks324236[[#This Row],[Player]],WR!B:O,8,FALSE)</f>
        <v>244.29757679308801</v>
      </c>
      <c r="AM103" s="100">
        <f>VLOOKUP(TableWRRanks324236[[#This Row],[Player]],WR!B:O,9,FALSE)</f>
        <v>1.6316306592768</v>
      </c>
      <c r="AN103" s="95">
        <f>VLOOKUP(TableWRRanks324236[[#This Row],[Player]],WR!B:O,13,FALSE)</f>
        <v>45.395094095769608</v>
      </c>
      <c r="AO103" s="190">
        <f>TableWRRanks324236[[#This Row],[FPS]]+(TableWRRanks324236[[#This Row],[REC]]*0.5)</f>
        <v>56.570646556569606</v>
      </c>
    </row>
    <row r="104" spans="16:52" x14ac:dyDescent="0.25">
      <c r="P104" s="58">
        <v>103</v>
      </c>
      <c r="Q104" s="58">
        <f>VLOOKUP(TableRBRanks314135[[#This Row],[RK]],Rankings!A:AI,23,FALSE)</f>
        <v>0</v>
      </c>
      <c r="R104" s="58" t="str">
        <f>IFERROR(INDEX(TableRBCalcPts[TM],MATCH(TableRBRanks314135[[#This Row],[Player]],TableRBCalcPts[PLAYER],0)),"")</f>
        <v/>
      </c>
      <c r="S104" s="58" t="str">
        <f>IFERROR(INDEX(TableRBCalcPts[BYE],MATCH(TableRBRanks314135[[#This Row],[Player]],TableRBCalcPts[PLAYER],0)),"")</f>
        <v/>
      </c>
      <c r="T104" s="100">
        <f>VLOOKUP(TableRBRanks314135[[#This Row],[Player]],RB!B:O,4,FALSE)</f>
        <v>0</v>
      </c>
      <c r="U104" s="100">
        <f>VLOOKUP(TableRBRanks314135[[#This Row],[Player]],RB!B:O,5,FALSE)</f>
        <v>0</v>
      </c>
      <c r="V104" s="100">
        <f>VLOOKUP(TableRBRanks314135[[#This Row],[Player]],RB!B:O,6,FALSE)</f>
        <v>0</v>
      </c>
      <c r="W104" s="100">
        <f>VLOOKUP(TableRBRanks314135[[#This Row],[Player]],RB!B:O,7,FALSE)</f>
        <v>0</v>
      </c>
      <c r="X104" s="100">
        <f>VLOOKUP(TableRBRanks314135[[#This Row],[Player]],RB!B:O,8,FALSE)</f>
        <v>0</v>
      </c>
      <c r="Y104" s="100">
        <f>VLOOKUP(TableRBRanks314135[[#This Row],[Player]],RB!B:O,9,FALSE)</f>
        <v>0</v>
      </c>
      <c r="Z104" s="100">
        <f>VLOOKUP(TableRBRanks314135[[#This Row],[Player]],RB!B:O,10,FALSE)</f>
        <v>0</v>
      </c>
      <c r="AA104" s="95">
        <f>VLOOKUP(TableRBRanks314135[[#This Row],[Player]],RB!B:O,14,FALSE)</f>
        <v>0</v>
      </c>
      <c r="AB104" s="190">
        <f>TableRBRanks314135[[#This Row],[FPS]]+(TableRBRanks314135[[#This Row],[REC]]*0.5)</f>
        <v>0</v>
      </c>
      <c r="AD104" s="58">
        <v>103</v>
      </c>
      <c r="AE104" s="58" t="str">
        <f>VLOOKUP(TableWRRanks324236[[#This Row],[RK]],Rankings!A:AI,28,FALSE)</f>
        <v>Ja'Kobi Lane</v>
      </c>
      <c r="AF104" s="58" t="str">
        <f>IFERROR(INDEX(TableWRCalcPts[TM],MATCH(TableWRRanks324236[[#This Row],[Player]],TableWRCalcPts[PLAYER],0)),"")</f>
        <v>BAL</v>
      </c>
      <c r="AG104" s="58">
        <f>IFERROR(INDEX(TableWRCalcPts[BYE],MATCH(TableWRRanks324236[[#This Row],[Player]],TableWRCalcPts[PLAYER],0)),"")</f>
        <v>13</v>
      </c>
      <c r="AH104" s="100">
        <f>VLOOKUP(TableWRRanks324236[[#This Row],[Player]],WR!B:O,4,FALSE)</f>
        <v>0</v>
      </c>
      <c r="AI104" s="100">
        <f>VLOOKUP(TableWRRanks324236[[#This Row],[Player]],WR!B:O,5,FALSE)</f>
        <v>0</v>
      </c>
      <c r="AJ104" s="100">
        <f>VLOOKUP(TableWRRanks324236[[#This Row],[Player]],WR!B:O,6,FALSE)</f>
        <v>40.416642559999993</v>
      </c>
      <c r="AK104" s="100">
        <f>VLOOKUP(TableWRRanks324236[[#This Row],[Player]],WR!B:O,7,FALSE)</f>
        <v>23.393931829729151</v>
      </c>
      <c r="AL104" s="100">
        <f>VLOOKUP(TableWRRanks324236[[#This Row],[Player]],WR!B:O,8,FALSE)</f>
        <v>333.14545725123338</v>
      </c>
      <c r="AM104" s="100">
        <f>VLOOKUP(TableWRRanks324236[[#This Row],[Player]],WR!B:O,9,FALSE)</f>
        <v>2.3159992511431859</v>
      </c>
      <c r="AN104" s="95">
        <f>VLOOKUP(TableWRRanks324236[[#This Row],[Player]],WR!B:O,13,FALSE)</f>
        <v>58.907507146847031</v>
      </c>
      <c r="AO104" s="190">
        <f>TableWRRanks324236[[#This Row],[FPS]]+(TableWRRanks324236[[#This Row],[REC]]*0.5)</f>
        <v>70.604473061711602</v>
      </c>
    </row>
    <row r="105" spans="16:52" x14ac:dyDescent="0.25">
      <c r="P105" s="58">
        <v>104</v>
      </c>
      <c r="Q105" s="58">
        <f>VLOOKUP(TableRBRanks314135[[#This Row],[RK]],Rankings!A:AI,23,FALSE)</f>
        <v>0</v>
      </c>
      <c r="R105" s="58" t="str">
        <f>IFERROR(INDEX(TableRBCalcPts[TM],MATCH(TableRBRanks314135[[#This Row],[Player]],TableRBCalcPts[PLAYER],0)),"")</f>
        <v/>
      </c>
      <c r="S105" s="58" t="str">
        <f>IFERROR(INDEX(TableRBCalcPts[BYE],MATCH(TableRBRanks314135[[#This Row],[Player]],TableRBCalcPts[PLAYER],0)),"")</f>
        <v/>
      </c>
      <c r="T105" s="100">
        <f>VLOOKUP(TableRBRanks314135[[#This Row],[Player]],RB!B:O,4,FALSE)</f>
        <v>0</v>
      </c>
      <c r="U105" s="100">
        <f>VLOOKUP(TableRBRanks314135[[#This Row],[Player]],RB!B:O,5,FALSE)</f>
        <v>0</v>
      </c>
      <c r="V105" s="100">
        <f>VLOOKUP(TableRBRanks314135[[#This Row],[Player]],RB!B:O,6,FALSE)</f>
        <v>0</v>
      </c>
      <c r="W105" s="100">
        <f>VLOOKUP(TableRBRanks314135[[#This Row],[Player]],RB!B:O,7,FALSE)</f>
        <v>0</v>
      </c>
      <c r="X105" s="100">
        <f>VLOOKUP(TableRBRanks314135[[#This Row],[Player]],RB!B:O,8,FALSE)</f>
        <v>0</v>
      </c>
      <c r="Y105" s="100">
        <f>VLOOKUP(TableRBRanks314135[[#This Row],[Player]],RB!B:O,9,FALSE)</f>
        <v>0</v>
      </c>
      <c r="Z105" s="100">
        <f>VLOOKUP(TableRBRanks314135[[#This Row],[Player]],RB!B:O,10,FALSE)</f>
        <v>0</v>
      </c>
      <c r="AA105" s="95">
        <f>VLOOKUP(TableRBRanks314135[[#This Row],[Player]],RB!B:O,14,FALSE)</f>
        <v>0</v>
      </c>
      <c r="AB105" s="190">
        <f>TableRBRanks314135[[#This Row],[FPS]]+(TableRBRanks314135[[#This Row],[REC]]*0.5)</f>
        <v>0</v>
      </c>
      <c r="AD105" s="58">
        <v>104</v>
      </c>
      <c r="AE105" s="58" t="str">
        <f>VLOOKUP(TableWRRanks324236[[#This Row],[RK]],Rankings!A:AI,28,FALSE)</f>
        <v>Ted Hurst</v>
      </c>
      <c r="AF105" s="58" t="str">
        <f>IFERROR(INDEX(TableWRCalcPts[TM],MATCH(TableWRRanks324236[[#This Row],[Player]],TableWRCalcPts[PLAYER],0)),"")</f>
        <v>TB</v>
      </c>
      <c r="AG105" s="58">
        <f>IFERROR(INDEX(TableWRCalcPts[BYE],MATCH(TableWRRanks324236[[#This Row],[Player]],TableWRCalcPts[PLAYER],0)),"")</f>
        <v>10</v>
      </c>
      <c r="AH105" s="100">
        <f>VLOOKUP(TableWRRanks324236[[#This Row],[Player]],WR!B:O,4,FALSE)</f>
        <v>0</v>
      </c>
      <c r="AI105" s="100">
        <f>VLOOKUP(TableWRRanks324236[[#This Row],[Player]],WR!B:O,5,FALSE)</f>
        <v>0</v>
      </c>
      <c r="AJ105" s="100">
        <f>VLOOKUP(TableWRRanks324236[[#This Row],[Player]],WR!B:O,6,FALSE)</f>
        <v>34.213409159999983</v>
      </c>
      <c r="AK105" s="100">
        <f>VLOOKUP(TableWRRanks324236[[#This Row],[Player]],WR!B:O,7,FALSE)</f>
        <v>20.596472314319989</v>
      </c>
      <c r="AL105" s="100">
        <f>VLOOKUP(TableWRRanks324236[[#This Row],[Player]],WR!B:O,8,FALSE)</f>
        <v>261.98712783815029</v>
      </c>
      <c r="AM105" s="100">
        <f>VLOOKUP(TableWRRanks324236[[#This Row],[Player]],WR!B:O,9,FALSE)</f>
        <v>1.8536825082887989</v>
      </c>
      <c r="AN105" s="95">
        <f>VLOOKUP(TableWRRanks324236[[#This Row],[Player]],WR!B:O,13,FALSE)</f>
        <v>47.619043990707816</v>
      </c>
      <c r="AO105" s="190">
        <f>TableWRRanks324236[[#This Row],[FPS]]+(TableWRRanks324236[[#This Row],[REC]]*0.5)</f>
        <v>57.917280147867814</v>
      </c>
    </row>
    <row r="106" spans="16:52" x14ac:dyDescent="0.25">
      <c r="P106" s="58">
        <v>105</v>
      </c>
      <c r="Q106" s="58">
        <f>VLOOKUP(TableRBRanks314135[[#This Row],[RK]],Rankings!A:AI,23,FALSE)</f>
        <v>0</v>
      </c>
      <c r="R106" s="58" t="str">
        <f>IFERROR(INDEX(TableRBCalcPts[TM],MATCH(TableRBRanks314135[[#This Row],[Player]],TableRBCalcPts[PLAYER],0)),"")</f>
        <v/>
      </c>
      <c r="S106" s="58" t="str">
        <f>IFERROR(INDEX(TableRBCalcPts[BYE],MATCH(TableRBRanks314135[[#This Row],[Player]],TableRBCalcPts[PLAYER],0)),"")</f>
        <v/>
      </c>
      <c r="T106" s="100">
        <f>VLOOKUP(TableRBRanks314135[[#This Row],[Player]],RB!B:O,4,FALSE)</f>
        <v>0</v>
      </c>
      <c r="U106" s="100">
        <f>VLOOKUP(TableRBRanks314135[[#This Row],[Player]],RB!B:O,5,FALSE)</f>
        <v>0</v>
      </c>
      <c r="V106" s="100">
        <f>VLOOKUP(TableRBRanks314135[[#This Row],[Player]],RB!B:O,6,FALSE)</f>
        <v>0</v>
      </c>
      <c r="W106" s="100">
        <f>VLOOKUP(TableRBRanks314135[[#This Row],[Player]],RB!B:O,7,FALSE)</f>
        <v>0</v>
      </c>
      <c r="X106" s="100">
        <f>VLOOKUP(TableRBRanks314135[[#This Row],[Player]],RB!B:O,8,FALSE)</f>
        <v>0</v>
      </c>
      <c r="Y106" s="100">
        <f>VLOOKUP(TableRBRanks314135[[#This Row],[Player]],RB!B:O,9,FALSE)</f>
        <v>0</v>
      </c>
      <c r="Z106" s="100">
        <f>VLOOKUP(TableRBRanks314135[[#This Row],[Player]],RB!B:O,10,FALSE)</f>
        <v>0</v>
      </c>
      <c r="AA106" s="95">
        <f>VLOOKUP(TableRBRanks314135[[#This Row],[Player]],RB!B:O,14,FALSE)</f>
        <v>0</v>
      </c>
      <c r="AB106" s="190">
        <f>TableRBRanks314135[[#This Row],[FPS]]+(TableRBRanks314135[[#This Row],[REC]]*0.5)</f>
        <v>0</v>
      </c>
      <c r="AD106" s="58">
        <v>105</v>
      </c>
      <c r="AE106" s="58" t="str">
        <f>VLOOKUP(TableWRRanks324236[[#This Row],[RK]],Rankings!A:AI,28,FALSE)</f>
        <v>Nick Westbrook-Ikhine</v>
      </c>
      <c r="AF106" s="58" t="str">
        <f>IFERROR(INDEX(TableWRCalcPts[TM],MATCH(TableWRRanks324236[[#This Row],[Player]],TableWRCalcPts[PLAYER],0)),"")</f>
        <v>IND</v>
      </c>
      <c r="AG106" s="58">
        <f>IFERROR(INDEX(TableWRCalcPts[BYE],MATCH(TableWRRanks324236[[#This Row],[Player]],TableWRCalcPts[PLAYER],0)),"")</f>
        <v>13</v>
      </c>
      <c r="AH106" s="100">
        <f>VLOOKUP(TableWRRanks324236[[#This Row],[Player]],WR!B:O,4,FALSE)</f>
        <v>0</v>
      </c>
      <c r="AI106" s="100">
        <f>VLOOKUP(TableWRRanks324236[[#This Row],[Player]],WR!B:O,5,FALSE)</f>
        <v>0</v>
      </c>
      <c r="AJ106" s="100">
        <f>VLOOKUP(TableWRRanks324236[[#This Row],[Player]],WR!B:O,6,FALSE)</f>
        <v>53.306668799999997</v>
      </c>
      <c r="AK106" s="100">
        <f>VLOOKUP(TableWRRanks324236[[#This Row],[Player]],WR!B:O,7,FALSE)</f>
        <v>31.077787910399998</v>
      </c>
      <c r="AL106" s="100">
        <f>VLOOKUP(TableWRRanks324236[[#This Row],[Player]],WR!B:O,8,FALSE)</f>
        <v>366.09634158451195</v>
      </c>
      <c r="AM106" s="100">
        <f>VLOOKUP(TableWRRanks324236[[#This Row],[Player]],WR!B:O,9,FALSE)</f>
        <v>2.7659231240255995</v>
      </c>
      <c r="AN106" s="95">
        <f>VLOOKUP(TableWRRanks324236[[#This Row],[Player]],WR!B:O,13,FALSE)</f>
        <v>68.744066857804796</v>
      </c>
      <c r="AO106" s="190">
        <f>TableWRRanks324236[[#This Row],[FPS]]+(TableWRRanks324236[[#This Row],[REC]]*0.5)</f>
        <v>84.282960813004792</v>
      </c>
    </row>
    <row r="107" spans="16:52" x14ac:dyDescent="0.25">
      <c r="P107" s="58">
        <v>106</v>
      </c>
      <c r="Q107" s="58">
        <f>VLOOKUP(TableRBRanks314135[[#This Row],[RK]],Rankings!A:AI,23,FALSE)</f>
        <v>0</v>
      </c>
      <c r="R107" s="58" t="str">
        <f>IFERROR(INDEX(TableRBCalcPts[TM],MATCH(TableRBRanks314135[[#This Row],[Player]],TableRBCalcPts[PLAYER],0)),"")</f>
        <v/>
      </c>
      <c r="S107" s="58" t="str">
        <f>IFERROR(INDEX(TableRBCalcPts[BYE],MATCH(TableRBRanks314135[[#This Row],[Player]],TableRBCalcPts[PLAYER],0)),"")</f>
        <v/>
      </c>
      <c r="T107" s="100">
        <f>VLOOKUP(TableRBRanks314135[[#This Row],[Player]],RB!B:O,4,FALSE)</f>
        <v>0</v>
      </c>
      <c r="U107" s="100">
        <f>VLOOKUP(TableRBRanks314135[[#This Row],[Player]],RB!B:O,5,FALSE)</f>
        <v>0</v>
      </c>
      <c r="V107" s="100">
        <f>VLOOKUP(TableRBRanks314135[[#This Row],[Player]],RB!B:O,6,FALSE)</f>
        <v>0</v>
      </c>
      <c r="W107" s="100">
        <f>VLOOKUP(TableRBRanks314135[[#This Row],[Player]],RB!B:O,7,FALSE)</f>
        <v>0</v>
      </c>
      <c r="X107" s="100">
        <f>VLOOKUP(TableRBRanks314135[[#This Row],[Player]],RB!B:O,8,FALSE)</f>
        <v>0</v>
      </c>
      <c r="Y107" s="100">
        <f>VLOOKUP(TableRBRanks314135[[#This Row],[Player]],RB!B:O,9,FALSE)</f>
        <v>0</v>
      </c>
      <c r="Z107" s="100">
        <f>VLOOKUP(TableRBRanks314135[[#This Row],[Player]],RB!B:O,10,FALSE)</f>
        <v>0</v>
      </c>
      <c r="AA107" s="95">
        <f>VLOOKUP(TableRBRanks314135[[#This Row],[Player]],RB!B:O,14,FALSE)</f>
        <v>0</v>
      </c>
      <c r="AB107" s="190">
        <f>TableRBRanks314135[[#This Row],[FPS]]+(TableRBRanks314135[[#This Row],[REC]]*0.5)</f>
        <v>0</v>
      </c>
      <c r="AD107" s="58">
        <v>106</v>
      </c>
      <c r="AE107" s="58" t="str">
        <f>VLOOKUP(TableWRRanks324236[[#This Row],[RK]],Rankings!A:AI,28,FALSE)</f>
        <v>Pat Bryant</v>
      </c>
      <c r="AF107" s="58" t="str">
        <f>IFERROR(INDEX(TableWRCalcPts[TM],MATCH(TableWRRanks324236[[#This Row],[Player]],TableWRCalcPts[PLAYER],0)),"")</f>
        <v>DEN</v>
      </c>
      <c r="AG107" s="58">
        <f>IFERROR(INDEX(TableWRCalcPts[BYE],MATCH(TableWRRanks324236[[#This Row],[Player]],TableWRCalcPts[PLAYER],0)),"")</f>
        <v>10</v>
      </c>
      <c r="AH107" s="100">
        <f>VLOOKUP(TableWRRanks324236[[#This Row],[Player]],WR!B:O,4,FALSE)</f>
        <v>0</v>
      </c>
      <c r="AI107" s="100">
        <f>VLOOKUP(TableWRRanks324236[[#This Row],[Player]],WR!B:O,5,FALSE)</f>
        <v>0</v>
      </c>
      <c r="AJ107" s="100">
        <f>VLOOKUP(TableWRRanks324236[[#This Row],[Player]],WR!B:O,6,FALSE)</f>
        <v>43.941716280000009</v>
      </c>
      <c r="AK107" s="100">
        <f>VLOOKUP(TableWRRanks324236[[#This Row],[Player]],WR!B:O,7,FALSE)</f>
        <v>25.235181978160007</v>
      </c>
      <c r="AL107" s="100">
        <f>VLOOKUP(TableWRRanks324236[[#This Row],[Player]],WR!B:O,8,FALSE)</f>
        <v>296.52501987416008</v>
      </c>
      <c r="AM107" s="100">
        <f>VLOOKUP(TableWRRanks324236[[#This Row],[Player]],WR!B:O,9,FALSE)</f>
        <v>1.5141109186896005</v>
      </c>
      <c r="AN107" s="95">
        <f>VLOOKUP(TableWRRanks324236[[#This Row],[Player]],WR!B:O,13,FALSE)</f>
        <v>51.354758488633621</v>
      </c>
      <c r="AO107" s="190">
        <f>TableWRRanks324236[[#This Row],[FPS]]+(TableWRRanks324236[[#This Row],[REC]]*0.5)</f>
        <v>63.972349477713621</v>
      </c>
    </row>
    <row r="108" spans="16:52" x14ac:dyDescent="0.25">
      <c r="P108" s="58">
        <v>107</v>
      </c>
      <c r="Q108" s="58">
        <f>VLOOKUP(TableRBRanks314135[[#This Row],[RK]],Rankings!A:AI,23,FALSE)</f>
        <v>0</v>
      </c>
      <c r="R108" s="58" t="str">
        <f>IFERROR(INDEX(TableRBCalcPts[TM],MATCH(TableRBRanks314135[[#This Row],[Player]],TableRBCalcPts[PLAYER],0)),"")</f>
        <v/>
      </c>
      <c r="S108" s="58" t="str">
        <f>IFERROR(INDEX(TableRBCalcPts[BYE],MATCH(TableRBRanks314135[[#This Row],[Player]],TableRBCalcPts[PLAYER],0)),"")</f>
        <v/>
      </c>
      <c r="T108" s="100">
        <f>VLOOKUP(TableRBRanks314135[[#This Row],[Player]],RB!B:O,4,FALSE)</f>
        <v>0</v>
      </c>
      <c r="U108" s="100">
        <f>VLOOKUP(TableRBRanks314135[[#This Row],[Player]],RB!B:O,5,FALSE)</f>
        <v>0</v>
      </c>
      <c r="V108" s="100">
        <f>VLOOKUP(TableRBRanks314135[[#This Row],[Player]],RB!B:O,6,FALSE)</f>
        <v>0</v>
      </c>
      <c r="W108" s="100">
        <f>VLOOKUP(TableRBRanks314135[[#This Row],[Player]],RB!B:O,7,FALSE)</f>
        <v>0</v>
      </c>
      <c r="X108" s="100">
        <f>VLOOKUP(TableRBRanks314135[[#This Row],[Player]],RB!B:O,8,FALSE)</f>
        <v>0</v>
      </c>
      <c r="Y108" s="100">
        <f>VLOOKUP(TableRBRanks314135[[#This Row],[Player]],RB!B:O,9,FALSE)</f>
        <v>0</v>
      </c>
      <c r="Z108" s="100">
        <f>VLOOKUP(TableRBRanks314135[[#This Row],[Player]],RB!B:O,10,FALSE)</f>
        <v>0</v>
      </c>
      <c r="AA108" s="95">
        <f>VLOOKUP(TableRBRanks314135[[#This Row],[Player]],RB!B:O,14,FALSE)</f>
        <v>0</v>
      </c>
      <c r="AB108" s="190">
        <f>TableRBRanks314135[[#This Row],[FPS]]+(TableRBRanks314135[[#This Row],[REC]]*0.5)</f>
        <v>0</v>
      </c>
      <c r="AD108" s="58">
        <v>107</v>
      </c>
      <c r="AE108" s="58" t="str">
        <f>VLOOKUP(TableWRRanks324236[[#This Row],[RK]],Rankings!A:AI,28,FALSE)</f>
        <v>Christian Kirk</v>
      </c>
      <c r="AF108" s="58" t="str">
        <f>IFERROR(INDEX(TableWRCalcPts[TM],MATCH(TableWRRanks324236[[#This Row],[Player]],TableWRCalcPts[PLAYER],0)),"")</f>
        <v>SF</v>
      </c>
      <c r="AG108" s="58">
        <f>IFERROR(INDEX(TableWRCalcPts[BYE],MATCH(TableWRRanks324236[[#This Row],[Player]],TableWRCalcPts[PLAYER],0)),"")</f>
        <v>8</v>
      </c>
      <c r="AH108" s="100">
        <f>VLOOKUP(TableWRRanks324236[[#This Row],[Player]],WR!B:O,4,FALSE)</f>
        <v>0</v>
      </c>
      <c r="AI108" s="100">
        <f>VLOOKUP(TableWRRanks324236[[#This Row],[Player]],WR!B:O,5,FALSE)</f>
        <v>0</v>
      </c>
      <c r="AJ108" s="100">
        <f>VLOOKUP(TableWRRanks324236[[#This Row],[Player]],WR!B:O,6,FALSE)</f>
        <v>28.989152640000004</v>
      </c>
      <c r="AK108" s="100">
        <f>VLOOKUP(TableWRRanks324236[[#This Row],[Player]],WR!B:O,7,FALSE)</f>
        <v>18.611035994880002</v>
      </c>
      <c r="AL108" s="100">
        <f>VLOOKUP(TableWRRanks324236[[#This Row],[Player]],WR!B:O,8,FALSE)</f>
        <v>217.72554363189559</v>
      </c>
      <c r="AM108" s="100">
        <f>VLOOKUP(TableWRRanks324236[[#This Row],[Player]],WR!B:O,9,FALSE)</f>
        <v>1.2655504476518402</v>
      </c>
      <c r="AN108" s="95">
        <f>VLOOKUP(TableWRRanks324236[[#This Row],[Player]],WR!B:O,13,FALSE)</f>
        <v>38.671375046540604</v>
      </c>
      <c r="AO108" s="190">
        <f>TableWRRanks324236[[#This Row],[FPS]]+(TableWRRanks324236[[#This Row],[REC]]*0.5)</f>
        <v>47.976893043980603</v>
      </c>
    </row>
    <row r="109" spans="16:52" x14ac:dyDescent="0.25">
      <c r="P109" s="58">
        <v>108</v>
      </c>
      <c r="Q109" s="58">
        <f>VLOOKUP(TableRBRanks314135[[#This Row],[RK]],Rankings!A:AI,23,FALSE)</f>
        <v>0</v>
      </c>
      <c r="R109" s="58" t="str">
        <f>IFERROR(INDEX(TableRBCalcPts[TM],MATCH(TableRBRanks314135[[#This Row],[Player]],TableRBCalcPts[PLAYER],0)),"")</f>
        <v/>
      </c>
      <c r="S109" s="58" t="str">
        <f>IFERROR(INDEX(TableRBCalcPts[BYE],MATCH(TableRBRanks314135[[#This Row],[Player]],TableRBCalcPts[PLAYER],0)),"")</f>
        <v/>
      </c>
      <c r="T109" s="100">
        <f>VLOOKUP(TableRBRanks314135[[#This Row],[Player]],RB!B:O,4,FALSE)</f>
        <v>0</v>
      </c>
      <c r="U109" s="100">
        <f>VLOOKUP(TableRBRanks314135[[#This Row],[Player]],RB!B:O,5,FALSE)</f>
        <v>0</v>
      </c>
      <c r="V109" s="100">
        <f>VLOOKUP(TableRBRanks314135[[#This Row],[Player]],RB!B:O,6,FALSE)</f>
        <v>0</v>
      </c>
      <c r="W109" s="100">
        <f>VLOOKUP(TableRBRanks314135[[#This Row],[Player]],RB!B:O,7,FALSE)</f>
        <v>0</v>
      </c>
      <c r="X109" s="100">
        <f>VLOOKUP(TableRBRanks314135[[#This Row],[Player]],RB!B:O,8,FALSE)</f>
        <v>0</v>
      </c>
      <c r="Y109" s="100">
        <f>VLOOKUP(TableRBRanks314135[[#This Row],[Player]],RB!B:O,9,FALSE)</f>
        <v>0</v>
      </c>
      <c r="Z109" s="100">
        <f>VLOOKUP(TableRBRanks314135[[#This Row],[Player]],RB!B:O,10,FALSE)</f>
        <v>0</v>
      </c>
      <c r="AA109" s="95">
        <f>VLOOKUP(TableRBRanks314135[[#This Row],[Player]],RB!B:O,14,FALSE)</f>
        <v>0</v>
      </c>
      <c r="AB109" s="190">
        <f>TableRBRanks314135[[#This Row],[FPS]]+(TableRBRanks314135[[#This Row],[REC]]*0.5)</f>
        <v>0</v>
      </c>
      <c r="AD109" s="58">
        <v>108</v>
      </c>
      <c r="AE109" s="58" t="str">
        <f>VLOOKUP(TableWRRanks324236[[#This Row],[RK]],Rankings!A:AI,28,FALSE)</f>
        <v>Devaughn Vele</v>
      </c>
      <c r="AF109" s="58" t="str">
        <f>IFERROR(INDEX(TableWRCalcPts[TM],MATCH(TableWRRanks324236[[#This Row],[Player]],TableWRCalcPts[PLAYER],0)),"")</f>
        <v>NO</v>
      </c>
      <c r="AG109" s="58">
        <f>IFERROR(INDEX(TableWRCalcPts[BYE],MATCH(TableWRRanks324236[[#This Row],[Player]],TableWRCalcPts[PLAYER],0)),"")</f>
        <v>8</v>
      </c>
      <c r="AH109" s="100">
        <f>VLOOKUP(TableWRRanks324236[[#This Row],[Player]],WR!B:O,4,FALSE)</f>
        <v>0</v>
      </c>
      <c r="AI109" s="100">
        <f>VLOOKUP(TableWRRanks324236[[#This Row],[Player]],WR!B:O,5,FALSE)</f>
        <v>0</v>
      </c>
      <c r="AJ109" s="100">
        <f>VLOOKUP(TableWRRanks324236[[#This Row],[Player]],WR!B:O,6,FALSE)</f>
        <v>37.575802879999998</v>
      </c>
      <c r="AK109" s="100">
        <f>VLOOKUP(TableWRRanks324236[[#This Row],[Player]],WR!B:O,7,FALSE)</f>
        <v>24.992278194604651</v>
      </c>
      <c r="AL109" s="100">
        <f>VLOOKUP(TableWRRanks324236[[#This Row],[Player]],WR!B:O,8,FALSE)</f>
        <v>292.88095448198948</v>
      </c>
      <c r="AM109" s="100">
        <f>VLOOKUP(TableWRRanks324236[[#This Row],[Player]],WR!B:O,9,FALSE)</f>
        <v>1.5816791444837208</v>
      </c>
      <c r="AN109" s="95">
        <f>VLOOKUP(TableWRRanks324236[[#This Row],[Player]],WR!B:O,13,FALSE)</f>
        <v>51.274309412403603</v>
      </c>
      <c r="AO109" s="190">
        <f>TableWRRanks324236[[#This Row],[FPS]]+(TableWRRanks324236[[#This Row],[REC]]*0.5)</f>
        <v>63.770448509705929</v>
      </c>
    </row>
    <row r="110" spans="16:52" x14ac:dyDescent="0.25">
      <c r="P110" s="58">
        <v>109</v>
      </c>
      <c r="Q110" s="58">
        <f>VLOOKUP(TableRBRanks314135[[#This Row],[RK]],Rankings!A:AI,23,FALSE)</f>
        <v>0</v>
      </c>
      <c r="R110" s="58" t="str">
        <f>IFERROR(INDEX(TableRBCalcPts[TM],MATCH(TableRBRanks314135[[#This Row],[Player]],TableRBCalcPts[PLAYER],0)),"")</f>
        <v/>
      </c>
      <c r="S110" s="58" t="str">
        <f>IFERROR(INDEX(TableRBCalcPts[BYE],MATCH(TableRBRanks314135[[#This Row],[Player]],TableRBCalcPts[PLAYER],0)),"")</f>
        <v/>
      </c>
      <c r="T110" s="100">
        <f>VLOOKUP(TableRBRanks314135[[#This Row],[Player]],RB!B:O,4,FALSE)</f>
        <v>0</v>
      </c>
      <c r="U110" s="100">
        <f>VLOOKUP(TableRBRanks314135[[#This Row],[Player]],RB!B:O,5,FALSE)</f>
        <v>0</v>
      </c>
      <c r="V110" s="100">
        <f>VLOOKUP(TableRBRanks314135[[#This Row],[Player]],RB!B:O,6,FALSE)</f>
        <v>0</v>
      </c>
      <c r="W110" s="100">
        <f>VLOOKUP(TableRBRanks314135[[#This Row],[Player]],RB!B:O,7,FALSE)</f>
        <v>0</v>
      </c>
      <c r="X110" s="100">
        <f>VLOOKUP(TableRBRanks314135[[#This Row],[Player]],RB!B:O,8,FALSE)</f>
        <v>0</v>
      </c>
      <c r="Y110" s="100">
        <f>VLOOKUP(TableRBRanks314135[[#This Row],[Player]],RB!B:O,9,FALSE)</f>
        <v>0</v>
      </c>
      <c r="Z110" s="100">
        <f>VLOOKUP(TableRBRanks314135[[#This Row],[Player]],RB!B:O,10,FALSE)</f>
        <v>0</v>
      </c>
      <c r="AA110" s="95">
        <f>VLOOKUP(TableRBRanks314135[[#This Row],[Player]],RB!B:O,14,FALSE)</f>
        <v>0</v>
      </c>
      <c r="AB110" s="190">
        <f>TableRBRanks314135[[#This Row],[FPS]]+(TableRBRanks314135[[#This Row],[REC]]*0.5)</f>
        <v>0</v>
      </c>
      <c r="AD110" s="58">
        <v>109</v>
      </c>
      <c r="AE110" s="58" t="str">
        <f>VLOOKUP(TableWRRanks324236[[#This Row],[RK]],Rankings!A:AI,28,FALSE)</f>
        <v>Dyami Brown</v>
      </c>
      <c r="AF110" s="58" t="str">
        <f>IFERROR(INDEX(TableWRCalcPts[TM],MATCH(TableWRRanks324236[[#This Row],[Player]],TableWRCalcPts[PLAYER],0)),"")</f>
        <v>WSH</v>
      </c>
      <c r="AG110" s="58">
        <f>IFERROR(INDEX(TableWRCalcPts[BYE],MATCH(TableWRRanks324236[[#This Row],[Player]],TableWRCalcPts[PLAYER],0)),"")</f>
        <v>7</v>
      </c>
      <c r="AH110" s="100">
        <f>VLOOKUP(TableWRRanks324236[[#This Row],[Player]],WR!B:O,4,FALSE)</f>
        <v>0</v>
      </c>
      <c r="AI110" s="100">
        <f>VLOOKUP(TableWRRanks324236[[#This Row],[Player]],WR!B:O,5,FALSE)</f>
        <v>0</v>
      </c>
      <c r="AJ110" s="100">
        <f>VLOOKUP(TableWRRanks324236[[#This Row],[Player]],WR!B:O,6,FALSE)</f>
        <v>42.812722959999988</v>
      </c>
      <c r="AK110" s="100">
        <f>VLOOKUP(TableWRRanks324236[[#This Row],[Player]],WR!B:O,7,FALSE)</f>
        <v>22.348241385119994</v>
      </c>
      <c r="AL110" s="100">
        <f>VLOOKUP(TableWRRanks324236[[#This Row],[Player]],WR!B:O,8,FALSE)</f>
        <v>281.14087662480955</v>
      </c>
      <c r="AM110" s="100">
        <f>VLOOKUP(TableWRRanks324236[[#This Row],[Player]],WR!B:O,9,FALSE)</f>
        <v>1.7878593108095995</v>
      </c>
      <c r="AN110" s="95">
        <f>VLOOKUP(TableWRRanks324236[[#This Row],[Player]],WR!B:O,13,FALSE)</f>
        <v>50.015364219898544</v>
      </c>
      <c r="AO110" s="190">
        <f>TableWRRanks324236[[#This Row],[FPS]]+(TableWRRanks324236[[#This Row],[REC]]*0.5)</f>
        <v>61.189484912458539</v>
      </c>
    </row>
    <row r="111" spans="16:52" x14ac:dyDescent="0.25">
      <c r="P111" s="58">
        <v>110</v>
      </c>
      <c r="Q111" s="58">
        <f>VLOOKUP(TableRBRanks314135[[#This Row],[RK]],Rankings!A:AI,23,FALSE)</f>
        <v>0</v>
      </c>
      <c r="R111" s="58" t="str">
        <f>IFERROR(INDEX(TableRBCalcPts[TM],MATCH(TableRBRanks314135[[#This Row],[Player]],TableRBCalcPts[PLAYER],0)),"")</f>
        <v/>
      </c>
      <c r="S111" s="58" t="str">
        <f>IFERROR(INDEX(TableRBCalcPts[BYE],MATCH(TableRBRanks314135[[#This Row],[Player]],TableRBCalcPts[PLAYER],0)),"")</f>
        <v/>
      </c>
      <c r="T111" s="100">
        <f>VLOOKUP(TableRBRanks314135[[#This Row],[Player]],RB!B:O,4,FALSE)</f>
        <v>0</v>
      </c>
      <c r="U111" s="100">
        <f>VLOOKUP(TableRBRanks314135[[#This Row],[Player]],RB!B:O,5,FALSE)</f>
        <v>0</v>
      </c>
      <c r="V111" s="100">
        <f>VLOOKUP(TableRBRanks314135[[#This Row],[Player]],RB!B:O,6,FALSE)</f>
        <v>0</v>
      </c>
      <c r="W111" s="100">
        <f>VLOOKUP(TableRBRanks314135[[#This Row],[Player]],RB!B:O,7,FALSE)</f>
        <v>0</v>
      </c>
      <c r="X111" s="100">
        <f>VLOOKUP(TableRBRanks314135[[#This Row],[Player]],RB!B:O,8,FALSE)</f>
        <v>0</v>
      </c>
      <c r="Y111" s="100">
        <f>VLOOKUP(TableRBRanks314135[[#This Row],[Player]],RB!B:O,9,FALSE)</f>
        <v>0</v>
      </c>
      <c r="Z111" s="100">
        <f>VLOOKUP(TableRBRanks314135[[#This Row],[Player]],RB!B:O,10,FALSE)</f>
        <v>0</v>
      </c>
      <c r="AA111" s="95">
        <f>VLOOKUP(TableRBRanks314135[[#This Row],[Player]],RB!B:O,14,FALSE)</f>
        <v>0</v>
      </c>
      <c r="AB111" s="190">
        <f>TableRBRanks314135[[#This Row],[FPS]]+(TableRBRanks314135[[#This Row],[REC]]*0.5)</f>
        <v>0</v>
      </c>
      <c r="AD111" s="58">
        <v>110</v>
      </c>
      <c r="AE111" s="58" t="str">
        <f>VLOOKUP(TableWRRanks324236[[#This Row],[RK]],Rankings!A:AI,28,FALSE)</f>
        <v>Joshua Palmer</v>
      </c>
      <c r="AF111" s="58" t="str">
        <f>IFERROR(INDEX(TableWRCalcPts[TM],MATCH(TableWRRanks324236[[#This Row],[Player]],TableWRCalcPts[PLAYER],0)),"")</f>
        <v>BUF</v>
      </c>
      <c r="AG111" s="58">
        <f>IFERROR(INDEX(TableWRCalcPts[BYE],MATCH(TableWRRanks324236[[#This Row],[Player]],TableWRCalcPts[PLAYER],0)),"")</f>
        <v>7</v>
      </c>
      <c r="AH111" s="100">
        <f>VLOOKUP(TableWRRanks324236[[#This Row],[Player]],WR!B:O,4,FALSE)</f>
        <v>0</v>
      </c>
      <c r="AI111" s="100">
        <f>VLOOKUP(TableWRRanks324236[[#This Row],[Player]],WR!B:O,5,FALSE)</f>
        <v>0</v>
      </c>
      <c r="AJ111" s="100">
        <f>VLOOKUP(TableWRRanks324236[[#This Row],[Player]],WR!B:O,6,FALSE)</f>
        <v>24.005550799999988</v>
      </c>
      <c r="AK111" s="100">
        <f>VLOOKUP(TableWRRanks324236[[#This Row],[Player]],WR!B:O,7,FALSE)</f>
        <v>16.251757891599993</v>
      </c>
      <c r="AL111" s="100">
        <f>VLOOKUP(TableWRRanks324236[[#This Row],[Player]],WR!B:O,8,FALSE)</f>
        <v>228.66223353481192</v>
      </c>
      <c r="AM111" s="100">
        <f>VLOOKUP(TableWRRanks324236[[#This Row],[Player]],WR!B:O,9,FALSE)</f>
        <v>1.0092661199777342</v>
      </c>
      <c r="AN111" s="95">
        <f>VLOOKUP(TableWRRanks324236[[#This Row],[Player]],WR!B:O,13,FALSE)</f>
        <v>37.047699019147593</v>
      </c>
      <c r="AO111" s="190">
        <f>TableWRRanks324236[[#This Row],[FPS]]+(TableWRRanks324236[[#This Row],[REC]]*0.5)</f>
        <v>45.17357796494759</v>
      </c>
    </row>
    <row r="112" spans="16:52" x14ac:dyDescent="0.25">
      <c r="P112" s="58">
        <v>111</v>
      </c>
      <c r="Q112" s="58">
        <f>VLOOKUP(TableRBRanks314135[[#This Row],[RK]],Rankings!A:AI,23,FALSE)</f>
        <v>0</v>
      </c>
      <c r="R112" s="58" t="str">
        <f>IFERROR(INDEX(TableRBCalcPts[TM],MATCH(TableRBRanks314135[[#This Row],[Player]],TableRBCalcPts[PLAYER],0)),"")</f>
        <v/>
      </c>
      <c r="S112" s="58" t="str">
        <f>IFERROR(INDEX(TableRBCalcPts[BYE],MATCH(TableRBRanks314135[[#This Row],[Player]],TableRBCalcPts[PLAYER],0)),"")</f>
        <v/>
      </c>
      <c r="T112" s="100">
        <f>VLOOKUP(TableRBRanks314135[[#This Row],[Player]],RB!B:O,4,FALSE)</f>
        <v>0</v>
      </c>
      <c r="U112" s="100">
        <f>VLOOKUP(TableRBRanks314135[[#This Row],[Player]],RB!B:O,5,FALSE)</f>
        <v>0</v>
      </c>
      <c r="V112" s="100">
        <f>VLOOKUP(TableRBRanks314135[[#This Row],[Player]],RB!B:O,6,FALSE)</f>
        <v>0</v>
      </c>
      <c r="W112" s="100">
        <f>VLOOKUP(TableRBRanks314135[[#This Row],[Player]],RB!B:O,7,FALSE)</f>
        <v>0</v>
      </c>
      <c r="X112" s="100">
        <f>VLOOKUP(TableRBRanks314135[[#This Row],[Player]],RB!B:O,8,FALSE)</f>
        <v>0</v>
      </c>
      <c r="Y112" s="100">
        <f>VLOOKUP(TableRBRanks314135[[#This Row],[Player]],RB!B:O,9,FALSE)</f>
        <v>0</v>
      </c>
      <c r="Z112" s="100">
        <f>VLOOKUP(TableRBRanks314135[[#This Row],[Player]],RB!B:O,10,FALSE)</f>
        <v>0</v>
      </c>
      <c r="AA112" s="95">
        <f>VLOOKUP(TableRBRanks314135[[#This Row],[Player]],RB!B:O,14,FALSE)</f>
        <v>0</v>
      </c>
      <c r="AB112" s="190">
        <f>TableRBRanks314135[[#This Row],[FPS]]+(TableRBRanks314135[[#This Row],[REC]]*0.5)</f>
        <v>0</v>
      </c>
      <c r="AD112" s="58">
        <v>111</v>
      </c>
      <c r="AE112" s="58" t="str">
        <f>VLOOKUP(TableWRRanks324236[[#This Row],[RK]],Rankings!A:AI,28,FALSE)</f>
        <v>Zavion Thomas</v>
      </c>
      <c r="AF112" s="58" t="str">
        <f>IFERROR(INDEX(TableWRCalcPts[TM],MATCH(TableWRRanks324236[[#This Row],[Player]],TableWRCalcPts[PLAYER],0)),"")</f>
        <v>CHI</v>
      </c>
      <c r="AG112" s="58">
        <f>IFERROR(INDEX(TableWRCalcPts[BYE],MATCH(TableWRRanks324236[[#This Row],[Player]],TableWRCalcPts[PLAYER],0)),"")</f>
        <v>10</v>
      </c>
      <c r="AH112" s="100">
        <f>VLOOKUP(TableWRRanks324236[[#This Row],[Player]],WR!B:O,4,FALSE)</f>
        <v>0</v>
      </c>
      <c r="AI112" s="100">
        <f>VLOOKUP(TableWRRanks324236[[#This Row],[Player]],WR!B:O,5,FALSE)</f>
        <v>0</v>
      </c>
      <c r="AJ112" s="100">
        <f>VLOOKUP(TableWRRanks324236[[#This Row],[Player]],WR!B:O,6,FALSE)</f>
        <v>11.2787024</v>
      </c>
      <c r="AK112" s="100">
        <f>VLOOKUP(TableWRRanks324236[[#This Row],[Player]],WR!B:O,7,FALSE)</f>
        <v>6.8800084640000003</v>
      </c>
      <c r="AL112" s="100">
        <f>VLOOKUP(TableWRRanks324236[[#This Row],[Player]],WR!B:O,8,FALSE)</f>
        <v>66.116881339040006</v>
      </c>
      <c r="AM112" s="100">
        <f>VLOOKUP(TableWRRanks324236[[#This Row],[Player]],WR!B:O,9,FALSE)</f>
        <v>0.5652210025082155</v>
      </c>
      <c r="AN112" s="95">
        <f>VLOOKUP(TableWRRanks324236[[#This Row],[Player]],WR!B:O,13,FALSE)</f>
        <v>13.443018380953294</v>
      </c>
      <c r="AO112" s="190">
        <f>TableWRRanks324236[[#This Row],[FPS]]+(TableWRRanks324236[[#This Row],[REC]]*0.5)</f>
        <v>16.883022612953294</v>
      </c>
    </row>
    <row r="113" spans="16:41" x14ac:dyDescent="0.25">
      <c r="P113" s="58">
        <v>112</v>
      </c>
      <c r="Q113" s="58">
        <f>VLOOKUP(TableRBRanks314135[[#This Row],[RK]],Rankings!A:AI,23,FALSE)</f>
        <v>0</v>
      </c>
      <c r="R113" s="58" t="str">
        <f>IFERROR(INDEX(TableRBCalcPts[TM],MATCH(TableRBRanks314135[[#This Row],[Player]],TableRBCalcPts[PLAYER],0)),"")</f>
        <v/>
      </c>
      <c r="S113" s="58" t="str">
        <f>IFERROR(INDEX(TableRBCalcPts[BYE],MATCH(TableRBRanks314135[[#This Row],[Player]],TableRBCalcPts[PLAYER],0)),"")</f>
        <v/>
      </c>
      <c r="T113" s="100">
        <f>VLOOKUP(TableRBRanks314135[[#This Row],[Player]],RB!B:O,4,FALSE)</f>
        <v>0</v>
      </c>
      <c r="U113" s="100">
        <f>VLOOKUP(TableRBRanks314135[[#This Row],[Player]],RB!B:O,5,FALSE)</f>
        <v>0</v>
      </c>
      <c r="V113" s="100">
        <f>VLOOKUP(TableRBRanks314135[[#This Row],[Player]],RB!B:O,6,FALSE)</f>
        <v>0</v>
      </c>
      <c r="W113" s="100">
        <f>VLOOKUP(TableRBRanks314135[[#This Row],[Player]],RB!B:O,7,FALSE)</f>
        <v>0</v>
      </c>
      <c r="X113" s="100">
        <f>VLOOKUP(TableRBRanks314135[[#This Row],[Player]],RB!B:O,8,FALSE)</f>
        <v>0</v>
      </c>
      <c r="Y113" s="100">
        <f>VLOOKUP(TableRBRanks314135[[#This Row],[Player]],RB!B:O,9,FALSE)</f>
        <v>0</v>
      </c>
      <c r="Z113" s="100">
        <f>VLOOKUP(TableRBRanks314135[[#This Row],[Player]],RB!B:O,10,FALSE)</f>
        <v>0</v>
      </c>
      <c r="AA113" s="95">
        <f>VLOOKUP(TableRBRanks314135[[#This Row],[Player]],RB!B:O,14,FALSE)</f>
        <v>0</v>
      </c>
      <c r="AB113" s="190">
        <f>TableRBRanks314135[[#This Row],[FPS]]+(TableRBRanks314135[[#This Row],[REC]]*0.5)</f>
        <v>0</v>
      </c>
      <c r="AD113" s="58">
        <v>112</v>
      </c>
      <c r="AE113" s="58" t="str">
        <f>VLOOKUP(TableWRRanks324236[[#This Row],[RK]],Rankings!A:AI,28,FALSE)</f>
        <v>Elic Ayomanor</v>
      </c>
      <c r="AF113" s="58" t="str">
        <f>IFERROR(INDEX(TableWRCalcPts[TM],MATCH(TableWRRanks324236[[#This Row],[Player]],TableWRCalcPts[PLAYER],0)),"")</f>
        <v>TEN</v>
      </c>
      <c r="AG113" s="58">
        <f>IFERROR(INDEX(TableWRCalcPts[BYE],MATCH(TableWRRanks324236[[#This Row],[Player]],TableWRCalcPts[PLAYER],0)),"")</f>
        <v>9</v>
      </c>
      <c r="AH113" s="100">
        <f>VLOOKUP(TableWRRanks324236[[#This Row],[Player]],WR!B:O,4,FALSE)</f>
        <v>0</v>
      </c>
      <c r="AI113" s="100">
        <f>VLOOKUP(TableWRRanks324236[[#This Row],[Player]],WR!B:O,5,FALSE)</f>
        <v>0</v>
      </c>
      <c r="AJ113" s="100">
        <f>VLOOKUP(TableWRRanks324236[[#This Row],[Player]],WR!B:O,6,FALSE)</f>
        <v>29.658908160000006</v>
      </c>
      <c r="AK113" s="100">
        <f>VLOOKUP(TableWRRanks324236[[#This Row],[Player]],WR!B:O,7,FALSE)</f>
        <v>17.943639436800002</v>
      </c>
      <c r="AL113" s="100">
        <f>VLOOKUP(TableWRRanks324236[[#This Row],[Player]],WR!B:O,8,FALSE)</f>
        <v>239.54758648128001</v>
      </c>
      <c r="AM113" s="100">
        <f>VLOOKUP(TableWRRanks324236[[#This Row],[Player]],WR!B:O,9,FALSE)</f>
        <v>1.5610966310016001</v>
      </c>
      <c r="AN113" s="95">
        <f>VLOOKUP(TableWRRanks324236[[#This Row],[Player]],WR!B:O,13,FALSE)</f>
        <v>42.293158152537607</v>
      </c>
      <c r="AO113" s="190">
        <f>TableWRRanks324236[[#This Row],[FPS]]+(TableWRRanks324236[[#This Row],[REC]]*0.5)</f>
        <v>51.264977870937606</v>
      </c>
    </row>
    <row r="114" spans="16:41" x14ac:dyDescent="0.25">
      <c r="P114" s="58">
        <v>113</v>
      </c>
      <c r="Q114" s="58">
        <f>VLOOKUP(TableRBRanks314135[[#This Row],[RK]],Rankings!A:AI,23,FALSE)</f>
        <v>0</v>
      </c>
      <c r="R114" s="58" t="str">
        <f>IFERROR(INDEX(TableRBCalcPts[TM],MATCH(TableRBRanks314135[[#This Row],[Player]],TableRBCalcPts[PLAYER],0)),"")</f>
        <v/>
      </c>
      <c r="S114" s="58" t="str">
        <f>IFERROR(INDEX(TableRBCalcPts[BYE],MATCH(TableRBRanks314135[[#This Row],[Player]],TableRBCalcPts[PLAYER],0)),"")</f>
        <v/>
      </c>
      <c r="T114" s="100">
        <f>VLOOKUP(TableRBRanks314135[[#This Row],[Player]],RB!B:O,4,FALSE)</f>
        <v>0</v>
      </c>
      <c r="U114" s="100">
        <f>VLOOKUP(TableRBRanks314135[[#This Row],[Player]],RB!B:O,5,FALSE)</f>
        <v>0</v>
      </c>
      <c r="V114" s="100">
        <f>VLOOKUP(TableRBRanks314135[[#This Row],[Player]],RB!B:O,6,FALSE)</f>
        <v>0</v>
      </c>
      <c r="W114" s="100">
        <f>VLOOKUP(TableRBRanks314135[[#This Row],[Player]],RB!B:O,7,FALSE)</f>
        <v>0</v>
      </c>
      <c r="X114" s="100">
        <f>VLOOKUP(TableRBRanks314135[[#This Row],[Player]],RB!B:O,8,FALSE)</f>
        <v>0</v>
      </c>
      <c r="Y114" s="100">
        <f>VLOOKUP(TableRBRanks314135[[#This Row],[Player]],RB!B:O,9,FALSE)</f>
        <v>0</v>
      </c>
      <c r="Z114" s="100">
        <f>VLOOKUP(TableRBRanks314135[[#This Row],[Player]],RB!B:O,10,FALSE)</f>
        <v>0</v>
      </c>
      <c r="AA114" s="95">
        <f>VLOOKUP(TableRBRanks314135[[#This Row],[Player]],RB!B:O,14,FALSE)</f>
        <v>0</v>
      </c>
      <c r="AB114" s="190">
        <f>TableRBRanks314135[[#This Row],[FPS]]+(TableRBRanks314135[[#This Row],[REC]]*0.5)</f>
        <v>0</v>
      </c>
      <c r="AD114" s="58">
        <v>113</v>
      </c>
      <c r="AE114" s="58" t="str">
        <f>VLOOKUP(TableWRRanks324236[[#This Row],[RK]],Rankings!A:AI,28,FALSE)</f>
        <v>Brenen Thompson</v>
      </c>
      <c r="AF114" s="58" t="str">
        <f>IFERROR(INDEX(TableWRCalcPts[TM],MATCH(TableWRRanks324236[[#This Row],[Player]],TableWRCalcPts[PLAYER],0)),"")</f>
        <v>LAC</v>
      </c>
      <c r="AG114" s="58">
        <f>IFERROR(INDEX(TableWRCalcPts[BYE],MATCH(TableWRRanks324236[[#This Row],[Player]],TableWRCalcPts[PLAYER],0)),"")</f>
        <v>7</v>
      </c>
      <c r="AH114" s="100">
        <f>VLOOKUP(TableWRRanks324236[[#This Row],[Player]],WR!B:O,4,FALSE)</f>
        <v>0</v>
      </c>
      <c r="AI114" s="100">
        <f>VLOOKUP(TableWRRanks324236[[#This Row],[Player]],WR!B:O,5,FALSE)</f>
        <v>0</v>
      </c>
      <c r="AJ114" s="100">
        <f>VLOOKUP(TableWRRanks324236[[#This Row],[Player]],WR!B:O,6,FALSE)</f>
        <v>18.609190599999998</v>
      </c>
      <c r="AK114" s="100">
        <f>VLOOKUP(TableWRRanks324236[[#This Row],[Player]],WR!B:O,7,FALSE)</f>
        <v>12.375111749</v>
      </c>
      <c r="AL114" s="100">
        <f>VLOOKUP(TableWRRanks324236[[#This Row],[Player]],WR!B:O,8,FALSE)</f>
        <v>150.11010551537001</v>
      </c>
      <c r="AM114" s="100">
        <f>VLOOKUP(TableWRRanks324236[[#This Row],[Player]],WR!B:O,9,FALSE)</f>
        <v>0.8786329341789999</v>
      </c>
      <c r="AN114" s="95">
        <f>VLOOKUP(TableWRRanks324236[[#This Row],[Player]],WR!B:O,13,FALSE)</f>
        <v>26.470364031111</v>
      </c>
      <c r="AO114" s="190">
        <f>TableWRRanks324236[[#This Row],[FPS]]+(TableWRRanks324236[[#This Row],[REC]]*0.5)</f>
        <v>32.657919905611003</v>
      </c>
    </row>
    <row r="115" spans="16:41" x14ac:dyDescent="0.25">
      <c r="P115" s="58">
        <v>114</v>
      </c>
      <c r="Q115" s="58">
        <f>VLOOKUP(TableRBRanks314135[[#This Row],[RK]],Rankings!A:AI,23,FALSE)</f>
        <v>0</v>
      </c>
      <c r="R115" s="58" t="str">
        <f>IFERROR(INDEX(TableRBCalcPts[TM],MATCH(TableRBRanks314135[[#This Row],[Player]],TableRBCalcPts[PLAYER],0)),"")</f>
        <v/>
      </c>
      <c r="S115" s="58" t="str">
        <f>IFERROR(INDEX(TableRBCalcPts[BYE],MATCH(TableRBRanks314135[[#This Row],[Player]],TableRBCalcPts[PLAYER],0)),"")</f>
        <v/>
      </c>
      <c r="T115" s="100">
        <f>VLOOKUP(TableRBRanks314135[[#This Row],[Player]],RB!B:O,4,FALSE)</f>
        <v>0</v>
      </c>
      <c r="U115" s="100">
        <f>VLOOKUP(TableRBRanks314135[[#This Row],[Player]],RB!B:O,5,FALSE)</f>
        <v>0</v>
      </c>
      <c r="V115" s="100">
        <f>VLOOKUP(TableRBRanks314135[[#This Row],[Player]],RB!B:O,6,FALSE)</f>
        <v>0</v>
      </c>
      <c r="W115" s="100">
        <f>VLOOKUP(TableRBRanks314135[[#This Row],[Player]],RB!B:O,7,FALSE)</f>
        <v>0</v>
      </c>
      <c r="X115" s="100">
        <f>VLOOKUP(TableRBRanks314135[[#This Row],[Player]],RB!B:O,8,FALSE)</f>
        <v>0</v>
      </c>
      <c r="Y115" s="100">
        <f>VLOOKUP(TableRBRanks314135[[#This Row],[Player]],RB!B:O,9,FALSE)</f>
        <v>0</v>
      </c>
      <c r="Z115" s="100">
        <f>VLOOKUP(TableRBRanks314135[[#This Row],[Player]],RB!B:O,10,FALSE)</f>
        <v>0</v>
      </c>
      <c r="AA115" s="95">
        <f>VLOOKUP(TableRBRanks314135[[#This Row],[Player]],RB!B:O,14,FALSE)</f>
        <v>0</v>
      </c>
      <c r="AB115" s="190">
        <f>TableRBRanks314135[[#This Row],[FPS]]+(TableRBRanks314135[[#This Row],[REC]]*0.5)</f>
        <v>0</v>
      </c>
      <c r="AD115" s="58">
        <v>114</v>
      </c>
      <c r="AE115" s="58" t="str">
        <f>VLOOKUP(TableWRRanks324236[[#This Row],[RK]],Rankings!A:AI,28,FALSE)</f>
        <v>Jahan Dotson</v>
      </c>
      <c r="AF115" s="58" t="str">
        <f>IFERROR(INDEX(TableWRCalcPts[TM],MATCH(TableWRRanks324236[[#This Row],[Player]],TableWRCalcPts[PLAYER],0)),"")</f>
        <v>ATL</v>
      </c>
      <c r="AG115" s="58">
        <f>IFERROR(INDEX(TableWRCalcPts[BYE],MATCH(TableWRRanks324236[[#This Row],[Player]],TableWRCalcPts[PLAYER],0)),"")</f>
        <v>11</v>
      </c>
      <c r="AH115" s="100">
        <f>VLOOKUP(TableWRRanks324236[[#This Row],[Player]],WR!B:O,4,FALSE)</f>
        <v>0</v>
      </c>
      <c r="AI115" s="100">
        <f>VLOOKUP(TableWRRanks324236[[#This Row],[Player]],WR!B:O,5,FALSE)</f>
        <v>0</v>
      </c>
      <c r="AJ115" s="100">
        <f>VLOOKUP(TableWRRanks324236[[#This Row],[Player]],WR!B:O,6,FALSE)</f>
        <v>45.412572800000014</v>
      </c>
      <c r="AK115" s="100">
        <f>VLOOKUP(TableWRRanks324236[[#This Row],[Player]],WR!B:O,7,FALSE)</f>
        <v>28.046307289249324</v>
      </c>
      <c r="AL115" s="100">
        <f>VLOOKUP(TableWRRanks324236[[#This Row],[Player]],WR!B:O,8,FALSE)</f>
        <v>348.89606267826156</v>
      </c>
      <c r="AM115" s="100">
        <f>VLOOKUP(TableWRRanks324236[[#This Row],[Player]],WR!B:O,9,FALSE)</f>
        <v>1.7108247446442086</v>
      </c>
      <c r="AN115" s="95">
        <f>VLOOKUP(TableWRRanks324236[[#This Row],[Player]],WR!B:O,13,FALSE)</f>
        <v>59.177708380316076</v>
      </c>
      <c r="AO115" s="190">
        <f>TableWRRanks324236[[#This Row],[FPS]]+(TableWRRanks324236[[#This Row],[REC]]*0.5)</f>
        <v>73.200862024940733</v>
      </c>
    </row>
    <row r="116" spans="16:41" x14ac:dyDescent="0.25">
      <c r="P116" s="58">
        <v>115</v>
      </c>
      <c r="Q116" s="58">
        <f>VLOOKUP(TableRBRanks314135[[#This Row],[RK]],Rankings!A:AI,23,FALSE)</f>
        <v>0</v>
      </c>
      <c r="R116" s="58" t="str">
        <f>IFERROR(INDEX(TableRBCalcPts[TM],MATCH(TableRBRanks314135[[#This Row],[Player]],TableRBCalcPts[PLAYER],0)),"")</f>
        <v/>
      </c>
      <c r="S116" s="58" t="str">
        <f>IFERROR(INDEX(TableRBCalcPts[BYE],MATCH(TableRBRanks314135[[#This Row],[Player]],TableRBCalcPts[PLAYER],0)),"")</f>
        <v/>
      </c>
      <c r="T116" s="100">
        <f>VLOOKUP(TableRBRanks314135[[#This Row],[Player]],RB!B:O,4,FALSE)</f>
        <v>0</v>
      </c>
      <c r="U116" s="100">
        <f>VLOOKUP(TableRBRanks314135[[#This Row],[Player]],RB!B:O,5,FALSE)</f>
        <v>0</v>
      </c>
      <c r="V116" s="100">
        <f>VLOOKUP(TableRBRanks314135[[#This Row],[Player]],RB!B:O,6,FALSE)</f>
        <v>0</v>
      </c>
      <c r="W116" s="100">
        <f>VLOOKUP(TableRBRanks314135[[#This Row],[Player]],RB!B:O,7,FALSE)</f>
        <v>0</v>
      </c>
      <c r="X116" s="100">
        <f>VLOOKUP(TableRBRanks314135[[#This Row],[Player]],RB!B:O,8,FALSE)</f>
        <v>0</v>
      </c>
      <c r="Y116" s="100">
        <f>VLOOKUP(TableRBRanks314135[[#This Row],[Player]],RB!B:O,9,FALSE)</f>
        <v>0</v>
      </c>
      <c r="Z116" s="100">
        <f>VLOOKUP(TableRBRanks314135[[#This Row],[Player]],RB!B:O,10,FALSE)</f>
        <v>0</v>
      </c>
      <c r="AA116" s="95">
        <f>VLOOKUP(TableRBRanks314135[[#This Row],[Player]],RB!B:O,14,FALSE)</f>
        <v>0</v>
      </c>
      <c r="AB116" s="190">
        <f>TableRBRanks314135[[#This Row],[FPS]]+(TableRBRanks314135[[#This Row],[REC]]*0.5)</f>
        <v>0</v>
      </c>
      <c r="AD116" s="58">
        <v>115</v>
      </c>
      <c r="AE116" s="58" t="str">
        <f>VLOOKUP(TableWRRanks324236[[#This Row],[RK]],Rankings!A:AI,28,FALSE)</f>
        <v>Kyle Williams</v>
      </c>
      <c r="AF116" s="58" t="str">
        <f>IFERROR(INDEX(TableWRCalcPts[TM],MATCH(TableWRRanks324236[[#This Row],[Player]],TableWRCalcPts[PLAYER],0)),"")</f>
        <v>NE</v>
      </c>
      <c r="AG116" s="58">
        <f>IFERROR(INDEX(TableWRCalcPts[BYE],MATCH(TableWRRanks324236[[#This Row],[Player]],TableWRCalcPts[PLAYER],0)),"")</f>
        <v>11</v>
      </c>
      <c r="AH116" s="100">
        <f>VLOOKUP(TableWRRanks324236[[#This Row],[Player]],WR!B:O,4,FALSE)</f>
        <v>0</v>
      </c>
      <c r="AI116" s="100">
        <f>VLOOKUP(TableWRRanks324236[[#This Row],[Player]],WR!B:O,5,FALSE)</f>
        <v>0</v>
      </c>
      <c r="AJ116" s="100">
        <f>VLOOKUP(TableWRRanks324236[[#This Row],[Player]],WR!B:O,6,FALSE)</f>
        <v>4.363038399999998</v>
      </c>
      <c r="AK116" s="100">
        <f>VLOOKUP(TableWRRanks324236[[#This Row],[Player]],WR!B:O,7,FALSE)</f>
        <v>2.9843182655999989</v>
      </c>
      <c r="AL116" s="100">
        <f>VLOOKUP(TableWRRanks324236[[#This Row],[Player]],WR!B:O,8,FALSE)</f>
        <v>43.571046677759981</v>
      </c>
      <c r="AM116" s="100">
        <f>VLOOKUP(TableWRRanks324236[[#This Row],[Player]],WR!B:O,9,FALSE)</f>
        <v>0.20890227859199995</v>
      </c>
      <c r="AN116" s="95">
        <f>VLOOKUP(TableWRRanks324236[[#This Row],[Player]],WR!B:O,13,FALSE)</f>
        <v>7.1026774721279979</v>
      </c>
      <c r="AO116" s="190">
        <f>TableWRRanks324236[[#This Row],[FPS]]+(TableWRRanks324236[[#This Row],[REC]]*0.5)</f>
        <v>8.5948366049279983</v>
      </c>
    </row>
    <row r="117" spans="16:41" x14ac:dyDescent="0.25">
      <c r="P117" s="58">
        <v>116</v>
      </c>
      <c r="Q117" s="58">
        <f>VLOOKUP(TableRBRanks314135[[#This Row],[RK]],Rankings!A:AI,23,FALSE)</f>
        <v>0</v>
      </c>
      <c r="R117" s="58" t="str">
        <f>IFERROR(INDEX(TableRBCalcPts[TM],MATCH(TableRBRanks314135[[#This Row],[Player]],TableRBCalcPts[PLAYER],0)),"")</f>
        <v/>
      </c>
      <c r="S117" s="58" t="str">
        <f>IFERROR(INDEX(TableRBCalcPts[BYE],MATCH(TableRBRanks314135[[#This Row],[Player]],TableRBCalcPts[PLAYER],0)),"")</f>
        <v/>
      </c>
      <c r="T117" s="100">
        <f>VLOOKUP(TableRBRanks314135[[#This Row],[Player]],RB!B:O,4,FALSE)</f>
        <v>0</v>
      </c>
      <c r="U117" s="100">
        <f>VLOOKUP(TableRBRanks314135[[#This Row],[Player]],RB!B:O,5,FALSE)</f>
        <v>0</v>
      </c>
      <c r="V117" s="100">
        <f>VLOOKUP(TableRBRanks314135[[#This Row],[Player]],RB!B:O,6,FALSE)</f>
        <v>0</v>
      </c>
      <c r="W117" s="100">
        <f>VLOOKUP(TableRBRanks314135[[#This Row],[Player]],RB!B:O,7,FALSE)</f>
        <v>0</v>
      </c>
      <c r="X117" s="100">
        <f>VLOOKUP(TableRBRanks314135[[#This Row],[Player]],RB!B:O,8,FALSE)</f>
        <v>0</v>
      </c>
      <c r="Y117" s="100">
        <f>VLOOKUP(TableRBRanks314135[[#This Row],[Player]],RB!B:O,9,FALSE)</f>
        <v>0</v>
      </c>
      <c r="Z117" s="100">
        <f>VLOOKUP(TableRBRanks314135[[#This Row],[Player]],RB!B:O,10,FALSE)</f>
        <v>0</v>
      </c>
      <c r="AA117" s="95">
        <f>VLOOKUP(TableRBRanks314135[[#This Row],[Player]],RB!B:O,14,FALSE)</f>
        <v>0</v>
      </c>
      <c r="AB117" s="190">
        <f>TableRBRanks314135[[#This Row],[FPS]]+(TableRBRanks314135[[#This Row],[REC]]*0.5)</f>
        <v>0</v>
      </c>
      <c r="AD117" s="58">
        <v>116</v>
      </c>
      <c r="AE117" s="58" t="str">
        <f>VLOOKUP(TableWRRanks324236[[#This Row],[RK]],Rankings!A:AI,28,FALSE)</f>
        <v>Jaylin Lane</v>
      </c>
      <c r="AF117" s="58" t="str">
        <f>IFERROR(INDEX(TableWRCalcPts[TM],MATCH(TableWRRanks324236[[#This Row],[Player]],TableWRCalcPts[PLAYER],0)),"")</f>
        <v>WSH</v>
      </c>
      <c r="AG117" s="58">
        <f>IFERROR(INDEX(TableWRCalcPts[BYE],MATCH(TableWRRanks324236[[#This Row],[Player]],TableWRCalcPts[PLAYER],0)),"")</f>
        <v>7</v>
      </c>
      <c r="AH117" s="100">
        <f>VLOOKUP(TableWRRanks324236[[#This Row],[Player]],WR!B:O,4,FALSE)</f>
        <v>29.989058400000005</v>
      </c>
      <c r="AI117" s="100">
        <f>VLOOKUP(TableWRRanks324236[[#This Row],[Player]],WR!B:O,5,FALSE)</f>
        <v>3.498723480000001E-2</v>
      </c>
      <c r="AJ117" s="100">
        <f>VLOOKUP(TableWRRanks324236[[#This Row],[Player]],WR!B:O,6,FALSE)</f>
        <v>25.886762719999993</v>
      </c>
      <c r="AK117" s="100">
        <f>VLOOKUP(TableWRRanks324236[[#This Row],[Player]],WR!B:O,7,FALSE)</f>
        <v>13.279909275359996</v>
      </c>
      <c r="AL117" s="100">
        <f>VLOOKUP(TableWRRanks324236[[#This Row],[Player]],WR!B:O,8,FALSE)</f>
        <v>175.29480243475194</v>
      </c>
      <c r="AM117" s="100">
        <f>VLOOKUP(TableWRRanks324236[[#This Row],[Player]],WR!B:O,9,FALSE)</f>
        <v>1.0889525605795198</v>
      </c>
      <c r="AN117" s="95">
        <f>VLOOKUP(TableWRRanks324236[[#This Row],[Player]],WR!B:O,13,FALSE)</f>
        <v>33.911979493432312</v>
      </c>
      <c r="AO117" s="190">
        <f>TableWRRanks324236[[#This Row],[FPS]]+(TableWRRanks324236[[#This Row],[REC]]*0.5)</f>
        <v>40.551934131112311</v>
      </c>
    </row>
    <row r="118" spans="16:41" x14ac:dyDescent="0.25">
      <c r="P118" s="58">
        <v>117</v>
      </c>
      <c r="Q118" s="58">
        <f>VLOOKUP(TableRBRanks314135[[#This Row],[RK]],Rankings!A:AI,23,FALSE)</f>
        <v>0</v>
      </c>
      <c r="R118" s="58" t="str">
        <f>IFERROR(INDEX(TableRBCalcPts[TM],MATCH(TableRBRanks314135[[#This Row],[Player]],TableRBCalcPts[PLAYER],0)),"")</f>
        <v/>
      </c>
      <c r="S118" s="58" t="str">
        <f>IFERROR(INDEX(TableRBCalcPts[BYE],MATCH(TableRBRanks314135[[#This Row],[Player]],TableRBCalcPts[PLAYER],0)),"")</f>
        <v/>
      </c>
      <c r="T118" s="100">
        <f>VLOOKUP(TableRBRanks314135[[#This Row],[Player]],RB!B:O,4,FALSE)</f>
        <v>0</v>
      </c>
      <c r="U118" s="100">
        <f>VLOOKUP(TableRBRanks314135[[#This Row],[Player]],RB!B:O,5,FALSE)</f>
        <v>0</v>
      </c>
      <c r="V118" s="100">
        <f>VLOOKUP(TableRBRanks314135[[#This Row],[Player]],RB!B:O,6,FALSE)</f>
        <v>0</v>
      </c>
      <c r="W118" s="100">
        <f>VLOOKUP(TableRBRanks314135[[#This Row],[Player]],RB!B:O,7,FALSE)</f>
        <v>0</v>
      </c>
      <c r="X118" s="100">
        <f>VLOOKUP(TableRBRanks314135[[#This Row],[Player]],RB!B:O,8,FALSE)</f>
        <v>0</v>
      </c>
      <c r="Y118" s="100">
        <f>VLOOKUP(TableRBRanks314135[[#This Row],[Player]],RB!B:O,9,FALSE)</f>
        <v>0</v>
      </c>
      <c r="Z118" s="100">
        <f>VLOOKUP(TableRBRanks314135[[#This Row],[Player]],RB!B:O,10,FALSE)</f>
        <v>0</v>
      </c>
      <c r="AA118" s="95">
        <f>VLOOKUP(TableRBRanks314135[[#This Row],[Player]],RB!B:O,14,FALSE)</f>
        <v>0</v>
      </c>
      <c r="AB118" s="190">
        <f>TableRBRanks314135[[#This Row],[FPS]]+(TableRBRanks314135[[#This Row],[REC]]*0.5)</f>
        <v>0</v>
      </c>
      <c r="AD118" s="58">
        <v>117</v>
      </c>
      <c r="AE118" s="58" t="str">
        <f>VLOOKUP(TableWRRanks324236[[#This Row],[RK]],Rankings!A:AI,28,FALSE)</f>
        <v>Tory Horton</v>
      </c>
      <c r="AF118" s="58" t="str">
        <f>IFERROR(INDEX(TableWRCalcPts[TM],MATCH(TableWRRanks324236[[#This Row],[Player]],TableWRCalcPts[PLAYER],0)),"")</f>
        <v>SEA</v>
      </c>
      <c r="AG118" s="58">
        <f>IFERROR(INDEX(TableWRCalcPts[BYE],MATCH(TableWRRanks324236[[#This Row],[Player]],TableWRCalcPts[PLAYER],0)),"")</f>
        <v>11</v>
      </c>
      <c r="AH118" s="100">
        <f>VLOOKUP(TableWRRanks324236[[#This Row],[Player]],WR!B:O,4,FALSE)</f>
        <v>0</v>
      </c>
      <c r="AI118" s="100">
        <f>VLOOKUP(TableWRRanks324236[[#This Row],[Player]],WR!B:O,5,FALSE)</f>
        <v>0</v>
      </c>
      <c r="AJ118" s="100">
        <f>VLOOKUP(TableWRRanks324236[[#This Row],[Player]],WR!B:O,6,FALSE)</f>
        <v>31.293101280000002</v>
      </c>
      <c r="AK118" s="100">
        <f>VLOOKUP(TableWRRanks324236[[#This Row],[Player]],WR!B:O,7,FALSE)</f>
        <v>16.522757475840002</v>
      </c>
      <c r="AL118" s="100">
        <f>VLOOKUP(TableWRRanks324236[[#This Row],[Player]],WR!B:O,8,FALSE)</f>
        <v>212.48266113930242</v>
      </c>
      <c r="AM118" s="100">
        <f>VLOOKUP(TableWRRanks324236[[#This Row],[Player]],WR!B:O,9,FALSE)</f>
        <v>1.7018440200115201</v>
      </c>
      <c r="AN118" s="95">
        <f>VLOOKUP(TableWRRanks324236[[#This Row],[Player]],WR!B:O,13,FALSE)</f>
        <v>39.720708971919365</v>
      </c>
      <c r="AO118" s="190">
        <f>TableWRRanks324236[[#This Row],[FPS]]+(TableWRRanks324236[[#This Row],[REC]]*0.5)</f>
        <v>47.982087709839362</v>
      </c>
    </row>
    <row r="119" spans="16:41" x14ac:dyDescent="0.25">
      <c r="P119" s="58">
        <v>118</v>
      </c>
      <c r="Q119" s="58">
        <f>VLOOKUP(TableRBRanks314135[[#This Row],[RK]],Rankings!A:AI,23,FALSE)</f>
        <v>0</v>
      </c>
      <c r="R119" s="58" t="str">
        <f>IFERROR(INDEX(TableRBCalcPts[TM],MATCH(TableRBRanks314135[[#This Row],[Player]],TableRBCalcPts[PLAYER],0)),"")</f>
        <v/>
      </c>
      <c r="S119" s="58" t="str">
        <f>IFERROR(INDEX(TableRBCalcPts[BYE],MATCH(TableRBRanks314135[[#This Row],[Player]],TableRBCalcPts[PLAYER],0)),"")</f>
        <v/>
      </c>
      <c r="T119" s="100">
        <f>VLOOKUP(TableRBRanks314135[[#This Row],[Player]],RB!B:O,4,FALSE)</f>
        <v>0</v>
      </c>
      <c r="U119" s="100">
        <f>VLOOKUP(TableRBRanks314135[[#This Row],[Player]],RB!B:O,5,FALSE)</f>
        <v>0</v>
      </c>
      <c r="V119" s="100">
        <f>VLOOKUP(TableRBRanks314135[[#This Row],[Player]],RB!B:O,6,FALSE)</f>
        <v>0</v>
      </c>
      <c r="W119" s="100">
        <f>VLOOKUP(TableRBRanks314135[[#This Row],[Player]],RB!B:O,7,FALSE)</f>
        <v>0</v>
      </c>
      <c r="X119" s="100">
        <f>VLOOKUP(TableRBRanks314135[[#This Row],[Player]],RB!B:O,8,FALSE)</f>
        <v>0</v>
      </c>
      <c r="Y119" s="100">
        <f>VLOOKUP(TableRBRanks314135[[#This Row],[Player]],RB!B:O,9,FALSE)</f>
        <v>0</v>
      </c>
      <c r="Z119" s="100">
        <f>VLOOKUP(TableRBRanks314135[[#This Row],[Player]],RB!B:O,10,FALSE)</f>
        <v>0</v>
      </c>
      <c r="AA119" s="95">
        <f>VLOOKUP(TableRBRanks314135[[#This Row],[Player]],RB!B:O,14,FALSE)</f>
        <v>0</v>
      </c>
      <c r="AB119" s="190">
        <f>TableRBRanks314135[[#This Row],[FPS]]+(TableRBRanks314135[[#This Row],[REC]]*0.5)</f>
        <v>0</v>
      </c>
      <c r="AD119" s="58">
        <v>118</v>
      </c>
      <c r="AE119" s="58" t="str">
        <f>VLOOKUP(TableWRRanks324236[[#This Row],[RK]],Rankings!A:AI,28,FALSE)</f>
        <v>Kalif Raymond</v>
      </c>
      <c r="AF119" s="58" t="str">
        <f>IFERROR(INDEX(TableWRCalcPts[TM],MATCH(TableWRRanks324236[[#This Row],[Player]],TableWRCalcPts[PLAYER],0)),"")</f>
        <v>CHI</v>
      </c>
      <c r="AG119" s="58">
        <f>IFERROR(INDEX(TableWRCalcPts[BYE],MATCH(TableWRRanks324236[[#This Row],[Player]],TableWRCalcPts[PLAYER],0)),"")</f>
        <v>10</v>
      </c>
      <c r="AH119" s="100">
        <f>VLOOKUP(TableWRRanks324236[[#This Row],[Player]],WR!B:O,4,FALSE)</f>
        <v>14.529662933333332</v>
      </c>
      <c r="AI119" s="100">
        <f>VLOOKUP(TableWRRanks324236[[#This Row],[Player]],WR!B:O,5,FALSE)</f>
        <v>2.5945826666666665E-2</v>
      </c>
      <c r="AJ119" s="100">
        <f>VLOOKUP(TableWRRanks324236[[#This Row],[Player]],WR!B:O,6,FALSE)</f>
        <v>36.091847680000001</v>
      </c>
      <c r="AK119" s="100">
        <f>VLOOKUP(TableWRRanks324236[[#This Row],[Player]],WR!B:O,7,FALSE)</f>
        <v>20.283618396160001</v>
      </c>
      <c r="AL119" s="100">
        <f>VLOOKUP(TableWRRanks324236[[#This Row],[Player]],WR!B:O,8,FALSE)</f>
        <v>224.53965564549122</v>
      </c>
      <c r="AM119" s="100">
        <f>VLOOKUP(TableWRRanks324236[[#This Row],[Player]],WR!B:O,9,FALSE)</f>
        <v>1.25758434056192</v>
      </c>
      <c r="AN119" s="95">
        <f>VLOOKUP(TableWRRanks324236[[#This Row],[Player]],WR!B:O,13,FALSE)</f>
        <v>41.749922059333976</v>
      </c>
      <c r="AO119" s="190">
        <f>TableWRRanks324236[[#This Row],[FPS]]+(TableWRRanks324236[[#This Row],[REC]]*0.5)</f>
        <v>51.89173125741398</v>
      </c>
    </row>
    <row r="120" spans="16:41" x14ac:dyDescent="0.25">
      <c r="P120" s="58">
        <v>119</v>
      </c>
      <c r="Q120" s="58">
        <f>VLOOKUP(TableRBRanks314135[[#This Row],[RK]],Rankings!A:AI,23,FALSE)</f>
        <v>0</v>
      </c>
      <c r="R120" s="58" t="str">
        <f>IFERROR(INDEX(TableRBCalcPts[TM],MATCH(TableRBRanks314135[[#This Row],[Player]],TableRBCalcPts[PLAYER],0)),"")</f>
        <v/>
      </c>
      <c r="S120" s="58" t="str">
        <f>IFERROR(INDEX(TableRBCalcPts[BYE],MATCH(TableRBRanks314135[[#This Row],[Player]],TableRBCalcPts[PLAYER],0)),"")</f>
        <v/>
      </c>
      <c r="T120" s="100">
        <f>VLOOKUP(TableRBRanks314135[[#This Row],[Player]],RB!B:O,4,FALSE)</f>
        <v>0</v>
      </c>
      <c r="U120" s="100">
        <f>VLOOKUP(TableRBRanks314135[[#This Row],[Player]],RB!B:O,5,FALSE)</f>
        <v>0</v>
      </c>
      <c r="V120" s="100">
        <f>VLOOKUP(TableRBRanks314135[[#This Row],[Player]],RB!B:O,6,FALSE)</f>
        <v>0</v>
      </c>
      <c r="W120" s="100">
        <f>VLOOKUP(TableRBRanks314135[[#This Row],[Player]],RB!B:O,7,FALSE)</f>
        <v>0</v>
      </c>
      <c r="X120" s="100">
        <f>VLOOKUP(TableRBRanks314135[[#This Row],[Player]],RB!B:O,8,FALSE)</f>
        <v>0</v>
      </c>
      <c r="Y120" s="100">
        <f>VLOOKUP(TableRBRanks314135[[#This Row],[Player]],RB!B:O,9,FALSE)</f>
        <v>0</v>
      </c>
      <c r="Z120" s="100">
        <f>VLOOKUP(TableRBRanks314135[[#This Row],[Player]],RB!B:O,10,FALSE)</f>
        <v>0</v>
      </c>
      <c r="AA120" s="95">
        <f>VLOOKUP(TableRBRanks314135[[#This Row],[Player]],RB!B:O,14,FALSE)</f>
        <v>0</v>
      </c>
      <c r="AB120" s="190">
        <f>TableRBRanks314135[[#This Row],[FPS]]+(TableRBRanks314135[[#This Row],[REC]]*0.5)</f>
        <v>0</v>
      </c>
      <c r="AD120" s="58">
        <v>119</v>
      </c>
      <c r="AE120" s="58" t="str">
        <f>VLOOKUP(TableWRRanks324236[[#This Row],[RK]],Rankings!A:AI,28,FALSE)</f>
        <v>Isaiah Bond</v>
      </c>
      <c r="AF120" s="58" t="str">
        <f>IFERROR(INDEX(TableWRCalcPts[TM],MATCH(TableWRRanks324236[[#This Row],[Player]],TableWRCalcPts[PLAYER],0)),"")</f>
        <v>CLE</v>
      </c>
      <c r="AG120" s="58">
        <f>IFERROR(INDEX(TableWRCalcPts[BYE],MATCH(TableWRRanks324236[[#This Row],[Player]],TableWRCalcPts[PLAYER],0)),"")</f>
        <v>11</v>
      </c>
      <c r="AH120" s="100">
        <f>VLOOKUP(TableWRRanks324236[[#This Row],[Player]],WR!B:O,4,FALSE)</f>
        <v>75.719700000000003</v>
      </c>
      <c r="AI120" s="100">
        <f>VLOOKUP(TableWRRanks324236[[#This Row],[Player]],WR!B:O,5,FALSE)</f>
        <v>0.37859850000000006</v>
      </c>
      <c r="AJ120" s="100">
        <f>VLOOKUP(TableWRRanks324236[[#This Row],[Player]],WR!B:O,6,FALSE)</f>
        <v>36.120545999999997</v>
      </c>
      <c r="AK120" s="100">
        <f>VLOOKUP(TableWRRanks324236[[#This Row],[Player]],WR!B:O,7,FALSE)</f>
        <v>22.105774151999999</v>
      </c>
      <c r="AL120" s="100">
        <f>VLOOKUP(TableWRRanks324236[[#This Row],[Player]],WR!B:O,8,FALSE)</f>
        <v>274.11159948479997</v>
      </c>
      <c r="AM120" s="100">
        <f>VLOOKUP(TableWRRanks324236[[#This Row],[Player]],WR!B:O,9,FALSE)</f>
        <v>1.348452223272</v>
      </c>
      <c r="AN120" s="95">
        <f>VLOOKUP(TableWRRanks324236[[#This Row],[Player]],WR!B:O,13,FALSE)</f>
        <v>56.398321364111993</v>
      </c>
      <c r="AO120" s="190">
        <f>TableWRRanks324236[[#This Row],[FPS]]+(TableWRRanks324236[[#This Row],[REC]]*0.5)</f>
        <v>67.451208440111998</v>
      </c>
    </row>
    <row r="121" spans="16:41" x14ac:dyDescent="0.25">
      <c r="P121" s="58">
        <v>120</v>
      </c>
      <c r="Q121" s="58">
        <f>VLOOKUP(TableRBRanks314135[[#This Row],[RK]],Rankings!A:AI,23,FALSE)</f>
        <v>0</v>
      </c>
      <c r="R121" s="58" t="str">
        <f>IFERROR(INDEX(TableRBCalcPts[TM],MATCH(TableRBRanks314135[[#This Row],[Player]],TableRBCalcPts[PLAYER],0)),"")</f>
        <v/>
      </c>
      <c r="S121" s="58" t="str">
        <f>IFERROR(INDEX(TableRBCalcPts[BYE],MATCH(TableRBRanks314135[[#This Row],[Player]],TableRBCalcPts[PLAYER],0)),"")</f>
        <v/>
      </c>
      <c r="T121" s="100">
        <f>VLOOKUP(TableRBRanks314135[[#This Row],[Player]],RB!B:O,4,FALSE)</f>
        <v>0</v>
      </c>
      <c r="U121" s="100">
        <f>VLOOKUP(TableRBRanks314135[[#This Row],[Player]],RB!B:O,5,FALSE)</f>
        <v>0</v>
      </c>
      <c r="V121" s="100">
        <f>VLOOKUP(TableRBRanks314135[[#This Row],[Player]],RB!B:O,6,FALSE)</f>
        <v>0</v>
      </c>
      <c r="W121" s="100">
        <f>VLOOKUP(TableRBRanks314135[[#This Row],[Player]],RB!B:O,7,FALSE)</f>
        <v>0</v>
      </c>
      <c r="X121" s="100">
        <f>VLOOKUP(TableRBRanks314135[[#This Row],[Player]],RB!B:O,8,FALSE)</f>
        <v>0</v>
      </c>
      <c r="Y121" s="100">
        <f>VLOOKUP(TableRBRanks314135[[#This Row],[Player]],RB!B:O,9,FALSE)</f>
        <v>0</v>
      </c>
      <c r="Z121" s="100">
        <f>VLOOKUP(TableRBRanks314135[[#This Row],[Player]],RB!B:O,10,FALSE)</f>
        <v>0</v>
      </c>
      <c r="AA121" s="95">
        <f>VLOOKUP(TableRBRanks314135[[#This Row],[Player]],RB!B:O,14,FALSE)</f>
        <v>0</v>
      </c>
      <c r="AB121" s="190">
        <f>TableRBRanks314135[[#This Row],[FPS]]+(TableRBRanks314135[[#This Row],[REC]]*0.5)</f>
        <v>0</v>
      </c>
      <c r="AD121" s="58">
        <v>120</v>
      </c>
      <c r="AE121" s="58" t="str">
        <f>VLOOKUP(TableWRRanks324236[[#This Row],[RK]],Rankings!A:AI,28,FALSE)</f>
        <v>Devontez Walker</v>
      </c>
      <c r="AF121" s="58" t="str">
        <f>IFERROR(INDEX(TableWRCalcPts[TM],MATCH(TableWRRanks324236[[#This Row],[Player]],TableWRCalcPts[PLAYER],0)),"")</f>
        <v>BAL</v>
      </c>
      <c r="AG121" s="58">
        <f>IFERROR(INDEX(TableWRCalcPts[BYE],MATCH(TableWRRanks324236[[#This Row],[Player]],TableWRCalcPts[PLAYER],0)),"")</f>
        <v>13</v>
      </c>
      <c r="AH121" s="100">
        <f>VLOOKUP(TableWRRanks324236[[#This Row],[Player]],WR!B:O,4,FALSE)</f>
        <v>0</v>
      </c>
      <c r="AI121" s="100">
        <f>VLOOKUP(TableWRRanks324236[[#This Row],[Player]],WR!B:O,5,FALSE)</f>
        <v>0</v>
      </c>
      <c r="AJ121" s="100">
        <f>VLOOKUP(TableWRRanks324236[[#This Row],[Player]],WR!B:O,6,FALSE)</f>
        <v>22.558126079999997</v>
      </c>
      <c r="AK121" s="100">
        <f>VLOOKUP(TableWRRanks324236[[#This Row],[Player]],WR!B:O,7,FALSE)</f>
        <v>15.22556542338844</v>
      </c>
      <c r="AL121" s="100">
        <f>VLOOKUP(TableWRRanks324236[[#This Row],[Player]],WR!B:O,8,FALSE)</f>
        <v>230.46852058953951</v>
      </c>
      <c r="AM121" s="100">
        <f>VLOOKUP(TableWRRanks324236[[#This Row],[Player]],WR!B:O,9,FALSE)</f>
        <v>1.6748121965727285</v>
      </c>
      <c r="AN121" s="95">
        <f>VLOOKUP(TableWRRanks324236[[#This Row],[Player]],WR!B:O,13,FALSE)</f>
        <v>40.708507950084538</v>
      </c>
      <c r="AO121" s="190">
        <f>TableWRRanks324236[[#This Row],[FPS]]+(TableWRRanks324236[[#This Row],[REC]]*0.5)</f>
        <v>48.321290661778761</v>
      </c>
    </row>
    <row r="122" spans="16:41" x14ac:dyDescent="0.25">
      <c r="P122" s="58">
        <v>121</v>
      </c>
      <c r="Q122" s="58">
        <f>VLOOKUP(TableRBRanks314135[[#This Row],[RK]],Rankings!A:AI,23,FALSE)</f>
        <v>0</v>
      </c>
      <c r="R122" s="58" t="str">
        <f>IFERROR(INDEX(TableRBCalcPts[TM],MATCH(TableRBRanks314135[[#This Row],[Player]],TableRBCalcPts[PLAYER],0)),"")</f>
        <v/>
      </c>
      <c r="S122" s="58" t="str">
        <f>IFERROR(INDEX(TableRBCalcPts[BYE],MATCH(TableRBRanks314135[[#This Row],[Player]],TableRBCalcPts[PLAYER],0)),"")</f>
        <v/>
      </c>
      <c r="T122" s="100">
        <f>VLOOKUP(TableRBRanks314135[[#This Row],[Player]],RB!B:O,4,FALSE)</f>
        <v>0</v>
      </c>
      <c r="U122" s="100">
        <f>VLOOKUP(TableRBRanks314135[[#This Row],[Player]],RB!B:O,5,FALSE)</f>
        <v>0</v>
      </c>
      <c r="V122" s="100">
        <f>VLOOKUP(TableRBRanks314135[[#This Row],[Player]],RB!B:O,6,FALSE)</f>
        <v>0</v>
      </c>
      <c r="W122" s="100">
        <f>VLOOKUP(TableRBRanks314135[[#This Row],[Player]],RB!B:O,7,FALSE)</f>
        <v>0</v>
      </c>
      <c r="X122" s="100">
        <f>VLOOKUP(TableRBRanks314135[[#This Row],[Player]],RB!B:O,8,FALSE)</f>
        <v>0</v>
      </c>
      <c r="Y122" s="100">
        <f>VLOOKUP(TableRBRanks314135[[#This Row],[Player]],RB!B:O,9,FALSE)</f>
        <v>0</v>
      </c>
      <c r="Z122" s="100">
        <f>VLOOKUP(TableRBRanks314135[[#This Row],[Player]],RB!B:O,10,FALSE)</f>
        <v>0</v>
      </c>
      <c r="AA122" s="95">
        <f>VLOOKUP(TableRBRanks314135[[#This Row],[Player]],RB!B:O,14,FALSE)</f>
        <v>0</v>
      </c>
      <c r="AB122" s="190">
        <f>TableRBRanks314135[[#This Row],[FPS]]+(TableRBRanks314135[[#This Row],[REC]]*0.5)</f>
        <v>0</v>
      </c>
      <c r="AD122" s="58">
        <v>121</v>
      </c>
      <c r="AE122" s="58" t="str">
        <f>VLOOKUP(TableWRRanks324236[[#This Row],[RK]],Rankings!A:AI,28,FALSE)</f>
        <v>Tutu Atwell</v>
      </c>
      <c r="AF122" s="58" t="str">
        <f>IFERROR(INDEX(TableWRCalcPts[TM],MATCH(TableWRRanks324236[[#This Row],[Player]],TableWRCalcPts[PLAYER],0)),"")</f>
        <v>MIA</v>
      </c>
      <c r="AG122" s="58">
        <f>IFERROR(INDEX(TableWRCalcPts[BYE],MATCH(TableWRRanks324236[[#This Row],[Player]],TableWRCalcPts[PLAYER],0)),"")</f>
        <v>6</v>
      </c>
      <c r="AH122" s="100">
        <f>VLOOKUP(TableWRRanks324236[[#This Row],[Player]],WR!B:O,4,FALSE)</f>
        <v>0</v>
      </c>
      <c r="AI122" s="100">
        <f>VLOOKUP(TableWRRanks324236[[#This Row],[Player]],WR!B:O,5,FALSE)</f>
        <v>0</v>
      </c>
      <c r="AJ122" s="100">
        <f>VLOOKUP(TableWRRanks324236[[#This Row],[Player]],WR!B:O,6,FALSE)</f>
        <v>22.652564759999997</v>
      </c>
      <c r="AK122" s="100">
        <f>VLOOKUP(TableWRRanks324236[[#This Row],[Player]],WR!B:O,7,FALSE)</f>
        <v>15.902100461519996</v>
      </c>
      <c r="AL122" s="100">
        <f>VLOOKUP(TableWRRanks324236[[#This Row],[Player]],WR!B:O,8,FALSE)</f>
        <v>202.43373887514957</v>
      </c>
      <c r="AM122" s="100">
        <f>VLOOKUP(TableWRRanks324236[[#This Row],[Player]],WR!B:O,9,FALSE)</f>
        <v>0.69969242030687984</v>
      </c>
      <c r="AN122" s="95">
        <f>VLOOKUP(TableWRRanks324236[[#This Row],[Player]],WR!B:O,13,FALSE)</f>
        <v>32.392578640116241</v>
      </c>
      <c r="AO122" s="190">
        <f>TableWRRanks324236[[#This Row],[FPS]]+(TableWRRanks324236[[#This Row],[REC]]*0.5)</f>
        <v>40.343628870876238</v>
      </c>
    </row>
    <row r="123" spans="16:41" x14ac:dyDescent="0.25">
      <c r="P123" s="58">
        <v>122</v>
      </c>
      <c r="Q123" s="58">
        <f>VLOOKUP(TableRBRanks314135[[#This Row],[RK]],Rankings!A:AI,23,FALSE)</f>
        <v>0</v>
      </c>
      <c r="R123" s="58" t="str">
        <f>IFERROR(INDEX(TableRBCalcPts[TM],MATCH(TableRBRanks314135[[#This Row],[Player]],TableRBCalcPts[PLAYER],0)),"")</f>
        <v/>
      </c>
      <c r="S123" s="58" t="str">
        <f>IFERROR(INDEX(TableRBCalcPts[BYE],MATCH(TableRBRanks314135[[#This Row],[Player]],TableRBCalcPts[PLAYER],0)),"")</f>
        <v/>
      </c>
      <c r="T123" s="100">
        <f>VLOOKUP(TableRBRanks314135[[#This Row],[Player]],RB!B:O,4,FALSE)</f>
        <v>0</v>
      </c>
      <c r="U123" s="100">
        <f>VLOOKUP(TableRBRanks314135[[#This Row],[Player]],RB!B:O,5,FALSE)</f>
        <v>0</v>
      </c>
      <c r="V123" s="100">
        <f>VLOOKUP(TableRBRanks314135[[#This Row],[Player]],RB!B:O,6,FALSE)</f>
        <v>0</v>
      </c>
      <c r="W123" s="100">
        <f>VLOOKUP(TableRBRanks314135[[#This Row],[Player]],RB!B:O,7,FALSE)</f>
        <v>0</v>
      </c>
      <c r="X123" s="100">
        <f>VLOOKUP(TableRBRanks314135[[#This Row],[Player]],RB!B:O,8,FALSE)</f>
        <v>0</v>
      </c>
      <c r="Y123" s="100">
        <f>VLOOKUP(TableRBRanks314135[[#This Row],[Player]],RB!B:O,9,FALSE)</f>
        <v>0</v>
      </c>
      <c r="Z123" s="100">
        <f>VLOOKUP(TableRBRanks314135[[#This Row],[Player]],RB!B:O,10,FALSE)</f>
        <v>0</v>
      </c>
      <c r="AA123" s="95">
        <f>VLOOKUP(TableRBRanks314135[[#This Row],[Player]],RB!B:O,14,FALSE)</f>
        <v>0</v>
      </c>
      <c r="AB123" s="190">
        <f>TableRBRanks314135[[#This Row],[FPS]]+(TableRBRanks314135[[#This Row],[REC]]*0.5)</f>
        <v>0</v>
      </c>
      <c r="AD123" s="58">
        <v>122</v>
      </c>
      <c r="AE123" s="58" t="str">
        <f>VLOOKUP(TableWRRanks324236[[#This Row],[RK]],Rankings!A:AI,28,FALSE)</f>
        <v>Marvin Mims</v>
      </c>
      <c r="AF123" s="58" t="str">
        <f>IFERROR(INDEX(TableWRCalcPts[TM],MATCH(TableWRRanks324236[[#This Row],[Player]],TableWRCalcPts[PLAYER],0)),"")</f>
        <v>DEN</v>
      </c>
      <c r="AG123" s="58">
        <f>IFERROR(INDEX(TableWRCalcPts[BYE],MATCH(TableWRRanks324236[[#This Row],[Player]],TableWRCalcPts[PLAYER],0)),"")</f>
        <v>10</v>
      </c>
      <c r="AH123" s="100">
        <f>VLOOKUP(TableWRRanks324236[[#This Row],[Player]],WR!B:O,4,FALSE)</f>
        <v>40.606619846057285</v>
      </c>
      <c r="AI123" s="100">
        <f>VLOOKUP(TableWRRanks324236[[#This Row],[Player]],WR!B:O,5,FALSE)</f>
        <v>0.3122830212152084</v>
      </c>
      <c r="AJ123" s="100">
        <f>VLOOKUP(TableWRRanks324236[[#This Row],[Player]],WR!B:O,6,FALSE)</f>
        <v>22.256193960000001</v>
      </c>
      <c r="AK123" s="100">
        <f>VLOOKUP(TableWRRanks324236[[#This Row],[Player]],WR!B:O,7,FALSE)</f>
        <v>15.089699504880002</v>
      </c>
      <c r="AL123" s="100">
        <f>VLOOKUP(TableWRRanks324236[[#This Row],[Player]],WR!B:O,8,FALSE)</f>
        <v>154.7447262544562</v>
      </c>
      <c r="AM123" s="100">
        <f>VLOOKUP(TableWRRanks324236[[#This Row],[Player]],WR!B:O,9,FALSE)</f>
        <v>0.78466437425376012</v>
      </c>
      <c r="AN123" s="95">
        <f>VLOOKUP(TableWRRanks324236[[#This Row],[Player]],WR!B:O,13,FALSE)</f>
        <v>33.661668735305163</v>
      </c>
      <c r="AO123" s="190">
        <f>TableWRRanks324236[[#This Row],[FPS]]+(TableWRRanks324236[[#This Row],[REC]]*0.5)</f>
        <v>41.206518487745164</v>
      </c>
    </row>
    <row r="124" spans="16:41" x14ac:dyDescent="0.25">
      <c r="P124" s="58">
        <v>123</v>
      </c>
      <c r="Q124" s="58">
        <f>VLOOKUP(TableRBRanks314135[[#This Row],[RK]],Rankings!A:AI,23,FALSE)</f>
        <v>0</v>
      </c>
      <c r="R124" s="58" t="str">
        <f>IFERROR(INDEX(TableRBCalcPts[TM],MATCH(TableRBRanks314135[[#This Row],[Player]],TableRBCalcPts[PLAYER],0)),"")</f>
        <v/>
      </c>
      <c r="S124" s="58" t="str">
        <f>IFERROR(INDEX(TableRBCalcPts[BYE],MATCH(TableRBRanks314135[[#This Row],[Player]],TableRBCalcPts[PLAYER],0)),"")</f>
        <v/>
      </c>
      <c r="T124" s="100">
        <f>VLOOKUP(TableRBRanks314135[[#This Row],[Player]],RB!B:O,4,FALSE)</f>
        <v>0</v>
      </c>
      <c r="U124" s="100">
        <f>VLOOKUP(TableRBRanks314135[[#This Row],[Player]],RB!B:O,5,FALSE)</f>
        <v>0</v>
      </c>
      <c r="V124" s="100">
        <f>VLOOKUP(TableRBRanks314135[[#This Row],[Player]],RB!B:O,6,FALSE)</f>
        <v>0</v>
      </c>
      <c r="W124" s="100">
        <f>VLOOKUP(TableRBRanks314135[[#This Row],[Player]],RB!B:O,7,FALSE)</f>
        <v>0</v>
      </c>
      <c r="X124" s="100">
        <f>VLOOKUP(TableRBRanks314135[[#This Row],[Player]],RB!B:O,8,FALSE)</f>
        <v>0</v>
      </c>
      <c r="Y124" s="100">
        <f>VLOOKUP(TableRBRanks314135[[#This Row],[Player]],RB!B:O,9,FALSE)</f>
        <v>0</v>
      </c>
      <c r="Z124" s="100">
        <f>VLOOKUP(TableRBRanks314135[[#This Row],[Player]],RB!B:O,10,FALSE)</f>
        <v>0</v>
      </c>
      <c r="AA124" s="95">
        <f>VLOOKUP(TableRBRanks314135[[#This Row],[Player]],RB!B:O,14,FALSE)</f>
        <v>0</v>
      </c>
      <c r="AB124" s="190">
        <f>TableRBRanks314135[[#This Row],[FPS]]+(TableRBRanks314135[[#This Row],[REC]]*0.5)</f>
        <v>0</v>
      </c>
      <c r="AD124" s="58">
        <v>123</v>
      </c>
      <c r="AE124" s="58" t="str">
        <f>VLOOKUP(TableWRRanks324236[[#This Row],[RK]],Rankings!A:AI,28,FALSE)</f>
        <v>Jalen Royals</v>
      </c>
      <c r="AF124" s="58" t="str">
        <f>IFERROR(INDEX(TableWRCalcPts[TM],MATCH(TableWRRanks324236[[#This Row],[Player]],TableWRCalcPts[PLAYER],0)),"")</f>
        <v>KC</v>
      </c>
      <c r="AG124" s="58">
        <f>IFERROR(INDEX(TableWRCalcPts[BYE],MATCH(TableWRRanks324236[[#This Row],[Player]],TableWRCalcPts[PLAYER],0)),"")</f>
        <v>5</v>
      </c>
      <c r="AH124" s="100">
        <f>VLOOKUP(TableWRRanks324236[[#This Row],[Player]],WR!B:O,4,FALSE)</f>
        <v>0</v>
      </c>
      <c r="AI124" s="100">
        <f>VLOOKUP(TableWRRanks324236[[#This Row],[Player]],WR!B:O,5,FALSE)</f>
        <v>0</v>
      </c>
      <c r="AJ124" s="100">
        <f>VLOOKUP(TableWRRanks324236[[#This Row],[Player]],WR!B:O,6,FALSE)</f>
        <v>26.346442499999998</v>
      </c>
      <c r="AK124" s="100">
        <f>VLOOKUP(TableWRRanks324236[[#This Row],[Player]],WR!B:O,7,FALSE)</f>
        <v>16.545565889999999</v>
      </c>
      <c r="AL124" s="100">
        <f>VLOOKUP(TableWRRanks324236[[#This Row],[Player]],WR!B:O,8,FALSE)</f>
        <v>173.51816124730254</v>
      </c>
      <c r="AM124" s="100">
        <f>VLOOKUP(TableWRRanks324236[[#This Row],[Player]],WR!B:O,9,FALSE)</f>
        <v>1.24091744175</v>
      </c>
      <c r="AN124" s="95">
        <f>VLOOKUP(TableWRRanks324236[[#This Row],[Player]],WR!B:O,13,FALSE)</f>
        <v>33.070103720230257</v>
      </c>
      <c r="AO124" s="190">
        <f>TableWRRanks324236[[#This Row],[FPS]]+(TableWRRanks324236[[#This Row],[REC]]*0.5)</f>
        <v>41.342886665230253</v>
      </c>
    </row>
    <row r="125" spans="16:41" x14ac:dyDescent="0.25">
      <c r="P125" s="58">
        <v>124</v>
      </c>
      <c r="Q125" s="58">
        <f>VLOOKUP(TableRBRanks314135[[#This Row],[RK]],Rankings!A:AI,23,FALSE)</f>
        <v>0</v>
      </c>
      <c r="R125" s="58" t="str">
        <f>IFERROR(INDEX(TableRBCalcPts[TM],MATCH(TableRBRanks314135[[#This Row],[Player]],TableRBCalcPts[PLAYER],0)),"")</f>
        <v/>
      </c>
      <c r="S125" s="58" t="str">
        <f>IFERROR(INDEX(TableRBCalcPts[BYE],MATCH(TableRBRanks314135[[#This Row],[Player]],TableRBCalcPts[PLAYER],0)),"")</f>
        <v/>
      </c>
      <c r="T125" s="100">
        <f>VLOOKUP(TableRBRanks314135[[#This Row],[Player]],RB!B:O,4,FALSE)</f>
        <v>0</v>
      </c>
      <c r="U125" s="100">
        <f>VLOOKUP(TableRBRanks314135[[#This Row],[Player]],RB!B:O,5,FALSE)</f>
        <v>0</v>
      </c>
      <c r="V125" s="100">
        <f>VLOOKUP(TableRBRanks314135[[#This Row],[Player]],RB!B:O,6,FALSE)</f>
        <v>0</v>
      </c>
      <c r="W125" s="100">
        <f>VLOOKUP(TableRBRanks314135[[#This Row],[Player]],RB!B:O,7,FALSE)</f>
        <v>0</v>
      </c>
      <c r="X125" s="100">
        <f>VLOOKUP(TableRBRanks314135[[#This Row],[Player]],RB!B:O,8,FALSE)</f>
        <v>0</v>
      </c>
      <c r="Y125" s="100">
        <f>VLOOKUP(TableRBRanks314135[[#This Row],[Player]],RB!B:O,9,FALSE)</f>
        <v>0</v>
      </c>
      <c r="Z125" s="100">
        <f>VLOOKUP(TableRBRanks314135[[#This Row],[Player]],RB!B:O,10,FALSE)</f>
        <v>0</v>
      </c>
      <c r="AA125" s="95">
        <f>VLOOKUP(TableRBRanks314135[[#This Row],[Player]],RB!B:O,14,FALSE)</f>
        <v>0</v>
      </c>
      <c r="AB125" s="190">
        <f>TableRBRanks314135[[#This Row],[FPS]]+(TableRBRanks314135[[#This Row],[REC]]*0.5)</f>
        <v>0</v>
      </c>
      <c r="AD125" s="58">
        <v>124</v>
      </c>
      <c r="AE125" s="58" t="str">
        <f>VLOOKUP(TableWRRanks324236[[#This Row],[RK]],Rankings!A:AI,28,FALSE)</f>
        <v>Chimere Dike</v>
      </c>
      <c r="AF125" s="58" t="str">
        <f>IFERROR(INDEX(TableWRCalcPts[TM],MATCH(TableWRRanks324236[[#This Row],[Player]],TableWRCalcPts[PLAYER],0)),"")</f>
        <v>TEN</v>
      </c>
      <c r="AG125" s="58">
        <f>IFERROR(INDEX(TableWRCalcPts[BYE],MATCH(TableWRRanks324236[[#This Row],[Player]],TableWRCalcPts[PLAYER],0)),"")</f>
        <v>9</v>
      </c>
      <c r="AH125" s="100">
        <f>VLOOKUP(TableWRRanks324236[[#This Row],[Player]],WR!B:O,4,FALSE)</f>
        <v>18.365849940778077</v>
      </c>
      <c r="AI125" s="100">
        <f>VLOOKUP(TableWRRanks324236[[#This Row],[Player]],WR!B:O,5,FALSE)</f>
        <v>0.24117726801997885</v>
      </c>
      <c r="AJ125" s="100">
        <f>VLOOKUP(TableWRRanks324236[[#This Row],[Player]],WR!B:O,6,FALSE)</f>
        <v>13.730976000000004</v>
      </c>
      <c r="AK125" s="100">
        <f>VLOOKUP(TableWRRanks324236[[#This Row],[Player]],WR!B:O,7,FALSE)</f>
        <v>9.0761751360000034</v>
      </c>
      <c r="AL125" s="100">
        <f>VLOOKUP(TableWRRanks324236[[#This Row],[Player]],WR!B:O,8,FALSE)</f>
        <v>85.924693191770871</v>
      </c>
      <c r="AM125" s="100">
        <f>VLOOKUP(TableWRRanks324236[[#This Row],[Player]],WR!B:O,9,FALSE)</f>
        <v>0.58995138384000023</v>
      </c>
      <c r="AN125" s="95">
        <f>VLOOKUP(TableWRRanks324236[[#This Row],[Player]],WR!B:O,13,FALSE)</f>
        <v>19.953913792414774</v>
      </c>
      <c r="AO125" s="190">
        <f>TableWRRanks324236[[#This Row],[FPS]]+(TableWRRanks324236[[#This Row],[REC]]*0.5)</f>
        <v>24.492001360414775</v>
      </c>
    </row>
    <row r="126" spans="16:41" x14ac:dyDescent="0.25">
      <c r="P126" s="58">
        <v>125</v>
      </c>
      <c r="Q126" s="58">
        <f>VLOOKUP(TableRBRanks314135[[#This Row],[RK]],Rankings!A:AI,23,FALSE)</f>
        <v>0</v>
      </c>
      <c r="R126" s="58" t="str">
        <f>IFERROR(INDEX(TableRBCalcPts[TM],MATCH(TableRBRanks314135[[#This Row],[Player]],TableRBCalcPts[PLAYER],0)),"")</f>
        <v/>
      </c>
      <c r="S126" s="58" t="str">
        <f>IFERROR(INDEX(TableRBCalcPts[BYE],MATCH(TableRBRanks314135[[#This Row],[Player]],TableRBCalcPts[PLAYER],0)),"")</f>
        <v/>
      </c>
      <c r="T126" s="100">
        <f>VLOOKUP(TableRBRanks314135[[#This Row],[Player]],RB!B:O,4,FALSE)</f>
        <v>0</v>
      </c>
      <c r="U126" s="100">
        <f>VLOOKUP(TableRBRanks314135[[#This Row],[Player]],RB!B:O,5,FALSE)</f>
        <v>0</v>
      </c>
      <c r="V126" s="100">
        <f>VLOOKUP(TableRBRanks314135[[#This Row],[Player]],RB!B:O,6,FALSE)</f>
        <v>0</v>
      </c>
      <c r="W126" s="100">
        <f>VLOOKUP(TableRBRanks314135[[#This Row],[Player]],RB!B:O,7,FALSE)</f>
        <v>0</v>
      </c>
      <c r="X126" s="100">
        <f>VLOOKUP(TableRBRanks314135[[#This Row],[Player]],RB!B:O,8,FALSE)</f>
        <v>0</v>
      </c>
      <c r="Y126" s="100">
        <f>VLOOKUP(TableRBRanks314135[[#This Row],[Player]],RB!B:O,9,FALSE)</f>
        <v>0</v>
      </c>
      <c r="Z126" s="100">
        <f>VLOOKUP(TableRBRanks314135[[#This Row],[Player]],RB!B:O,10,FALSE)</f>
        <v>0</v>
      </c>
      <c r="AA126" s="95">
        <f>VLOOKUP(TableRBRanks314135[[#This Row],[Player]],RB!B:O,14,FALSE)</f>
        <v>0</v>
      </c>
      <c r="AB126" s="190">
        <f>TableRBRanks314135[[#This Row],[FPS]]+(TableRBRanks314135[[#This Row],[REC]]*0.5)</f>
        <v>0</v>
      </c>
      <c r="AD126" s="58">
        <v>125</v>
      </c>
      <c r="AE126" s="58" t="str">
        <f>VLOOKUP(TableWRRanks324236[[#This Row],[RK]],Rankings!A:AI,28,FALSE)</f>
        <v>Cyrus Allen</v>
      </c>
      <c r="AF126" s="58" t="str">
        <f>IFERROR(INDEX(TableWRCalcPts[TM],MATCH(TableWRRanks324236[[#This Row],[Player]],TableWRCalcPts[PLAYER],0)),"")</f>
        <v>KC</v>
      </c>
      <c r="AG126" s="58">
        <f>IFERROR(INDEX(TableWRCalcPts[BYE],MATCH(TableWRRanks324236[[#This Row],[Player]],TableWRCalcPts[PLAYER],0)),"")</f>
        <v>5</v>
      </c>
      <c r="AH126" s="100">
        <f>VLOOKUP(TableWRRanks324236[[#This Row],[Player]],WR!B:O,4,FALSE)</f>
        <v>0</v>
      </c>
      <c r="AI126" s="100">
        <f>VLOOKUP(TableWRRanks324236[[#This Row],[Player]],WR!B:O,5,FALSE)</f>
        <v>0</v>
      </c>
      <c r="AJ126" s="100">
        <f>VLOOKUP(TableWRRanks324236[[#This Row],[Player]],WR!B:O,6,FALSE)</f>
        <v>8.7821474999999989</v>
      </c>
      <c r="AK126" s="100">
        <f>VLOOKUP(TableWRRanks324236[[#This Row],[Player]],WR!B:O,7,FALSE)</f>
        <v>4.6272159383333324</v>
      </c>
      <c r="AL126" s="100">
        <f>VLOOKUP(TableWRRanks324236[[#This Row],[Player]],WR!B:O,8,FALSE)</f>
        <v>55.322455120333316</v>
      </c>
      <c r="AM126" s="100">
        <f>VLOOKUP(TableWRRanks324236[[#This Row],[Player]],WR!B:O,9,FALSE)</f>
        <v>0.33778676349833325</v>
      </c>
      <c r="AN126" s="95">
        <f>VLOOKUP(TableWRRanks324236[[#This Row],[Player]],WR!B:O,13,FALSE)</f>
        <v>9.8725740621899973</v>
      </c>
      <c r="AO126" s="190">
        <f>TableWRRanks324236[[#This Row],[FPS]]+(TableWRRanks324236[[#This Row],[REC]]*0.5)</f>
        <v>12.186182031356664</v>
      </c>
    </row>
    <row r="127" spans="16:41" x14ac:dyDescent="0.25">
      <c r="P127" s="58">
        <v>126</v>
      </c>
      <c r="Q127" s="58">
        <f>VLOOKUP(TableRBRanks314135[[#This Row],[RK]],Rankings!A:AI,23,FALSE)</f>
        <v>0</v>
      </c>
      <c r="R127" s="58" t="str">
        <f>IFERROR(INDEX(TableRBCalcPts[TM],MATCH(TableRBRanks314135[[#This Row],[Player]],TableRBCalcPts[PLAYER],0)),"")</f>
        <v/>
      </c>
      <c r="S127" s="58" t="str">
        <f>IFERROR(INDEX(TableRBCalcPts[BYE],MATCH(TableRBRanks314135[[#This Row],[Player]],TableRBCalcPts[PLAYER],0)),"")</f>
        <v/>
      </c>
      <c r="T127" s="100">
        <f>VLOOKUP(TableRBRanks314135[[#This Row],[Player]],RB!B:O,4,FALSE)</f>
        <v>0</v>
      </c>
      <c r="U127" s="100">
        <f>VLOOKUP(TableRBRanks314135[[#This Row],[Player]],RB!B:O,5,FALSE)</f>
        <v>0</v>
      </c>
      <c r="V127" s="100">
        <f>VLOOKUP(TableRBRanks314135[[#This Row],[Player]],RB!B:O,6,FALSE)</f>
        <v>0</v>
      </c>
      <c r="W127" s="100">
        <f>VLOOKUP(TableRBRanks314135[[#This Row],[Player]],RB!B:O,7,FALSE)</f>
        <v>0</v>
      </c>
      <c r="X127" s="100">
        <f>VLOOKUP(TableRBRanks314135[[#This Row],[Player]],RB!B:O,8,FALSE)</f>
        <v>0</v>
      </c>
      <c r="Y127" s="100">
        <f>VLOOKUP(TableRBRanks314135[[#This Row],[Player]],RB!B:O,9,FALSE)</f>
        <v>0</v>
      </c>
      <c r="Z127" s="100">
        <f>VLOOKUP(TableRBRanks314135[[#This Row],[Player]],RB!B:O,10,FALSE)</f>
        <v>0</v>
      </c>
      <c r="AA127" s="95">
        <f>VLOOKUP(TableRBRanks314135[[#This Row],[Player]],RB!B:O,14,FALSE)</f>
        <v>0</v>
      </c>
      <c r="AB127" s="190">
        <f>TableRBRanks314135[[#This Row],[FPS]]+(TableRBRanks314135[[#This Row],[REC]]*0.5)</f>
        <v>0</v>
      </c>
      <c r="AD127" s="58">
        <v>126</v>
      </c>
      <c r="AE127" s="58" t="str">
        <f>VLOOKUP(TableWRRanks324236[[#This Row],[RK]],Rankings!A:AI,28,FALSE)</f>
        <v>Jordan Whittington</v>
      </c>
      <c r="AF127" s="58" t="str">
        <f>IFERROR(INDEX(TableWRCalcPts[TM],MATCH(TableWRRanks324236[[#This Row],[Player]],TableWRCalcPts[PLAYER],0)),"")</f>
        <v>LAR</v>
      </c>
      <c r="AG127" s="58">
        <f>IFERROR(INDEX(TableWRCalcPts[BYE],MATCH(TableWRRanks324236[[#This Row],[Player]],TableWRCalcPts[PLAYER],0)),"")</f>
        <v>11</v>
      </c>
      <c r="AH127" s="100">
        <f>VLOOKUP(TableWRRanks324236[[#This Row],[Player]],WR!B:O,4,FALSE)</f>
        <v>0</v>
      </c>
      <c r="AI127" s="100">
        <f>VLOOKUP(TableWRRanks324236[[#This Row],[Player]],WR!B:O,5,FALSE)</f>
        <v>0</v>
      </c>
      <c r="AJ127" s="100">
        <f>VLOOKUP(TableWRRanks324236[[#This Row],[Player]],WR!B:O,6,FALSE)</f>
        <v>15.267371012969585</v>
      </c>
      <c r="AK127" s="100">
        <f>VLOOKUP(TableWRRanks324236[[#This Row],[Player]],WR!B:O,7,FALSE)</f>
        <v>10.732961822117618</v>
      </c>
      <c r="AL127" s="100">
        <f>VLOOKUP(TableWRRanks324236[[#This Row],[Player]],WR!B:O,8,FALSE)</f>
        <v>111.12923962094875</v>
      </c>
      <c r="AM127" s="100">
        <f>VLOOKUP(TableWRRanks324236[[#This Row],[Player]],WR!B:O,9,FALSE)</f>
        <v>0.66544363297129228</v>
      </c>
      <c r="AN127" s="95">
        <f>VLOOKUP(TableWRRanks324236[[#This Row],[Player]],WR!B:O,13,FALSE)</f>
        <v>20.472066670981437</v>
      </c>
      <c r="AO127" s="190">
        <f>TableWRRanks324236[[#This Row],[FPS]]+(TableWRRanks324236[[#This Row],[REC]]*0.5)</f>
        <v>25.838547582040245</v>
      </c>
    </row>
    <row r="128" spans="16:41" x14ac:dyDescent="0.25">
      <c r="P128" s="58">
        <v>127</v>
      </c>
      <c r="Q128" s="58">
        <f>VLOOKUP(TableRBRanks314135[[#This Row],[RK]],Rankings!A:AI,23,FALSE)</f>
        <v>0</v>
      </c>
      <c r="R128" s="58" t="str">
        <f>IFERROR(INDEX(TableRBCalcPts[TM],MATCH(TableRBRanks314135[[#This Row],[Player]],TableRBCalcPts[PLAYER],0)),"")</f>
        <v/>
      </c>
      <c r="S128" s="58" t="str">
        <f>IFERROR(INDEX(TableRBCalcPts[BYE],MATCH(TableRBRanks314135[[#This Row],[Player]],TableRBCalcPts[PLAYER],0)),"")</f>
        <v/>
      </c>
      <c r="T128" s="100">
        <f>VLOOKUP(TableRBRanks314135[[#This Row],[Player]],RB!B:O,4,FALSE)</f>
        <v>0</v>
      </c>
      <c r="U128" s="100">
        <f>VLOOKUP(TableRBRanks314135[[#This Row],[Player]],RB!B:O,5,FALSE)</f>
        <v>0</v>
      </c>
      <c r="V128" s="100">
        <f>VLOOKUP(TableRBRanks314135[[#This Row],[Player]],RB!B:O,6,FALSE)</f>
        <v>0</v>
      </c>
      <c r="W128" s="100">
        <f>VLOOKUP(TableRBRanks314135[[#This Row],[Player]],RB!B:O,7,FALSE)</f>
        <v>0</v>
      </c>
      <c r="X128" s="100">
        <f>VLOOKUP(TableRBRanks314135[[#This Row],[Player]],RB!B:O,8,FALSE)</f>
        <v>0</v>
      </c>
      <c r="Y128" s="100">
        <f>VLOOKUP(TableRBRanks314135[[#This Row],[Player]],RB!B:O,9,FALSE)</f>
        <v>0</v>
      </c>
      <c r="Z128" s="100">
        <f>VLOOKUP(TableRBRanks314135[[#This Row],[Player]],RB!B:O,10,FALSE)</f>
        <v>0</v>
      </c>
      <c r="AA128" s="95">
        <f>VLOOKUP(TableRBRanks314135[[#This Row],[Player]],RB!B:O,14,FALSE)</f>
        <v>0</v>
      </c>
      <c r="AB128" s="190">
        <f>TableRBRanks314135[[#This Row],[FPS]]+(TableRBRanks314135[[#This Row],[REC]]*0.5)</f>
        <v>0</v>
      </c>
      <c r="AD128" s="58">
        <v>127</v>
      </c>
      <c r="AE128" s="58" t="str">
        <f>VLOOKUP(TableWRRanks324236[[#This Row],[RK]],Rankings!A:AI,28,FALSE)</f>
        <v>Skyler Bell</v>
      </c>
      <c r="AF128" s="58" t="str">
        <f>IFERROR(INDEX(TableWRCalcPts[TM],MATCH(TableWRRanks324236[[#This Row],[Player]],TableWRCalcPts[PLAYER],0)),"")</f>
        <v>BUF</v>
      </c>
      <c r="AG128" s="58">
        <f>IFERROR(INDEX(TableWRCalcPts[BYE],MATCH(TableWRRanks324236[[#This Row],[Player]],TableWRCalcPts[PLAYER],0)),"")</f>
        <v>7</v>
      </c>
      <c r="AH128" s="100">
        <f>VLOOKUP(TableWRRanks324236[[#This Row],[Player]],WR!B:O,4,FALSE)</f>
        <v>0</v>
      </c>
      <c r="AI128" s="100">
        <f>VLOOKUP(TableWRRanks324236[[#This Row],[Player]],WR!B:O,5,FALSE)</f>
        <v>0</v>
      </c>
      <c r="AJ128" s="100">
        <f>VLOOKUP(TableWRRanks324236[[#This Row],[Player]],WR!B:O,6,FALSE)</f>
        <v>20.430255999999993</v>
      </c>
      <c r="AK128" s="100">
        <f>VLOOKUP(TableWRRanks324236[[#This Row],[Player]],WR!B:O,7,FALSE)</f>
        <v>12.728049487999996</v>
      </c>
      <c r="AL128" s="100">
        <f>VLOOKUP(TableWRRanks324236[[#This Row],[Player]],WR!B:O,8,FALSE)</f>
        <v>161.05822684422731</v>
      </c>
      <c r="AM128" s="100">
        <f>VLOOKUP(TableWRRanks324236[[#This Row],[Player]],WR!B:O,9,FALSE)</f>
        <v>0.99498567446310282</v>
      </c>
      <c r="AN128" s="95">
        <f>VLOOKUP(TableWRRanks324236[[#This Row],[Player]],WR!B:O,13,FALSE)</f>
        <v>28.439761475201344</v>
      </c>
      <c r="AO128" s="190">
        <f>TableWRRanks324236[[#This Row],[FPS]]+(TableWRRanks324236[[#This Row],[REC]]*0.5)</f>
        <v>34.803786219201342</v>
      </c>
    </row>
    <row r="129" spans="16:41" x14ac:dyDescent="0.25">
      <c r="P129" s="58">
        <v>128</v>
      </c>
      <c r="Q129" s="58">
        <f>VLOOKUP(TableRBRanks314135[[#This Row],[RK]],Rankings!A:AI,23,FALSE)</f>
        <v>0</v>
      </c>
      <c r="R129" s="58" t="str">
        <f>IFERROR(INDEX(TableRBCalcPts[TM],MATCH(TableRBRanks314135[[#This Row],[Player]],TableRBCalcPts[PLAYER],0)),"")</f>
        <v/>
      </c>
      <c r="S129" s="58" t="str">
        <f>IFERROR(INDEX(TableRBCalcPts[BYE],MATCH(TableRBRanks314135[[#This Row],[Player]],TableRBCalcPts[PLAYER],0)),"")</f>
        <v/>
      </c>
      <c r="T129" s="100">
        <f>VLOOKUP(TableRBRanks314135[[#This Row],[Player]],RB!B:O,4,FALSE)</f>
        <v>0</v>
      </c>
      <c r="U129" s="100">
        <f>VLOOKUP(TableRBRanks314135[[#This Row],[Player]],RB!B:O,5,FALSE)</f>
        <v>0</v>
      </c>
      <c r="V129" s="100">
        <f>VLOOKUP(TableRBRanks314135[[#This Row],[Player]],RB!B:O,6,FALSE)</f>
        <v>0</v>
      </c>
      <c r="W129" s="100">
        <f>VLOOKUP(TableRBRanks314135[[#This Row],[Player]],RB!B:O,7,FALSE)</f>
        <v>0</v>
      </c>
      <c r="X129" s="100">
        <f>VLOOKUP(TableRBRanks314135[[#This Row],[Player]],RB!B:O,8,FALSE)</f>
        <v>0</v>
      </c>
      <c r="Y129" s="100">
        <f>VLOOKUP(TableRBRanks314135[[#This Row],[Player]],RB!B:O,9,FALSE)</f>
        <v>0</v>
      </c>
      <c r="Z129" s="100">
        <f>VLOOKUP(TableRBRanks314135[[#This Row],[Player]],RB!B:O,10,FALSE)</f>
        <v>0</v>
      </c>
      <c r="AA129" s="95">
        <f>VLOOKUP(TableRBRanks314135[[#This Row],[Player]],RB!B:O,14,FALSE)</f>
        <v>0</v>
      </c>
      <c r="AB129" s="190">
        <f>TableRBRanks314135[[#This Row],[FPS]]+(TableRBRanks314135[[#This Row],[REC]]*0.5)</f>
        <v>0</v>
      </c>
      <c r="AD129" s="58">
        <v>128</v>
      </c>
      <c r="AE129" s="58" t="str">
        <f>VLOOKUP(TableWRRanks324236[[#This Row],[RK]],Rankings!A:AI,28,FALSE)</f>
        <v>Deion Burks</v>
      </c>
      <c r="AF129" s="58" t="str">
        <f>IFERROR(INDEX(TableWRCalcPts[TM],MATCH(TableWRRanks324236[[#This Row],[Player]],TableWRCalcPts[PLAYER],0)),"")</f>
        <v>IND</v>
      </c>
      <c r="AG129" s="58">
        <f>IFERROR(INDEX(TableWRCalcPts[BYE],MATCH(TableWRRanks324236[[#This Row],[Player]],TableWRCalcPts[PLAYER],0)),"")</f>
        <v>13</v>
      </c>
      <c r="AH129" s="100">
        <f>VLOOKUP(TableWRRanks324236[[#This Row],[Player]],WR!B:O,4,FALSE)</f>
        <v>0</v>
      </c>
      <c r="AI129" s="100">
        <f>VLOOKUP(TableWRRanks324236[[#This Row],[Player]],WR!B:O,5,FALSE)</f>
        <v>0</v>
      </c>
      <c r="AJ129" s="100">
        <f>VLOOKUP(TableWRRanks324236[[#This Row],[Player]],WR!B:O,6,FALSE)</f>
        <v>18.291504</v>
      </c>
      <c r="AK129" s="100">
        <f>VLOOKUP(TableWRRanks324236[[#This Row],[Player]],WR!B:O,7,FALSE)</f>
        <v>10.279825248000002</v>
      </c>
      <c r="AL129" s="100">
        <f>VLOOKUP(TableWRRanks324236[[#This Row],[Player]],WR!B:O,8,FALSE)</f>
        <v>115.64803404000001</v>
      </c>
      <c r="AM129" s="100">
        <f>VLOOKUP(TableWRRanks324236[[#This Row],[Player]],WR!B:O,9,FALSE)</f>
        <v>0.63734916537600006</v>
      </c>
      <c r="AN129" s="95">
        <f>VLOOKUP(TableWRRanks324236[[#This Row],[Player]],WR!B:O,13,FALSE)</f>
        <v>20.528811020256004</v>
      </c>
      <c r="AO129" s="190">
        <f>TableWRRanks324236[[#This Row],[FPS]]+(TableWRRanks324236[[#This Row],[REC]]*0.5)</f>
        <v>25.668723644256005</v>
      </c>
    </row>
    <row r="130" spans="16:41" x14ac:dyDescent="0.25">
      <c r="P130" s="58">
        <v>129</v>
      </c>
      <c r="Q130" s="58">
        <f>VLOOKUP(TableRBRanks314135[[#This Row],[RK]],Rankings!A:AI,23,FALSE)</f>
        <v>0</v>
      </c>
      <c r="R130" s="58" t="str">
        <f>IFERROR(INDEX(TableRBCalcPts[TM],MATCH(TableRBRanks314135[[#This Row],[Player]],TableRBCalcPts[PLAYER],0)),"")</f>
        <v/>
      </c>
      <c r="S130" s="58" t="str">
        <f>IFERROR(INDEX(TableRBCalcPts[BYE],MATCH(TableRBRanks314135[[#This Row],[Player]],TableRBCalcPts[PLAYER],0)),"")</f>
        <v/>
      </c>
      <c r="T130" s="100">
        <f>VLOOKUP(TableRBRanks314135[[#This Row],[Player]],RB!B:O,4,FALSE)</f>
        <v>0</v>
      </c>
      <c r="U130" s="100">
        <f>VLOOKUP(TableRBRanks314135[[#This Row],[Player]],RB!B:O,5,FALSE)</f>
        <v>0</v>
      </c>
      <c r="V130" s="100">
        <f>VLOOKUP(TableRBRanks314135[[#This Row],[Player]],RB!B:O,6,FALSE)</f>
        <v>0</v>
      </c>
      <c r="W130" s="100">
        <f>VLOOKUP(TableRBRanks314135[[#This Row],[Player]],RB!B:O,7,FALSE)</f>
        <v>0</v>
      </c>
      <c r="X130" s="100">
        <f>VLOOKUP(TableRBRanks314135[[#This Row],[Player]],RB!B:O,8,FALSE)</f>
        <v>0</v>
      </c>
      <c r="Y130" s="100">
        <f>VLOOKUP(TableRBRanks314135[[#This Row],[Player]],RB!B:O,9,FALSE)</f>
        <v>0</v>
      </c>
      <c r="Z130" s="100">
        <f>VLOOKUP(TableRBRanks314135[[#This Row],[Player]],RB!B:O,10,FALSE)</f>
        <v>0</v>
      </c>
      <c r="AA130" s="95">
        <f>VLOOKUP(TableRBRanks314135[[#This Row],[Player]],RB!B:O,14,FALSE)</f>
        <v>0</v>
      </c>
      <c r="AB130" s="190">
        <f>TableRBRanks314135[[#This Row],[FPS]]+(TableRBRanks314135[[#This Row],[REC]]*0.5)</f>
        <v>0</v>
      </c>
      <c r="AD130" s="58">
        <v>129</v>
      </c>
      <c r="AE130" s="58" t="str">
        <f>VLOOKUP(TableWRRanks324236[[#This Row],[RK]],Rankings!A:AI,28,FALSE)</f>
        <v>Treylon Burks</v>
      </c>
      <c r="AF130" s="58" t="str">
        <f>IFERROR(INDEX(TableWRCalcPts[TM],MATCH(TableWRRanks324236[[#This Row],[Player]],TableWRCalcPts[PLAYER],0)),"")</f>
        <v>WSH</v>
      </c>
      <c r="AG130" s="58">
        <f>IFERROR(INDEX(TableWRCalcPts[BYE],MATCH(TableWRRanks324236[[#This Row],[Player]],TableWRCalcPts[PLAYER],0)),"")</f>
        <v>7</v>
      </c>
      <c r="AH130" s="100">
        <f>VLOOKUP(TableWRRanks324236[[#This Row],[Player]],WR!B:O,4,FALSE)</f>
        <v>0</v>
      </c>
      <c r="AI130" s="100">
        <f>VLOOKUP(TableWRRanks324236[[#This Row],[Player]],WR!B:O,5,FALSE)</f>
        <v>0</v>
      </c>
      <c r="AJ130" s="100">
        <f>VLOOKUP(TableWRRanks324236[[#This Row],[Player]],WR!B:O,6,FALSE)</f>
        <v>29.371519239999994</v>
      </c>
      <c r="AK130" s="100">
        <f>VLOOKUP(TableWRRanks324236[[#This Row],[Player]],WR!B:O,7,FALSE)</f>
        <v>18.063484332599995</v>
      </c>
      <c r="AL130" s="100">
        <f>VLOOKUP(TableWRRanks324236[[#This Row],[Player]],WR!B:O,8,FALSE)</f>
        <v>229.76752071067193</v>
      </c>
      <c r="AM130" s="100">
        <f>VLOOKUP(TableWRRanks324236[[#This Row],[Player]],WR!B:O,9,FALSE)</f>
        <v>1.2473787627294641</v>
      </c>
      <c r="AN130" s="95">
        <f>VLOOKUP(TableWRRanks324236[[#This Row],[Player]],WR!B:O,13,FALSE)</f>
        <v>39.492766813743984</v>
      </c>
      <c r="AO130" s="190">
        <f>TableWRRanks324236[[#This Row],[FPS]]+(TableWRRanks324236[[#This Row],[REC]]*0.5)</f>
        <v>48.524508980043983</v>
      </c>
    </row>
    <row r="131" spans="16:41" x14ac:dyDescent="0.25">
      <c r="P131" s="58">
        <v>130</v>
      </c>
      <c r="Q131" s="58">
        <f>VLOOKUP(TableRBRanks314135[[#This Row],[RK]],Rankings!A:AI,23,FALSE)</f>
        <v>0</v>
      </c>
      <c r="R131" s="58" t="str">
        <f>IFERROR(INDEX(TableRBCalcPts[TM],MATCH(TableRBRanks314135[[#This Row],[Player]],TableRBCalcPts[PLAYER],0)),"")</f>
        <v/>
      </c>
      <c r="S131" s="58" t="str">
        <f>IFERROR(INDEX(TableRBCalcPts[BYE],MATCH(TableRBRanks314135[[#This Row],[Player]],TableRBCalcPts[PLAYER],0)),"")</f>
        <v/>
      </c>
      <c r="T131" s="100">
        <f>VLOOKUP(TableRBRanks314135[[#This Row],[Player]],RB!B:O,4,FALSE)</f>
        <v>0</v>
      </c>
      <c r="U131" s="100">
        <f>VLOOKUP(TableRBRanks314135[[#This Row],[Player]],RB!B:O,5,FALSE)</f>
        <v>0</v>
      </c>
      <c r="V131" s="100">
        <f>VLOOKUP(TableRBRanks314135[[#This Row],[Player]],RB!B:O,6,FALSE)</f>
        <v>0</v>
      </c>
      <c r="W131" s="100">
        <f>VLOOKUP(TableRBRanks314135[[#This Row],[Player]],RB!B:O,7,FALSE)</f>
        <v>0</v>
      </c>
      <c r="X131" s="100">
        <f>VLOOKUP(TableRBRanks314135[[#This Row],[Player]],RB!B:O,8,FALSE)</f>
        <v>0</v>
      </c>
      <c r="Y131" s="100">
        <f>VLOOKUP(TableRBRanks314135[[#This Row],[Player]],RB!B:O,9,FALSE)</f>
        <v>0</v>
      </c>
      <c r="Z131" s="100">
        <f>VLOOKUP(TableRBRanks314135[[#This Row],[Player]],RB!B:O,10,FALSE)</f>
        <v>0</v>
      </c>
      <c r="AA131" s="95">
        <f>VLOOKUP(TableRBRanks314135[[#This Row],[Player]],RB!B:O,14,FALSE)</f>
        <v>0</v>
      </c>
      <c r="AB131" s="190">
        <f>TableRBRanks314135[[#This Row],[FPS]]+(TableRBRanks314135[[#This Row],[REC]]*0.5)</f>
        <v>0</v>
      </c>
      <c r="AD131" s="58">
        <v>130</v>
      </c>
      <c r="AE131" s="58" t="str">
        <f>VLOOKUP(TableWRRanks324236[[#This Row],[RK]],Rankings!A:AI,28,FALSE)</f>
        <v>Tim Patrick</v>
      </c>
      <c r="AF131" s="58" t="str">
        <f>IFERROR(INDEX(TableWRCalcPts[TM],MATCH(TableWRRanks324236[[#This Row],[Player]],TableWRCalcPts[PLAYER],0)),"")</f>
        <v>NYJ</v>
      </c>
      <c r="AG131" s="58">
        <f>IFERROR(INDEX(TableWRCalcPts[BYE],MATCH(TableWRRanks324236[[#This Row],[Player]],TableWRCalcPts[PLAYER],0)),"")</f>
        <v>13</v>
      </c>
      <c r="AH131" s="100">
        <f>VLOOKUP(TableWRRanks324236[[#This Row],[Player]],WR!B:O,4,FALSE)</f>
        <v>0</v>
      </c>
      <c r="AI131" s="100">
        <f>VLOOKUP(TableWRRanks324236[[#This Row],[Player]],WR!B:O,5,FALSE)</f>
        <v>0</v>
      </c>
      <c r="AJ131" s="100">
        <f>VLOOKUP(TableWRRanks324236[[#This Row],[Player]],WR!B:O,6,FALSE)</f>
        <v>14.049932817501903</v>
      </c>
      <c r="AK131" s="100">
        <f>VLOOKUP(TableWRRanks324236[[#This Row],[Player]],WR!B:O,7,FALSE)</f>
        <v>8.9498072047487121</v>
      </c>
      <c r="AL131" s="100">
        <f>VLOOKUP(TableWRRanks324236[[#This Row],[Player]],WR!B:O,8,FALSE)</f>
        <v>99.163863828615732</v>
      </c>
      <c r="AM131" s="100">
        <f>VLOOKUP(TableWRRanks324236[[#This Row],[Player]],WR!B:O,9,FALSE)</f>
        <v>0.60858688992291243</v>
      </c>
      <c r="AN131" s="95">
        <f>VLOOKUP(TableWRRanks324236[[#This Row],[Player]],WR!B:O,13,FALSE)</f>
        <v>18.042811324773403</v>
      </c>
      <c r="AO131" s="190">
        <f>TableWRRanks324236[[#This Row],[FPS]]+(TableWRRanks324236[[#This Row],[REC]]*0.5)</f>
        <v>22.517714927147757</v>
      </c>
    </row>
    <row r="132" spans="16:41" x14ac:dyDescent="0.25">
      <c r="P132" s="58">
        <v>131</v>
      </c>
      <c r="Q132" s="58">
        <f>VLOOKUP(TableRBRanks314135[[#This Row],[RK]],Rankings!A:AI,23,FALSE)</f>
        <v>0</v>
      </c>
      <c r="R132" s="58" t="str">
        <f>IFERROR(INDEX(TableRBCalcPts[TM],MATCH(TableRBRanks314135[[#This Row],[Player]],TableRBCalcPts[PLAYER],0)),"")</f>
        <v/>
      </c>
      <c r="S132" s="58" t="str">
        <f>IFERROR(INDEX(TableRBCalcPts[BYE],MATCH(TableRBRanks314135[[#This Row],[Player]],TableRBCalcPts[PLAYER],0)),"")</f>
        <v/>
      </c>
      <c r="T132" s="100">
        <f>VLOOKUP(TableRBRanks314135[[#This Row],[Player]],RB!B:O,4,FALSE)</f>
        <v>0</v>
      </c>
      <c r="U132" s="100">
        <f>VLOOKUP(TableRBRanks314135[[#This Row],[Player]],RB!B:O,5,FALSE)</f>
        <v>0</v>
      </c>
      <c r="V132" s="100">
        <f>VLOOKUP(TableRBRanks314135[[#This Row],[Player]],RB!B:O,6,FALSE)</f>
        <v>0</v>
      </c>
      <c r="W132" s="100">
        <f>VLOOKUP(TableRBRanks314135[[#This Row],[Player]],RB!B:O,7,FALSE)</f>
        <v>0</v>
      </c>
      <c r="X132" s="100">
        <f>VLOOKUP(TableRBRanks314135[[#This Row],[Player]],RB!B:O,8,FALSE)</f>
        <v>0</v>
      </c>
      <c r="Y132" s="100">
        <f>VLOOKUP(TableRBRanks314135[[#This Row],[Player]],RB!B:O,9,FALSE)</f>
        <v>0</v>
      </c>
      <c r="Z132" s="100">
        <f>VLOOKUP(TableRBRanks314135[[#This Row],[Player]],RB!B:O,10,FALSE)</f>
        <v>0</v>
      </c>
      <c r="AA132" s="95">
        <f>VLOOKUP(TableRBRanks314135[[#This Row],[Player]],RB!B:O,14,FALSE)</f>
        <v>0</v>
      </c>
      <c r="AB132" s="190">
        <f>TableRBRanks314135[[#This Row],[FPS]]+(TableRBRanks314135[[#This Row],[REC]]*0.5)</f>
        <v>0</v>
      </c>
      <c r="AD132" s="58">
        <v>131</v>
      </c>
      <c r="AE132" s="58" t="str">
        <f>VLOOKUP(TableWRRanks324236[[#This Row],[RK]],Rankings!A:AI,28,FALSE)</f>
        <v>Bryce Lance</v>
      </c>
      <c r="AF132" s="58" t="str">
        <f>IFERROR(INDEX(TableWRCalcPts[TM],MATCH(TableWRRanks324236[[#This Row],[Player]],TableWRCalcPts[PLAYER],0)),"")</f>
        <v>NO</v>
      </c>
      <c r="AG132" s="58">
        <f>IFERROR(INDEX(TableWRCalcPts[BYE],MATCH(TableWRRanks324236[[#This Row],[Player]],TableWRCalcPts[PLAYER],0)),"")</f>
        <v>8</v>
      </c>
      <c r="AH132" s="100">
        <f>VLOOKUP(TableWRRanks324236[[#This Row],[Player]],WR!B:O,4,FALSE)</f>
        <v>0</v>
      </c>
      <c r="AI132" s="100">
        <f>VLOOKUP(TableWRRanks324236[[#This Row],[Player]],WR!B:O,5,FALSE)</f>
        <v>0</v>
      </c>
      <c r="AJ132" s="100">
        <f>VLOOKUP(TableWRRanks324236[[#This Row],[Player]],WR!B:O,6,FALSE)</f>
        <v>16.75677696</v>
      </c>
      <c r="AK132" s="100">
        <f>VLOOKUP(TableWRRanks324236[[#This Row],[Player]],WR!B:O,7,FALSE)</f>
        <v>9.8194712985599999</v>
      </c>
      <c r="AL132" s="100">
        <f>VLOOKUP(TableWRRanks324236[[#This Row],[Player]],WR!B:O,8,FALSE)</f>
        <v>118.11705771894272</v>
      </c>
      <c r="AM132" s="100">
        <f>VLOOKUP(TableWRRanks324236[[#This Row],[Player]],WR!B:O,9,FALSE)</f>
        <v>0.59898774921216003</v>
      </c>
      <c r="AN132" s="95">
        <f>VLOOKUP(TableWRRanks324236[[#This Row],[Player]],WR!B:O,13,FALSE)</f>
        <v>20.315367916447233</v>
      </c>
      <c r="AO132" s="190">
        <f>TableWRRanks324236[[#This Row],[FPS]]+(TableWRRanks324236[[#This Row],[REC]]*0.5)</f>
        <v>25.225103565727231</v>
      </c>
    </row>
    <row r="133" spans="16:41" x14ac:dyDescent="0.25">
      <c r="P133" s="58">
        <v>132</v>
      </c>
      <c r="Q133" s="58">
        <f>VLOOKUP(TableRBRanks314135[[#This Row],[RK]],Rankings!A:AI,23,FALSE)</f>
        <v>0</v>
      </c>
      <c r="R133" s="58" t="str">
        <f>IFERROR(INDEX(TableRBCalcPts[TM],MATCH(TableRBRanks314135[[#This Row],[Player]],TableRBCalcPts[PLAYER],0)),"")</f>
        <v/>
      </c>
      <c r="S133" s="58" t="str">
        <f>IFERROR(INDEX(TableRBCalcPts[BYE],MATCH(TableRBRanks314135[[#This Row],[Player]],TableRBCalcPts[PLAYER],0)),"")</f>
        <v/>
      </c>
      <c r="T133" s="100">
        <f>VLOOKUP(TableRBRanks314135[[#This Row],[Player]],RB!B:O,4,FALSE)</f>
        <v>0</v>
      </c>
      <c r="U133" s="100">
        <f>VLOOKUP(TableRBRanks314135[[#This Row],[Player]],RB!B:O,5,FALSE)</f>
        <v>0</v>
      </c>
      <c r="V133" s="100">
        <f>VLOOKUP(TableRBRanks314135[[#This Row],[Player]],RB!B:O,6,FALSE)</f>
        <v>0</v>
      </c>
      <c r="W133" s="100">
        <f>VLOOKUP(TableRBRanks314135[[#This Row],[Player]],RB!B:O,7,FALSE)</f>
        <v>0</v>
      </c>
      <c r="X133" s="100">
        <f>VLOOKUP(TableRBRanks314135[[#This Row],[Player]],RB!B:O,8,FALSE)</f>
        <v>0</v>
      </c>
      <c r="Y133" s="100">
        <f>VLOOKUP(TableRBRanks314135[[#This Row],[Player]],RB!B:O,9,FALSE)</f>
        <v>0</v>
      </c>
      <c r="Z133" s="100">
        <f>VLOOKUP(TableRBRanks314135[[#This Row],[Player]],RB!B:O,10,FALSE)</f>
        <v>0</v>
      </c>
      <c r="AA133" s="95">
        <f>VLOOKUP(TableRBRanks314135[[#This Row],[Player]],RB!B:O,14,FALSE)</f>
        <v>0</v>
      </c>
      <c r="AB133" s="190">
        <f>TableRBRanks314135[[#This Row],[FPS]]+(TableRBRanks314135[[#This Row],[REC]]*0.5)</f>
        <v>0</v>
      </c>
      <c r="AD133" s="58">
        <v>132</v>
      </c>
      <c r="AE133" s="58" t="str">
        <f>VLOOKUP(TableWRRanks324236[[#This Row],[RK]],Rankings!A:AI,28,FALSE)</f>
        <v>Xavier Hutchinson</v>
      </c>
      <c r="AF133" s="58" t="str">
        <f>IFERROR(INDEX(TableWRCalcPts[TM],MATCH(TableWRRanks324236[[#This Row],[Player]],TableWRCalcPts[PLAYER],0)),"")</f>
        <v>HOU</v>
      </c>
      <c r="AG133" s="58">
        <f>IFERROR(INDEX(TableWRCalcPts[BYE],MATCH(TableWRRanks324236[[#This Row],[Player]],TableWRCalcPts[PLAYER],0)),"")</f>
        <v>8</v>
      </c>
      <c r="AH133" s="100">
        <f>VLOOKUP(TableWRRanks324236[[#This Row],[Player]],WR!B:O,4,FALSE)</f>
        <v>0</v>
      </c>
      <c r="AI133" s="100">
        <f>VLOOKUP(TableWRRanks324236[[#This Row],[Player]],WR!B:O,5,FALSE)</f>
        <v>0</v>
      </c>
      <c r="AJ133" s="100">
        <f>VLOOKUP(TableWRRanks324236[[#This Row],[Player]],WR!B:O,6,FALSE)</f>
        <v>14.322136500000001</v>
      </c>
      <c r="AK133" s="100">
        <f>VLOOKUP(TableWRRanks324236[[#This Row],[Player]],WR!B:O,7,FALSE)</f>
        <v>9.4812543630000015</v>
      </c>
      <c r="AL133" s="100">
        <f>VLOOKUP(TableWRRanks324236[[#This Row],[Player]],WR!B:O,8,FALSE)</f>
        <v>109.03442517450002</v>
      </c>
      <c r="AM133" s="100">
        <f>VLOOKUP(TableWRRanks324236[[#This Row],[Player]],WR!B:O,9,FALSE)</f>
        <v>0.61628153359500015</v>
      </c>
      <c r="AN133" s="95">
        <f>VLOOKUP(TableWRRanks324236[[#This Row],[Player]],WR!B:O,13,FALSE)</f>
        <v>19.341758900520006</v>
      </c>
      <c r="AO133" s="190">
        <f>TableWRRanks324236[[#This Row],[FPS]]+(TableWRRanks324236[[#This Row],[REC]]*0.5)</f>
        <v>24.082386082020008</v>
      </c>
    </row>
    <row r="134" spans="16:41" x14ac:dyDescent="0.25">
      <c r="P134" s="58">
        <v>133</v>
      </c>
      <c r="Q134" s="58">
        <f>VLOOKUP(TableRBRanks314135[[#This Row],[RK]],Rankings!A:AI,23,FALSE)</f>
        <v>0</v>
      </c>
      <c r="R134" s="58" t="str">
        <f>IFERROR(INDEX(TableRBCalcPts[TM],MATCH(TableRBRanks314135[[#This Row],[Player]],TableRBCalcPts[PLAYER],0)),"")</f>
        <v/>
      </c>
      <c r="S134" s="58" t="str">
        <f>IFERROR(INDEX(TableRBCalcPts[BYE],MATCH(TableRBRanks314135[[#This Row],[Player]],TableRBCalcPts[PLAYER],0)),"")</f>
        <v/>
      </c>
      <c r="T134" s="100">
        <f>VLOOKUP(TableRBRanks314135[[#This Row],[Player]],RB!B:O,4,FALSE)</f>
        <v>0</v>
      </c>
      <c r="U134" s="100">
        <f>VLOOKUP(TableRBRanks314135[[#This Row],[Player]],RB!B:O,5,FALSE)</f>
        <v>0</v>
      </c>
      <c r="V134" s="100">
        <f>VLOOKUP(TableRBRanks314135[[#This Row],[Player]],RB!B:O,6,FALSE)</f>
        <v>0</v>
      </c>
      <c r="W134" s="100">
        <f>VLOOKUP(TableRBRanks314135[[#This Row],[Player]],RB!B:O,7,FALSE)</f>
        <v>0</v>
      </c>
      <c r="X134" s="100">
        <f>VLOOKUP(TableRBRanks314135[[#This Row],[Player]],RB!B:O,8,FALSE)</f>
        <v>0</v>
      </c>
      <c r="Y134" s="100">
        <f>VLOOKUP(TableRBRanks314135[[#This Row],[Player]],RB!B:O,9,FALSE)</f>
        <v>0</v>
      </c>
      <c r="Z134" s="100">
        <f>VLOOKUP(TableRBRanks314135[[#This Row],[Player]],RB!B:O,10,FALSE)</f>
        <v>0</v>
      </c>
      <c r="AA134" s="95">
        <f>VLOOKUP(TableRBRanks314135[[#This Row],[Player]],RB!B:O,14,FALSE)</f>
        <v>0</v>
      </c>
      <c r="AB134" s="190">
        <f>TableRBRanks314135[[#This Row],[FPS]]+(TableRBRanks314135[[#This Row],[REC]]*0.5)</f>
        <v>0</v>
      </c>
      <c r="AD134" s="58">
        <v>133</v>
      </c>
      <c r="AE134" s="58" t="str">
        <f>VLOOKUP(TableWRRanks324236[[#This Row],[RK]],Rankings!A:AI,28,FALSE)</f>
        <v>Hollywood Brown</v>
      </c>
      <c r="AF134" s="58" t="str">
        <f>IFERROR(INDEX(TableWRCalcPts[TM],MATCH(TableWRRanks324236[[#This Row],[Player]],TableWRCalcPts[PLAYER],0)),"")</f>
        <v>PHI</v>
      </c>
      <c r="AG134" s="58">
        <f>IFERROR(INDEX(TableWRCalcPts[BYE],MATCH(TableWRRanks324236[[#This Row],[Player]],TableWRCalcPts[PLAYER],0)),"")</f>
        <v>10</v>
      </c>
      <c r="AH134" s="100">
        <f>VLOOKUP(TableWRRanks324236[[#This Row],[Player]],WR!B:O,4,FALSE)</f>
        <v>0</v>
      </c>
      <c r="AI134" s="100">
        <f>VLOOKUP(TableWRRanks324236[[#This Row],[Player]],WR!B:O,5,FALSE)</f>
        <v>0</v>
      </c>
      <c r="AJ134" s="100">
        <f>VLOOKUP(TableWRRanks324236[[#This Row],[Player]],WR!B:O,6,FALSE)</f>
        <v>23.535370319999998</v>
      </c>
      <c r="AK134" s="100">
        <f>VLOOKUP(TableWRRanks324236[[#This Row],[Player]],WR!B:O,7,FALSE)</f>
        <v>12.920918305680001</v>
      </c>
      <c r="AL134" s="100">
        <f>VLOOKUP(TableWRRanks324236[[#This Row],[Player]],WR!B:O,8,FALSE)</f>
        <v>148.92933417916109</v>
      </c>
      <c r="AM134" s="100">
        <f>VLOOKUP(TableWRRanks324236[[#This Row],[Player]],WR!B:O,9,FALSE)</f>
        <v>1.0078316278430401</v>
      </c>
      <c r="AN134" s="95">
        <f>VLOOKUP(TableWRRanks324236[[#This Row],[Player]],WR!B:O,13,FALSE)</f>
        <v>27.400382337814349</v>
      </c>
      <c r="AO134" s="190">
        <f>TableWRRanks324236[[#This Row],[FPS]]+(TableWRRanks324236[[#This Row],[REC]]*0.5)</f>
        <v>33.860841490654352</v>
      </c>
    </row>
    <row r="135" spans="16:41" x14ac:dyDescent="0.25">
      <c r="P135" s="58">
        <v>134</v>
      </c>
      <c r="Q135" s="58">
        <f>VLOOKUP(TableRBRanks314135[[#This Row],[RK]],Rankings!A:AI,23,FALSE)</f>
        <v>0</v>
      </c>
      <c r="R135" s="58" t="str">
        <f>IFERROR(INDEX(TableRBCalcPts[TM],MATCH(TableRBRanks314135[[#This Row],[Player]],TableRBCalcPts[PLAYER],0)),"")</f>
        <v/>
      </c>
      <c r="S135" s="58" t="str">
        <f>IFERROR(INDEX(TableRBCalcPts[BYE],MATCH(TableRBRanks314135[[#This Row],[Player]],TableRBCalcPts[PLAYER],0)),"")</f>
        <v/>
      </c>
      <c r="T135" s="100">
        <f>VLOOKUP(TableRBRanks314135[[#This Row],[Player]],RB!B:O,4,FALSE)</f>
        <v>0</v>
      </c>
      <c r="U135" s="100">
        <f>VLOOKUP(TableRBRanks314135[[#This Row],[Player]],RB!B:O,5,FALSE)</f>
        <v>0</v>
      </c>
      <c r="V135" s="100">
        <f>VLOOKUP(TableRBRanks314135[[#This Row],[Player]],RB!B:O,6,FALSE)</f>
        <v>0</v>
      </c>
      <c r="W135" s="100">
        <f>VLOOKUP(TableRBRanks314135[[#This Row],[Player]],RB!B:O,7,FALSE)</f>
        <v>0</v>
      </c>
      <c r="X135" s="100">
        <f>VLOOKUP(TableRBRanks314135[[#This Row],[Player]],RB!B:O,8,FALSE)</f>
        <v>0</v>
      </c>
      <c r="Y135" s="100">
        <f>VLOOKUP(TableRBRanks314135[[#This Row],[Player]],RB!B:O,9,FALSE)</f>
        <v>0</v>
      </c>
      <c r="Z135" s="100">
        <f>VLOOKUP(TableRBRanks314135[[#This Row],[Player]],RB!B:O,10,FALSE)</f>
        <v>0</v>
      </c>
      <c r="AA135" s="95">
        <f>VLOOKUP(TableRBRanks314135[[#This Row],[Player]],RB!B:O,14,FALSE)</f>
        <v>0</v>
      </c>
      <c r="AB135" s="190">
        <f>TableRBRanks314135[[#This Row],[FPS]]+(TableRBRanks314135[[#This Row],[REC]]*0.5)</f>
        <v>0</v>
      </c>
      <c r="AD135" s="58">
        <v>134</v>
      </c>
      <c r="AE135" s="58" t="str">
        <f>VLOOKUP(TableWRRanks324236[[#This Row],[RK]],Rankings!A:AI,28,FALSE)</f>
        <v>Greg Dortch</v>
      </c>
      <c r="AF135" s="58" t="str">
        <f>IFERROR(INDEX(TableWRCalcPts[TM],MATCH(TableWRRanks324236[[#This Row],[Player]],TableWRCalcPts[PLAYER],0)),"")</f>
        <v>DET</v>
      </c>
      <c r="AG135" s="58">
        <f>IFERROR(INDEX(TableWRCalcPts[BYE],MATCH(TableWRRanks324236[[#This Row],[Player]],TableWRCalcPts[PLAYER],0)),"")</f>
        <v>6</v>
      </c>
      <c r="AH135" s="100">
        <f>VLOOKUP(TableWRRanks324236[[#This Row],[Player]],WR!B:O,4,FALSE)</f>
        <v>18.003401359944398</v>
      </c>
      <c r="AI135" s="100">
        <f>VLOOKUP(TableWRRanks324236[[#This Row],[Player]],WR!B:O,5,FALSE)</f>
        <v>0.1096284380895641</v>
      </c>
      <c r="AJ135" s="100">
        <f>VLOOKUP(TableWRRanks324236[[#This Row],[Player]],WR!B:O,6,FALSE)</f>
        <v>15.806145599999997</v>
      </c>
      <c r="AK135" s="100">
        <f>VLOOKUP(TableWRRanks324236[[#This Row],[Player]],WR!B:O,7,FALSE)</f>
        <v>10.827209735999999</v>
      </c>
      <c r="AL135" s="100">
        <f>VLOOKUP(TableWRRanks324236[[#This Row],[Player]],WR!B:O,8,FALSE)</f>
        <v>105.56529492599999</v>
      </c>
      <c r="AM135" s="100">
        <f>VLOOKUP(TableWRRanks324236[[#This Row],[Player]],WR!B:O,9,FALSE)</f>
        <v>0.64963258415999992</v>
      </c>
      <c r="AN135" s="95">
        <f>VLOOKUP(TableWRRanks324236[[#This Row],[Player]],WR!B:O,13,FALSE)</f>
        <v>22.326040630091825</v>
      </c>
      <c r="AO135" s="190">
        <f>TableWRRanks324236[[#This Row],[FPS]]+(TableWRRanks324236[[#This Row],[REC]]*0.5)</f>
        <v>27.739645498091825</v>
      </c>
    </row>
    <row r="136" spans="16:41" x14ac:dyDescent="0.25">
      <c r="P136" s="58">
        <v>135</v>
      </c>
      <c r="Q136" s="58">
        <f>VLOOKUP(TableRBRanks314135[[#This Row],[RK]],Rankings!A:AI,23,FALSE)</f>
        <v>0</v>
      </c>
      <c r="R136" s="58" t="str">
        <f>IFERROR(INDEX(TableRBCalcPts[TM],MATCH(TableRBRanks314135[[#This Row],[Player]],TableRBCalcPts[PLAYER],0)),"")</f>
        <v/>
      </c>
      <c r="S136" s="58" t="str">
        <f>IFERROR(INDEX(TableRBCalcPts[BYE],MATCH(TableRBRanks314135[[#This Row],[Player]],TableRBCalcPts[PLAYER],0)),"")</f>
        <v/>
      </c>
      <c r="T136" s="100">
        <f>VLOOKUP(TableRBRanks314135[[#This Row],[Player]],RB!B:O,4,FALSE)</f>
        <v>0</v>
      </c>
      <c r="U136" s="100">
        <f>VLOOKUP(TableRBRanks314135[[#This Row],[Player]],RB!B:O,5,FALSE)</f>
        <v>0</v>
      </c>
      <c r="V136" s="100">
        <f>VLOOKUP(TableRBRanks314135[[#This Row],[Player]],RB!B:O,6,FALSE)</f>
        <v>0</v>
      </c>
      <c r="W136" s="100">
        <f>VLOOKUP(TableRBRanks314135[[#This Row],[Player]],RB!B:O,7,FALSE)</f>
        <v>0</v>
      </c>
      <c r="X136" s="100">
        <f>VLOOKUP(TableRBRanks314135[[#This Row],[Player]],RB!B:O,8,FALSE)</f>
        <v>0</v>
      </c>
      <c r="Y136" s="100">
        <f>VLOOKUP(TableRBRanks314135[[#This Row],[Player]],RB!B:O,9,FALSE)</f>
        <v>0</v>
      </c>
      <c r="Z136" s="100">
        <f>VLOOKUP(TableRBRanks314135[[#This Row],[Player]],RB!B:O,10,FALSE)</f>
        <v>0</v>
      </c>
      <c r="AA136" s="95">
        <f>VLOOKUP(TableRBRanks314135[[#This Row],[Player]],RB!B:O,14,FALSE)</f>
        <v>0</v>
      </c>
      <c r="AB136" s="190">
        <f>TableRBRanks314135[[#This Row],[FPS]]+(TableRBRanks314135[[#This Row],[REC]]*0.5)</f>
        <v>0</v>
      </c>
      <c r="AD136" s="58">
        <v>135</v>
      </c>
      <c r="AE136" s="58" t="str">
        <f>VLOOKUP(TableWRRanks324236[[#This Row],[RK]],Rankings!A:AI,28,FALSE)</f>
        <v>Kevin Coleman</v>
      </c>
      <c r="AF136" s="58" t="str">
        <f>IFERROR(INDEX(TableWRCalcPts[TM],MATCH(TableWRRanks324236[[#This Row],[Player]],TableWRCalcPts[PLAYER],0)),"")</f>
        <v>MIA</v>
      </c>
      <c r="AG136" s="58">
        <f>IFERROR(INDEX(TableWRCalcPts[BYE],MATCH(TableWRRanks324236[[#This Row],[Player]],TableWRCalcPts[PLAYER],0)),"")</f>
        <v>6</v>
      </c>
      <c r="AH136" s="100">
        <f>VLOOKUP(TableWRRanks324236[[#This Row],[Player]],WR!B:O,4,FALSE)</f>
        <v>0</v>
      </c>
      <c r="AI136" s="100">
        <f>VLOOKUP(TableWRRanks324236[[#This Row],[Player]],WR!B:O,5,FALSE)</f>
        <v>0</v>
      </c>
      <c r="AJ136" s="100">
        <f>VLOOKUP(TableWRRanks324236[[#This Row],[Player]],WR!B:O,6,FALSE)</f>
        <v>18.220541219999998</v>
      </c>
      <c r="AK136" s="100">
        <f>VLOOKUP(TableWRRanks324236[[#This Row],[Player]],WR!B:O,7,FALSE)</f>
        <v>10.586134448819998</v>
      </c>
      <c r="AL136" s="100">
        <f>VLOOKUP(TableWRRanks324236[[#This Row],[Player]],WR!B:O,8,FALSE)</f>
        <v>127.13947473032817</v>
      </c>
      <c r="AM136" s="100">
        <f>VLOOKUP(TableWRRanks324236[[#This Row],[Player]],WR!B:O,9,FALSE)</f>
        <v>0.52930672244099986</v>
      </c>
      <c r="AN136" s="95">
        <f>VLOOKUP(TableWRRanks324236[[#This Row],[Player]],WR!B:O,13,FALSE)</f>
        <v>21.182855032088817</v>
      </c>
      <c r="AO136" s="190">
        <f>TableWRRanks324236[[#This Row],[FPS]]+(TableWRRanks324236[[#This Row],[REC]]*0.5)</f>
        <v>26.475922256498816</v>
      </c>
    </row>
    <row r="137" spans="16:41" x14ac:dyDescent="0.25">
      <c r="P137" s="58">
        <v>136</v>
      </c>
      <c r="Q137" s="58">
        <f>VLOOKUP(TableRBRanks314135[[#This Row],[RK]],Rankings!A:AI,23,FALSE)</f>
        <v>0</v>
      </c>
      <c r="R137" s="58" t="str">
        <f>IFERROR(INDEX(TableRBCalcPts[TM],MATCH(TableRBRanks314135[[#This Row],[Player]],TableRBCalcPts[PLAYER],0)),"")</f>
        <v/>
      </c>
      <c r="S137" s="58" t="str">
        <f>IFERROR(INDEX(TableRBCalcPts[BYE],MATCH(TableRBRanks314135[[#This Row],[Player]],TableRBCalcPts[PLAYER],0)),"")</f>
        <v/>
      </c>
      <c r="T137" s="100">
        <f>VLOOKUP(TableRBRanks314135[[#This Row],[Player]],RB!B:O,4,FALSE)</f>
        <v>0</v>
      </c>
      <c r="U137" s="100">
        <f>VLOOKUP(TableRBRanks314135[[#This Row],[Player]],RB!B:O,5,FALSE)</f>
        <v>0</v>
      </c>
      <c r="V137" s="100">
        <f>VLOOKUP(TableRBRanks314135[[#This Row],[Player]],RB!B:O,6,FALSE)</f>
        <v>0</v>
      </c>
      <c r="W137" s="100">
        <f>VLOOKUP(TableRBRanks314135[[#This Row],[Player]],RB!B:O,7,FALSE)</f>
        <v>0</v>
      </c>
      <c r="X137" s="100">
        <f>VLOOKUP(TableRBRanks314135[[#This Row],[Player]],RB!B:O,8,FALSE)</f>
        <v>0</v>
      </c>
      <c r="Y137" s="100">
        <f>VLOOKUP(TableRBRanks314135[[#This Row],[Player]],RB!B:O,9,FALSE)</f>
        <v>0</v>
      </c>
      <c r="Z137" s="100">
        <f>VLOOKUP(TableRBRanks314135[[#This Row],[Player]],RB!B:O,10,FALSE)</f>
        <v>0</v>
      </c>
      <c r="AA137" s="95">
        <f>VLOOKUP(TableRBRanks314135[[#This Row],[Player]],RB!B:O,14,FALSE)</f>
        <v>0</v>
      </c>
      <c r="AB137" s="190">
        <f>TableRBRanks314135[[#This Row],[FPS]]+(TableRBRanks314135[[#This Row],[REC]]*0.5)</f>
        <v>0</v>
      </c>
      <c r="AD137" s="58">
        <v>136</v>
      </c>
      <c r="AE137" s="58">
        <f>VLOOKUP(TableWRRanks324236[[#This Row],[RK]],Rankings!A:AI,28,FALSE)</f>
        <v>0</v>
      </c>
      <c r="AF137" s="58" t="str">
        <f>IFERROR(INDEX(TableWRCalcPts[TM],MATCH(TableWRRanks324236[[#This Row],[Player]],TableWRCalcPts[PLAYER],0)),"")</f>
        <v/>
      </c>
      <c r="AG137" s="58" t="str">
        <f>IFERROR(INDEX(TableWRCalcPts[BYE],MATCH(TableWRRanks324236[[#This Row],[Player]],TableWRCalcPts[PLAYER],0)),"")</f>
        <v/>
      </c>
      <c r="AH137" s="100">
        <f>VLOOKUP(TableWRRanks324236[[#This Row],[Player]],WR!B:O,4,FALSE)</f>
        <v>0</v>
      </c>
      <c r="AI137" s="100">
        <f>VLOOKUP(TableWRRanks324236[[#This Row],[Player]],WR!B:O,5,FALSE)</f>
        <v>0</v>
      </c>
      <c r="AJ137" s="100">
        <f>VLOOKUP(TableWRRanks324236[[#This Row],[Player]],WR!B:O,6,FALSE)</f>
        <v>0</v>
      </c>
      <c r="AK137" s="100">
        <f>VLOOKUP(TableWRRanks324236[[#This Row],[Player]],WR!B:O,7,FALSE)</f>
        <v>0</v>
      </c>
      <c r="AL137" s="100">
        <f>VLOOKUP(TableWRRanks324236[[#This Row],[Player]],WR!B:O,8,FALSE)</f>
        <v>0</v>
      </c>
      <c r="AM137" s="100">
        <f>VLOOKUP(TableWRRanks324236[[#This Row],[Player]],WR!B:O,9,FALSE)</f>
        <v>0</v>
      </c>
      <c r="AN137" s="95">
        <f>VLOOKUP(TableWRRanks324236[[#This Row],[Player]],WR!B:O,13,FALSE)</f>
        <v>0</v>
      </c>
      <c r="AO137" s="190">
        <f>TableWRRanks324236[[#This Row],[FPS]]+(TableWRRanks324236[[#This Row],[REC]]*0.5)</f>
        <v>0</v>
      </c>
    </row>
    <row r="138" spans="16:41" x14ac:dyDescent="0.25">
      <c r="P138" s="58">
        <v>137</v>
      </c>
      <c r="Q138" s="58">
        <f>VLOOKUP(TableRBRanks314135[[#This Row],[RK]],Rankings!A:AI,23,FALSE)</f>
        <v>0</v>
      </c>
      <c r="R138" s="58" t="str">
        <f>IFERROR(INDEX(TableRBCalcPts[TM],MATCH(TableRBRanks314135[[#This Row],[Player]],TableRBCalcPts[PLAYER],0)),"")</f>
        <v/>
      </c>
      <c r="S138" s="58" t="str">
        <f>IFERROR(INDEX(TableRBCalcPts[BYE],MATCH(TableRBRanks314135[[#This Row],[Player]],TableRBCalcPts[PLAYER],0)),"")</f>
        <v/>
      </c>
      <c r="T138" s="100">
        <f>VLOOKUP(TableRBRanks314135[[#This Row],[Player]],RB!B:O,4,FALSE)</f>
        <v>0</v>
      </c>
      <c r="U138" s="100">
        <f>VLOOKUP(TableRBRanks314135[[#This Row],[Player]],RB!B:O,5,FALSE)</f>
        <v>0</v>
      </c>
      <c r="V138" s="100">
        <f>VLOOKUP(TableRBRanks314135[[#This Row],[Player]],RB!B:O,6,FALSE)</f>
        <v>0</v>
      </c>
      <c r="W138" s="100">
        <f>VLOOKUP(TableRBRanks314135[[#This Row],[Player]],RB!B:O,7,FALSE)</f>
        <v>0</v>
      </c>
      <c r="X138" s="100">
        <f>VLOOKUP(TableRBRanks314135[[#This Row],[Player]],RB!B:O,8,FALSE)</f>
        <v>0</v>
      </c>
      <c r="Y138" s="100">
        <f>VLOOKUP(TableRBRanks314135[[#This Row],[Player]],RB!B:O,9,FALSE)</f>
        <v>0</v>
      </c>
      <c r="Z138" s="100">
        <f>VLOOKUP(TableRBRanks314135[[#This Row],[Player]],RB!B:O,10,FALSE)</f>
        <v>0</v>
      </c>
      <c r="AA138" s="95">
        <f>VLOOKUP(TableRBRanks314135[[#This Row],[Player]],RB!B:O,14,FALSE)</f>
        <v>0</v>
      </c>
      <c r="AB138" s="190">
        <f>TableRBRanks314135[[#This Row],[FPS]]+(TableRBRanks314135[[#This Row],[REC]]*0.5)</f>
        <v>0</v>
      </c>
      <c r="AD138" s="58">
        <v>137</v>
      </c>
      <c r="AE138" s="58">
        <f>VLOOKUP(TableWRRanks324236[[#This Row],[RK]],Rankings!A:AI,28,FALSE)</f>
        <v>0</v>
      </c>
      <c r="AF138" s="58" t="str">
        <f>IFERROR(INDEX(TableWRCalcPts[TM],MATCH(TableWRRanks324236[[#This Row],[Player]],TableWRCalcPts[PLAYER],0)),"")</f>
        <v/>
      </c>
      <c r="AG138" s="58" t="str">
        <f>IFERROR(INDEX(TableWRCalcPts[BYE],MATCH(TableWRRanks324236[[#This Row],[Player]],TableWRCalcPts[PLAYER],0)),"")</f>
        <v/>
      </c>
      <c r="AH138" s="100">
        <f>VLOOKUP(TableWRRanks324236[[#This Row],[Player]],WR!B:O,4,FALSE)</f>
        <v>0</v>
      </c>
      <c r="AI138" s="100">
        <f>VLOOKUP(TableWRRanks324236[[#This Row],[Player]],WR!B:O,5,FALSE)</f>
        <v>0</v>
      </c>
      <c r="AJ138" s="100">
        <f>VLOOKUP(TableWRRanks324236[[#This Row],[Player]],WR!B:O,6,FALSE)</f>
        <v>0</v>
      </c>
      <c r="AK138" s="100">
        <f>VLOOKUP(TableWRRanks324236[[#This Row],[Player]],WR!B:O,7,FALSE)</f>
        <v>0</v>
      </c>
      <c r="AL138" s="100">
        <f>VLOOKUP(TableWRRanks324236[[#This Row],[Player]],WR!B:O,8,FALSE)</f>
        <v>0</v>
      </c>
      <c r="AM138" s="100">
        <f>VLOOKUP(TableWRRanks324236[[#This Row],[Player]],WR!B:O,9,FALSE)</f>
        <v>0</v>
      </c>
      <c r="AN138" s="95">
        <f>VLOOKUP(TableWRRanks324236[[#This Row],[Player]],WR!B:O,13,FALSE)</f>
        <v>0</v>
      </c>
      <c r="AO138" s="190">
        <f>TableWRRanks324236[[#This Row],[FPS]]+(TableWRRanks324236[[#This Row],[REC]]*0.5)</f>
        <v>0</v>
      </c>
    </row>
    <row r="139" spans="16:41" x14ac:dyDescent="0.25">
      <c r="P139" s="58">
        <v>138</v>
      </c>
      <c r="Q139" s="58">
        <f>VLOOKUP(TableRBRanks314135[[#This Row],[RK]],Rankings!A:AI,23,FALSE)</f>
        <v>0</v>
      </c>
      <c r="R139" s="58" t="str">
        <f>IFERROR(INDEX(TableRBCalcPts[TM],MATCH(TableRBRanks314135[[#This Row],[Player]],TableRBCalcPts[PLAYER],0)),"")</f>
        <v/>
      </c>
      <c r="S139" s="58" t="str">
        <f>IFERROR(INDEX(TableRBCalcPts[BYE],MATCH(TableRBRanks314135[[#This Row],[Player]],TableRBCalcPts[PLAYER],0)),"")</f>
        <v/>
      </c>
      <c r="T139" s="100">
        <f>VLOOKUP(TableRBRanks314135[[#This Row],[Player]],RB!B:O,4,FALSE)</f>
        <v>0</v>
      </c>
      <c r="U139" s="100">
        <f>VLOOKUP(TableRBRanks314135[[#This Row],[Player]],RB!B:O,5,FALSE)</f>
        <v>0</v>
      </c>
      <c r="V139" s="100">
        <f>VLOOKUP(TableRBRanks314135[[#This Row],[Player]],RB!B:O,6,FALSE)</f>
        <v>0</v>
      </c>
      <c r="W139" s="100">
        <f>VLOOKUP(TableRBRanks314135[[#This Row],[Player]],RB!B:O,7,FALSE)</f>
        <v>0</v>
      </c>
      <c r="X139" s="100">
        <f>VLOOKUP(TableRBRanks314135[[#This Row],[Player]],RB!B:O,8,FALSE)</f>
        <v>0</v>
      </c>
      <c r="Y139" s="100">
        <f>VLOOKUP(TableRBRanks314135[[#This Row],[Player]],RB!B:O,9,FALSE)</f>
        <v>0</v>
      </c>
      <c r="Z139" s="100">
        <f>VLOOKUP(TableRBRanks314135[[#This Row],[Player]],RB!B:O,10,FALSE)</f>
        <v>0</v>
      </c>
      <c r="AA139" s="95">
        <f>VLOOKUP(TableRBRanks314135[[#This Row],[Player]],RB!B:O,14,FALSE)</f>
        <v>0</v>
      </c>
      <c r="AB139" s="190">
        <f>TableRBRanks314135[[#This Row],[FPS]]+(TableRBRanks314135[[#This Row],[REC]]*0.5)</f>
        <v>0</v>
      </c>
      <c r="AD139" s="58">
        <v>138</v>
      </c>
      <c r="AE139" s="58">
        <f>VLOOKUP(TableWRRanks324236[[#This Row],[RK]],Rankings!A:AI,28,FALSE)</f>
        <v>0</v>
      </c>
      <c r="AF139" s="58" t="str">
        <f>IFERROR(INDEX(TableWRCalcPts[TM],MATCH(TableWRRanks324236[[#This Row],[Player]],TableWRCalcPts[PLAYER],0)),"")</f>
        <v/>
      </c>
      <c r="AG139" s="58" t="str">
        <f>IFERROR(INDEX(TableWRCalcPts[BYE],MATCH(TableWRRanks324236[[#This Row],[Player]],TableWRCalcPts[PLAYER],0)),"")</f>
        <v/>
      </c>
      <c r="AH139" s="100">
        <f>VLOOKUP(TableWRRanks324236[[#This Row],[Player]],WR!B:O,4,FALSE)</f>
        <v>0</v>
      </c>
      <c r="AI139" s="100">
        <f>VLOOKUP(TableWRRanks324236[[#This Row],[Player]],WR!B:O,5,FALSE)</f>
        <v>0</v>
      </c>
      <c r="AJ139" s="100">
        <f>VLOOKUP(TableWRRanks324236[[#This Row],[Player]],WR!B:O,6,FALSE)</f>
        <v>0</v>
      </c>
      <c r="AK139" s="100">
        <f>VLOOKUP(TableWRRanks324236[[#This Row],[Player]],WR!B:O,7,FALSE)</f>
        <v>0</v>
      </c>
      <c r="AL139" s="100">
        <f>VLOOKUP(TableWRRanks324236[[#This Row],[Player]],WR!B:O,8,FALSE)</f>
        <v>0</v>
      </c>
      <c r="AM139" s="100">
        <f>VLOOKUP(TableWRRanks324236[[#This Row],[Player]],WR!B:O,9,FALSE)</f>
        <v>0</v>
      </c>
      <c r="AN139" s="95">
        <f>VLOOKUP(TableWRRanks324236[[#This Row],[Player]],WR!B:O,13,FALSE)</f>
        <v>0</v>
      </c>
      <c r="AO139" s="190">
        <f>TableWRRanks324236[[#This Row],[FPS]]+(TableWRRanks324236[[#This Row],[REC]]*0.5)</f>
        <v>0</v>
      </c>
    </row>
    <row r="140" spans="16:41" x14ac:dyDescent="0.25">
      <c r="P140" s="58">
        <v>139</v>
      </c>
      <c r="Q140" s="58">
        <f>VLOOKUP(TableRBRanks314135[[#This Row],[RK]],Rankings!A:AI,23,FALSE)</f>
        <v>0</v>
      </c>
      <c r="R140" s="58" t="str">
        <f>IFERROR(INDEX(TableRBCalcPts[TM],MATCH(TableRBRanks314135[[#This Row],[Player]],TableRBCalcPts[PLAYER],0)),"")</f>
        <v/>
      </c>
      <c r="S140" s="58" t="str">
        <f>IFERROR(INDEX(TableRBCalcPts[BYE],MATCH(TableRBRanks314135[[#This Row],[Player]],TableRBCalcPts[PLAYER],0)),"")</f>
        <v/>
      </c>
      <c r="T140" s="100">
        <f>VLOOKUP(TableRBRanks314135[[#This Row],[Player]],RB!B:O,4,FALSE)</f>
        <v>0</v>
      </c>
      <c r="U140" s="100">
        <f>VLOOKUP(TableRBRanks314135[[#This Row],[Player]],RB!B:O,5,FALSE)</f>
        <v>0</v>
      </c>
      <c r="V140" s="100">
        <f>VLOOKUP(TableRBRanks314135[[#This Row],[Player]],RB!B:O,6,FALSE)</f>
        <v>0</v>
      </c>
      <c r="W140" s="100">
        <f>VLOOKUP(TableRBRanks314135[[#This Row],[Player]],RB!B:O,7,FALSE)</f>
        <v>0</v>
      </c>
      <c r="X140" s="100">
        <f>VLOOKUP(TableRBRanks314135[[#This Row],[Player]],RB!B:O,8,FALSE)</f>
        <v>0</v>
      </c>
      <c r="Y140" s="100">
        <f>VLOOKUP(TableRBRanks314135[[#This Row],[Player]],RB!B:O,9,FALSE)</f>
        <v>0</v>
      </c>
      <c r="Z140" s="100">
        <f>VLOOKUP(TableRBRanks314135[[#This Row],[Player]],RB!B:O,10,FALSE)</f>
        <v>0</v>
      </c>
      <c r="AA140" s="95">
        <f>VLOOKUP(TableRBRanks314135[[#This Row],[Player]],RB!B:O,14,FALSE)</f>
        <v>0</v>
      </c>
      <c r="AB140" s="190">
        <f>TableRBRanks314135[[#This Row],[FPS]]+(TableRBRanks314135[[#This Row],[REC]]*0.5)</f>
        <v>0</v>
      </c>
      <c r="AD140" s="58">
        <v>139</v>
      </c>
      <c r="AE140" s="58">
        <f>VLOOKUP(TableWRRanks324236[[#This Row],[RK]],Rankings!A:AI,28,FALSE)</f>
        <v>0</v>
      </c>
      <c r="AF140" s="58" t="str">
        <f>IFERROR(INDEX(TableWRCalcPts[TM],MATCH(TableWRRanks324236[[#This Row],[Player]],TableWRCalcPts[PLAYER],0)),"")</f>
        <v/>
      </c>
      <c r="AG140" s="58" t="str">
        <f>IFERROR(INDEX(TableWRCalcPts[BYE],MATCH(TableWRRanks324236[[#This Row],[Player]],TableWRCalcPts[PLAYER],0)),"")</f>
        <v/>
      </c>
      <c r="AH140" s="100">
        <f>VLOOKUP(TableWRRanks324236[[#This Row],[Player]],WR!B:O,4,FALSE)</f>
        <v>0</v>
      </c>
      <c r="AI140" s="100">
        <f>VLOOKUP(TableWRRanks324236[[#This Row],[Player]],WR!B:O,5,FALSE)</f>
        <v>0</v>
      </c>
      <c r="AJ140" s="100">
        <f>VLOOKUP(TableWRRanks324236[[#This Row],[Player]],WR!B:O,6,FALSE)</f>
        <v>0</v>
      </c>
      <c r="AK140" s="100">
        <f>VLOOKUP(TableWRRanks324236[[#This Row],[Player]],WR!B:O,7,FALSE)</f>
        <v>0</v>
      </c>
      <c r="AL140" s="100">
        <f>VLOOKUP(TableWRRanks324236[[#This Row],[Player]],WR!B:O,8,FALSE)</f>
        <v>0</v>
      </c>
      <c r="AM140" s="100">
        <f>VLOOKUP(TableWRRanks324236[[#This Row],[Player]],WR!B:O,9,FALSE)</f>
        <v>0</v>
      </c>
      <c r="AN140" s="95">
        <f>VLOOKUP(TableWRRanks324236[[#This Row],[Player]],WR!B:O,13,FALSE)</f>
        <v>0</v>
      </c>
      <c r="AO140" s="190">
        <f>TableWRRanks324236[[#This Row],[FPS]]+(TableWRRanks324236[[#This Row],[REC]]*0.5)</f>
        <v>0</v>
      </c>
    </row>
    <row r="141" spans="16:41" x14ac:dyDescent="0.25">
      <c r="P141" s="58">
        <v>140</v>
      </c>
      <c r="Q141" s="58">
        <f>VLOOKUP(TableRBRanks314135[[#This Row],[RK]],Rankings!A:AI,23,FALSE)</f>
        <v>0</v>
      </c>
      <c r="R141" s="58" t="str">
        <f>IFERROR(INDEX(TableRBCalcPts[TM],MATCH(TableRBRanks314135[[#This Row],[Player]],TableRBCalcPts[PLAYER],0)),"")</f>
        <v/>
      </c>
      <c r="S141" s="58" t="str">
        <f>IFERROR(INDEX(TableRBCalcPts[BYE],MATCH(TableRBRanks314135[[#This Row],[Player]],TableRBCalcPts[PLAYER],0)),"")</f>
        <v/>
      </c>
      <c r="T141" s="100">
        <f>VLOOKUP(TableRBRanks314135[[#This Row],[Player]],RB!B:O,4,FALSE)</f>
        <v>0</v>
      </c>
      <c r="U141" s="100">
        <f>VLOOKUP(TableRBRanks314135[[#This Row],[Player]],RB!B:O,5,FALSE)</f>
        <v>0</v>
      </c>
      <c r="V141" s="100">
        <f>VLOOKUP(TableRBRanks314135[[#This Row],[Player]],RB!B:O,6,FALSE)</f>
        <v>0</v>
      </c>
      <c r="W141" s="100">
        <f>VLOOKUP(TableRBRanks314135[[#This Row],[Player]],RB!B:O,7,FALSE)</f>
        <v>0</v>
      </c>
      <c r="X141" s="100">
        <f>VLOOKUP(TableRBRanks314135[[#This Row],[Player]],RB!B:O,8,FALSE)</f>
        <v>0</v>
      </c>
      <c r="Y141" s="100">
        <f>VLOOKUP(TableRBRanks314135[[#This Row],[Player]],RB!B:O,9,FALSE)</f>
        <v>0</v>
      </c>
      <c r="Z141" s="100">
        <f>VLOOKUP(TableRBRanks314135[[#This Row],[Player]],RB!B:O,10,FALSE)</f>
        <v>0</v>
      </c>
      <c r="AA141" s="95">
        <f>VLOOKUP(TableRBRanks314135[[#This Row],[Player]],RB!B:O,14,FALSE)</f>
        <v>0</v>
      </c>
      <c r="AB141" s="190">
        <f>TableRBRanks314135[[#This Row],[FPS]]+(TableRBRanks314135[[#This Row],[REC]]*0.5)</f>
        <v>0</v>
      </c>
      <c r="AD141" s="58">
        <v>140</v>
      </c>
      <c r="AE141" s="58">
        <f>VLOOKUP(TableWRRanks324236[[#This Row],[RK]],Rankings!A:AI,28,FALSE)</f>
        <v>0</v>
      </c>
      <c r="AF141" s="58" t="str">
        <f>IFERROR(INDEX(TableWRCalcPts[TM],MATCH(TableWRRanks324236[[#This Row],[Player]],TableWRCalcPts[PLAYER],0)),"")</f>
        <v/>
      </c>
      <c r="AG141" s="58" t="str">
        <f>IFERROR(INDEX(TableWRCalcPts[BYE],MATCH(TableWRRanks324236[[#This Row],[Player]],TableWRCalcPts[PLAYER],0)),"")</f>
        <v/>
      </c>
      <c r="AH141" s="100">
        <f>VLOOKUP(TableWRRanks324236[[#This Row],[Player]],WR!B:O,4,FALSE)</f>
        <v>0</v>
      </c>
      <c r="AI141" s="100">
        <f>VLOOKUP(TableWRRanks324236[[#This Row],[Player]],WR!B:O,5,FALSE)</f>
        <v>0</v>
      </c>
      <c r="AJ141" s="100">
        <f>VLOOKUP(TableWRRanks324236[[#This Row],[Player]],WR!B:O,6,FALSE)</f>
        <v>0</v>
      </c>
      <c r="AK141" s="100">
        <f>VLOOKUP(TableWRRanks324236[[#This Row],[Player]],WR!B:O,7,FALSE)</f>
        <v>0</v>
      </c>
      <c r="AL141" s="100">
        <f>VLOOKUP(TableWRRanks324236[[#This Row],[Player]],WR!B:O,8,FALSE)</f>
        <v>0</v>
      </c>
      <c r="AM141" s="100">
        <f>VLOOKUP(TableWRRanks324236[[#This Row],[Player]],WR!B:O,9,FALSE)</f>
        <v>0</v>
      </c>
      <c r="AN141" s="95">
        <f>VLOOKUP(TableWRRanks324236[[#This Row],[Player]],WR!B:O,13,FALSE)</f>
        <v>0</v>
      </c>
      <c r="AO141" s="190">
        <f>TableWRRanks324236[[#This Row],[FPS]]+(TableWRRanks324236[[#This Row],[REC]]*0.5)</f>
        <v>0</v>
      </c>
    </row>
    <row r="142" spans="16:41" x14ac:dyDescent="0.25">
      <c r="P142" s="58">
        <v>141</v>
      </c>
      <c r="Q142" s="58">
        <f>VLOOKUP(TableRBRanks314135[[#This Row],[RK]],Rankings!A:AI,23,FALSE)</f>
        <v>0</v>
      </c>
      <c r="R142" s="58" t="str">
        <f>IFERROR(INDEX(TableRBCalcPts[TM],MATCH(TableRBRanks314135[[#This Row],[Player]],TableRBCalcPts[PLAYER],0)),"")</f>
        <v/>
      </c>
      <c r="S142" s="58" t="str">
        <f>IFERROR(INDEX(TableRBCalcPts[BYE],MATCH(TableRBRanks314135[[#This Row],[Player]],TableRBCalcPts[PLAYER],0)),"")</f>
        <v/>
      </c>
      <c r="T142" s="100">
        <f>VLOOKUP(TableRBRanks314135[[#This Row],[Player]],RB!B:O,4,FALSE)</f>
        <v>0</v>
      </c>
      <c r="U142" s="100">
        <f>VLOOKUP(TableRBRanks314135[[#This Row],[Player]],RB!B:O,5,FALSE)</f>
        <v>0</v>
      </c>
      <c r="V142" s="100">
        <f>VLOOKUP(TableRBRanks314135[[#This Row],[Player]],RB!B:O,6,FALSE)</f>
        <v>0</v>
      </c>
      <c r="W142" s="100">
        <f>VLOOKUP(TableRBRanks314135[[#This Row],[Player]],RB!B:O,7,FALSE)</f>
        <v>0</v>
      </c>
      <c r="X142" s="100">
        <f>VLOOKUP(TableRBRanks314135[[#This Row],[Player]],RB!B:O,8,FALSE)</f>
        <v>0</v>
      </c>
      <c r="Y142" s="100">
        <f>VLOOKUP(TableRBRanks314135[[#This Row],[Player]],RB!B:O,9,FALSE)</f>
        <v>0</v>
      </c>
      <c r="Z142" s="100">
        <f>VLOOKUP(TableRBRanks314135[[#This Row],[Player]],RB!B:O,10,FALSE)</f>
        <v>0</v>
      </c>
      <c r="AA142" s="95">
        <f>VLOOKUP(TableRBRanks314135[[#This Row],[Player]],RB!B:O,14,FALSE)</f>
        <v>0</v>
      </c>
      <c r="AB142" s="190">
        <f>TableRBRanks314135[[#This Row],[FPS]]+(TableRBRanks314135[[#This Row],[REC]]*0.5)</f>
        <v>0</v>
      </c>
      <c r="AD142" s="58">
        <v>141</v>
      </c>
      <c r="AE142" s="58">
        <f>VLOOKUP(TableWRRanks324236[[#This Row],[RK]],Rankings!A:AI,28,FALSE)</f>
        <v>0</v>
      </c>
      <c r="AF142" s="58" t="str">
        <f>IFERROR(INDEX(TableWRCalcPts[TM],MATCH(TableWRRanks324236[[#This Row],[Player]],TableWRCalcPts[PLAYER],0)),"")</f>
        <v/>
      </c>
      <c r="AG142" s="58" t="str">
        <f>IFERROR(INDEX(TableWRCalcPts[BYE],MATCH(TableWRRanks324236[[#This Row],[Player]],TableWRCalcPts[PLAYER],0)),"")</f>
        <v/>
      </c>
      <c r="AH142" s="100">
        <f>VLOOKUP(TableWRRanks324236[[#This Row],[Player]],WR!B:O,4,FALSE)</f>
        <v>0</v>
      </c>
      <c r="AI142" s="100">
        <f>VLOOKUP(TableWRRanks324236[[#This Row],[Player]],WR!B:O,5,FALSE)</f>
        <v>0</v>
      </c>
      <c r="AJ142" s="100">
        <f>VLOOKUP(TableWRRanks324236[[#This Row],[Player]],WR!B:O,6,FALSE)</f>
        <v>0</v>
      </c>
      <c r="AK142" s="100">
        <f>VLOOKUP(TableWRRanks324236[[#This Row],[Player]],WR!B:O,7,FALSE)</f>
        <v>0</v>
      </c>
      <c r="AL142" s="100">
        <f>VLOOKUP(TableWRRanks324236[[#This Row],[Player]],WR!B:O,8,FALSE)</f>
        <v>0</v>
      </c>
      <c r="AM142" s="100">
        <f>VLOOKUP(TableWRRanks324236[[#This Row],[Player]],WR!B:O,9,FALSE)</f>
        <v>0</v>
      </c>
      <c r="AN142" s="95">
        <f>VLOOKUP(TableWRRanks324236[[#This Row],[Player]],WR!B:O,13,FALSE)</f>
        <v>0</v>
      </c>
      <c r="AO142" s="190">
        <f>TableWRRanks324236[[#This Row],[FPS]]+(TableWRRanks324236[[#This Row],[REC]]*0.5)</f>
        <v>0</v>
      </c>
    </row>
    <row r="143" spans="16:41" x14ac:dyDescent="0.25">
      <c r="P143" s="58">
        <v>142</v>
      </c>
      <c r="Q143" s="58">
        <f>VLOOKUP(TableRBRanks314135[[#This Row],[RK]],Rankings!A:AI,23,FALSE)</f>
        <v>0</v>
      </c>
      <c r="R143" s="58" t="str">
        <f>IFERROR(INDEX(TableRBCalcPts[TM],MATCH(TableRBRanks314135[[#This Row],[Player]],TableRBCalcPts[PLAYER],0)),"")</f>
        <v/>
      </c>
      <c r="S143" s="58" t="str">
        <f>IFERROR(INDEX(TableRBCalcPts[BYE],MATCH(TableRBRanks314135[[#This Row],[Player]],TableRBCalcPts[PLAYER],0)),"")</f>
        <v/>
      </c>
      <c r="T143" s="100">
        <f>VLOOKUP(TableRBRanks314135[[#This Row],[Player]],RB!B:O,4,FALSE)</f>
        <v>0</v>
      </c>
      <c r="U143" s="100">
        <f>VLOOKUP(TableRBRanks314135[[#This Row],[Player]],RB!B:O,5,FALSE)</f>
        <v>0</v>
      </c>
      <c r="V143" s="100">
        <f>VLOOKUP(TableRBRanks314135[[#This Row],[Player]],RB!B:O,6,FALSE)</f>
        <v>0</v>
      </c>
      <c r="W143" s="100">
        <f>VLOOKUP(TableRBRanks314135[[#This Row],[Player]],RB!B:O,7,FALSE)</f>
        <v>0</v>
      </c>
      <c r="X143" s="100">
        <f>VLOOKUP(TableRBRanks314135[[#This Row],[Player]],RB!B:O,8,FALSE)</f>
        <v>0</v>
      </c>
      <c r="Y143" s="100">
        <f>VLOOKUP(TableRBRanks314135[[#This Row],[Player]],RB!B:O,9,FALSE)</f>
        <v>0</v>
      </c>
      <c r="Z143" s="100">
        <f>VLOOKUP(TableRBRanks314135[[#This Row],[Player]],RB!B:O,10,FALSE)</f>
        <v>0</v>
      </c>
      <c r="AA143" s="95">
        <f>VLOOKUP(TableRBRanks314135[[#This Row],[Player]],RB!B:O,14,FALSE)</f>
        <v>0</v>
      </c>
      <c r="AB143" s="190">
        <f>TableRBRanks314135[[#This Row],[FPS]]+(TableRBRanks314135[[#This Row],[REC]]*0.5)</f>
        <v>0</v>
      </c>
      <c r="AD143" s="58">
        <v>142</v>
      </c>
      <c r="AE143" s="58">
        <f>VLOOKUP(TableWRRanks324236[[#This Row],[RK]],Rankings!A:AI,28,FALSE)</f>
        <v>0</v>
      </c>
      <c r="AF143" s="58" t="str">
        <f>IFERROR(INDEX(TableWRCalcPts[TM],MATCH(TableWRRanks324236[[#This Row],[Player]],TableWRCalcPts[PLAYER],0)),"")</f>
        <v/>
      </c>
      <c r="AG143" s="58" t="str">
        <f>IFERROR(INDEX(TableWRCalcPts[BYE],MATCH(TableWRRanks324236[[#This Row],[Player]],TableWRCalcPts[PLAYER],0)),"")</f>
        <v/>
      </c>
      <c r="AH143" s="100">
        <f>VLOOKUP(TableWRRanks324236[[#This Row],[Player]],WR!B:O,4,FALSE)</f>
        <v>0</v>
      </c>
      <c r="AI143" s="100">
        <f>VLOOKUP(TableWRRanks324236[[#This Row],[Player]],WR!B:O,5,FALSE)</f>
        <v>0</v>
      </c>
      <c r="AJ143" s="100">
        <f>VLOOKUP(TableWRRanks324236[[#This Row],[Player]],WR!B:O,6,FALSE)</f>
        <v>0</v>
      </c>
      <c r="AK143" s="100">
        <f>VLOOKUP(TableWRRanks324236[[#This Row],[Player]],WR!B:O,7,FALSE)</f>
        <v>0</v>
      </c>
      <c r="AL143" s="100">
        <f>VLOOKUP(TableWRRanks324236[[#This Row],[Player]],WR!B:O,8,FALSE)</f>
        <v>0</v>
      </c>
      <c r="AM143" s="100">
        <f>VLOOKUP(TableWRRanks324236[[#This Row],[Player]],WR!B:O,9,FALSE)</f>
        <v>0</v>
      </c>
      <c r="AN143" s="95">
        <f>VLOOKUP(TableWRRanks324236[[#This Row],[Player]],WR!B:O,13,FALSE)</f>
        <v>0</v>
      </c>
      <c r="AO143" s="190">
        <f>TableWRRanks324236[[#This Row],[FPS]]+(TableWRRanks324236[[#This Row],[REC]]*0.5)</f>
        <v>0</v>
      </c>
    </row>
    <row r="144" spans="16:41" x14ac:dyDescent="0.25">
      <c r="P144" s="58">
        <v>143</v>
      </c>
      <c r="Q144" s="58">
        <f>VLOOKUP(TableRBRanks314135[[#This Row],[RK]],Rankings!A:AI,23,FALSE)</f>
        <v>0</v>
      </c>
      <c r="R144" s="58" t="str">
        <f>IFERROR(INDEX(TableRBCalcPts[TM],MATCH(TableRBRanks314135[[#This Row],[Player]],TableRBCalcPts[PLAYER],0)),"")</f>
        <v/>
      </c>
      <c r="S144" s="58" t="str">
        <f>IFERROR(INDEX(TableRBCalcPts[BYE],MATCH(TableRBRanks314135[[#This Row],[Player]],TableRBCalcPts[PLAYER],0)),"")</f>
        <v/>
      </c>
      <c r="T144" s="100">
        <f>VLOOKUP(TableRBRanks314135[[#This Row],[Player]],RB!B:O,4,FALSE)</f>
        <v>0</v>
      </c>
      <c r="U144" s="100">
        <f>VLOOKUP(TableRBRanks314135[[#This Row],[Player]],RB!B:O,5,FALSE)</f>
        <v>0</v>
      </c>
      <c r="V144" s="100">
        <f>VLOOKUP(TableRBRanks314135[[#This Row],[Player]],RB!B:O,6,FALSE)</f>
        <v>0</v>
      </c>
      <c r="W144" s="100">
        <f>VLOOKUP(TableRBRanks314135[[#This Row],[Player]],RB!B:O,7,FALSE)</f>
        <v>0</v>
      </c>
      <c r="X144" s="100">
        <f>VLOOKUP(TableRBRanks314135[[#This Row],[Player]],RB!B:O,8,FALSE)</f>
        <v>0</v>
      </c>
      <c r="Y144" s="100">
        <f>VLOOKUP(TableRBRanks314135[[#This Row],[Player]],RB!B:O,9,FALSE)</f>
        <v>0</v>
      </c>
      <c r="Z144" s="100">
        <f>VLOOKUP(TableRBRanks314135[[#This Row],[Player]],RB!B:O,10,FALSE)</f>
        <v>0</v>
      </c>
      <c r="AA144" s="95">
        <f>VLOOKUP(TableRBRanks314135[[#This Row],[Player]],RB!B:O,14,FALSE)</f>
        <v>0</v>
      </c>
      <c r="AB144" s="190">
        <f>TableRBRanks314135[[#This Row],[FPS]]+(TableRBRanks314135[[#This Row],[REC]]*0.5)</f>
        <v>0</v>
      </c>
      <c r="AD144" s="58">
        <v>143</v>
      </c>
      <c r="AE144" s="58">
        <f>VLOOKUP(TableWRRanks324236[[#This Row],[RK]],Rankings!A:AI,28,FALSE)</f>
        <v>0</v>
      </c>
      <c r="AF144" s="58" t="str">
        <f>IFERROR(INDEX(TableWRCalcPts[TM],MATCH(TableWRRanks324236[[#This Row],[Player]],TableWRCalcPts[PLAYER],0)),"")</f>
        <v/>
      </c>
      <c r="AG144" s="58" t="str">
        <f>IFERROR(INDEX(TableWRCalcPts[BYE],MATCH(TableWRRanks324236[[#This Row],[Player]],TableWRCalcPts[PLAYER],0)),"")</f>
        <v/>
      </c>
      <c r="AH144" s="100">
        <f>VLOOKUP(TableWRRanks324236[[#This Row],[Player]],WR!B:O,4,FALSE)</f>
        <v>0</v>
      </c>
      <c r="AI144" s="100">
        <f>VLOOKUP(TableWRRanks324236[[#This Row],[Player]],WR!B:O,5,FALSE)</f>
        <v>0</v>
      </c>
      <c r="AJ144" s="100">
        <f>VLOOKUP(TableWRRanks324236[[#This Row],[Player]],WR!B:O,6,FALSE)</f>
        <v>0</v>
      </c>
      <c r="AK144" s="100">
        <f>VLOOKUP(TableWRRanks324236[[#This Row],[Player]],WR!B:O,7,FALSE)</f>
        <v>0</v>
      </c>
      <c r="AL144" s="100">
        <f>VLOOKUP(TableWRRanks324236[[#This Row],[Player]],WR!B:O,8,FALSE)</f>
        <v>0</v>
      </c>
      <c r="AM144" s="100">
        <f>VLOOKUP(TableWRRanks324236[[#This Row],[Player]],WR!B:O,9,FALSE)</f>
        <v>0</v>
      </c>
      <c r="AN144" s="95">
        <f>VLOOKUP(TableWRRanks324236[[#This Row],[Player]],WR!B:O,13,FALSE)</f>
        <v>0</v>
      </c>
      <c r="AO144" s="190">
        <f>TableWRRanks324236[[#This Row],[FPS]]+(TableWRRanks324236[[#This Row],[REC]]*0.5)</f>
        <v>0</v>
      </c>
    </row>
    <row r="145" spans="16:41" x14ac:dyDescent="0.25">
      <c r="P145" s="58">
        <v>144</v>
      </c>
      <c r="Q145" s="58">
        <f>VLOOKUP(TableRBRanks314135[[#This Row],[RK]],Rankings!A:AI,23,FALSE)</f>
        <v>0</v>
      </c>
      <c r="R145" s="58" t="str">
        <f>IFERROR(INDEX(TableRBCalcPts[TM],MATCH(TableRBRanks314135[[#This Row],[Player]],TableRBCalcPts[PLAYER],0)),"")</f>
        <v/>
      </c>
      <c r="S145" s="58" t="str">
        <f>IFERROR(INDEX(TableRBCalcPts[BYE],MATCH(TableRBRanks314135[[#This Row],[Player]],TableRBCalcPts[PLAYER],0)),"")</f>
        <v/>
      </c>
      <c r="T145" s="100">
        <f>VLOOKUP(TableRBRanks314135[[#This Row],[Player]],RB!B:O,4,FALSE)</f>
        <v>0</v>
      </c>
      <c r="U145" s="100">
        <f>VLOOKUP(TableRBRanks314135[[#This Row],[Player]],RB!B:O,5,FALSE)</f>
        <v>0</v>
      </c>
      <c r="V145" s="100">
        <f>VLOOKUP(TableRBRanks314135[[#This Row],[Player]],RB!B:O,6,FALSE)</f>
        <v>0</v>
      </c>
      <c r="W145" s="100">
        <f>VLOOKUP(TableRBRanks314135[[#This Row],[Player]],RB!B:O,7,FALSE)</f>
        <v>0</v>
      </c>
      <c r="X145" s="100">
        <f>VLOOKUP(TableRBRanks314135[[#This Row],[Player]],RB!B:O,8,FALSE)</f>
        <v>0</v>
      </c>
      <c r="Y145" s="100">
        <f>VLOOKUP(TableRBRanks314135[[#This Row],[Player]],RB!B:O,9,FALSE)</f>
        <v>0</v>
      </c>
      <c r="Z145" s="100">
        <f>VLOOKUP(TableRBRanks314135[[#This Row],[Player]],RB!B:O,10,FALSE)</f>
        <v>0</v>
      </c>
      <c r="AA145" s="95">
        <f>VLOOKUP(TableRBRanks314135[[#This Row],[Player]],RB!B:O,14,FALSE)</f>
        <v>0</v>
      </c>
      <c r="AB145" s="190">
        <f>TableRBRanks314135[[#This Row],[FPS]]+(TableRBRanks314135[[#This Row],[REC]]*0.5)</f>
        <v>0</v>
      </c>
      <c r="AD145" s="58">
        <v>144</v>
      </c>
      <c r="AE145" s="58">
        <f>VLOOKUP(TableWRRanks324236[[#This Row],[RK]],Rankings!A:AI,28,FALSE)</f>
        <v>0</v>
      </c>
      <c r="AF145" s="58" t="str">
        <f>IFERROR(INDEX(TableWRCalcPts[TM],MATCH(TableWRRanks324236[[#This Row],[Player]],TableWRCalcPts[PLAYER],0)),"")</f>
        <v/>
      </c>
      <c r="AG145" s="58" t="str">
        <f>IFERROR(INDEX(TableWRCalcPts[BYE],MATCH(TableWRRanks324236[[#This Row],[Player]],TableWRCalcPts[PLAYER],0)),"")</f>
        <v/>
      </c>
      <c r="AH145" s="100">
        <f>VLOOKUP(TableWRRanks324236[[#This Row],[Player]],WR!B:O,4,FALSE)</f>
        <v>0</v>
      </c>
      <c r="AI145" s="100">
        <f>VLOOKUP(TableWRRanks324236[[#This Row],[Player]],WR!B:O,5,FALSE)</f>
        <v>0</v>
      </c>
      <c r="AJ145" s="100">
        <f>VLOOKUP(TableWRRanks324236[[#This Row],[Player]],WR!B:O,6,FALSE)</f>
        <v>0</v>
      </c>
      <c r="AK145" s="100">
        <f>VLOOKUP(TableWRRanks324236[[#This Row],[Player]],WR!B:O,7,FALSE)</f>
        <v>0</v>
      </c>
      <c r="AL145" s="100">
        <f>VLOOKUP(TableWRRanks324236[[#This Row],[Player]],WR!B:O,8,FALSE)</f>
        <v>0</v>
      </c>
      <c r="AM145" s="100">
        <f>VLOOKUP(TableWRRanks324236[[#This Row],[Player]],WR!B:O,9,FALSE)</f>
        <v>0</v>
      </c>
      <c r="AN145" s="95">
        <f>VLOOKUP(TableWRRanks324236[[#This Row],[Player]],WR!B:O,13,FALSE)</f>
        <v>0</v>
      </c>
      <c r="AO145" s="190">
        <f>TableWRRanks324236[[#This Row],[FPS]]+(TableWRRanks324236[[#This Row],[REC]]*0.5)</f>
        <v>0</v>
      </c>
    </row>
    <row r="146" spans="16:41" x14ac:dyDescent="0.25">
      <c r="P146" s="58">
        <v>145</v>
      </c>
      <c r="Q146" s="58">
        <f>VLOOKUP(TableRBRanks314135[[#This Row],[RK]],Rankings!A:AI,23,FALSE)</f>
        <v>0</v>
      </c>
      <c r="R146" s="58" t="str">
        <f>IFERROR(INDEX(TableRBCalcPts[TM],MATCH(TableRBRanks314135[[#This Row],[Player]],TableRBCalcPts[PLAYER],0)),"")</f>
        <v/>
      </c>
      <c r="S146" s="58" t="str">
        <f>IFERROR(INDEX(TableRBCalcPts[BYE],MATCH(TableRBRanks314135[[#This Row],[Player]],TableRBCalcPts[PLAYER],0)),"")</f>
        <v/>
      </c>
      <c r="T146" s="100">
        <f>VLOOKUP(TableRBRanks314135[[#This Row],[Player]],RB!B:O,4,FALSE)</f>
        <v>0</v>
      </c>
      <c r="U146" s="100">
        <f>VLOOKUP(TableRBRanks314135[[#This Row],[Player]],RB!B:O,5,FALSE)</f>
        <v>0</v>
      </c>
      <c r="V146" s="100">
        <f>VLOOKUP(TableRBRanks314135[[#This Row],[Player]],RB!B:O,6,FALSE)</f>
        <v>0</v>
      </c>
      <c r="W146" s="100">
        <f>VLOOKUP(TableRBRanks314135[[#This Row],[Player]],RB!B:O,7,FALSE)</f>
        <v>0</v>
      </c>
      <c r="X146" s="100">
        <f>VLOOKUP(TableRBRanks314135[[#This Row],[Player]],RB!B:O,8,FALSE)</f>
        <v>0</v>
      </c>
      <c r="Y146" s="100">
        <f>VLOOKUP(TableRBRanks314135[[#This Row],[Player]],RB!B:O,9,FALSE)</f>
        <v>0</v>
      </c>
      <c r="Z146" s="100">
        <f>VLOOKUP(TableRBRanks314135[[#This Row],[Player]],RB!B:O,10,FALSE)</f>
        <v>0</v>
      </c>
      <c r="AA146" s="95">
        <f>VLOOKUP(TableRBRanks314135[[#This Row],[Player]],RB!B:O,14,FALSE)</f>
        <v>0</v>
      </c>
      <c r="AB146" s="190">
        <f>TableRBRanks314135[[#This Row],[FPS]]+(TableRBRanks314135[[#This Row],[REC]]*0.5)</f>
        <v>0</v>
      </c>
      <c r="AD146" s="58">
        <v>145</v>
      </c>
      <c r="AE146" s="58">
        <f>VLOOKUP(TableWRRanks324236[[#This Row],[RK]],Rankings!A:AI,28,FALSE)</f>
        <v>0</v>
      </c>
      <c r="AF146" s="58" t="str">
        <f>IFERROR(INDEX(TableWRCalcPts[TM],MATCH(TableWRRanks324236[[#This Row],[Player]],TableWRCalcPts[PLAYER],0)),"")</f>
        <v/>
      </c>
      <c r="AG146" s="58" t="str">
        <f>IFERROR(INDEX(TableWRCalcPts[BYE],MATCH(TableWRRanks324236[[#This Row],[Player]],TableWRCalcPts[PLAYER],0)),"")</f>
        <v/>
      </c>
      <c r="AH146" s="100">
        <f>VLOOKUP(TableWRRanks324236[[#This Row],[Player]],WR!B:O,4,FALSE)</f>
        <v>0</v>
      </c>
      <c r="AI146" s="100">
        <f>VLOOKUP(TableWRRanks324236[[#This Row],[Player]],WR!B:O,5,FALSE)</f>
        <v>0</v>
      </c>
      <c r="AJ146" s="100">
        <f>VLOOKUP(TableWRRanks324236[[#This Row],[Player]],WR!B:O,6,FALSE)</f>
        <v>0</v>
      </c>
      <c r="AK146" s="100">
        <f>VLOOKUP(TableWRRanks324236[[#This Row],[Player]],WR!B:O,7,FALSE)</f>
        <v>0</v>
      </c>
      <c r="AL146" s="100">
        <f>VLOOKUP(TableWRRanks324236[[#This Row],[Player]],WR!B:O,8,FALSE)</f>
        <v>0</v>
      </c>
      <c r="AM146" s="100">
        <f>VLOOKUP(TableWRRanks324236[[#This Row],[Player]],WR!B:O,9,FALSE)</f>
        <v>0</v>
      </c>
      <c r="AN146" s="95">
        <f>VLOOKUP(TableWRRanks324236[[#This Row],[Player]],WR!B:O,13,FALSE)</f>
        <v>0</v>
      </c>
      <c r="AO146" s="190">
        <f>TableWRRanks324236[[#This Row],[FPS]]+(TableWRRanks324236[[#This Row],[REC]]*0.5)</f>
        <v>0</v>
      </c>
    </row>
    <row r="147" spans="16:41" x14ac:dyDescent="0.25">
      <c r="P147" s="58">
        <v>146</v>
      </c>
      <c r="Q147" s="58">
        <f>VLOOKUP(TableRBRanks314135[[#This Row],[RK]],Rankings!A:AI,23,FALSE)</f>
        <v>0</v>
      </c>
      <c r="R147" s="58" t="str">
        <f>IFERROR(INDEX(TableRBCalcPts[TM],MATCH(TableRBRanks314135[[#This Row],[Player]],TableRBCalcPts[PLAYER],0)),"")</f>
        <v/>
      </c>
      <c r="S147" s="58" t="str">
        <f>IFERROR(INDEX(TableRBCalcPts[BYE],MATCH(TableRBRanks314135[[#This Row],[Player]],TableRBCalcPts[PLAYER],0)),"")</f>
        <v/>
      </c>
      <c r="T147" s="100">
        <f>VLOOKUP(TableRBRanks314135[[#This Row],[Player]],RB!B:O,4,FALSE)</f>
        <v>0</v>
      </c>
      <c r="U147" s="100">
        <f>VLOOKUP(TableRBRanks314135[[#This Row],[Player]],RB!B:O,5,FALSE)</f>
        <v>0</v>
      </c>
      <c r="V147" s="100">
        <f>VLOOKUP(TableRBRanks314135[[#This Row],[Player]],RB!B:O,6,FALSE)</f>
        <v>0</v>
      </c>
      <c r="W147" s="100">
        <f>VLOOKUP(TableRBRanks314135[[#This Row],[Player]],RB!B:O,7,FALSE)</f>
        <v>0</v>
      </c>
      <c r="X147" s="100">
        <f>VLOOKUP(TableRBRanks314135[[#This Row],[Player]],RB!B:O,8,FALSE)</f>
        <v>0</v>
      </c>
      <c r="Y147" s="100">
        <f>VLOOKUP(TableRBRanks314135[[#This Row],[Player]],RB!B:O,9,FALSE)</f>
        <v>0</v>
      </c>
      <c r="Z147" s="100">
        <f>VLOOKUP(TableRBRanks314135[[#This Row],[Player]],RB!B:O,10,FALSE)</f>
        <v>0</v>
      </c>
      <c r="AA147" s="95">
        <f>VLOOKUP(TableRBRanks314135[[#This Row],[Player]],RB!B:O,14,FALSE)</f>
        <v>0</v>
      </c>
      <c r="AB147" s="190">
        <f>TableRBRanks314135[[#This Row],[FPS]]+(TableRBRanks314135[[#This Row],[REC]]*0.5)</f>
        <v>0</v>
      </c>
      <c r="AD147" s="58">
        <v>146</v>
      </c>
      <c r="AE147" s="58">
        <f>VLOOKUP(TableWRRanks324236[[#This Row],[RK]],Rankings!A:AI,28,FALSE)</f>
        <v>0</v>
      </c>
      <c r="AF147" s="58" t="str">
        <f>IFERROR(INDEX(TableWRCalcPts[TM],MATCH(TableWRRanks324236[[#This Row],[Player]],TableWRCalcPts[PLAYER],0)),"")</f>
        <v/>
      </c>
      <c r="AG147" s="58" t="str">
        <f>IFERROR(INDEX(TableWRCalcPts[BYE],MATCH(TableWRRanks324236[[#This Row],[Player]],TableWRCalcPts[PLAYER],0)),"")</f>
        <v/>
      </c>
      <c r="AH147" s="100">
        <f>VLOOKUP(TableWRRanks324236[[#This Row],[Player]],WR!B:O,4,FALSE)</f>
        <v>0</v>
      </c>
      <c r="AI147" s="100">
        <f>VLOOKUP(TableWRRanks324236[[#This Row],[Player]],WR!B:O,5,FALSE)</f>
        <v>0</v>
      </c>
      <c r="AJ147" s="100">
        <f>VLOOKUP(TableWRRanks324236[[#This Row],[Player]],WR!B:O,6,FALSE)</f>
        <v>0</v>
      </c>
      <c r="AK147" s="100">
        <f>VLOOKUP(TableWRRanks324236[[#This Row],[Player]],WR!B:O,7,FALSE)</f>
        <v>0</v>
      </c>
      <c r="AL147" s="100">
        <f>VLOOKUP(TableWRRanks324236[[#This Row],[Player]],WR!B:O,8,FALSE)</f>
        <v>0</v>
      </c>
      <c r="AM147" s="100">
        <f>VLOOKUP(TableWRRanks324236[[#This Row],[Player]],WR!B:O,9,FALSE)</f>
        <v>0</v>
      </c>
      <c r="AN147" s="95">
        <f>VLOOKUP(TableWRRanks324236[[#This Row],[Player]],WR!B:O,13,FALSE)</f>
        <v>0</v>
      </c>
      <c r="AO147" s="190">
        <f>TableWRRanks324236[[#This Row],[FPS]]+(TableWRRanks324236[[#This Row],[REC]]*0.5)</f>
        <v>0</v>
      </c>
    </row>
    <row r="148" spans="16:41" x14ac:dyDescent="0.25">
      <c r="P148" s="58">
        <v>147</v>
      </c>
      <c r="Q148" s="58">
        <f>VLOOKUP(TableRBRanks314135[[#This Row],[RK]],Rankings!A:AI,23,FALSE)</f>
        <v>0</v>
      </c>
      <c r="R148" s="58" t="str">
        <f>IFERROR(INDEX(TableRBCalcPts[TM],MATCH(TableRBRanks314135[[#This Row],[Player]],TableRBCalcPts[PLAYER],0)),"")</f>
        <v/>
      </c>
      <c r="S148" s="58" t="str">
        <f>IFERROR(INDEX(TableRBCalcPts[BYE],MATCH(TableRBRanks314135[[#This Row],[Player]],TableRBCalcPts[PLAYER],0)),"")</f>
        <v/>
      </c>
      <c r="T148" s="100">
        <f>VLOOKUP(TableRBRanks314135[[#This Row],[Player]],RB!B:O,4,FALSE)</f>
        <v>0</v>
      </c>
      <c r="U148" s="100">
        <f>VLOOKUP(TableRBRanks314135[[#This Row],[Player]],RB!B:O,5,FALSE)</f>
        <v>0</v>
      </c>
      <c r="V148" s="100">
        <f>VLOOKUP(TableRBRanks314135[[#This Row],[Player]],RB!B:O,6,FALSE)</f>
        <v>0</v>
      </c>
      <c r="W148" s="100">
        <f>VLOOKUP(TableRBRanks314135[[#This Row],[Player]],RB!B:O,7,FALSE)</f>
        <v>0</v>
      </c>
      <c r="X148" s="100">
        <f>VLOOKUP(TableRBRanks314135[[#This Row],[Player]],RB!B:O,8,FALSE)</f>
        <v>0</v>
      </c>
      <c r="Y148" s="100">
        <f>VLOOKUP(TableRBRanks314135[[#This Row],[Player]],RB!B:O,9,FALSE)</f>
        <v>0</v>
      </c>
      <c r="Z148" s="100">
        <f>VLOOKUP(TableRBRanks314135[[#This Row],[Player]],RB!B:O,10,FALSE)</f>
        <v>0</v>
      </c>
      <c r="AA148" s="95">
        <f>VLOOKUP(TableRBRanks314135[[#This Row],[Player]],RB!B:O,14,FALSE)</f>
        <v>0</v>
      </c>
      <c r="AB148" s="190">
        <f>TableRBRanks314135[[#This Row],[FPS]]+(TableRBRanks314135[[#This Row],[REC]]*0.5)</f>
        <v>0</v>
      </c>
      <c r="AD148" s="58">
        <v>147</v>
      </c>
      <c r="AE148" s="58">
        <f>VLOOKUP(TableWRRanks324236[[#This Row],[RK]],Rankings!A:AI,28,FALSE)</f>
        <v>0</v>
      </c>
      <c r="AF148" s="58" t="str">
        <f>IFERROR(INDEX(TableWRCalcPts[TM],MATCH(TableWRRanks324236[[#This Row],[Player]],TableWRCalcPts[PLAYER],0)),"")</f>
        <v/>
      </c>
      <c r="AG148" s="58" t="str">
        <f>IFERROR(INDEX(TableWRCalcPts[BYE],MATCH(TableWRRanks324236[[#This Row],[Player]],TableWRCalcPts[PLAYER],0)),"")</f>
        <v/>
      </c>
      <c r="AH148" s="100">
        <f>VLOOKUP(TableWRRanks324236[[#This Row],[Player]],WR!B:O,4,FALSE)</f>
        <v>0</v>
      </c>
      <c r="AI148" s="100">
        <f>VLOOKUP(TableWRRanks324236[[#This Row],[Player]],WR!B:O,5,FALSE)</f>
        <v>0</v>
      </c>
      <c r="AJ148" s="100">
        <f>VLOOKUP(TableWRRanks324236[[#This Row],[Player]],WR!B:O,6,FALSE)</f>
        <v>0</v>
      </c>
      <c r="AK148" s="100">
        <f>VLOOKUP(TableWRRanks324236[[#This Row],[Player]],WR!B:O,7,FALSE)</f>
        <v>0</v>
      </c>
      <c r="AL148" s="100">
        <f>VLOOKUP(TableWRRanks324236[[#This Row],[Player]],WR!B:O,8,FALSE)</f>
        <v>0</v>
      </c>
      <c r="AM148" s="100">
        <f>VLOOKUP(TableWRRanks324236[[#This Row],[Player]],WR!B:O,9,FALSE)</f>
        <v>0</v>
      </c>
      <c r="AN148" s="95">
        <f>VLOOKUP(TableWRRanks324236[[#This Row],[Player]],WR!B:O,13,FALSE)</f>
        <v>0</v>
      </c>
      <c r="AO148" s="190">
        <f>TableWRRanks324236[[#This Row],[FPS]]+(TableWRRanks324236[[#This Row],[REC]]*0.5)</f>
        <v>0</v>
      </c>
    </row>
    <row r="149" spans="16:41" x14ac:dyDescent="0.25">
      <c r="P149" s="58">
        <v>148</v>
      </c>
      <c r="Q149" s="58">
        <f>VLOOKUP(TableRBRanks314135[[#This Row],[RK]],Rankings!A:AI,23,FALSE)</f>
        <v>0</v>
      </c>
      <c r="R149" s="58" t="str">
        <f>IFERROR(INDEX(TableRBCalcPts[TM],MATCH(TableRBRanks314135[[#This Row],[Player]],TableRBCalcPts[PLAYER],0)),"")</f>
        <v/>
      </c>
      <c r="S149" s="58" t="str">
        <f>IFERROR(INDEX(TableRBCalcPts[BYE],MATCH(TableRBRanks314135[[#This Row],[Player]],TableRBCalcPts[PLAYER],0)),"")</f>
        <v/>
      </c>
      <c r="T149" s="100">
        <f>VLOOKUP(TableRBRanks314135[[#This Row],[Player]],RB!B:O,4,FALSE)</f>
        <v>0</v>
      </c>
      <c r="U149" s="100">
        <f>VLOOKUP(TableRBRanks314135[[#This Row],[Player]],RB!B:O,5,FALSE)</f>
        <v>0</v>
      </c>
      <c r="V149" s="100">
        <f>VLOOKUP(TableRBRanks314135[[#This Row],[Player]],RB!B:O,6,FALSE)</f>
        <v>0</v>
      </c>
      <c r="W149" s="100">
        <f>VLOOKUP(TableRBRanks314135[[#This Row],[Player]],RB!B:O,7,FALSE)</f>
        <v>0</v>
      </c>
      <c r="X149" s="100">
        <f>VLOOKUP(TableRBRanks314135[[#This Row],[Player]],RB!B:O,8,FALSE)</f>
        <v>0</v>
      </c>
      <c r="Y149" s="100">
        <f>VLOOKUP(TableRBRanks314135[[#This Row],[Player]],RB!B:O,9,FALSE)</f>
        <v>0</v>
      </c>
      <c r="Z149" s="100">
        <f>VLOOKUP(TableRBRanks314135[[#This Row],[Player]],RB!B:O,10,FALSE)</f>
        <v>0</v>
      </c>
      <c r="AA149" s="95">
        <f>VLOOKUP(TableRBRanks314135[[#This Row],[Player]],RB!B:O,14,FALSE)</f>
        <v>0</v>
      </c>
      <c r="AB149" s="190">
        <f>TableRBRanks314135[[#This Row],[FPS]]+(TableRBRanks314135[[#This Row],[REC]]*0.5)</f>
        <v>0</v>
      </c>
      <c r="AD149" s="58">
        <v>148</v>
      </c>
      <c r="AE149" s="58">
        <f>VLOOKUP(TableWRRanks324236[[#This Row],[RK]],Rankings!A:AI,28,FALSE)</f>
        <v>0</v>
      </c>
      <c r="AF149" s="58" t="str">
        <f>IFERROR(INDEX(TableWRCalcPts[TM],MATCH(TableWRRanks324236[[#This Row],[Player]],TableWRCalcPts[PLAYER],0)),"")</f>
        <v/>
      </c>
      <c r="AG149" s="58" t="str">
        <f>IFERROR(INDEX(TableWRCalcPts[BYE],MATCH(TableWRRanks324236[[#This Row],[Player]],TableWRCalcPts[PLAYER],0)),"")</f>
        <v/>
      </c>
      <c r="AH149" s="100">
        <f>VLOOKUP(TableWRRanks324236[[#This Row],[Player]],WR!B:O,4,FALSE)</f>
        <v>0</v>
      </c>
      <c r="AI149" s="100">
        <f>VLOOKUP(TableWRRanks324236[[#This Row],[Player]],WR!B:O,5,FALSE)</f>
        <v>0</v>
      </c>
      <c r="AJ149" s="100">
        <f>VLOOKUP(TableWRRanks324236[[#This Row],[Player]],WR!B:O,6,FALSE)</f>
        <v>0</v>
      </c>
      <c r="AK149" s="100">
        <f>VLOOKUP(TableWRRanks324236[[#This Row],[Player]],WR!B:O,7,FALSE)</f>
        <v>0</v>
      </c>
      <c r="AL149" s="100">
        <f>VLOOKUP(TableWRRanks324236[[#This Row],[Player]],WR!B:O,8,FALSE)</f>
        <v>0</v>
      </c>
      <c r="AM149" s="100">
        <f>VLOOKUP(TableWRRanks324236[[#This Row],[Player]],WR!B:O,9,FALSE)</f>
        <v>0</v>
      </c>
      <c r="AN149" s="95">
        <f>VLOOKUP(TableWRRanks324236[[#This Row],[Player]],WR!B:O,13,FALSE)</f>
        <v>0</v>
      </c>
      <c r="AO149" s="190">
        <f>TableWRRanks324236[[#This Row],[FPS]]+(TableWRRanks324236[[#This Row],[REC]]*0.5)</f>
        <v>0</v>
      </c>
    </row>
    <row r="150" spans="16:41" x14ac:dyDescent="0.25">
      <c r="P150" s="58">
        <v>149</v>
      </c>
      <c r="Q150" s="58">
        <f>VLOOKUP(TableRBRanks314135[[#This Row],[RK]],Rankings!A:AI,23,FALSE)</f>
        <v>0</v>
      </c>
      <c r="R150" s="58" t="str">
        <f>IFERROR(INDEX(TableRBCalcPts[TM],MATCH(TableRBRanks314135[[#This Row],[Player]],TableRBCalcPts[PLAYER],0)),"")</f>
        <v/>
      </c>
      <c r="S150" s="58" t="str">
        <f>IFERROR(INDEX(TableRBCalcPts[BYE],MATCH(TableRBRanks314135[[#This Row],[Player]],TableRBCalcPts[PLAYER],0)),"")</f>
        <v/>
      </c>
      <c r="T150" s="100">
        <f>VLOOKUP(TableRBRanks314135[[#This Row],[Player]],RB!B:O,4,FALSE)</f>
        <v>0</v>
      </c>
      <c r="U150" s="100">
        <f>VLOOKUP(TableRBRanks314135[[#This Row],[Player]],RB!B:O,5,FALSE)</f>
        <v>0</v>
      </c>
      <c r="V150" s="100">
        <f>VLOOKUP(TableRBRanks314135[[#This Row],[Player]],RB!B:O,6,FALSE)</f>
        <v>0</v>
      </c>
      <c r="W150" s="100">
        <f>VLOOKUP(TableRBRanks314135[[#This Row],[Player]],RB!B:O,7,FALSE)</f>
        <v>0</v>
      </c>
      <c r="X150" s="100">
        <f>VLOOKUP(TableRBRanks314135[[#This Row],[Player]],RB!B:O,8,FALSE)</f>
        <v>0</v>
      </c>
      <c r="Y150" s="100">
        <f>VLOOKUP(TableRBRanks314135[[#This Row],[Player]],RB!B:O,9,FALSE)</f>
        <v>0</v>
      </c>
      <c r="Z150" s="100">
        <f>VLOOKUP(TableRBRanks314135[[#This Row],[Player]],RB!B:O,10,FALSE)</f>
        <v>0</v>
      </c>
      <c r="AA150" s="95">
        <f>VLOOKUP(TableRBRanks314135[[#This Row],[Player]],RB!B:O,14,FALSE)</f>
        <v>0</v>
      </c>
      <c r="AB150" s="190">
        <f>TableRBRanks314135[[#This Row],[FPS]]+(TableRBRanks314135[[#This Row],[REC]]*0.5)</f>
        <v>0</v>
      </c>
      <c r="AD150" s="58">
        <v>149</v>
      </c>
      <c r="AE150" s="58">
        <f>VLOOKUP(TableWRRanks324236[[#This Row],[RK]],Rankings!A:AI,28,FALSE)</f>
        <v>0</v>
      </c>
      <c r="AF150" s="58" t="str">
        <f>IFERROR(INDEX(TableWRCalcPts[TM],MATCH(TableWRRanks324236[[#This Row],[Player]],TableWRCalcPts[PLAYER],0)),"")</f>
        <v/>
      </c>
      <c r="AG150" s="58" t="str">
        <f>IFERROR(INDEX(TableWRCalcPts[BYE],MATCH(TableWRRanks324236[[#This Row],[Player]],TableWRCalcPts[PLAYER],0)),"")</f>
        <v/>
      </c>
      <c r="AH150" s="100">
        <f>VLOOKUP(TableWRRanks324236[[#This Row],[Player]],WR!B:O,4,FALSE)</f>
        <v>0</v>
      </c>
      <c r="AI150" s="100">
        <f>VLOOKUP(TableWRRanks324236[[#This Row],[Player]],WR!B:O,5,FALSE)</f>
        <v>0</v>
      </c>
      <c r="AJ150" s="100">
        <f>VLOOKUP(TableWRRanks324236[[#This Row],[Player]],WR!B:O,6,FALSE)</f>
        <v>0</v>
      </c>
      <c r="AK150" s="100">
        <f>VLOOKUP(TableWRRanks324236[[#This Row],[Player]],WR!B:O,7,FALSE)</f>
        <v>0</v>
      </c>
      <c r="AL150" s="100">
        <f>VLOOKUP(TableWRRanks324236[[#This Row],[Player]],WR!B:O,8,FALSE)</f>
        <v>0</v>
      </c>
      <c r="AM150" s="100">
        <f>VLOOKUP(TableWRRanks324236[[#This Row],[Player]],WR!B:O,9,FALSE)</f>
        <v>0</v>
      </c>
      <c r="AN150" s="95">
        <f>VLOOKUP(TableWRRanks324236[[#This Row],[Player]],WR!B:O,13,FALSE)</f>
        <v>0</v>
      </c>
      <c r="AO150" s="190">
        <f>TableWRRanks324236[[#This Row],[FPS]]+(TableWRRanks324236[[#This Row],[REC]]*0.5)</f>
        <v>0</v>
      </c>
    </row>
    <row r="151" spans="16:41" x14ac:dyDescent="0.25">
      <c r="P151" s="58">
        <v>150</v>
      </c>
      <c r="Q151" s="58">
        <f>VLOOKUP(TableRBRanks314135[[#This Row],[RK]],Rankings!A:AI,23,FALSE)</f>
        <v>0</v>
      </c>
      <c r="R151" s="58" t="str">
        <f>IFERROR(INDEX(TableRBCalcPts[TM],MATCH(TableRBRanks314135[[#This Row],[Player]],TableRBCalcPts[PLAYER],0)),"")</f>
        <v/>
      </c>
      <c r="S151" s="58" t="str">
        <f>IFERROR(INDEX(TableRBCalcPts[BYE],MATCH(TableRBRanks314135[[#This Row],[Player]],TableRBCalcPts[PLAYER],0)),"")</f>
        <v/>
      </c>
      <c r="T151" s="100">
        <f>VLOOKUP(TableRBRanks314135[[#This Row],[Player]],RB!B:O,4,FALSE)</f>
        <v>0</v>
      </c>
      <c r="U151" s="100">
        <f>VLOOKUP(TableRBRanks314135[[#This Row],[Player]],RB!B:O,5,FALSE)</f>
        <v>0</v>
      </c>
      <c r="V151" s="100">
        <f>VLOOKUP(TableRBRanks314135[[#This Row],[Player]],RB!B:O,6,FALSE)</f>
        <v>0</v>
      </c>
      <c r="W151" s="100">
        <f>VLOOKUP(TableRBRanks314135[[#This Row],[Player]],RB!B:O,7,FALSE)</f>
        <v>0</v>
      </c>
      <c r="X151" s="100">
        <f>VLOOKUP(TableRBRanks314135[[#This Row],[Player]],RB!B:O,8,FALSE)</f>
        <v>0</v>
      </c>
      <c r="Y151" s="100">
        <f>VLOOKUP(TableRBRanks314135[[#This Row],[Player]],RB!B:O,9,FALSE)</f>
        <v>0</v>
      </c>
      <c r="Z151" s="100">
        <f>VLOOKUP(TableRBRanks314135[[#This Row],[Player]],RB!B:O,10,FALSE)</f>
        <v>0</v>
      </c>
      <c r="AA151" s="95">
        <f>VLOOKUP(TableRBRanks314135[[#This Row],[Player]],RB!B:O,14,FALSE)</f>
        <v>0</v>
      </c>
      <c r="AB151" s="190">
        <f>TableRBRanks314135[[#This Row],[FPS]]+(TableRBRanks314135[[#This Row],[REC]]*0.5)</f>
        <v>0</v>
      </c>
      <c r="AD151" s="58">
        <v>150</v>
      </c>
      <c r="AE151" s="58">
        <f>VLOOKUP(TableWRRanks324236[[#This Row],[RK]],Rankings!A:AI,28,FALSE)</f>
        <v>0</v>
      </c>
      <c r="AF151" s="58" t="str">
        <f>IFERROR(INDEX(TableWRCalcPts[TM],MATCH(TableWRRanks324236[[#This Row],[Player]],TableWRCalcPts[PLAYER],0)),"")</f>
        <v/>
      </c>
      <c r="AG151" s="58" t="str">
        <f>IFERROR(INDEX(TableWRCalcPts[BYE],MATCH(TableWRRanks324236[[#This Row],[Player]],TableWRCalcPts[PLAYER],0)),"")</f>
        <v/>
      </c>
      <c r="AH151" s="100">
        <f>VLOOKUP(TableWRRanks324236[[#This Row],[Player]],WR!B:O,4,FALSE)</f>
        <v>0</v>
      </c>
      <c r="AI151" s="100">
        <f>VLOOKUP(TableWRRanks324236[[#This Row],[Player]],WR!B:O,5,FALSE)</f>
        <v>0</v>
      </c>
      <c r="AJ151" s="100">
        <f>VLOOKUP(TableWRRanks324236[[#This Row],[Player]],WR!B:O,6,FALSE)</f>
        <v>0</v>
      </c>
      <c r="AK151" s="100">
        <f>VLOOKUP(TableWRRanks324236[[#This Row],[Player]],WR!B:O,7,FALSE)</f>
        <v>0</v>
      </c>
      <c r="AL151" s="100">
        <f>VLOOKUP(TableWRRanks324236[[#This Row],[Player]],WR!B:O,8,FALSE)</f>
        <v>0</v>
      </c>
      <c r="AM151" s="100">
        <f>VLOOKUP(TableWRRanks324236[[#This Row],[Player]],WR!B:O,9,FALSE)</f>
        <v>0</v>
      </c>
      <c r="AN151" s="95">
        <f>VLOOKUP(TableWRRanks324236[[#This Row],[Player]],WR!B:O,13,FALSE)</f>
        <v>0</v>
      </c>
      <c r="AO151" s="190">
        <f>TableWRRanks324236[[#This Row],[FPS]]+(TableWRRanks324236[[#This Row],[REC]]*0.5)</f>
        <v>0</v>
      </c>
    </row>
    <row r="152" spans="16:41" x14ac:dyDescent="0.25">
      <c r="P152" s="58">
        <v>151</v>
      </c>
      <c r="Q152" s="58">
        <f>VLOOKUP(TableRBRanks314135[[#This Row],[RK]],Rankings!A:AI,23,FALSE)</f>
        <v>0</v>
      </c>
      <c r="R152" s="58" t="str">
        <f>IFERROR(INDEX(TableRBCalcPts[TM],MATCH(TableRBRanks314135[[#This Row],[Player]],TableRBCalcPts[PLAYER],0)),"")</f>
        <v/>
      </c>
      <c r="S152" s="58" t="str">
        <f>IFERROR(INDEX(TableRBCalcPts[BYE],MATCH(TableRBRanks314135[[#This Row],[Player]],TableRBCalcPts[PLAYER],0)),"")</f>
        <v/>
      </c>
      <c r="T152" s="100">
        <f>VLOOKUP(TableRBRanks314135[[#This Row],[Player]],RB!B:O,4,FALSE)</f>
        <v>0</v>
      </c>
      <c r="U152" s="100">
        <f>VLOOKUP(TableRBRanks314135[[#This Row],[Player]],RB!B:O,5,FALSE)</f>
        <v>0</v>
      </c>
      <c r="V152" s="100">
        <f>VLOOKUP(TableRBRanks314135[[#This Row],[Player]],RB!B:O,6,FALSE)</f>
        <v>0</v>
      </c>
      <c r="W152" s="100">
        <f>VLOOKUP(TableRBRanks314135[[#This Row],[Player]],RB!B:O,7,FALSE)</f>
        <v>0</v>
      </c>
      <c r="X152" s="100">
        <f>VLOOKUP(TableRBRanks314135[[#This Row],[Player]],RB!B:O,8,FALSE)</f>
        <v>0</v>
      </c>
      <c r="Y152" s="100">
        <f>VLOOKUP(TableRBRanks314135[[#This Row],[Player]],RB!B:O,9,FALSE)</f>
        <v>0</v>
      </c>
      <c r="Z152" s="100">
        <f>VLOOKUP(TableRBRanks314135[[#This Row],[Player]],RB!B:O,10,FALSE)</f>
        <v>0</v>
      </c>
      <c r="AA152" s="95">
        <f>VLOOKUP(TableRBRanks314135[[#This Row],[Player]],RB!B:O,14,FALSE)</f>
        <v>0</v>
      </c>
      <c r="AB152" s="190">
        <f>TableRBRanks314135[[#This Row],[FPS]]+(TableRBRanks314135[[#This Row],[REC]]*0.5)</f>
        <v>0</v>
      </c>
      <c r="AD152" s="58">
        <v>151</v>
      </c>
      <c r="AE152" s="58">
        <f>VLOOKUP(TableWRRanks324236[[#This Row],[RK]],Rankings!A:AI,28,FALSE)</f>
        <v>0</v>
      </c>
      <c r="AF152" s="58" t="str">
        <f>IFERROR(INDEX(TableWRCalcPts[TM],MATCH(TableWRRanks324236[[#This Row],[Player]],TableWRCalcPts[PLAYER],0)),"")</f>
        <v/>
      </c>
      <c r="AG152" s="58" t="str">
        <f>IFERROR(INDEX(TableWRCalcPts[BYE],MATCH(TableWRRanks324236[[#This Row],[Player]],TableWRCalcPts[PLAYER],0)),"")</f>
        <v/>
      </c>
      <c r="AH152" s="100">
        <f>VLOOKUP(TableWRRanks324236[[#This Row],[Player]],WR!B:O,4,FALSE)</f>
        <v>0</v>
      </c>
      <c r="AI152" s="100">
        <f>VLOOKUP(TableWRRanks324236[[#This Row],[Player]],WR!B:O,5,FALSE)</f>
        <v>0</v>
      </c>
      <c r="AJ152" s="100">
        <f>VLOOKUP(TableWRRanks324236[[#This Row],[Player]],WR!B:O,6,FALSE)</f>
        <v>0</v>
      </c>
      <c r="AK152" s="100">
        <f>VLOOKUP(TableWRRanks324236[[#This Row],[Player]],WR!B:O,7,FALSE)</f>
        <v>0</v>
      </c>
      <c r="AL152" s="100">
        <f>VLOOKUP(TableWRRanks324236[[#This Row],[Player]],WR!B:O,8,FALSE)</f>
        <v>0</v>
      </c>
      <c r="AM152" s="100">
        <f>VLOOKUP(TableWRRanks324236[[#This Row],[Player]],WR!B:O,9,FALSE)</f>
        <v>0</v>
      </c>
      <c r="AN152" s="95">
        <f>VLOOKUP(TableWRRanks324236[[#This Row],[Player]],WR!B:O,13,FALSE)</f>
        <v>0</v>
      </c>
      <c r="AO152" s="190">
        <f>TableWRRanks324236[[#This Row],[FPS]]+(TableWRRanks324236[[#This Row],[REC]]*0.5)</f>
        <v>0</v>
      </c>
    </row>
    <row r="153" spans="16:41" x14ac:dyDescent="0.25">
      <c r="P153" s="58">
        <v>152</v>
      </c>
      <c r="Q153" s="58">
        <f>VLOOKUP(TableRBRanks314135[[#This Row],[RK]],Rankings!A:AI,23,FALSE)</f>
        <v>0</v>
      </c>
      <c r="R153" s="58" t="str">
        <f>IFERROR(INDEX(TableRBCalcPts[TM],MATCH(TableRBRanks314135[[#This Row],[Player]],TableRBCalcPts[PLAYER],0)),"")</f>
        <v/>
      </c>
      <c r="S153" s="58" t="str">
        <f>IFERROR(INDEX(TableRBCalcPts[BYE],MATCH(TableRBRanks314135[[#This Row],[Player]],TableRBCalcPts[PLAYER],0)),"")</f>
        <v/>
      </c>
      <c r="T153" s="100">
        <f>VLOOKUP(TableRBRanks314135[[#This Row],[Player]],RB!B:O,4,FALSE)</f>
        <v>0</v>
      </c>
      <c r="U153" s="100">
        <f>VLOOKUP(TableRBRanks314135[[#This Row],[Player]],RB!B:O,5,FALSE)</f>
        <v>0</v>
      </c>
      <c r="V153" s="100">
        <f>VLOOKUP(TableRBRanks314135[[#This Row],[Player]],RB!B:O,6,FALSE)</f>
        <v>0</v>
      </c>
      <c r="W153" s="100">
        <f>VLOOKUP(TableRBRanks314135[[#This Row],[Player]],RB!B:O,7,FALSE)</f>
        <v>0</v>
      </c>
      <c r="X153" s="100">
        <f>VLOOKUP(TableRBRanks314135[[#This Row],[Player]],RB!B:O,8,FALSE)</f>
        <v>0</v>
      </c>
      <c r="Y153" s="100">
        <f>VLOOKUP(TableRBRanks314135[[#This Row],[Player]],RB!B:O,9,FALSE)</f>
        <v>0</v>
      </c>
      <c r="Z153" s="100">
        <f>VLOOKUP(TableRBRanks314135[[#This Row],[Player]],RB!B:O,10,FALSE)</f>
        <v>0</v>
      </c>
      <c r="AA153" s="95">
        <f>VLOOKUP(TableRBRanks314135[[#This Row],[Player]],RB!B:O,14,FALSE)</f>
        <v>0</v>
      </c>
      <c r="AB153" s="190">
        <f>TableRBRanks314135[[#This Row],[FPS]]+(TableRBRanks314135[[#This Row],[REC]]*0.5)</f>
        <v>0</v>
      </c>
      <c r="AD153" s="58">
        <v>152</v>
      </c>
      <c r="AE153" s="58">
        <f>VLOOKUP(TableWRRanks324236[[#This Row],[RK]],Rankings!A:AI,28,FALSE)</f>
        <v>0</v>
      </c>
      <c r="AF153" s="58" t="str">
        <f>IFERROR(INDEX(TableWRCalcPts[TM],MATCH(TableWRRanks324236[[#This Row],[Player]],TableWRCalcPts[PLAYER],0)),"")</f>
        <v/>
      </c>
      <c r="AG153" s="58" t="str">
        <f>IFERROR(INDEX(TableWRCalcPts[BYE],MATCH(TableWRRanks324236[[#This Row],[Player]],TableWRCalcPts[PLAYER],0)),"")</f>
        <v/>
      </c>
      <c r="AH153" s="100">
        <f>VLOOKUP(TableWRRanks324236[[#This Row],[Player]],WR!B:O,4,FALSE)</f>
        <v>0</v>
      </c>
      <c r="AI153" s="100">
        <f>VLOOKUP(TableWRRanks324236[[#This Row],[Player]],WR!B:O,5,FALSE)</f>
        <v>0</v>
      </c>
      <c r="AJ153" s="100">
        <f>VLOOKUP(TableWRRanks324236[[#This Row],[Player]],WR!B:O,6,FALSE)</f>
        <v>0</v>
      </c>
      <c r="AK153" s="100">
        <f>VLOOKUP(TableWRRanks324236[[#This Row],[Player]],WR!B:O,7,FALSE)</f>
        <v>0</v>
      </c>
      <c r="AL153" s="100">
        <f>VLOOKUP(TableWRRanks324236[[#This Row],[Player]],WR!B:O,8,FALSE)</f>
        <v>0</v>
      </c>
      <c r="AM153" s="100">
        <f>VLOOKUP(TableWRRanks324236[[#This Row],[Player]],WR!B:O,9,FALSE)</f>
        <v>0</v>
      </c>
      <c r="AN153" s="95">
        <f>VLOOKUP(TableWRRanks324236[[#This Row],[Player]],WR!B:O,13,FALSE)</f>
        <v>0</v>
      </c>
      <c r="AO153" s="190">
        <f>TableWRRanks324236[[#This Row],[FPS]]+(TableWRRanks324236[[#This Row],[REC]]*0.5)</f>
        <v>0</v>
      </c>
    </row>
    <row r="154" spans="16:41" x14ac:dyDescent="0.25">
      <c r="P154" s="58">
        <v>153</v>
      </c>
      <c r="Q154" s="58">
        <f>VLOOKUP(TableRBRanks314135[[#This Row],[RK]],Rankings!A:AI,23,FALSE)</f>
        <v>0</v>
      </c>
      <c r="R154" s="58" t="str">
        <f>IFERROR(INDEX(TableRBCalcPts[TM],MATCH(TableRBRanks314135[[#This Row],[Player]],TableRBCalcPts[PLAYER],0)),"")</f>
        <v/>
      </c>
      <c r="S154" s="58" t="str">
        <f>IFERROR(INDEX(TableRBCalcPts[BYE],MATCH(TableRBRanks314135[[#This Row],[Player]],TableRBCalcPts[PLAYER],0)),"")</f>
        <v/>
      </c>
      <c r="T154" s="100">
        <f>VLOOKUP(TableRBRanks314135[[#This Row],[Player]],RB!B:O,4,FALSE)</f>
        <v>0</v>
      </c>
      <c r="U154" s="100">
        <f>VLOOKUP(TableRBRanks314135[[#This Row],[Player]],RB!B:O,5,FALSE)</f>
        <v>0</v>
      </c>
      <c r="V154" s="100">
        <f>VLOOKUP(TableRBRanks314135[[#This Row],[Player]],RB!B:O,6,FALSE)</f>
        <v>0</v>
      </c>
      <c r="W154" s="100">
        <f>VLOOKUP(TableRBRanks314135[[#This Row],[Player]],RB!B:O,7,FALSE)</f>
        <v>0</v>
      </c>
      <c r="X154" s="100">
        <f>VLOOKUP(TableRBRanks314135[[#This Row],[Player]],RB!B:O,8,FALSE)</f>
        <v>0</v>
      </c>
      <c r="Y154" s="100">
        <f>VLOOKUP(TableRBRanks314135[[#This Row],[Player]],RB!B:O,9,FALSE)</f>
        <v>0</v>
      </c>
      <c r="Z154" s="100">
        <f>VLOOKUP(TableRBRanks314135[[#This Row],[Player]],RB!B:O,10,FALSE)</f>
        <v>0</v>
      </c>
      <c r="AA154" s="95">
        <f>VLOOKUP(TableRBRanks314135[[#This Row],[Player]],RB!B:O,14,FALSE)</f>
        <v>0</v>
      </c>
      <c r="AB154" s="190">
        <f>TableRBRanks314135[[#This Row],[FPS]]+(TableRBRanks314135[[#This Row],[REC]]*0.5)</f>
        <v>0</v>
      </c>
      <c r="AD154" s="58">
        <v>153</v>
      </c>
      <c r="AE154" s="58">
        <f>VLOOKUP(TableWRRanks324236[[#This Row],[RK]],Rankings!A:AI,28,FALSE)</f>
        <v>0</v>
      </c>
      <c r="AF154" s="58" t="str">
        <f>IFERROR(INDEX(TableWRCalcPts[TM],MATCH(TableWRRanks324236[[#This Row],[Player]],TableWRCalcPts[PLAYER],0)),"")</f>
        <v/>
      </c>
      <c r="AG154" s="58" t="str">
        <f>IFERROR(INDEX(TableWRCalcPts[BYE],MATCH(TableWRRanks324236[[#This Row],[Player]],TableWRCalcPts[PLAYER],0)),"")</f>
        <v/>
      </c>
      <c r="AH154" s="100">
        <f>VLOOKUP(TableWRRanks324236[[#This Row],[Player]],WR!B:O,4,FALSE)</f>
        <v>0</v>
      </c>
      <c r="AI154" s="100">
        <f>VLOOKUP(TableWRRanks324236[[#This Row],[Player]],WR!B:O,5,FALSE)</f>
        <v>0</v>
      </c>
      <c r="AJ154" s="100">
        <f>VLOOKUP(TableWRRanks324236[[#This Row],[Player]],WR!B:O,6,FALSE)</f>
        <v>0</v>
      </c>
      <c r="AK154" s="100">
        <f>VLOOKUP(TableWRRanks324236[[#This Row],[Player]],WR!B:O,7,FALSE)</f>
        <v>0</v>
      </c>
      <c r="AL154" s="100">
        <f>VLOOKUP(TableWRRanks324236[[#This Row],[Player]],WR!B:O,8,FALSE)</f>
        <v>0</v>
      </c>
      <c r="AM154" s="100">
        <f>VLOOKUP(TableWRRanks324236[[#This Row],[Player]],WR!B:O,9,FALSE)</f>
        <v>0</v>
      </c>
      <c r="AN154" s="95">
        <f>VLOOKUP(TableWRRanks324236[[#This Row],[Player]],WR!B:O,13,FALSE)</f>
        <v>0</v>
      </c>
      <c r="AO154" s="190">
        <f>TableWRRanks324236[[#This Row],[FPS]]+(TableWRRanks324236[[#This Row],[REC]]*0.5)</f>
        <v>0</v>
      </c>
    </row>
    <row r="155" spans="16:41" x14ac:dyDescent="0.25">
      <c r="P155" s="58">
        <v>154</v>
      </c>
      <c r="Q155" s="58">
        <f>VLOOKUP(TableRBRanks314135[[#This Row],[RK]],Rankings!A:AI,23,FALSE)</f>
        <v>0</v>
      </c>
      <c r="R155" s="58" t="str">
        <f>IFERROR(INDEX(TableRBCalcPts[TM],MATCH(TableRBRanks314135[[#This Row],[Player]],TableRBCalcPts[PLAYER],0)),"")</f>
        <v/>
      </c>
      <c r="S155" s="58" t="str">
        <f>IFERROR(INDEX(TableRBCalcPts[BYE],MATCH(TableRBRanks314135[[#This Row],[Player]],TableRBCalcPts[PLAYER],0)),"")</f>
        <v/>
      </c>
      <c r="T155" s="100">
        <f>VLOOKUP(TableRBRanks314135[[#This Row],[Player]],RB!B:O,4,FALSE)</f>
        <v>0</v>
      </c>
      <c r="U155" s="100">
        <f>VLOOKUP(TableRBRanks314135[[#This Row],[Player]],RB!B:O,5,FALSE)</f>
        <v>0</v>
      </c>
      <c r="V155" s="100">
        <f>VLOOKUP(TableRBRanks314135[[#This Row],[Player]],RB!B:O,6,FALSE)</f>
        <v>0</v>
      </c>
      <c r="W155" s="100">
        <f>VLOOKUP(TableRBRanks314135[[#This Row],[Player]],RB!B:O,7,FALSE)</f>
        <v>0</v>
      </c>
      <c r="X155" s="100">
        <f>VLOOKUP(TableRBRanks314135[[#This Row],[Player]],RB!B:O,8,FALSE)</f>
        <v>0</v>
      </c>
      <c r="Y155" s="100">
        <f>VLOOKUP(TableRBRanks314135[[#This Row],[Player]],RB!B:O,9,FALSE)</f>
        <v>0</v>
      </c>
      <c r="Z155" s="100">
        <f>VLOOKUP(TableRBRanks314135[[#This Row],[Player]],RB!B:O,10,FALSE)</f>
        <v>0</v>
      </c>
      <c r="AA155" s="95">
        <f>VLOOKUP(TableRBRanks314135[[#This Row],[Player]],RB!B:O,14,FALSE)</f>
        <v>0</v>
      </c>
      <c r="AB155" s="190">
        <f>TableRBRanks314135[[#This Row],[FPS]]+(TableRBRanks314135[[#This Row],[REC]]*0.5)</f>
        <v>0</v>
      </c>
      <c r="AD155" s="58">
        <v>154</v>
      </c>
      <c r="AE155" s="58">
        <f>VLOOKUP(TableWRRanks324236[[#This Row],[RK]],Rankings!A:AI,28,FALSE)</f>
        <v>0</v>
      </c>
      <c r="AF155" s="58" t="str">
        <f>IFERROR(INDEX(TableWRCalcPts[TM],MATCH(TableWRRanks324236[[#This Row],[Player]],TableWRCalcPts[PLAYER],0)),"")</f>
        <v/>
      </c>
      <c r="AG155" s="58" t="str">
        <f>IFERROR(INDEX(TableWRCalcPts[BYE],MATCH(TableWRRanks324236[[#This Row],[Player]],TableWRCalcPts[PLAYER],0)),"")</f>
        <v/>
      </c>
      <c r="AH155" s="100">
        <f>VLOOKUP(TableWRRanks324236[[#This Row],[Player]],WR!B:O,4,FALSE)</f>
        <v>0</v>
      </c>
      <c r="AI155" s="100">
        <f>VLOOKUP(TableWRRanks324236[[#This Row],[Player]],WR!B:O,5,FALSE)</f>
        <v>0</v>
      </c>
      <c r="AJ155" s="100">
        <f>VLOOKUP(TableWRRanks324236[[#This Row],[Player]],WR!B:O,6,FALSE)</f>
        <v>0</v>
      </c>
      <c r="AK155" s="100">
        <f>VLOOKUP(TableWRRanks324236[[#This Row],[Player]],WR!B:O,7,FALSE)</f>
        <v>0</v>
      </c>
      <c r="AL155" s="100">
        <f>VLOOKUP(TableWRRanks324236[[#This Row],[Player]],WR!B:O,8,FALSE)</f>
        <v>0</v>
      </c>
      <c r="AM155" s="100">
        <f>VLOOKUP(TableWRRanks324236[[#This Row],[Player]],WR!B:O,9,FALSE)</f>
        <v>0</v>
      </c>
      <c r="AN155" s="95">
        <f>VLOOKUP(TableWRRanks324236[[#This Row],[Player]],WR!B:O,13,FALSE)</f>
        <v>0</v>
      </c>
      <c r="AO155" s="190">
        <f>TableWRRanks324236[[#This Row],[FPS]]+(TableWRRanks324236[[#This Row],[REC]]*0.5)</f>
        <v>0</v>
      </c>
    </row>
    <row r="156" spans="16:41" x14ac:dyDescent="0.25">
      <c r="P156" s="58">
        <v>155</v>
      </c>
      <c r="Q156" s="58">
        <f>VLOOKUP(TableRBRanks314135[[#This Row],[RK]],Rankings!A:AI,23,FALSE)</f>
        <v>0</v>
      </c>
      <c r="R156" s="58" t="str">
        <f>IFERROR(INDEX(TableRBCalcPts[TM],MATCH(TableRBRanks314135[[#This Row],[Player]],TableRBCalcPts[PLAYER],0)),"")</f>
        <v/>
      </c>
      <c r="S156" s="58" t="str">
        <f>IFERROR(INDEX(TableRBCalcPts[BYE],MATCH(TableRBRanks314135[[#This Row],[Player]],TableRBCalcPts[PLAYER],0)),"")</f>
        <v/>
      </c>
      <c r="T156" s="100">
        <f>VLOOKUP(TableRBRanks314135[[#This Row],[Player]],RB!B:O,4,FALSE)</f>
        <v>0</v>
      </c>
      <c r="U156" s="100">
        <f>VLOOKUP(TableRBRanks314135[[#This Row],[Player]],RB!B:O,5,FALSE)</f>
        <v>0</v>
      </c>
      <c r="V156" s="100">
        <f>VLOOKUP(TableRBRanks314135[[#This Row],[Player]],RB!B:O,6,FALSE)</f>
        <v>0</v>
      </c>
      <c r="W156" s="100">
        <f>VLOOKUP(TableRBRanks314135[[#This Row],[Player]],RB!B:O,7,FALSE)</f>
        <v>0</v>
      </c>
      <c r="X156" s="100">
        <f>VLOOKUP(TableRBRanks314135[[#This Row],[Player]],RB!B:O,8,FALSE)</f>
        <v>0</v>
      </c>
      <c r="Y156" s="100">
        <f>VLOOKUP(TableRBRanks314135[[#This Row],[Player]],RB!B:O,9,FALSE)</f>
        <v>0</v>
      </c>
      <c r="Z156" s="100">
        <f>VLOOKUP(TableRBRanks314135[[#This Row],[Player]],RB!B:O,10,FALSE)</f>
        <v>0</v>
      </c>
      <c r="AA156" s="95">
        <f>VLOOKUP(TableRBRanks314135[[#This Row],[Player]],RB!B:O,14,FALSE)</f>
        <v>0</v>
      </c>
      <c r="AB156" s="190">
        <f>TableRBRanks314135[[#This Row],[FPS]]+(TableRBRanks314135[[#This Row],[REC]]*0.5)</f>
        <v>0</v>
      </c>
      <c r="AD156" s="58">
        <v>155</v>
      </c>
      <c r="AE156" s="58">
        <f>VLOOKUP(TableWRRanks324236[[#This Row],[RK]],Rankings!A:AI,28,FALSE)</f>
        <v>0</v>
      </c>
      <c r="AF156" s="58" t="str">
        <f>IFERROR(INDEX(TableWRCalcPts[TM],MATCH(TableWRRanks324236[[#This Row],[Player]],TableWRCalcPts[PLAYER],0)),"")</f>
        <v/>
      </c>
      <c r="AG156" s="58" t="str">
        <f>IFERROR(INDEX(TableWRCalcPts[BYE],MATCH(TableWRRanks324236[[#This Row],[Player]],TableWRCalcPts[PLAYER],0)),"")</f>
        <v/>
      </c>
      <c r="AH156" s="100">
        <f>VLOOKUP(TableWRRanks324236[[#This Row],[Player]],WR!B:O,4,FALSE)</f>
        <v>0</v>
      </c>
      <c r="AI156" s="100">
        <f>VLOOKUP(TableWRRanks324236[[#This Row],[Player]],WR!B:O,5,FALSE)</f>
        <v>0</v>
      </c>
      <c r="AJ156" s="100">
        <f>VLOOKUP(TableWRRanks324236[[#This Row],[Player]],WR!B:O,6,FALSE)</f>
        <v>0</v>
      </c>
      <c r="AK156" s="100">
        <f>VLOOKUP(TableWRRanks324236[[#This Row],[Player]],WR!B:O,7,FALSE)</f>
        <v>0</v>
      </c>
      <c r="AL156" s="100">
        <f>VLOOKUP(TableWRRanks324236[[#This Row],[Player]],WR!B:O,8,FALSE)</f>
        <v>0</v>
      </c>
      <c r="AM156" s="100">
        <f>VLOOKUP(TableWRRanks324236[[#This Row],[Player]],WR!B:O,9,FALSE)</f>
        <v>0</v>
      </c>
      <c r="AN156" s="95">
        <f>VLOOKUP(TableWRRanks324236[[#This Row],[Player]],WR!B:O,13,FALSE)</f>
        <v>0</v>
      </c>
      <c r="AO156" s="190">
        <f>TableWRRanks324236[[#This Row],[FPS]]+(TableWRRanks324236[[#This Row],[REC]]*0.5)</f>
        <v>0</v>
      </c>
    </row>
    <row r="157" spans="16:41" x14ac:dyDescent="0.25">
      <c r="P157" s="58">
        <v>156</v>
      </c>
      <c r="Q157" s="58">
        <f>VLOOKUP(TableRBRanks314135[[#This Row],[RK]],Rankings!A:AI,23,FALSE)</f>
        <v>0</v>
      </c>
      <c r="R157" s="58" t="str">
        <f>IFERROR(INDEX(TableRBCalcPts[TM],MATCH(TableRBRanks314135[[#This Row],[Player]],TableRBCalcPts[PLAYER],0)),"")</f>
        <v/>
      </c>
      <c r="S157" s="58" t="str">
        <f>IFERROR(INDEX(TableRBCalcPts[BYE],MATCH(TableRBRanks314135[[#This Row],[Player]],TableRBCalcPts[PLAYER],0)),"")</f>
        <v/>
      </c>
      <c r="T157" s="100">
        <f>VLOOKUP(TableRBRanks314135[[#This Row],[Player]],RB!B:O,4,FALSE)</f>
        <v>0</v>
      </c>
      <c r="U157" s="100">
        <f>VLOOKUP(TableRBRanks314135[[#This Row],[Player]],RB!B:O,5,FALSE)</f>
        <v>0</v>
      </c>
      <c r="V157" s="100">
        <f>VLOOKUP(TableRBRanks314135[[#This Row],[Player]],RB!B:O,6,FALSE)</f>
        <v>0</v>
      </c>
      <c r="W157" s="100">
        <f>VLOOKUP(TableRBRanks314135[[#This Row],[Player]],RB!B:O,7,FALSE)</f>
        <v>0</v>
      </c>
      <c r="X157" s="100">
        <f>VLOOKUP(TableRBRanks314135[[#This Row],[Player]],RB!B:O,8,FALSE)</f>
        <v>0</v>
      </c>
      <c r="Y157" s="100">
        <f>VLOOKUP(TableRBRanks314135[[#This Row],[Player]],RB!B:O,9,FALSE)</f>
        <v>0</v>
      </c>
      <c r="Z157" s="100">
        <f>VLOOKUP(TableRBRanks314135[[#This Row],[Player]],RB!B:O,10,FALSE)</f>
        <v>0</v>
      </c>
      <c r="AA157" s="95">
        <f>VLOOKUP(TableRBRanks314135[[#This Row],[Player]],RB!B:O,14,FALSE)</f>
        <v>0</v>
      </c>
      <c r="AB157" s="190">
        <f>TableRBRanks314135[[#This Row],[FPS]]+(TableRBRanks314135[[#This Row],[REC]]*0.5)</f>
        <v>0</v>
      </c>
      <c r="AD157" s="58">
        <v>156</v>
      </c>
      <c r="AE157" s="58">
        <f>VLOOKUP(TableWRRanks324236[[#This Row],[RK]],Rankings!A:AI,28,FALSE)</f>
        <v>0</v>
      </c>
      <c r="AF157" s="58" t="str">
        <f>IFERROR(INDEX(TableWRCalcPts[TM],MATCH(TableWRRanks324236[[#This Row],[Player]],TableWRCalcPts[PLAYER],0)),"")</f>
        <v/>
      </c>
      <c r="AG157" s="58" t="str">
        <f>IFERROR(INDEX(TableWRCalcPts[BYE],MATCH(TableWRRanks324236[[#This Row],[Player]],TableWRCalcPts[PLAYER],0)),"")</f>
        <v/>
      </c>
      <c r="AH157" s="100">
        <f>VLOOKUP(TableWRRanks324236[[#This Row],[Player]],WR!B:O,4,FALSE)</f>
        <v>0</v>
      </c>
      <c r="AI157" s="100">
        <f>VLOOKUP(TableWRRanks324236[[#This Row],[Player]],WR!B:O,5,FALSE)</f>
        <v>0</v>
      </c>
      <c r="AJ157" s="100">
        <f>VLOOKUP(TableWRRanks324236[[#This Row],[Player]],WR!B:O,6,FALSE)</f>
        <v>0</v>
      </c>
      <c r="AK157" s="100">
        <f>VLOOKUP(TableWRRanks324236[[#This Row],[Player]],WR!B:O,7,FALSE)</f>
        <v>0</v>
      </c>
      <c r="AL157" s="100">
        <f>VLOOKUP(TableWRRanks324236[[#This Row],[Player]],WR!B:O,8,FALSE)</f>
        <v>0</v>
      </c>
      <c r="AM157" s="100">
        <f>VLOOKUP(TableWRRanks324236[[#This Row],[Player]],WR!B:O,9,FALSE)</f>
        <v>0</v>
      </c>
      <c r="AN157" s="95">
        <f>VLOOKUP(TableWRRanks324236[[#This Row],[Player]],WR!B:O,13,FALSE)</f>
        <v>0</v>
      </c>
      <c r="AO157" s="190">
        <f>TableWRRanks324236[[#This Row],[FPS]]+(TableWRRanks324236[[#This Row],[REC]]*0.5)</f>
        <v>0</v>
      </c>
    </row>
    <row r="158" spans="16:41" x14ac:dyDescent="0.25">
      <c r="P158" s="58">
        <v>157</v>
      </c>
      <c r="Q158" s="58">
        <f>VLOOKUP(TableRBRanks314135[[#This Row],[RK]],Rankings!A:AI,23,FALSE)</f>
        <v>0</v>
      </c>
      <c r="R158" s="58" t="str">
        <f>IFERROR(INDEX(TableRBCalcPts[TM],MATCH(TableRBRanks314135[[#This Row],[Player]],TableRBCalcPts[PLAYER],0)),"")</f>
        <v/>
      </c>
      <c r="S158" s="58" t="str">
        <f>IFERROR(INDEX(TableRBCalcPts[BYE],MATCH(TableRBRanks314135[[#This Row],[Player]],TableRBCalcPts[PLAYER],0)),"")</f>
        <v/>
      </c>
      <c r="T158" s="100">
        <f>VLOOKUP(TableRBRanks314135[[#This Row],[Player]],RB!B:O,4,FALSE)</f>
        <v>0</v>
      </c>
      <c r="U158" s="100">
        <f>VLOOKUP(TableRBRanks314135[[#This Row],[Player]],RB!B:O,5,FALSE)</f>
        <v>0</v>
      </c>
      <c r="V158" s="100">
        <f>VLOOKUP(TableRBRanks314135[[#This Row],[Player]],RB!B:O,6,FALSE)</f>
        <v>0</v>
      </c>
      <c r="W158" s="100">
        <f>VLOOKUP(TableRBRanks314135[[#This Row],[Player]],RB!B:O,7,FALSE)</f>
        <v>0</v>
      </c>
      <c r="X158" s="100">
        <f>VLOOKUP(TableRBRanks314135[[#This Row],[Player]],RB!B:O,8,FALSE)</f>
        <v>0</v>
      </c>
      <c r="Y158" s="100">
        <f>VLOOKUP(TableRBRanks314135[[#This Row],[Player]],RB!B:O,9,FALSE)</f>
        <v>0</v>
      </c>
      <c r="Z158" s="100">
        <f>VLOOKUP(TableRBRanks314135[[#This Row],[Player]],RB!B:O,10,FALSE)</f>
        <v>0</v>
      </c>
      <c r="AA158" s="95">
        <f>VLOOKUP(TableRBRanks314135[[#This Row],[Player]],RB!B:O,14,FALSE)</f>
        <v>0</v>
      </c>
      <c r="AB158" s="190">
        <f>TableRBRanks314135[[#This Row],[FPS]]+(TableRBRanks314135[[#This Row],[REC]]*0.5)</f>
        <v>0</v>
      </c>
      <c r="AD158" s="58">
        <v>157</v>
      </c>
      <c r="AE158" s="58">
        <f>VLOOKUP(TableWRRanks324236[[#This Row],[RK]],Rankings!A:AI,28,FALSE)</f>
        <v>0</v>
      </c>
      <c r="AF158" s="58" t="str">
        <f>IFERROR(INDEX(TableWRCalcPts[TM],MATCH(TableWRRanks324236[[#This Row],[Player]],TableWRCalcPts[PLAYER],0)),"")</f>
        <v/>
      </c>
      <c r="AG158" s="58" t="str">
        <f>IFERROR(INDEX(TableWRCalcPts[BYE],MATCH(TableWRRanks324236[[#This Row],[Player]],TableWRCalcPts[PLAYER],0)),"")</f>
        <v/>
      </c>
      <c r="AH158" s="100">
        <f>VLOOKUP(TableWRRanks324236[[#This Row],[Player]],WR!B:O,4,FALSE)</f>
        <v>0</v>
      </c>
      <c r="AI158" s="100">
        <f>VLOOKUP(TableWRRanks324236[[#This Row],[Player]],WR!B:O,5,FALSE)</f>
        <v>0</v>
      </c>
      <c r="AJ158" s="100">
        <f>VLOOKUP(TableWRRanks324236[[#This Row],[Player]],WR!B:O,6,FALSE)</f>
        <v>0</v>
      </c>
      <c r="AK158" s="100">
        <f>VLOOKUP(TableWRRanks324236[[#This Row],[Player]],WR!B:O,7,FALSE)</f>
        <v>0</v>
      </c>
      <c r="AL158" s="100">
        <f>VLOOKUP(TableWRRanks324236[[#This Row],[Player]],WR!B:O,8,FALSE)</f>
        <v>0</v>
      </c>
      <c r="AM158" s="100">
        <f>VLOOKUP(TableWRRanks324236[[#This Row],[Player]],WR!B:O,9,FALSE)</f>
        <v>0</v>
      </c>
      <c r="AN158" s="95">
        <f>VLOOKUP(TableWRRanks324236[[#This Row],[Player]],WR!B:O,13,FALSE)</f>
        <v>0</v>
      </c>
      <c r="AO158" s="190">
        <f>TableWRRanks324236[[#This Row],[FPS]]+(TableWRRanks324236[[#This Row],[REC]]*0.5)</f>
        <v>0</v>
      </c>
    </row>
    <row r="159" spans="16:41" x14ac:dyDescent="0.25">
      <c r="P159" s="58">
        <v>158</v>
      </c>
      <c r="Q159" s="58">
        <f>VLOOKUP(TableRBRanks314135[[#This Row],[RK]],Rankings!A:AI,23,FALSE)</f>
        <v>0</v>
      </c>
      <c r="R159" s="58" t="str">
        <f>IFERROR(INDEX(TableRBCalcPts[TM],MATCH(TableRBRanks314135[[#This Row],[Player]],TableRBCalcPts[PLAYER],0)),"")</f>
        <v/>
      </c>
      <c r="S159" s="58" t="str">
        <f>IFERROR(INDEX(TableRBCalcPts[BYE],MATCH(TableRBRanks314135[[#This Row],[Player]],TableRBCalcPts[PLAYER],0)),"")</f>
        <v/>
      </c>
      <c r="T159" s="100">
        <f>VLOOKUP(TableRBRanks314135[[#This Row],[Player]],RB!B:O,4,FALSE)</f>
        <v>0</v>
      </c>
      <c r="U159" s="100">
        <f>VLOOKUP(TableRBRanks314135[[#This Row],[Player]],RB!B:O,5,FALSE)</f>
        <v>0</v>
      </c>
      <c r="V159" s="100">
        <f>VLOOKUP(TableRBRanks314135[[#This Row],[Player]],RB!B:O,6,FALSE)</f>
        <v>0</v>
      </c>
      <c r="W159" s="100">
        <f>VLOOKUP(TableRBRanks314135[[#This Row],[Player]],RB!B:O,7,FALSE)</f>
        <v>0</v>
      </c>
      <c r="X159" s="100">
        <f>VLOOKUP(TableRBRanks314135[[#This Row],[Player]],RB!B:O,8,FALSE)</f>
        <v>0</v>
      </c>
      <c r="Y159" s="100">
        <f>VLOOKUP(TableRBRanks314135[[#This Row],[Player]],RB!B:O,9,FALSE)</f>
        <v>0</v>
      </c>
      <c r="Z159" s="100">
        <f>VLOOKUP(TableRBRanks314135[[#This Row],[Player]],RB!B:O,10,FALSE)</f>
        <v>0</v>
      </c>
      <c r="AA159" s="95">
        <f>VLOOKUP(TableRBRanks314135[[#This Row],[Player]],RB!B:O,14,FALSE)</f>
        <v>0</v>
      </c>
      <c r="AB159" s="190">
        <f>TableRBRanks314135[[#This Row],[FPS]]+(TableRBRanks314135[[#This Row],[REC]]*0.5)</f>
        <v>0</v>
      </c>
      <c r="AD159" s="58">
        <v>158</v>
      </c>
      <c r="AE159" s="58">
        <f>VLOOKUP(TableWRRanks324236[[#This Row],[RK]],Rankings!A:AI,28,FALSE)</f>
        <v>0</v>
      </c>
      <c r="AF159" s="58" t="str">
        <f>IFERROR(INDEX(TableWRCalcPts[TM],MATCH(TableWRRanks324236[[#This Row],[Player]],TableWRCalcPts[PLAYER],0)),"")</f>
        <v/>
      </c>
      <c r="AG159" s="58" t="str">
        <f>IFERROR(INDEX(TableWRCalcPts[BYE],MATCH(TableWRRanks324236[[#This Row],[Player]],TableWRCalcPts[PLAYER],0)),"")</f>
        <v/>
      </c>
      <c r="AH159" s="100">
        <f>VLOOKUP(TableWRRanks324236[[#This Row],[Player]],WR!B:O,4,FALSE)</f>
        <v>0</v>
      </c>
      <c r="AI159" s="100">
        <f>VLOOKUP(TableWRRanks324236[[#This Row],[Player]],WR!B:O,5,FALSE)</f>
        <v>0</v>
      </c>
      <c r="AJ159" s="100">
        <f>VLOOKUP(TableWRRanks324236[[#This Row],[Player]],WR!B:O,6,FALSE)</f>
        <v>0</v>
      </c>
      <c r="AK159" s="100">
        <f>VLOOKUP(TableWRRanks324236[[#This Row],[Player]],WR!B:O,7,FALSE)</f>
        <v>0</v>
      </c>
      <c r="AL159" s="100">
        <f>VLOOKUP(TableWRRanks324236[[#This Row],[Player]],WR!B:O,8,FALSE)</f>
        <v>0</v>
      </c>
      <c r="AM159" s="100">
        <f>VLOOKUP(TableWRRanks324236[[#This Row],[Player]],WR!B:O,9,FALSE)</f>
        <v>0</v>
      </c>
      <c r="AN159" s="95">
        <f>VLOOKUP(TableWRRanks324236[[#This Row],[Player]],WR!B:O,13,FALSE)</f>
        <v>0</v>
      </c>
      <c r="AO159" s="190">
        <f>TableWRRanks324236[[#This Row],[FPS]]+(TableWRRanks324236[[#This Row],[REC]]*0.5)</f>
        <v>0</v>
      </c>
    </row>
    <row r="160" spans="16:41" x14ac:dyDescent="0.25">
      <c r="P160" s="58">
        <v>159</v>
      </c>
      <c r="Q160" s="58">
        <f>VLOOKUP(TableRBRanks314135[[#This Row],[RK]],Rankings!A:AI,23,FALSE)</f>
        <v>0</v>
      </c>
      <c r="R160" s="58" t="str">
        <f>IFERROR(INDEX(TableRBCalcPts[TM],MATCH(TableRBRanks314135[[#This Row],[Player]],TableRBCalcPts[PLAYER],0)),"")</f>
        <v/>
      </c>
      <c r="S160" s="58" t="str">
        <f>IFERROR(INDEX(TableRBCalcPts[BYE],MATCH(TableRBRanks314135[[#This Row],[Player]],TableRBCalcPts[PLAYER],0)),"")</f>
        <v/>
      </c>
      <c r="T160" s="100">
        <f>VLOOKUP(TableRBRanks314135[[#This Row],[Player]],RB!B:O,4,FALSE)</f>
        <v>0</v>
      </c>
      <c r="U160" s="100">
        <f>VLOOKUP(TableRBRanks314135[[#This Row],[Player]],RB!B:O,5,FALSE)</f>
        <v>0</v>
      </c>
      <c r="V160" s="100">
        <f>VLOOKUP(TableRBRanks314135[[#This Row],[Player]],RB!B:O,6,FALSE)</f>
        <v>0</v>
      </c>
      <c r="W160" s="100">
        <f>VLOOKUP(TableRBRanks314135[[#This Row],[Player]],RB!B:O,7,FALSE)</f>
        <v>0</v>
      </c>
      <c r="X160" s="100">
        <f>VLOOKUP(TableRBRanks314135[[#This Row],[Player]],RB!B:O,8,FALSE)</f>
        <v>0</v>
      </c>
      <c r="Y160" s="100">
        <f>VLOOKUP(TableRBRanks314135[[#This Row],[Player]],RB!B:O,9,FALSE)</f>
        <v>0</v>
      </c>
      <c r="Z160" s="100">
        <f>VLOOKUP(TableRBRanks314135[[#This Row],[Player]],RB!B:O,10,FALSE)</f>
        <v>0</v>
      </c>
      <c r="AA160" s="95">
        <f>VLOOKUP(TableRBRanks314135[[#This Row],[Player]],RB!B:O,14,FALSE)</f>
        <v>0</v>
      </c>
      <c r="AB160" s="190">
        <f>TableRBRanks314135[[#This Row],[FPS]]+(TableRBRanks314135[[#This Row],[REC]]*0.5)</f>
        <v>0</v>
      </c>
      <c r="AD160" s="58">
        <v>159</v>
      </c>
      <c r="AE160" s="58">
        <f>VLOOKUP(TableWRRanks324236[[#This Row],[RK]],Rankings!A:AI,28,FALSE)</f>
        <v>0</v>
      </c>
      <c r="AF160" s="58" t="str">
        <f>IFERROR(INDEX(TableWRCalcPts[TM],MATCH(TableWRRanks324236[[#This Row],[Player]],TableWRCalcPts[PLAYER],0)),"")</f>
        <v/>
      </c>
      <c r="AG160" s="58" t="str">
        <f>IFERROR(INDEX(TableWRCalcPts[BYE],MATCH(TableWRRanks324236[[#This Row],[Player]],TableWRCalcPts[PLAYER],0)),"")</f>
        <v/>
      </c>
      <c r="AH160" s="100">
        <f>VLOOKUP(TableWRRanks324236[[#This Row],[Player]],WR!B:O,4,FALSE)</f>
        <v>0</v>
      </c>
      <c r="AI160" s="100">
        <f>VLOOKUP(TableWRRanks324236[[#This Row],[Player]],WR!B:O,5,FALSE)</f>
        <v>0</v>
      </c>
      <c r="AJ160" s="100">
        <f>VLOOKUP(TableWRRanks324236[[#This Row],[Player]],WR!B:O,6,FALSE)</f>
        <v>0</v>
      </c>
      <c r="AK160" s="100">
        <f>VLOOKUP(TableWRRanks324236[[#This Row],[Player]],WR!B:O,7,FALSE)</f>
        <v>0</v>
      </c>
      <c r="AL160" s="100">
        <f>VLOOKUP(TableWRRanks324236[[#This Row],[Player]],WR!B:O,8,FALSE)</f>
        <v>0</v>
      </c>
      <c r="AM160" s="100">
        <f>VLOOKUP(TableWRRanks324236[[#This Row],[Player]],WR!B:O,9,FALSE)</f>
        <v>0</v>
      </c>
      <c r="AN160" s="95">
        <f>VLOOKUP(TableWRRanks324236[[#This Row],[Player]],WR!B:O,13,FALSE)</f>
        <v>0</v>
      </c>
      <c r="AO160" s="190">
        <f>TableWRRanks324236[[#This Row],[FPS]]+(TableWRRanks324236[[#This Row],[REC]]*0.5)</f>
        <v>0</v>
      </c>
    </row>
    <row r="161" spans="16:41" x14ac:dyDescent="0.25">
      <c r="P161" s="58">
        <v>160</v>
      </c>
      <c r="Q161" s="58">
        <f>VLOOKUP(TableRBRanks314135[[#This Row],[RK]],Rankings!A:AI,23,FALSE)</f>
        <v>0</v>
      </c>
      <c r="R161" s="58" t="str">
        <f>IFERROR(INDEX(TableRBCalcPts[TM],MATCH(TableRBRanks314135[[#This Row],[Player]],TableRBCalcPts[PLAYER],0)),"")</f>
        <v/>
      </c>
      <c r="S161" s="58" t="str">
        <f>IFERROR(INDEX(TableRBCalcPts[BYE],MATCH(TableRBRanks314135[[#This Row],[Player]],TableRBCalcPts[PLAYER],0)),"")</f>
        <v/>
      </c>
      <c r="T161" s="100">
        <f>VLOOKUP(TableRBRanks314135[[#This Row],[Player]],RB!B:O,4,FALSE)</f>
        <v>0</v>
      </c>
      <c r="U161" s="100">
        <f>VLOOKUP(TableRBRanks314135[[#This Row],[Player]],RB!B:O,5,FALSE)</f>
        <v>0</v>
      </c>
      <c r="V161" s="100">
        <f>VLOOKUP(TableRBRanks314135[[#This Row],[Player]],RB!B:O,6,FALSE)</f>
        <v>0</v>
      </c>
      <c r="W161" s="100">
        <f>VLOOKUP(TableRBRanks314135[[#This Row],[Player]],RB!B:O,7,FALSE)</f>
        <v>0</v>
      </c>
      <c r="X161" s="100">
        <f>VLOOKUP(TableRBRanks314135[[#This Row],[Player]],RB!B:O,8,FALSE)</f>
        <v>0</v>
      </c>
      <c r="Y161" s="100">
        <f>VLOOKUP(TableRBRanks314135[[#This Row],[Player]],RB!B:O,9,FALSE)</f>
        <v>0</v>
      </c>
      <c r="Z161" s="100">
        <f>VLOOKUP(TableRBRanks314135[[#This Row],[Player]],RB!B:O,10,FALSE)</f>
        <v>0</v>
      </c>
      <c r="AA161" s="95">
        <f>VLOOKUP(TableRBRanks314135[[#This Row],[Player]],RB!B:O,14,FALSE)</f>
        <v>0</v>
      </c>
      <c r="AB161" s="190">
        <f>TableRBRanks314135[[#This Row],[FPS]]+(TableRBRanks314135[[#This Row],[REC]]*0.5)</f>
        <v>0</v>
      </c>
      <c r="AD161" s="58">
        <v>160</v>
      </c>
      <c r="AE161" s="58">
        <f>VLOOKUP(TableWRRanks324236[[#This Row],[RK]],Rankings!A:AI,28,FALSE)</f>
        <v>0</v>
      </c>
      <c r="AF161" s="58" t="str">
        <f>IFERROR(INDEX(TableWRCalcPts[TM],MATCH(TableWRRanks324236[[#This Row],[Player]],TableWRCalcPts[PLAYER],0)),"")</f>
        <v/>
      </c>
      <c r="AG161" s="58" t="str">
        <f>IFERROR(INDEX(TableWRCalcPts[BYE],MATCH(TableWRRanks324236[[#This Row],[Player]],TableWRCalcPts[PLAYER],0)),"")</f>
        <v/>
      </c>
      <c r="AH161" s="100">
        <f>VLOOKUP(TableWRRanks324236[[#This Row],[Player]],WR!B:O,4,FALSE)</f>
        <v>0</v>
      </c>
      <c r="AI161" s="100">
        <f>VLOOKUP(TableWRRanks324236[[#This Row],[Player]],WR!B:O,5,FALSE)</f>
        <v>0</v>
      </c>
      <c r="AJ161" s="100">
        <f>VLOOKUP(TableWRRanks324236[[#This Row],[Player]],WR!B:O,6,FALSE)</f>
        <v>0</v>
      </c>
      <c r="AK161" s="100">
        <f>VLOOKUP(TableWRRanks324236[[#This Row],[Player]],WR!B:O,7,FALSE)</f>
        <v>0</v>
      </c>
      <c r="AL161" s="100">
        <f>VLOOKUP(TableWRRanks324236[[#This Row],[Player]],WR!B:O,8,FALSE)</f>
        <v>0</v>
      </c>
      <c r="AM161" s="100">
        <f>VLOOKUP(TableWRRanks324236[[#This Row],[Player]],WR!B:O,9,FALSE)</f>
        <v>0</v>
      </c>
      <c r="AN161" s="95">
        <f>VLOOKUP(TableWRRanks324236[[#This Row],[Player]],WR!B:O,13,FALSE)</f>
        <v>0</v>
      </c>
      <c r="AO161" s="190">
        <f>TableWRRanks324236[[#This Row],[FPS]]+(TableWRRanks324236[[#This Row],[REC]]*0.5)</f>
        <v>0</v>
      </c>
    </row>
    <row r="162" spans="16:41" x14ac:dyDescent="0.25">
      <c r="P162" s="58">
        <v>161</v>
      </c>
      <c r="Q162" s="58">
        <f>VLOOKUP(TableRBRanks314135[[#This Row],[RK]],Rankings!A:AI,23,FALSE)</f>
        <v>0</v>
      </c>
      <c r="R162" s="58" t="str">
        <f>IFERROR(INDEX(TableRBCalcPts[TM],MATCH(TableRBRanks314135[[#This Row],[Player]],TableRBCalcPts[PLAYER],0)),"")</f>
        <v/>
      </c>
      <c r="S162" s="58" t="str">
        <f>IFERROR(INDEX(TableRBCalcPts[BYE],MATCH(TableRBRanks314135[[#This Row],[Player]],TableRBCalcPts[PLAYER],0)),"")</f>
        <v/>
      </c>
      <c r="T162" s="100">
        <f>VLOOKUP(TableRBRanks314135[[#This Row],[Player]],RB!B:O,4,FALSE)</f>
        <v>0</v>
      </c>
      <c r="U162" s="100">
        <f>VLOOKUP(TableRBRanks314135[[#This Row],[Player]],RB!B:O,5,FALSE)</f>
        <v>0</v>
      </c>
      <c r="V162" s="100">
        <f>VLOOKUP(TableRBRanks314135[[#This Row],[Player]],RB!B:O,6,FALSE)</f>
        <v>0</v>
      </c>
      <c r="W162" s="100">
        <f>VLOOKUP(TableRBRanks314135[[#This Row],[Player]],RB!B:O,7,FALSE)</f>
        <v>0</v>
      </c>
      <c r="X162" s="100">
        <f>VLOOKUP(TableRBRanks314135[[#This Row],[Player]],RB!B:O,8,FALSE)</f>
        <v>0</v>
      </c>
      <c r="Y162" s="100">
        <f>VLOOKUP(TableRBRanks314135[[#This Row],[Player]],RB!B:O,9,FALSE)</f>
        <v>0</v>
      </c>
      <c r="Z162" s="100">
        <f>VLOOKUP(TableRBRanks314135[[#This Row],[Player]],RB!B:O,10,FALSE)</f>
        <v>0</v>
      </c>
      <c r="AA162" s="95">
        <f>VLOOKUP(TableRBRanks314135[[#This Row],[Player]],RB!B:O,14,FALSE)</f>
        <v>0</v>
      </c>
      <c r="AB162" s="190">
        <f>TableRBRanks314135[[#This Row],[FPS]]+(TableRBRanks314135[[#This Row],[REC]]*0.5)</f>
        <v>0</v>
      </c>
      <c r="AD162" s="58">
        <v>161</v>
      </c>
      <c r="AE162" s="58">
        <f>VLOOKUP(TableWRRanks324236[[#This Row],[RK]],Rankings!A:AI,28,FALSE)</f>
        <v>0</v>
      </c>
      <c r="AF162" s="58" t="str">
        <f>IFERROR(INDEX(TableWRCalcPts[TM],MATCH(TableWRRanks324236[[#This Row],[Player]],TableWRCalcPts[PLAYER],0)),"")</f>
        <v/>
      </c>
      <c r="AG162" s="58" t="str">
        <f>IFERROR(INDEX(TableWRCalcPts[BYE],MATCH(TableWRRanks324236[[#This Row],[Player]],TableWRCalcPts[PLAYER],0)),"")</f>
        <v/>
      </c>
      <c r="AH162" s="100">
        <f>VLOOKUP(TableWRRanks324236[[#This Row],[Player]],WR!B:O,4,FALSE)</f>
        <v>0</v>
      </c>
      <c r="AI162" s="100">
        <f>VLOOKUP(TableWRRanks324236[[#This Row],[Player]],WR!B:O,5,FALSE)</f>
        <v>0</v>
      </c>
      <c r="AJ162" s="100">
        <f>VLOOKUP(TableWRRanks324236[[#This Row],[Player]],WR!B:O,6,FALSE)</f>
        <v>0</v>
      </c>
      <c r="AK162" s="100">
        <f>VLOOKUP(TableWRRanks324236[[#This Row],[Player]],WR!B:O,7,FALSE)</f>
        <v>0</v>
      </c>
      <c r="AL162" s="100">
        <f>VLOOKUP(TableWRRanks324236[[#This Row],[Player]],WR!B:O,8,FALSE)</f>
        <v>0</v>
      </c>
      <c r="AM162" s="100">
        <f>VLOOKUP(TableWRRanks324236[[#This Row],[Player]],WR!B:O,9,FALSE)</f>
        <v>0</v>
      </c>
      <c r="AN162" s="95">
        <f>VLOOKUP(TableWRRanks324236[[#This Row],[Player]],WR!B:O,13,FALSE)</f>
        <v>0</v>
      </c>
      <c r="AO162" s="190">
        <f>TableWRRanks324236[[#This Row],[FPS]]+(TableWRRanks324236[[#This Row],[REC]]*0.5)</f>
        <v>0</v>
      </c>
    </row>
    <row r="163" spans="16:41" x14ac:dyDescent="0.25">
      <c r="P163" s="58">
        <v>162</v>
      </c>
      <c r="Q163" s="58">
        <f>VLOOKUP(TableRBRanks314135[[#This Row],[RK]],Rankings!A:AI,23,FALSE)</f>
        <v>0</v>
      </c>
      <c r="R163" s="58" t="str">
        <f>IFERROR(INDEX(TableRBCalcPts[TM],MATCH(TableRBRanks314135[[#This Row],[Player]],TableRBCalcPts[PLAYER],0)),"")</f>
        <v/>
      </c>
      <c r="S163" s="58" t="str">
        <f>IFERROR(INDEX(TableRBCalcPts[BYE],MATCH(TableRBRanks314135[[#This Row],[Player]],TableRBCalcPts[PLAYER],0)),"")</f>
        <v/>
      </c>
      <c r="T163" s="100">
        <f>VLOOKUP(TableRBRanks314135[[#This Row],[Player]],RB!B:O,4,FALSE)</f>
        <v>0</v>
      </c>
      <c r="U163" s="100">
        <f>VLOOKUP(TableRBRanks314135[[#This Row],[Player]],RB!B:O,5,FALSE)</f>
        <v>0</v>
      </c>
      <c r="V163" s="100">
        <f>VLOOKUP(TableRBRanks314135[[#This Row],[Player]],RB!B:O,6,FALSE)</f>
        <v>0</v>
      </c>
      <c r="W163" s="100">
        <f>VLOOKUP(TableRBRanks314135[[#This Row],[Player]],RB!B:O,7,FALSE)</f>
        <v>0</v>
      </c>
      <c r="X163" s="100">
        <f>VLOOKUP(TableRBRanks314135[[#This Row],[Player]],RB!B:O,8,FALSE)</f>
        <v>0</v>
      </c>
      <c r="Y163" s="100">
        <f>VLOOKUP(TableRBRanks314135[[#This Row],[Player]],RB!B:O,9,FALSE)</f>
        <v>0</v>
      </c>
      <c r="Z163" s="100">
        <f>VLOOKUP(TableRBRanks314135[[#This Row],[Player]],RB!B:O,10,FALSE)</f>
        <v>0</v>
      </c>
      <c r="AA163" s="95">
        <f>VLOOKUP(TableRBRanks314135[[#This Row],[Player]],RB!B:O,14,FALSE)</f>
        <v>0</v>
      </c>
      <c r="AB163" s="190">
        <f>TableRBRanks314135[[#This Row],[FPS]]+(TableRBRanks314135[[#This Row],[REC]]*0.5)</f>
        <v>0</v>
      </c>
      <c r="AD163" s="58">
        <v>162</v>
      </c>
      <c r="AE163" s="58">
        <f>VLOOKUP(TableWRRanks324236[[#This Row],[RK]],Rankings!A:AI,28,FALSE)</f>
        <v>0</v>
      </c>
      <c r="AF163" s="58" t="str">
        <f>IFERROR(INDEX(TableWRCalcPts[TM],MATCH(TableWRRanks324236[[#This Row],[Player]],TableWRCalcPts[PLAYER],0)),"")</f>
        <v/>
      </c>
      <c r="AG163" s="58" t="str">
        <f>IFERROR(INDEX(TableWRCalcPts[BYE],MATCH(TableWRRanks324236[[#This Row],[Player]],TableWRCalcPts[PLAYER],0)),"")</f>
        <v/>
      </c>
      <c r="AH163" s="100">
        <f>VLOOKUP(TableWRRanks324236[[#This Row],[Player]],WR!B:O,4,FALSE)</f>
        <v>0</v>
      </c>
      <c r="AI163" s="100">
        <f>VLOOKUP(TableWRRanks324236[[#This Row],[Player]],WR!B:O,5,FALSE)</f>
        <v>0</v>
      </c>
      <c r="AJ163" s="100">
        <f>VLOOKUP(TableWRRanks324236[[#This Row],[Player]],WR!B:O,6,FALSE)</f>
        <v>0</v>
      </c>
      <c r="AK163" s="100">
        <f>VLOOKUP(TableWRRanks324236[[#This Row],[Player]],WR!B:O,7,FALSE)</f>
        <v>0</v>
      </c>
      <c r="AL163" s="100">
        <f>VLOOKUP(TableWRRanks324236[[#This Row],[Player]],WR!B:O,8,FALSE)</f>
        <v>0</v>
      </c>
      <c r="AM163" s="100">
        <f>VLOOKUP(TableWRRanks324236[[#This Row],[Player]],WR!B:O,9,FALSE)</f>
        <v>0</v>
      </c>
      <c r="AN163" s="95">
        <f>VLOOKUP(TableWRRanks324236[[#This Row],[Player]],WR!B:O,13,FALSE)</f>
        <v>0</v>
      </c>
      <c r="AO163" s="190">
        <f>TableWRRanks324236[[#This Row],[FPS]]+(TableWRRanks324236[[#This Row],[REC]]*0.5)</f>
        <v>0</v>
      </c>
    </row>
    <row r="164" spans="16:41" x14ac:dyDescent="0.25">
      <c r="P164" s="58">
        <v>163</v>
      </c>
      <c r="Q164" s="58">
        <f>VLOOKUP(TableRBRanks314135[[#This Row],[RK]],Rankings!A:AI,23,FALSE)</f>
        <v>0</v>
      </c>
      <c r="R164" s="58" t="str">
        <f>IFERROR(INDEX(TableRBCalcPts[TM],MATCH(TableRBRanks314135[[#This Row],[Player]],TableRBCalcPts[PLAYER],0)),"")</f>
        <v/>
      </c>
      <c r="S164" s="58" t="str">
        <f>IFERROR(INDEX(TableRBCalcPts[BYE],MATCH(TableRBRanks314135[[#This Row],[Player]],TableRBCalcPts[PLAYER],0)),"")</f>
        <v/>
      </c>
      <c r="T164" s="100">
        <f>VLOOKUP(TableRBRanks314135[[#This Row],[Player]],RB!B:O,4,FALSE)</f>
        <v>0</v>
      </c>
      <c r="U164" s="100">
        <f>VLOOKUP(TableRBRanks314135[[#This Row],[Player]],RB!B:O,5,FALSE)</f>
        <v>0</v>
      </c>
      <c r="V164" s="100">
        <f>VLOOKUP(TableRBRanks314135[[#This Row],[Player]],RB!B:O,6,FALSE)</f>
        <v>0</v>
      </c>
      <c r="W164" s="100">
        <f>VLOOKUP(TableRBRanks314135[[#This Row],[Player]],RB!B:O,7,FALSE)</f>
        <v>0</v>
      </c>
      <c r="X164" s="100">
        <f>VLOOKUP(TableRBRanks314135[[#This Row],[Player]],RB!B:O,8,FALSE)</f>
        <v>0</v>
      </c>
      <c r="Y164" s="100">
        <f>VLOOKUP(TableRBRanks314135[[#This Row],[Player]],RB!B:O,9,FALSE)</f>
        <v>0</v>
      </c>
      <c r="Z164" s="100">
        <f>VLOOKUP(TableRBRanks314135[[#This Row],[Player]],RB!B:O,10,FALSE)</f>
        <v>0</v>
      </c>
      <c r="AA164" s="95">
        <f>VLOOKUP(TableRBRanks314135[[#This Row],[Player]],RB!B:O,14,FALSE)</f>
        <v>0</v>
      </c>
      <c r="AB164" s="190">
        <f>TableRBRanks314135[[#This Row],[FPS]]+(TableRBRanks314135[[#This Row],[REC]]*0.5)</f>
        <v>0</v>
      </c>
      <c r="AD164" s="58">
        <v>163</v>
      </c>
      <c r="AE164" s="58">
        <f>VLOOKUP(TableWRRanks324236[[#This Row],[RK]],Rankings!A:AI,28,FALSE)</f>
        <v>0</v>
      </c>
      <c r="AF164" s="58" t="str">
        <f>IFERROR(INDEX(TableWRCalcPts[TM],MATCH(TableWRRanks324236[[#This Row],[Player]],TableWRCalcPts[PLAYER],0)),"")</f>
        <v/>
      </c>
      <c r="AG164" s="58" t="str">
        <f>IFERROR(INDEX(TableWRCalcPts[BYE],MATCH(TableWRRanks324236[[#This Row],[Player]],TableWRCalcPts[PLAYER],0)),"")</f>
        <v/>
      </c>
      <c r="AH164" s="100">
        <f>VLOOKUP(TableWRRanks324236[[#This Row],[Player]],WR!B:O,4,FALSE)</f>
        <v>0</v>
      </c>
      <c r="AI164" s="100">
        <f>VLOOKUP(TableWRRanks324236[[#This Row],[Player]],WR!B:O,5,FALSE)</f>
        <v>0</v>
      </c>
      <c r="AJ164" s="100">
        <f>VLOOKUP(TableWRRanks324236[[#This Row],[Player]],WR!B:O,6,FALSE)</f>
        <v>0</v>
      </c>
      <c r="AK164" s="100">
        <f>VLOOKUP(TableWRRanks324236[[#This Row],[Player]],WR!B:O,7,FALSE)</f>
        <v>0</v>
      </c>
      <c r="AL164" s="100">
        <f>VLOOKUP(TableWRRanks324236[[#This Row],[Player]],WR!B:O,8,FALSE)</f>
        <v>0</v>
      </c>
      <c r="AM164" s="100">
        <f>VLOOKUP(TableWRRanks324236[[#This Row],[Player]],WR!B:O,9,FALSE)</f>
        <v>0</v>
      </c>
      <c r="AN164" s="95">
        <f>VLOOKUP(TableWRRanks324236[[#This Row],[Player]],WR!B:O,13,FALSE)</f>
        <v>0</v>
      </c>
      <c r="AO164" s="190">
        <f>TableWRRanks324236[[#This Row],[FPS]]+(TableWRRanks324236[[#This Row],[REC]]*0.5)</f>
        <v>0</v>
      </c>
    </row>
    <row r="165" spans="16:41" x14ac:dyDescent="0.25">
      <c r="P165" s="58">
        <v>164</v>
      </c>
      <c r="Q165" s="58">
        <f>VLOOKUP(TableRBRanks314135[[#This Row],[RK]],Rankings!A:AI,23,FALSE)</f>
        <v>0</v>
      </c>
      <c r="R165" s="58" t="str">
        <f>IFERROR(INDEX(TableRBCalcPts[TM],MATCH(TableRBRanks314135[[#This Row],[Player]],TableRBCalcPts[PLAYER],0)),"")</f>
        <v/>
      </c>
      <c r="S165" s="58" t="str">
        <f>IFERROR(INDEX(TableRBCalcPts[BYE],MATCH(TableRBRanks314135[[#This Row],[Player]],TableRBCalcPts[PLAYER],0)),"")</f>
        <v/>
      </c>
      <c r="T165" s="100">
        <f>VLOOKUP(TableRBRanks314135[[#This Row],[Player]],RB!B:O,4,FALSE)</f>
        <v>0</v>
      </c>
      <c r="U165" s="100">
        <f>VLOOKUP(TableRBRanks314135[[#This Row],[Player]],RB!B:O,5,FALSE)</f>
        <v>0</v>
      </c>
      <c r="V165" s="100">
        <f>VLOOKUP(TableRBRanks314135[[#This Row],[Player]],RB!B:O,6,FALSE)</f>
        <v>0</v>
      </c>
      <c r="W165" s="100">
        <f>VLOOKUP(TableRBRanks314135[[#This Row],[Player]],RB!B:O,7,FALSE)</f>
        <v>0</v>
      </c>
      <c r="X165" s="100">
        <f>VLOOKUP(TableRBRanks314135[[#This Row],[Player]],RB!B:O,8,FALSE)</f>
        <v>0</v>
      </c>
      <c r="Y165" s="100">
        <f>VLOOKUP(TableRBRanks314135[[#This Row],[Player]],RB!B:O,9,FALSE)</f>
        <v>0</v>
      </c>
      <c r="Z165" s="100">
        <f>VLOOKUP(TableRBRanks314135[[#This Row],[Player]],RB!B:O,10,FALSE)</f>
        <v>0</v>
      </c>
      <c r="AA165" s="95">
        <f>VLOOKUP(TableRBRanks314135[[#This Row],[Player]],RB!B:O,14,FALSE)</f>
        <v>0</v>
      </c>
      <c r="AB165" s="190">
        <f>TableRBRanks314135[[#This Row],[FPS]]+(TableRBRanks314135[[#This Row],[REC]]*0.5)</f>
        <v>0</v>
      </c>
      <c r="AD165" s="58">
        <v>164</v>
      </c>
      <c r="AE165" s="58">
        <f>VLOOKUP(TableWRRanks324236[[#This Row],[RK]],Rankings!A:AI,28,FALSE)</f>
        <v>0</v>
      </c>
      <c r="AF165" s="58" t="str">
        <f>IFERROR(INDEX(TableWRCalcPts[TM],MATCH(TableWRRanks324236[[#This Row],[Player]],TableWRCalcPts[PLAYER],0)),"")</f>
        <v/>
      </c>
      <c r="AG165" s="58" t="str">
        <f>IFERROR(INDEX(TableWRCalcPts[BYE],MATCH(TableWRRanks324236[[#This Row],[Player]],TableWRCalcPts[PLAYER],0)),"")</f>
        <v/>
      </c>
      <c r="AH165" s="100">
        <f>VLOOKUP(TableWRRanks324236[[#This Row],[Player]],WR!B:O,4,FALSE)</f>
        <v>0</v>
      </c>
      <c r="AI165" s="100">
        <f>VLOOKUP(TableWRRanks324236[[#This Row],[Player]],WR!B:O,5,FALSE)</f>
        <v>0</v>
      </c>
      <c r="AJ165" s="100">
        <f>VLOOKUP(TableWRRanks324236[[#This Row],[Player]],WR!B:O,6,FALSE)</f>
        <v>0</v>
      </c>
      <c r="AK165" s="100">
        <f>VLOOKUP(TableWRRanks324236[[#This Row],[Player]],WR!B:O,7,FALSE)</f>
        <v>0</v>
      </c>
      <c r="AL165" s="100">
        <f>VLOOKUP(TableWRRanks324236[[#This Row],[Player]],WR!B:O,8,FALSE)</f>
        <v>0</v>
      </c>
      <c r="AM165" s="100">
        <f>VLOOKUP(TableWRRanks324236[[#This Row],[Player]],WR!B:O,9,FALSE)</f>
        <v>0</v>
      </c>
      <c r="AN165" s="95">
        <f>VLOOKUP(TableWRRanks324236[[#This Row],[Player]],WR!B:O,13,FALSE)</f>
        <v>0</v>
      </c>
      <c r="AO165" s="190">
        <f>TableWRRanks324236[[#This Row],[FPS]]+(TableWRRanks324236[[#This Row],[REC]]*0.5)</f>
        <v>0</v>
      </c>
    </row>
    <row r="166" spans="16:41" x14ac:dyDescent="0.25">
      <c r="P166" s="58">
        <v>165</v>
      </c>
      <c r="Q166" s="58">
        <f>VLOOKUP(TableRBRanks314135[[#This Row],[RK]],Rankings!A:AI,23,FALSE)</f>
        <v>0</v>
      </c>
      <c r="R166" s="58" t="str">
        <f>IFERROR(INDEX(TableRBCalcPts[TM],MATCH(TableRBRanks314135[[#This Row],[Player]],TableRBCalcPts[PLAYER],0)),"")</f>
        <v/>
      </c>
      <c r="S166" s="58" t="str">
        <f>IFERROR(INDEX(TableRBCalcPts[BYE],MATCH(TableRBRanks314135[[#This Row],[Player]],TableRBCalcPts[PLAYER],0)),"")</f>
        <v/>
      </c>
      <c r="T166" s="100">
        <f>VLOOKUP(TableRBRanks314135[[#This Row],[Player]],RB!B:O,4,FALSE)</f>
        <v>0</v>
      </c>
      <c r="U166" s="100">
        <f>VLOOKUP(TableRBRanks314135[[#This Row],[Player]],RB!B:O,5,FALSE)</f>
        <v>0</v>
      </c>
      <c r="V166" s="100">
        <f>VLOOKUP(TableRBRanks314135[[#This Row],[Player]],RB!B:O,6,FALSE)</f>
        <v>0</v>
      </c>
      <c r="W166" s="100">
        <f>VLOOKUP(TableRBRanks314135[[#This Row],[Player]],RB!B:O,7,FALSE)</f>
        <v>0</v>
      </c>
      <c r="X166" s="100">
        <f>VLOOKUP(TableRBRanks314135[[#This Row],[Player]],RB!B:O,8,FALSE)</f>
        <v>0</v>
      </c>
      <c r="Y166" s="100">
        <f>VLOOKUP(TableRBRanks314135[[#This Row],[Player]],RB!B:O,9,FALSE)</f>
        <v>0</v>
      </c>
      <c r="Z166" s="100">
        <f>VLOOKUP(TableRBRanks314135[[#This Row],[Player]],RB!B:O,10,FALSE)</f>
        <v>0</v>
      </c>
      <c r="AA166" s="95">
        <f>VLOOKUP(TableRBRanks314135[[#This Row],[Player]],RB!B:O,14,FALSE)</f>
        <v>0</v>
      </c>
      <c r="AB166" s="190">
        <f>TableRBRanks314135[[#This Row],[FPS]]+(TableRBRanks314135[[#This Row],[REC]]*0.5)</f>
        <v>0</v>
      </c>
      <c r="AD166" s="58">
        <v>165</v>
      </c>
      <c r="AE166" s="58">
        <f>VLOOKUP(TableWRRanks324236[[#This Row],[RK]],Rankings!A:AI,28,FALSE)</f>
        <v>0</v>
      </c>
      <c r="AF166" s="58" t="str">
        <f>IFERROR(INDEX(TableWRCalcPts[TM],MATCH(TableWRRanks324236[[#This Row],[Player]],TableWRCalcPts[PLAYER],0)),"")</f>
        <v/>
      </c>
      <c r="AG166" s="58" t="str">
        <f>IFERROR(INDEX(TableWRCalcPts[BYE],MATCH(TableWRRanks324236[[#This Row],[Player]],TableWRCalcPts[PLAYER],0)),"")</f>
        <v/>
      </c>
      <c r="AH166" s="100">
        <f>VLOOKUP(TableWRRanks324236[[#This Row],[Player]],WR!B:O,4,FALSE)</f>
        <v>0</v>
      </c>
      <c r="AI166" s="100">
        <f>VLOOKUP(TableWRRanks324236[[#This Row],[Player]],WR!B:O,5,FALSE)</f>
        <v>0</v>
      </c>
      <c r="AJ166" s="100">
        <f>VLOOKUP(TableWRRanks324236[[#This Row],[Player]],WR!B:O,6,FALSE)</f>
        <v>0</v>
      </c>
      <c r="AK166" s="100">
        <f>VLOOKUP(TableWRRanks324236[[#This Row],[Player]],WR!B:O,7,FALSE)</f>
        <v>0</v>
      </c>
      <c r="AL166" s="100">
        <f>VLOOKUP(TableWRRanks324236[[#This Row],[Player]],WR!B:O,8,FALSE)</f>
        <v>0</v>
      </c>
      <c r="AM166" s="100">
        <f>VLOOKUP(TableWRRanks324236[[#This Row],[Player]],WR!B:O,9,FALSE)</f>
        <v>0</v>
      </c>
      <c r="AN166" s="95">
        <f>VLOOKUP(TableWRRanks324236[[#This Row],[Player]],WR!B:O,13,FALSE)</f>
        <v>0</v>
      </c>
      <c r="AO166" s="190">
        <f>TableWRRanks324236[[#This Row],[FPS]]+(TableWRRanks324236[[#This Row],[REC]]*0.5)</f>
        <v>0</v>
      </c>
    </row>
    <row r="167" spans="16:41" x14ac:dyDescent="0.25">
      <c r="P167" s="58">
        <v>166</v>
      </c>
      <c r="Q167" s="58">
        <f>VLOOKUP(TableRBRanks314135[[#This Row],[RK]],Rankings!A:AI,23,FALSE)</f>
        <v>0</v>
      </c>
      <c r="R167" s="58" t="str">
        <f>IFERROR(INDEX(TableRBCalcPts[TM],MATCH(TableRBRanks314135[[#This Row],[Player]],TableRBCalcPts[PLAYER],0)),"")</f>
        <v/>
      </c>
      <c r="S167" s="58" t="str">
        <f>IFERROR(INDEX(TableRBCalcPts[BYE],MATCH(TableRBRanks314135[[#This Row],[Player]],TableRBCalcPts[PLAYER],0)),"")</f>
        <v/>
      </c>
      <c r="T167" s="100">
        <f>VLOOKUP(TableRBRanks314135[[#This Row],[Player]],RB!B:O,4,FALSE)</f>
        <v>0</v>
      </c>
      <c r="U167" s="100">
        <f>VLOOKUP(TableRBRanks314135[[#This Row],[Player]],RB!B:O,5,FALSE)</f>
        <v>0</v>
      </c>
      <c r="V167" s="100">
        <f>VLOOKUP(TableRBRanks314135[[#This Row],[Player]],RB!B:O,6,FALSE)</f>
        <v>0</v>
      </c>
      <c r="W167" s="100">
        <f>VLOOKUP(TableRBRanks314135[[#This Row],[Player]],RB!B:O,7,FALSE)</f>
        <v>0</v>
      </c>
      <c r="X167" s="100">
        <f>VLOOKUP(TableRBRanks314135[[#This Row],[Player]],RB!B:O,8,FALSE)</f>
        <v>0</v>
      </c>
      <c r="Y167" s="100">
        <f>VLOOKUP(TableRBRanks314135[[#This Row],[Player]],RB!B:O,9,FALSE)</f>
        <v>0</v>
      </c>
      <c r="Z167" s="100">
        <f>VLOOKUP(TableRBRanks314135[[#This Row],[Player]],RB!B:O,10,FALSE)</f>
        <v>0</v>
      </c>
      <c r="AA167" s="95">
        <f>VLOOKUP(TableRBRanks314135[[#This Row],[Player]],RB!B:O,14,FALSE)</f>
        <v>0</v>
      </c>
      <c r="AB167" s="190">
        <f>TableRBRanks314135[[#This Row],[FPS]]+(TableRBRanks314135[[#This Row],[REC]]*0.5)</f>
        <v>0</v>
      </c>
      <c r="AD167" s="58">
        <v>166</v>
      </c>
      <c r="AE167" s="58">
        <f>VLOOKUP(TableWRRanks324236[[#This Row],[RK]],Rankings!A:AI,28,FALSE)</f>
        <v>0</v>
      </c>
      <c r="AF167" s="58" t="str">
        <f>IFERROR(INDEX(TableWRCalcPts[TM],MATCH(TableWRRanks324236[[#This Row],[Player]],TableWRCalcPts[PLAYER],0)),"")</f>
        <v/>
      </c>
      <c r="AG167" s="58" t="str">
        <f>IFERROR(INDEX(TableWRCalcPts[BYE],MATCH(TableWRRanks324236[[#This Row],[Player]],TableWRCalcPts[PLAYER],0)),"")</f>
        <v/>
      </c>
      <c r="AH167" s="100">
        <f>VLOOKUP(TableWRRanks324236[[#This Row],[Player]],WR!B:O,4,FALSE)</f>
        <v>0</v>
      </c>
      <c r="AI167" s="100">
        <f>VLOOKUP(TableWRRanks324236[[#This Row],[Player]],WR!B:O,5,FALSE)</f>
        <v>0</v>
      </c>
      <c r="AJ167" s="100">
        <f>VLOOKUP(TableWRRanks324236[[#This Row],[Player]],WR!B:O,6,FALSE)</f>
        <v>0</v>
      </c>
      <c r="AK167" s="100">
        <f>VLOOKUP(TableWRRanks324236[[#This Row],[Player]],WR!B:O,7,FALSE)</f>
        <v>0</v>
      </c>
      <c r="AL167" s="100">
        <f>VLOOKUP(TableWRRanks324236[[#This Row],[Player]],WR!B:O,8,FALSE)</f>
        <v>0</v>
      </c>
      <c r="AM167" s="100">
        <f>VLOOKUP(TableWRRanks324236[[#This Row],[Player]],WR!B:O,9,FALSE)</f>
        <v>0</v>
      </c>
      <c r="AN167" s="95">
        <f>VLOOKUP(TableWRRanks324236[[#This Row],[Player]],WR!B:O,13,FALSE)</f>
        <v>0</v>
      </c>
      <c r="AO167" s="190">
        <f>TableWRRanks324236[[#This Row],[FPS]]+(TableWRRanks324236[[#This Row],[REC]]*0.5)</f>
        <v>0</v>
      </c>
    </row>
    <row r="168" spans="16:41" x14ac:dyDescent="0.25">
      <c r="P168" s="58">
        <v>167</v>
      </c>
      <c r="Q168" s="58">
        <f>VLOOKUP(TableRBRanks314135[[#This Row],[RK]],Rankings!A:AI,23,FALSE)</f>
        <v>0</v>
      </c>
      <c r="R168" s="58" t="str">
        <f>IFERROR(INDEX(TableRBCalcPts[TM],MATCH(TableRBRanks314135[[#This Row],[Player]],TableRBCalcPts[PLAYER],0)),"")</f>
        <v/>
      </c>
      <c r="S168" s="58" t="str">
        <f>IFERROR(INDEX(TableRBCalcPts[BYE],MATCH(TableRBRanks314135[[#This Row],[Player]],TableRBCalcPts[PLAYER],0)),"")</f>
        <v/>
      </c>
      <c r="T168" s="100">
        <f>VLOOKUP(TableRBRanks314135[[#This Row],[Player]],RB!B:O,4,FALSE)</f>
        <v>0</v>
      </c>
      <c r="U168" s="100">
        <f>VLOOKUP(TableRBRanks314135[[#This Row],[Player]],RB!B:O,5,FALSE)</f>
        <v>0</v>
      </c>
      <c r="V168" s="100">
        <f>VLOOKUP(TableRBRanks314135[[#This Row],[Player]],RB!B:O,6,FALSE)</f>
        <v>0</v>
      </c>
      <c r="W168" s="100">
        <f>VLOOKUP(TableRBRanks314135[[#This Row],[Player]],RB!B:O,7,FALSE)</f>
        <v>0</v>
      </c>
      <c r="X168" s="100">
        <f>VLOOKUP(TableRBRanks314135[[#This Row],[Player]],RB!B:O,8,FALSE)</f>
        <v>0</v>
      </c>
      <c r="Y168" s="100">
        <f>VLOOKUP(TableRBRanks314135[[#This Row],[Player]],RB!B:O,9,FALSE)</f>
        <v>0</v>
      </c>
      <c r="Z168" s="100">
        <f>VLOOKUP(TableRBRanks314135[[#This Row],[Player]],RB!B:O,10,FALSE)</f>
        <v>0</v>
      </c>
      <c r="AA168" s="95">
        <f>VLOOKUP(TableRBRanks314135[[#This Row],[Player]],RB!B:O,14,FALSE)</f>
        <v>0</v>
      </c>
      <c r="AB168" s="190">
        <f>TableRBRanks314135[[#This Row],[FPS]]+(TableRBRanks314135[[#This Row],[REC]]*0.5)</f>
        <v>0</v>
      </c>
      <c r="AD168" s="58">
        <v>167</v>
      </c>
      <c r="AE168" s="58">
        <f>VLOOKUP(TableWRRanks324236[[#This Row],[RK]],Rankings!A:AI,28,FALSE)</f>
        <v>0</v>
      </c>
      <c r="AF168" s="58" t="str">
        <f>IFERROR(INDEX(TableWRCalcPts[TM],MATCH(TableWRRanks324236[[#This Row],[Player]],TableWRCalcPts[PLAYER],0)),"")</f>
        <v/>
      </c>
      <c r="AG168" s="58" t="str">
        <f>IFERROR(INDEX(TableWRCalcPts[BYE],MATCH(TableWRRanks324236[[#This Row],[Player]],TableWRCalcPts[PLAYER],0)),"")</f>
        <v/>
      </c>
      <c r="AH168" s="100">
        <f>VLOOKUP(TableWRRanks324236[[#This Row],[Player]],WR!B:O,4,FALSE)</f>
        <v>0</v>
      </c>
      <c r="AI168" s="100">
        <f>VLOOKUP(TableWRRanks324236[[#This Row],[Player]],WR!B:O,5,FALSE)</f>
        <v>0</v>
      </c>
      <c r="AJ168" s="100">
        <f>VLOOKUP(TableWRRanks324236[[#This Row],[Player]],WR!B:O,6,FALSE)</f>
        <v>0</v>
      </c>
      <c r="AK168" s="100">
        <f>VLOOKUP(TableWRRanks324236[[#This Row],[Player]],WR!B:O,7,FALSE)</f>
        <v>0</v>
      </c>
      <c r="AL168" s="100">
        <f>VLOOKUP(TableWRRanks324236[[#This Row],[Player]],WR!B:O,8,FALSE)</f>
        <v>0</v>
      </c>
      <c r="AM168" s="100">
        <f>VLOOKUP(TableWRRanks324236[[#This Row],[Player]],WR!B:O,9,FALSE)</f>
        <v>0</v>
      </c>
      <c r="AN168" s="95">
        <f>VLOOKUP(TableWRRanks324236[[#This Row],[Player]],WR!B:O,13,FALSE)</f>
        <v>0</v>
      </c>
      <c r="AO168" s="190">
        <f>TableWRRanks324236[[#This Row],[FPS]]+(TableWRRanks324236[[#This Row],[REC]]*0.5)</f>
        <v>0</v>
      </c>
    </row>
    <row r="169" spans="16:41" x14ac:dyDescent="0.25">
      <c r="P169" s="58">
        <v>168</v>
      </c>
      <c r="Q169" s="58">
        <f>VLOOKUP(TableRBRanks314135[[#This Row],[RK]],Rankings!A:AI,23,FALSE)</f>
        <v>0</v>
      </c>
      <c r="R169" s="58" t="str">
        <f>IFERROR(INDEX(TableRBCalcPts[TM],MATCH(TableRBRanks314135[[#This Row],[Player]],TableRBCalcPts[PLAYER],0)),"")</f>
        <v/>
      </c>
      <c r="S169" s="58" t="str">
        <f>IFERROR(INDEX(TableRBCalcPts[BYE],MATCH(TableRBRanks314135[[#This Row],[Player]],TableRBCalcPts[PLAYER],0)),"")</f>
        <v/>
      </c>
      <c r="T169" s="100">
        <f>VLOOKUP(TableRBRanks314135[[#This Row],[Player]],RB!B:O,4,FALSE)</f>
        <v>0</v>
      </c>
      <c r="U169" s="100">
        <f>VLOOKUP(TableRBRanks314135[[#This Row],[Player]],RB!B:O,5,FALSE)</f>
        <v>0</v>
      </c>
      <c r="V169" s="100">
        <f>VLOOKUP(TableRBRanks314135[[#This Row],[Player]],RB!B:O,6,FALSE)</f>
        <v>0</v>
      </c>
      <c r="W169" s="100">
        <f>VLOOKUP(TableRBRanks314135[[#This Row],[Player]],RB!B:O,7,FALSE)</f>
        <v>0</v>
      </c>
      <c r="X169" s="100">
        <f>VLOOKUP(TableRBRanks314135[[#This Row],[Player]],RB!B:O,8,FALSE)</f>
        <v>0</v>
      </c>
      <c r="Y169" s="100">
        <f>VLOOKUP(TableRBRanks314135[[#This Row],[Player]],RB!B:O,9,FALSE)</f>
        <v>0</v>
      </c>
      <c r="Z169" s="100">
        <f>VLOOKUP(TableRBRanks314135[[#This Row],[Player]],RB!B:O,10,FALSE)</f>
        <v>0</v>
      </c>
      <c r="AA169" s="95">
        <f>VLOOKUP(TableRBRanks314135[[#This Row],[Player]],RB!B:O,14,FALSE)</f>
        <v>0</v>
      </c>
      <c r="AB169" s="190">
        <f>TableRBRanks314135[[#This Row],[FPS]]+(TableRBRanks314135[[#This Row],[REC]]*0.5)</f>
        <v>0</v>
      </c>
      <c r="AD169" s="58">
        <v>168</v>
      </c>
      <c r="AE169" s="58">
        <f>VLOOKUP(TableWRRanks324236[[#This Row],[RK]],Rankings!A:AI,28,FALSE)</f>
        <v>0</v>
      </c>
      <c r="AF169" s="58" t="str">
        <f>IFERROR(INDEX(TableWRCalcPts[TM],MATCH(TableWRRanks324236[[#This Row],[Player]],TableWRCalcPts[PLAYER],0)),"")</f>
        <v/>
      </c>
      <c r="AG169" s="58" t="str">
        <f>IFERROR(INDEX(TableWRCalcPts[BYE],MATCH(TableWRRanks324236[[#This Row],[Player]],TableWRCalcPts[PLAYER],0)),"")</f>
        <v/>
      </c>
      <c r="AH169" s="100">
        <f>VLOOKUP(TableWRRanks324236[[#This Row],[Player]],WR!B:O,4,FALSE)</f>
        <v>0</v>
      </c>
      <c r="AI169" s="100">
        <f>VLOOKUP(TableWRRanks324236[[#This Row],[Player]],WR!B:O,5,FALSE)</f>
        <v>0</v>
      </c>
      <c r="AJ169" s="100">
        <f>VLOOKUP(TableWRRanks324236[[#This Row],[Player]],WR!B:O,6,FALSE)</f>
        <v>0</v>
      </c>
      <c r="AK169" s="100">
        <f>VLOOKUP(TableWRRanks324236[[#This Row],[Player]],WR!B:O,7,FALSE)</f>
        <v>0</v>
      </c>
      <c r="AL169" s="100">
        <f>VLOOKUP(TableWRRanks324236[[#This Row],[Player]],WR!B:O,8,FALSE)</f>
        <v>0</v>
      </c>
      <c r="AM169" s="100">
        <f>VLOOKUP(TableWRRanks324236[[#This Row],[Player]],WR!B:O,9,FALSE)</f>
        <v>0</v>
      </c>
      <c r="AN169" s="95">
        <f>VLOOKUP(TableWRRanks324236[[#This Row],[Player]],WR!B:O,13,FALSE)</f>
        <v>0</v>
      </c>
      <c r="AO169" s="190">
        <f>TableWRRanks324236[[#This Row],[FPS]]+(TableWRRanks324236[[#This Row],[REC]]*0.5)</f>
        <v>0</v>
      </c>
    </row>
    <row r="170" spans="16:41" x14ac:dyDescent="0.25">
      <c r="P170" s="58">
        <v>169</v>
      </c>
      <c r="Q170" s="58">
        <f>VLOOKUP(TableRBRanks314135[[#This Row],[RK]],Rankings!A:AI,23,FALSE)</f>
        <v>0</v>
      </c>
      <c r="R170" s="58" t="str">
        <f>IFERROR(INDEX(TableRBCalcPts[TM],MATCH(TableRBRanks314135[[#This Row],[Player]],TableRBCalcPts[PLAYER],0)),"")</f>
        <v/>
      </c>
      <c r="S170" s="58" t="str">
        <f>IFERROR(INDEX(TableRBCalcPts[BYE],MATCH(TableRBRanks314135[[#This Row],[Player]],TableRBCalcPts[PLAYER],0)),"")</f>
        <v/>
      </c>
      <c r="T170" s="100">
        <f>VLOOKUP(TableRBRanks314135[[#This Row],[Player]],RB!B:O,4,FALSE)</f>
        <v>0</v>
      </c>
      <c r="U170" s="100">
        <f>VLOOKUP(TableRBRanks314135[[#This Row],[Player]],RB!B:O,5,FALSE)</f>
        <v>0</v>
      </c>
      <c r="V170" s="100">
        <f>VLOOKUP(TableRBRanks314135[[#This Row],[Player]],RB!B:O,6,FALSE)</f>
        <v>0</v>
      </c>
      <c r="W170" s="100">
        <f>VLOOKUP(TableRBRanks314135[[#This Row],[Player]],RB!B:O,7,FALSE)</f>
        <v>0</v>
      </c>
      <c r="X170" s="100">
        <f>VLOOKUP(TableRBRanks314135[[#This Row],[Player]],RB!B:O,8,FALSE)</f>
        <v>0</v>
      </c>
      <c r="Y170" s="100">
        <f>VLOOKUP(TableRBRanks314135[[#This Row],[Player]],RB!B:O,9,FALSE)</f>
        <v>0</v>
      </c>
      <c r="Z170" s="100">
        <f>VLOOKUP(TableRBRanks314135[[#This Row],[Player]],RB!B:O,10,FALSE)</f>
        <v>0</v>
      </c>
      <c r="AA170" s="95">
        <f>VLOOKUP(TableRBRanks314135[[#This Row],[Player]],RB!B:O,14,FALSE)</f>
        <v>0</v>
      </c>
      <c r="AB170" s="190">
        <f>TableRBRanks314135[[#This Row],[FPS]]+(TableRBRanks314135[[#This Row],[REC]]*0.5)</f>
        <v>0</v>
      </c>
      <c r="AD170" s="58">
        <v>169</v>
      </c>
      <c r="AE170" s="58">
        <f>VLOOKUP(TableWRRanks324236[[#This Row],[RK]],Rankings!A:AI,28,FALSE)</f>
        <v>0</v>
      </c>
      <c r="AF170" s="58" t="str">
        <f>IFERROR(INDEX(TableWRCalcPts[TM],MATCH(TableWRRanks324236[[#This Row],[Player]],TableWRCalcPts[PLAYER],0)),"")</f>
        <v/>
      </c>
      <c r="AG170" s="58" t="str">
        <f>IFERROR(INDEX(TableWRCalcPts[BYE],MATCH(TableWRRanks324236[[#This Row],[Player]],TableWRCalcPts[PLAYER],0)),"")</f>
        <v/>
      </c>
      <c r="AH170" s="100">
        <f>VLOOKUP(TableWRRanks324236[[#This Row],[Player]],WR!B:O,4,FALSE)</f>
        <v>0</v>
      </c>
      <c r="AI170" s="100">
        <f>VLOOKUP(TableWRRanks324236[[#This Row],[Player]],WR!B:O,5,FALSE)</f>
        <v>0</v>
      </c>
      <c r="AJ170" s="100">
        <f>VLOOKUP(TableWRRanks324236[[#This Row],[Player]],WR!B:O,6,FALSE)</f>
        <v>0</v>
      </c>
      <c r="AK170" s="100">
        <f>VLOOKUP(TableWRRanks324236[[#This Row],[Player]],WR!B:O,7,FALSE)</f>
        <v>0</v>
      </c>
      <c r="AL170" s="100">
        <f>VLOOKUP(TableWRRanks324236[[#This Row],[Player]],WR!B:O,8,FALSE)</f>
        <v>0</v>
      </c>
      <c r="AM170" s="100">
        <f>VLOOKUP(TableWRRanks324236[[#This Row],[Player]],WR!B:O,9,FALSE)</f>
        <v>0</v>
      </c>
      <c r="AN170" s="95">
        <f>VLOOKUP(TableWRRanks324236[[#This Row],[Player]],WR!B:O,13,FALSE)</f>
        <v>0</v>
      </c>
      <c r="AO170" s="190">
        <f>TableWRRanks324236[[#This Row],[FPS]]+(TableWRRanks324236[[#This Row],[REC]]*0.5)</f>
        <v>0</v>
      </c>
    </row>
    <row r="171" spans="16:41" x14ac:dyDescent="0.25">
      <c r="P171" s="58">
        <v>170</v>
      </c>
      <c r="Q171" s="58">
        <f>VLOOKUP(TableRBRanks314135[[#This Row],[RK]],Rankings!A:AI,23,FALSE)</f>
        <v>0</v>
      </c>
      <c r="R171" s="58" t="str">
        <f>IFERROR(INDEX(TableRBCalcPts[TM],MATCH(TableRBRanks314135[[#This Row],[Player]],TableRBCalcPts[PLAYER],0)),"")</f>
        <v/>
      </c>
      <c r="S171" s="58" t="str">
        <f>IFERROR(INDEX(TableRBCalcPts[BYE],MATCH(TableRBRanks314135[[#This Row],[Player]],TableRBCalcPts[PLAYER],0)),"")</f>
        <v/>
      </c>
      <c r="T171" s="100">
        <f>VLOOKUP(TableRBRanks314135[[#This Row],[Player]],RB!B:O,4,FALSE)</f>
        <v>0</v>
      </c>
      <c r="U171" s="100">
        <f>VLOOKUP(TableRBRanks314135[[#This Row],[Player]],RB!B:O,5,FALSE)</f>
        <v>0</v>
      </c>
      <c r="V171" s="100">
        <f>VLOOKUP(TableRBRanks314135[[#This Row],[Player]],RB!B:O,6,FALSE)</f>
        <v>0</v>
      </c>
      <c r="W171" s="100">
        <f>VLOOKUP(TableRBRanks314135[[#This Row],[Player]],RB!B:O,7,FALSE)</f>
        <v>0</v>
      </c>
      <c r="X171" s="100">
        <f>VLOOKUP(TableRBRanks314135[[#This Row],[Player]],RB!B:O,8,FALSE)</f>
        <v>0</v>
      </c>
      <c r="Y171" s="100">
        <f>VLOOKUP(TableRBRanks314135[[#This Row],[Player]],RB!B:O,9,FALSE)</f>
        <v>0</v>
      </c>
      <c r="Z171" s="100">
        <f>VLOOKUP(TableRBRanks314135[[#This Row],[Player]],RB!B:O,10,FALSE)</f>
        <v>0</v>
      </c>
      <c r="AA171" s="95">
        <f>VLOOKUP(TableRBRanks314135[[#This Row],[Player]],RB!B:O,14,FALSE)</f>
        <v>0</v>
      </c>
      <c r="AB171" s="190">
        <f>TableRBRanks314135[[#This Row],[FPS]]+(TableRBRanks314135[[#This Row],[REC]]*0.5)</f>
        <v>0</v>
      </c>
      <c r="AD171" s="58">
        <v>170</v>
      </c>
      <c r="AE171" s="58">
        <f>VLOOKUP(TableWRRanks324236[[#This Row],[RK]],Rankings!A:AI,28,FALSE)</f>
        <v>0</v>
      </c>
      <c r="AF171" s="58" t="str">
        <f>IFERROR(INDEX(TableWRCalcPts[TM],MATCH(TableWRRanks324236[[#This Row],[Player]],TableWRCalcPts[PLAYER],0)),"")</f>
        <v/>
      </c>
      <c r="AG171" s="58" t="str">
        <f>IFERROR(INDEX(TableWRCalcPts[BYE],MATCH(TableWRRanks324236[[#This Row],[Player]],TableWRCalcPts[PLAYER],0)),"")</f>
        <v/>
      </c>
      <c r="AH171" s="100">
        <f>VLOOKUP(TableWRRanks324236[[#This Row],[Player]],WR!B:O,4,FALSE)</f>
        <v>0</v>
      </c>
      <c r="AI171" s="100">
        <f>VLOOKUP(TableWRRanks324236[[#This Row],[Player]],WR!B:O,5,FALSE)</f>
        <v>0</v>
      </c>
      <c r="AJ171" s="100">
        <f>VLOOKUP(TableWRRanks324236[[#This Row],[Player]],WR!B:O,6,FALSE)</f>
        <v>0</v>
      </c>
      <c r="AK171" s="100">
        <f>VLOOKUP(TableWRRanks324236[[#This Row],[Player]],WR!B:O,7,FALSE)</f>
        <v>0</v>
      </c>
      <c r="AL171" s="100">
        <f>VLOOKUP(TableWRRanks324236[[#This Row],[Player]],WR!B:O,8,FALSE)</f>
        <v>0</v>
      </c>
      <c r="AM171" s="100">
        <f>VLOOKUP(TableWRRanks324236[[#This Row],[Player]],WR!B:O,9,FALSE)</f>
        <v>0</v>
      </c>
      <c r="AN171" s="95">
        <f>VLOOKUP(TableWRRanks324236[[#This Row],[Player]],WR!B:O,13,FALSE)</f>
        <v>0</v>
      </c>
      <c r="AO171" s="190">
        <f>TableWRRanks324236[[#This Row],[FPS]]+(TableWRRanks324236[[#This Row],[REC]]*0.5)</f>
        <v>0</v>
      </c>
    </row>
    <row r="172" spans="16:41" x14ac:dyDescent="0.25">
      <c r="AD172" s="58">
        <v>171</v>
      </c>
      <c r="AE172" s="58">
        <f>VLOOKUP(TableWRRanks324236[[#This Row],[RK]],Rankings!A:AI,28,FALSE)</f>
        <v>0</v>
      </c>
      <c r="AF172" s="58" t="str">
        <f>IFERROR(INDEX(TableWRCalcPts[TM],MATCH(TableWRRanks324236[[#This Row],[Player]],TableWRCalcPts[PLAYER],0)),"")</f>
        <v/>
      </c>
      <c r="AG172" s="58" t="str">
        <f>IFERROR(INDEX(TableWRCalcPts[BYE],MATCH(TableWRRanks324236[[#This Row],[Player]],TableWRCalcPts[PLAYER],0)),"")</f>
        <v/>
      </c>
      <c r="AH172" s="100">
        <f>VLOOKUP(TableWRRanks324236[[#This Row],[Player]],WR!B:O,4,FALSE)</f>
        <v>0</v>
      </c>
      <c r="AI172" s="100">
        <f>VLOOKUP(TableWRRanks324236[[#This Row],[Player]],WR!B:O,5,FALSE)</f>
        <v>0</v>
      </c>
      <c r="AJ172" s="100">
        <f>VLOOKUP(TableWRRanks324236[[#This Row],[Player]],WR!B:O,6,FALSE)</f>
        <v>0</v>
      </c>
      <c r="AK172" s="100">
        <f>VLOOKUP(TableWRRanks324236[[#This Row],[Player]],WR!B:O,7,FALSE)</f>
        <v>0</v>
      </c>
      <c r="AL172" s="100">
        <f>VLOOKUP(TableWRRanks324236[[#This Row],[Player]],WR!B:O,8,FALSE)</f>
        <v>0</v>
      </c>
      <c r="AM172" s="100">
        <f>VLOOKUP(TableWRRanks324236[[#This Row],[Player]],WR!B:O,9,FALSE)</f>
        <v>0</v>
      </c>
      <c r="AN172" s="95">
        <f>VLOOKUP(TableWRRanks324236[[#This Row],[Player]],WR!B:O,13,FALSE)</f>
        <v>0</v>
      </c>
      <c r="AO172" s="190">
        <f>TableWRRanks324236[[#This Row],[FPS]]+(TableWRRanks324236[[#This Row],[REC]]*0.5)</f>
        <v>0</v>
      </c>
    </row>
    <row r="173" spans="16:41" x14ac:dyDescent="0.25">
      <c r="AD173" s="58">
        <v>172</v>
      </c>
      <c r="AE173" s="58">
        <f>VLOOKUP(TableWRRanks324236[[#This Row],[RK]],Rankings!A:AI,28,FALSE)</f>
        <v>0</v>
      </c>
      <c r="AF173" s="58" t="str">
        <f>IFERROR(INDEX(TableWRCalcPts[TM],MATCH(TableWRRanks324236[[#This Row],[Player]],TableWRCalcPts[PLAYER],0)),"")</f>
        <v/>
      </c>
      <c r="AG173" s="58" t="str">
        <f>IFERROR(INDEX(TableWRCalcPts[BYE],MATCH(TableWRRanks324236[[#This Row],[Player]],TableWRCalcPts[PLAYER],0)),"")</f>
        <v/>
      </c>
      <c r="AH173" s="100">
        <f>VLOOKUP(TableWRRanks324236[[#This Row],[Player]],WR!B:O,4,FALSE)</f>
        <v>0</v>
      </c>
      <c r="AI173" s="100">
        <f>VLOOKUP(TableWRRanks324236[[#This Row],[Player]],WR!B:O,5,FALSE)</f>
        <v>0</v>
      </c>
      <c r="AJ173" s="100">
        <f>VLOOKUP(TableWRRanks324236[[#This Row],[Player]],WR!B:O,6,FALSE)</f>
        <v>0</v>
      </c>
      <c r="AK173" s="100">
        <f>VLOOKUP(TableWRRanks324236[[#This Row],[Player]],WR!B:O,7,FALSE)</f>
        <v>0</v>
      </c>
      <c r="AL173" s="100">
        <f>VLOOKUP(TableWRRanks324236[[#This Row],[Player]],WR!B:O,8,FALSE)</f>
        <v>0</v>
      </c>
      <c r="AM173" s="100">
        <f>VLOOKUP(TableWRRanks324236[[#This Row],[Player]],WR!B:O,9,FALSE)</f>
        <v>0</v>
      </c>
      <c r="AN173" s="95">
        <f>VLOOKUP(TableWRRanks324236[[#This Row],[Player]],WR!B:O,13,FALSE)</f>
        <v>0</v>
      </c>
      <c r="AO173" s="190">
        <f>TableWRRanks324236[[#This Row],[FPS]]+(TableWRRanks324236[[#This Row],[REC]]*0.5)</f>
        <v>0</v>
      </c>
    </row>
    <row r="174" spans="16:41" x14ac:dyDescent="0.25">
      <c r="AD174" s="58">
        <v>173</v>
      </c>
      <c r="AE174" s="58">
        <f>VLOOKUP(TableWRRanks324236[[#This Row],[RK]],Rankings!A:AI,28,FALSE)</f>
        <v>0</v>
      </c>
      <c r="AF174" s="58" t="str">
        <f>IFERROR(INDEX(TableWRCalcPts[TM],MATCH(TableWRRanks324236[[#This Row],[Player]],TableWRCalcPts[PLAYER],0)),"")</f>
        <v/>
      </c>
      <c r="AG174" s="58" t="str">
        <f>IFERROR(INDEX(TableWRCalcPts[BYE],MATCH(TableWRRanks324236[[#This Row],[Player]],TableWRCalcPts[PLAYER],0)),"")</f>
        <v/>
      </c>
      <c r="AH174" s="100">
        <f>VLOOKUP(TableWRRanks324236[[#This Row],[Player]],WR!B:O,4,FALSE)</f>
        <v>0</v>
      </c>
      <c r="AI174" s="100">
        <f>VLOOKUP(TableWRRanks324236[[#This Row],[Player]],WR!B:O,5,FALSE)</f>
        <v>0</v>
      </c>
      <c r="AJ174" s="100">
        <f>VLOOKUP(TableWRRanks324236[[#This Row],[Player]],WR!B:O,6,FALSE)</f>
        <v>0</v>
      </c>
      <c r="AK174" s="100">
        <f>VLOOKUP(TableWRRanks324236[[#This Row],[Player]],WR!B:O,7,FALSE)</f>
        <v>0</v>
      </c>
      <c r="AL174" s="100">
        <f>VLOOKUP(TableWRRanks324236[[#This Row],[Player]],WR!B:O,8,FALSE)</f>
        <v>0</v>
      </c>
      <c r="AM174" s="100">
        <f>VLOOKUP(TableWRRanks324236[[#This Row],[Player]],WR!B:O,9,FALSE)</f>
        <v>0</v>
      </c>
      <c r="AN174" s="95">
        <f>VLOOKUP(TableWRRanks324236[[#This Row],[Player]],WR!B:O,13,FALSE)</f>
        <v>0</v>
      </c>
      <c r="AO174" s="190">
        <f>TableWRRanks324236[[#This Row],[FPS]]+(TableWRRanks324236[[#This Row],[REC]]*0.5)</f>
        <v>0</v>
      </c>
    </row>
    <row r="175" spans="16:41" x14ac:dyDescent="0.25">
      <c r="AD175" s="58">
        <v>174</v>
      </c>
      <c r="AE175" s="58">
        <f>VLOOKUP(TableWRRanks324236[[#This Row],[RK]],Rankings!A:AI,28,FALSE)</f>
        <v>0</v>
      </c>
      <c r="AF175" s="58" t="str">
        <f>IFERROR(INDEX(TableWRCalcPts[TM],MATCH(TableWRRanks324236[[#This Row],[Player]],TableWRCalcPts[PLAYER],0)),"")</f>
        <v/>
      </c>
      <c r="AG175" s="58" t="str">
        <f>IFERROR(INDEX(TableWRCalcPts[BYE],MATCH(TableWRRanks324236[[#This Row],[Player]],TableWRCalcPts[PLAYER],0)),"")</f>
        <v/>
      </c>
      <c r="AH175" s="100">
        <f>VLOOKUP(TableWRRanks324236[[#This Row],[Player]],WR!B:O,4,FALSE)</f>
        <v>0</v>
      </c>
      <c r="AI175" s="100">
        <f>VLOOKUP(TableWRRanks324236[[#This Row],[Player]],WR!B:O,5,FALSE)</f>
        <v>0</v>
      </c>
      <c r="AJ175" s="100">
        <f>VLOOKUP(TableWRRanks324236[[#This Row],[Player]],WR!B:O,6,FALSE)</f>
        <v>0</v>
      </c>
      <c r="AK175" s="100">
        <f>VLOOKUP(TableWRRanks324236[[#This Row],[Player]],WR!B:O,7,FALSE)</f>
        <v>0</v>
      </c>
      <c r="AL175" s="100">
        <f>VLOOKUP(TableWRRanks324236[[#This Row],[Player]],WR!B:O,8,FALSE)</f>
        <v>0</v>
      </c>
      <c r="AM175" s="100">
        <f>VLOOKUP(TableWRRanks324236[[#This Row],[Player]],WR!B:O,9,FALSE)</f>
        <v>0</v>
      </c>
      <c r="AN175" s="95">
        <f>VLOOKUP(TableWRRanks324236[[#This Row],[Player]],WR!B:O,13,FALSE)</f>
        <v>0</v>
      </c>
      <c r="AO175" s="190">
        <f>TableWRRanks324236[[#This Row],[FPS]]+(TableWRRanks324236[[#This Row],[REC]]*0.5)</f>
        <v>0</v>
      </c>
    </row>
    <row r="176" spans="16:41" x14ac:dyDescent="0.25">
      <c r="AD176" s="58">
        <v>175</v>
      </c>
      <c r="AE176" s="58">
        <f>VLOOKUP(TableWRRanks324236[[#This Row],[RK]],Rankings!A:AI,28,FALSE)</f>
        <v>0</v>
      </c>
      <c r="AF176" s="58" t="str">
        <f>IFERROR(INDEX(TableWRCalcPts[TM],MATCH(TableWRRanks324236[[#This Row],[Player]],TableWRCalcPts[PLAYER],0)),"")</f>
        <v/>
      </c>
      <c r="AG176" s="58" t="str">
        <f>IFERROR(INDEX(TableWRCalcPts[BYE],MATCH(TableWRRanks324236[[#This Row],[Player]],TableWRCalcPts[PLAYER],0)),"")</f>
        <v/>
      </c>
      <c r="AH176" s="100">
        <f>VLOOKUP(TableWRRanks324236[[#This Row],[Player]],WR!B:O,4,FALSE)</f>
        <v>0</v>
      </c>
      <c r="AI176" s="100">
        <f>VLOOKUP(TableWRRanks324236[[#This Row],[Player]],WR!B:O,5,FALSE)</f>
        <v>0</v>
      </c>
      <c r="AJ176" s="100">
        <f>VLOOKUP(TableWRRanks324236[[#This Row],[Player]],WR!B:O,6,FALSE)</f>
        <v>0</v>
      </c>
      <c r="AK176" s="100">
        <f>VLOOKUP(TableWRRanks324236[[#This Row],[Player]],WR!B:O,7,FALSE)</f>
        <v>0</v>
      </c>
      <c r="AL176" s="100">
        <f>VLOOKUP(TableWRRanks324236[[#This Row],[Player]],WR!B:O,8,FALSE)</f>
        <v>0</v>
      </c>
      <c r="AM176" s="100">
        <f>VLOOKUP(TableWRRanks324236[[#This Row],[Player]],WR!B:O,9,FALSE)</f>
        <v>0</v>
      </c>
      <c r="AN176" s="95">
        <f>VLOOKUP(TableWRRanks324236[[#This Row],[Player]],WR!B:O,13,FALSE)</f>
        <v>0</v>
      </c>
      <c r="AO176" s="190">
        <f>TableWRRanks324236[[#This Row],[FPS]]+(TableWRRanks324236[[#This Row],[REC]]*0.5)</f>
        <v>0</v>
      </c>
    </row>
    <row r="177" spans="30:41" x14ac:dyDescent="0.25">
      <c r="AD177" s="58">
        <v>176</v>
      </c>
      <c r="AE177" s="58">
        <f>VLOOKUP(TableWRRanks324236[[#This Row],[RK]],Rankings!A:AI,28,FALSE)</f>
        <v>0</v>
      </c>
      <c r="AF177" s="58" t="str">
        <f>IFERROR(INDEX(TableWRCalcPts[TM],MATCH(TableWRRanks324236[[#This Row],[Player]],TableWRCalcPts[PLAYER],0)),"")</f>
        <v/>
      </c>
      <c r="AG177" s="58" t="str">
        <f>IFERROR(INDEX(TableWRCalcPts[BYE],MATCH(TableWRRanks324236[[#This Row],[Player]],TableWRCalcPts[PLAYER],0)),"")</f>
        <v/>
      </c>
      <c r="AH177" s="100">
        <f>VLOOKUP(TableWRRanks324236[[#This Row],[Player]],WR!B:O,4,FALSE)</f>
        <v>0</v>
      </c>
      <c r="AI177" s="100">
        <f>VLOOKUP(TableWRRanks324236[[#This Row],[Player]],WR!B:O,5,FALSE)</f>
        <v>0</v>
      </c>
      <c r="AJ177" s="100">
        <f>VLOOKUP(TableWRRanks324236[[#This Row],[Player]],WR!B:O,6,FALSE)</f>
        <v>0</v>
      </c>
      <c r="AK177" s="100">
        <f>VLOOKUP(TableWRRanks324236[[#This Row],[Player]],WR!B:O,7,FALSE)</f>
        <v>0</v>
      </c>
      <c r="AL177" s="100">
        <f>VLOOKUP(TableWRRanks324236[[#This Row],[Player]],WR!B:O,8,FALSE)</f>
        <v>0</v>
      </c>
      <c r="AM177" s="100">
        <f>VLOOKUP(TableWRRanks324236[[#This Row],[Player]],WR!B:O,9,FALSE)</f>
        <v>0</v>
      </c>
      <c r="AN177" s="95">
        <f>VLOOKUP(TableWRRanks324236[[#This Row],[Player]],WR!B:O,13,FALSE)</f>
        <v>0</v>
      </c>
      <c r="AO177" s="190">
        <f>TableWRRanks324236[[#This Row],[FPS]]+(TableWRRanks324236[[#This Row],[REC]]*0.5)</f>
        <v>0</v>
      </c>
    </row>
    <row r="178" spans="30:41" x14ac:dyDescent="0.25">
      <c r="AD178" s="58">
        <v>177</v>
      </c>
      <c r="AE178" s="58">
        <f>VLOOKUP(TableWRRanks324236[[#This Row],[RK]],Rankings!A:AI,28,FALSE)</f>
        <v>0</v>
      </c>
      <c r="AF178" s="58" t="str">
        <f>IFERROR(INDEX(TableWRCalcPts[TM],MATCH(TableWRRanks324236[[#This Row],[Player]],TableWRCalcPts[PLAYER],0)),"")</f>
        <v/>
      </c>
      <c r="AG178" s="58" t="str">
        <f>IFERROR(INDEX(TableWRCalcPts[BYE],MATCH(TableWRRanks324236[[#This Row],[Player]],TableWRCalcPts[PLAYER],0)),"")</f>
        <v/>
      </c>
      <c r="AH178" s="100">
        <f>VLOOKUP(TableWRRanks324236[[#This Row],[Player]],WR!B:O,4,FALSE)</f>
        <v>0</v>
      </c>
      <c r="AI178" s="100">
        <f>VLOOKUP(TableWRRanks324236[[#This Row],[Player]],WR!B:O,5,FALSE)</f>
        <v>0</v>
      </c>
      <c r="AJ178" s="100">
        <f>VLOOKUP(TableWRRanks324236[[#This Row],[Player]],WR!B:O,6,FALSE)</f>
        <v>0</v>
      </c>
      <c r="AK178" s="100">
        <f>VLOOKUP(TableWRRanks324236[[#This Row],[Player]],WR!B:O,7,FALSE)</f>
        <v>0</v>
      </c>
      <c r="AL178" s="100">
        <f>VLOOKUP(TableWRRanks324236[[#This Row],[Player]],WR!B:O,8,FALSE)</f>
        <v>0</v>
      </c>
      <c r="AM178" s="100">
        <f>VLOOKUP(TableWRRanks324236[[#This Row],[Player]],WR!B:O,9,FALSE)</f>
        <v>0</v>
      </c>
      <c r="AN178" s="95">
        <f>VLOOKUP(TableWRRanks324236[[#This Row],[Player]],WR!B:O,13,FALSE)</f>
        <v>0</v>
      </c>
      <c r="AO178" s="190">
        <f>TableWRRanks324236[[#This Row],[FPS]]+(TableWRRanks324236[[#This Row],[REC]]*0.5)</f>
        <v>0</v>
      </c>
    </row>
    <row r="179" spans="30:41" x14ac:dyDescent="0.25">
      <c r="AD179" s="58">
        <v>178</v>
      </c>
      <c r="AE179" s="58">
        <f>VLOOKUP(TableWRRanks324236[[#This Row],[RK]],Rankings!A:AI,28,FALSE)</f>
        <v>0</v>
      </c>
      <c r="AF179" s="58" t="str">
        <f>IFERROR(INDEX(TableWRCalcPts[TM],MATCH(TableWRRanks324236[[#This Row],[Player]],TableWRCalcPts[PLAYER],0)),"")</f>
        <v/>
      </c>
      <c r="AG179" s="58" t="str">
        <f>IFERROR(INDEX(TableWRCalcPts[BYE],MATCH(TableWRRanks324236[[#This Row],[Player]],TableWRCalcPts[PLAYER],0)),"")</f>
        <v/>
      </c>
      <c r="AH179" s="100">
        <f>VLOOKUP(TableWRRanks324236[[#This Row],[Player]],WR!B:O,4,FALSE)</f>
        <v>0</v>
      </c>
      <c r="AI179" s="100">
        <f>VLOOKUP(TableWRRanks324236[[#This Row],[Player]],WR!B:O,5,FALSE)</f>
        <v>0</v>
      </c>
      <c r="AJ179" s="100">
        <f>VLOOKUP(TableWRRanks324236[[#This Row],[Player]],WR!B:O,6,FALSE)</f>
        <v>0</v>
      </c>
      <c r="AK179" s="100">
        <f>VLOOKUP(TableWRRanks324236[[#This Row],[Player]],WR!B:O,7,FALSE)</f>
        <v>0</v>
      </c>
      <c r="AL179" s="100">
        <f>VLOOKUP(TableWRRanks324236[[#This Row],[Player]],WR!B:O,8,FALSE)</f>
        <v>0</v>
      </c>
      <c r="AM179" s="100">
        <f>VLOOKUP(TableWRRanks324236[[#This Row],[Player]],WR!B:O,9,FALSE)</f>
        <v>0</v>
      </c>
      <c r="AN179" s="95">
        <f>VLOOKUP(TableWRRanks324236[[#This Row],[Player]],WR!B:O,13,FALSE)</f>
        <v>0</v>
      </c>
      <c r="AO179" s="190">
        <f>TableWRRanks324236[[#This Row],[FPS]]+(TableWRRanks324236[[#This Row],[REC]]*0.5)</f>
        <v>0</v>
      </c>
    </row>
    <row r="180" spans="30:41" x14ac:dyDescent="0.25">
      <c r="AD180" s="58">
        <v>179</v>
      </c>
      <c r="AE180" s="58">
        <f>VLOOKUP(TableWRRanks324236[[#This Row],[RK]],Rankings!A:AI,28,FALSE)</f>
        <v>0</v>
      </c>
      <c r="AF180" s="58" t="str">
        <f>IFERROR(INDEX(TableWRCalcPts[TM],MATCH(TableWRRanks324236[[#This Row],[Player]],TableWRCalcPts[PLAYER],0)),"")</f>
        <v/>
      </c>
      <c r="AG180" s="58" t="str">
        <f>IFERROR(INDEX(TableWRCalcPts[BYE],MATCH(TableWRRanks324236[[#This Row],[Player]],TableWRCalcPts[PLAYER],0)),"")</f>
        <v/>
      </c>
      <c r="AH180" s="100">
        <f>VLOOKUP(TableWRRanks324236[[#This Row],[Player]],WR!B:O,4,FALSE)</f>
        <v>0</v>
      </c>
      <c r="AI180" s="100">
        <f>VLOOKUP(TableWRRanks324236[[#This Row],[Player]],WR!B:O,5,FALSE)</f>
        <v>0</v>
      </c>
      <c r="AJ180" s="100">
        <f>VLOOKUP(TableWRRanks324236[[#This Row],[Player]],WR!B:O,6,FALSE)</f>
        <v>0</v>
      </c>
      <c r="AK180" s="100">
        <f>VLOOKUP(TableWRRanks324236[[#This Row],[Player]],WR!B:O,7,FALSE)</f>
        <v>0</v>
      </c>
      <c r="AL180" s="100">
        <f>VLOOKUP(TableWRRanks324236[[#This Row],[Player]],WR!B:O,8,FALSE)</f>
        <v>0</v>
      </c>
      <c r="AM180" s="100">
        <f>VLOOKUP(TableWRRanks324236[[#This Row],[Player]],WR!B:O,9,FALSE)</f>
        <v>0</v>
      </c>
      <c r="AN180" s="95">
        <f>VLOOKUP(TableWRRanks324236[[#This Row],[Player]],WR!B:O,13,FALSE)</f>
        <v>0</v>
      </c>
      <c r="AO180" s="190">
        <f>TableWRRanks324236[[#This Row],[FPS]]+(TableWRRanks324236[[#This Row],[REC]]*0.5)</f>
        <v>0</v>
      </c>
    </row>
    <row r="181" spans="30:41" x14ac:dyDescent="0.25">
      <c r="AD181" s="58">
        <v>180</v>
      </c>
      <c r="AE181" s="58">
        <f>VLOOKUP(TableWRRanks324236[[#This Row],[RK]],Rankings!A:AI,28,FALSE)</f>
        <v>0</v>
      </c>
      <c r="AF181" s="58" t="str">
        <f>IFERROR(INDEX(TableWRCalcPts[TM],MATCH(TableWRRanks324236[[#This Row],[Player]],TableWRCalcPts[PLAYER],0)),"")</f>
        <v/>
      </c>
      <c r="AG181" s="58" t="str">
        <f>IFERROR(INDEX(TableWRCalcPts[BYE],MATCH(TableWRRanks324236[[#This Row],[Player]],TableWRCalcPts[PLAYER],0)),"")</f>
        <v/>
      </c>
      <c r="AH181" s="100">
        <f>VLOOKUP(TableWRRanks324236[[#This Row],[Player]],WR!B:O,4,FALSE)</f>
        <v>0</v>
      </c>
      <c r="AI181" s="100">
        <f>VLOOKUP(TableWRRanks324236[[#This Row],[Player]],WR!B:O,5,FALSE)</f>
        <v>0</v>
      </c>
      <c r="AJ181" s="100">
        <f>VLOOKUP(TableWRRanks324236[[#This Row],[Player]],WR!B:O,6,FALSE)</f>
        <v>0</v>
      </c>
      <c r="AK181" s="100">
        <f>VLOOKUP(TableWRRanks324236[[#This Row],[Player]],WR!B:O,7,FALSE)</f>
        <v>0</v>
      </c>
      <c r="AL181" s="100">
        <f>VLOOKUP(TableWRRanks324236[[#This Row],[Player]],WR!B:O,8,FALSE)</f>
        <v>0</v>
      </c>
      <c r="AM181" s="100">
        <f>VLOOKUP(TableWRRanks324236[[#This Row],[Player]],WR!B:O,9,FALSE)</f>
        <v>0</v>
      </c>
      <c r="AN181" s="95">
        <f>VLOOKUP(TableWRRanks324236[[#This Row],[Player]],WR!B:O,13,FALSE)</f>
        <v>0</v>
      </c>
      <c r="AO181" s="190">
        <f>TableWRRanks324236[[#This Row],[FPS]]+(TableWRRanks324236[[#This Row],[REC]]*0.5)</f>
        <v>0</v>
      </c>
    </row>
    <row r="182" spans="30:41" x14ac:dyDescent="0.25">
      <c r="AD182" s="58">
        <v>181</v>
      </c>
      <c r="AE182" s="58">
        <f>VLOOKUP(TableWRRanks324236[[#This Row],[RK]],Rankings!A:AI,28,FALSE)</f>
        <v>0</v>
      </c>
      <c r="AF182" s="58" t="str">
        <f>IFERROR(INDEX(TableWRCalcPts[TM],MATCH(TableWRRanks324236[[#This Row],[Player]],TableWRCalcPts[PLAYER],0)),"")</f>
        <v/>
      </c>
      <c r="AG182" s="58" t="str">
        <f>IFERROR(INDEX(TableWRCalcPts[BYE],MATCH(TableWRRanks324236[[#This Row],[Player]],TableWRCalcPts[PLAYER],0)),"")</f>
        <v/>
      </c>
      <c r="AH182" s="100">
        <f>VLOOKUP(TableWRRanks324236[[#This Row],[Player]],WR!B:O,4,FALSE)</f>
        <v>0</v>
      </c>
      <c r="AI182" s="100">
        <f>VLOOKUP(TableWRRanks324236[[#This Row],[Player]],WR!B:O,5,FALSE)</f>
        <v>0</v>
      </c>
      <c r="AJ182" s="100">
        <f>VLOOKUP(TableWRRanks324236[[#This Row],[Player]],WR!B:O,6,FALSE)</f>
        <v>0</v>
      </c>
      <c r="AK182" s="100">
        <f>VLOOKUP(TableWRRanks324236[[#This Row],[Player]],WR!B:O,7,FALSE)</f>
        <v>0</v>
      </c>
      <c r="AL182" s="100">
        <f>VLOOKUP(TableWRRanks324236[[#This Row],[Player]],WR!B:O,8,FALSE)</f>
        <v>0</v>
      </c>
      <c r="AM182" s="100">
        <f>VLOOKUP(TableWRRanks324236[[#This Row],[Player]],WR!B:O,9,FALSE)</f>
        <v>0</v>
      </c>
      <c r="AN182" s="95">
        <f>VLOOKUP(TableWRRanks324236[[#This Row],[Player]],WR!B:O,13,FALSE)</f>
        <v>0</v>
      </c>
      <c r="AO182" s="190">
        <f>TableWRRanks324236[[#This Row],[FPS]]+(TableWRRanks324236[[#This Row],[REC]]*0.5)</f>
        <v>0</v>
      </c>
    </row>
    <row r="183" spans="30:41" x14ac:dyDescent="0.25">
      <c r="AD183" s="58">
        <v>182</v>
      </c>
      <c r="AE183" s="58">
        <f>VLOOKUP(TableWRRanks324236[[#This Row],[RK]],Rankings!A:AI,28,FALSE)</f>
        <v>0</v>
      </c>
      <c r="AF183" s="58" t="str">
        <f>IFERROR(INDEX(TableWRCalcPts[TM],MATCH(TableWRRanks324236[[#This Row],[Player]],TableWRCalcPts[PLAYER],0)),"")</f>
        <v/>
      </c>
      <c r="AG183" s="58" t="str">
        <f>IFERROR(INDEX(TableWRCalcPts[BYE],MATCH(TableWRRanks324236[[#This Row],[Player]],TableWRCalcPts[PLAYER],0)),"")</f>
        <v/>
      </c>
      <c r="AH183" s="100">
        <f>VLOOKUP(TableWRRanks324236[[#This Row],[Player]],WR!B:O,4,FALSE)</f>
        <v>0</v>
      </c>
      <c r="AI183" s="100">
        <f>VLOOKUP(TableWRRanks324236[[#This Row],[Player]],WR!B:O,5,FALSE)</f>
        <v>0</v>
      </c>
      <c r="AJ183" s="100">
        <f>VLOOKUP(TableWRRanks324236[[#This Row],[Player]],WR!B:O,6,FALSE)</f>
        <v>0</v>
      </c>
      <c r="AK183" s="100">
        <f>VLOOKUP(TableWRRanks324236[[#This Row],[Player]],WR!B:O,7,FALSE)</f>
        <v>0</v>
      </c>
      <c r="AL183" s="100">
        <f>VLOOKUP(TableWRRanks324236[[#This Row],[Player]],WR!B:O,8,FALSE)</f>
        <v>0</v>
      </c>
      <c r="AM183" s="100">
        <f>VLOOKUP(TableWRRanks324236[[#This Row],[Player]],WR!B:O,9,FALSE)</f>
        <v>0</v>
      </c>
      <c r="AN183" s="95">
        <f>VLOOKUP(TableWRRanks324236[[#This Row],[Player]],WR!B:O,13,FALSE)</f>
        <v>0</v>
      </c>
      <c r="AO183" s="190">
        <f>TableWRRanks324236[[#This Row],[FPS]]+(TableWRRanks324236[[#This Row],[REC]]*0.5)</f>
        <v>0</v>
      </c>
    </row>
    <row r="184" spans="30:41" x14ac:dyDescent="0.25">
      <c r="AD184" s="58">
        <v>183</v>
      </c>
      <c r="AE184" s="58">
        <f>VLOOKUP(TableWRRanks324236[[#This Row],[RK]],Rankings!A:AI,28,FALSE)</f>
        <v>0</v>
      </c>
      <c r="AF184" s="58" t="str">
        <f>IFERROR(INDEX(TableWRCalcPts[TM],MATCH(TableWRRanks324236[[#This Row],[Player]],TableWRCalcPts[PLAYER],0)),"")</f>
        <v/>
      </c>
      <c r="AG184" s="58" t="str">
        <f>IFERROR(INDEX(TableWRCalcPts[BYE],MATCH(TableWRRanks324236[[#This Row],[Player]],TableWRCalcPts[PLAYER],0)),"")</f>
        <v/>
      </c>
      <c r="AH184" s="100">
        <f>VLOOKUP(TableWRRanks324236[[#This Row],[Player]],WR!B:O,4,FALSE)</f>
        <v>0</v>
      </c>
      <c r="AI184" s="100">
        <f>VLOOKUP(TableWRRanks324236[[#This Row],[Player]],WR!B:O,5,FALSE)</f>
        <v>0</v>
      </c>
      <c r="AJ184" s="100">
        <f>VLOOKUP(TableWRRanks324236[[#This Row],[Player]],WR!B:O,6,FALSE)</f>
        <v>0</v>
      </c>
      <c r="AK184" s="100">
        <f>VLOOKUP(TableWRRanks324236[[#This Row],[Player]],WR!B:O,7,FALSE)</f>
        <v>0</v>
      </c>
      <c r="AL184" s="100">
        <f>VLOOKUP(TableWRRanks324236[[#This Row],[Player]],WR!B:O,8,FALSE)</f>
        <v>0</v>
      </c>
      <c r="AM184" s="100">
        <f>VLOOKUP(TableWRRanks324236[[#This Row],[Player]],WR!B:O,9,FALSE)</f>
        <v>0</v>
      </c>
      <c r="AN184" s="95">
        <f>VLOOKUP(TableWRRanks324236[[#This Row],[Player]],WR!B:O,13,FALSE)</f>
        <v>0</v>
      </c>
      <c r="AO184" s="190">
        <f>TableWRRanks324236[[#This Row],[FPS]]+(TableWRRanks324236[[#This Row],[REC]]*0.5)</f>
        <v>0</v>
      </c>
    </row>
    <row r="185" spans="30:41" x14ac:dyDescent="0.25">
      <c r="AD185" s="58">
        <v>184</v>
      </c>
      <c r="AE185" s="58">
        <f>VLOOKUP(TableWRRanks324236[[#This Row],[RK]],Rankings!A:AI,28,FALSE)</f>
        <v>0</v>
      </c>
      <c r="AF185" s="58" t="str">
        <f>IFERROR(INDEX(TableWRCalcPts[TM],MATCH(TableWRRanks324236[[#This Row],[Player]],TableWRCalcPts[PLAYER],0)),"")</f>
        <v/>
      </c>
      <c r="AG185" s="58" t="str">
        <f>IFERROR(INDEX(TableWRCalcPts[BYE],MATCH(TableWRRanks324236[[#This Row],[Player]],TableWRCalcPts[PLAYER],0)),"")</f>
        <v/>
      </c>
      <c r="AH185" s="100">
        <f>VLOOKUP(TableWRRanks324236[[#This Row],[Player]],WR!B:O,4,FALSE)</f>
        <v>0</v>
      </c>
      <c r="AI185" s="100">
        <f>VLOOKUP(TableWRRanks324236[[#This Row],[Player]],WR!B:O,5,FALSE)</f>
        <v>0</v>
      </c>
      <c r="AJ185" s="100">
        <f>VLOOKUP(TableWRRanks324236[[#This Row],[Player]],WR!B:O,6,FALSE)</f>
        <v>0</v>
      </c>
      <c r="AK185" s="100">
        <f>VLOOKUP(TableWRRanks324236[[#This Row],[Player]],WR!B:O,7,FALSE)</f>
        <v>0</v>
      </c>
      <c r="AL185" s="100">
        <f>VLOOKUP(TableWRRanks324236[[#This Row],[Player]],WR!B:O,8,FALSE)</f>
        <v>0</v>
      </c>
      <c r="AM185" s="100">
        <f>VLOOKUP(TableWRRanks324236[[#This Row],[Player]],WR!B:O,9,FALSE)</f>
        <v>0</v>
      </c>
      <c r="AN185" s="95">
        <f>VLOOKUP(TableWRRanks324236[[#This Row],[Player]],WR!B:O,13,FALSE)</f>
        <v>0</v>
      </c>
      <c r="AO185" s="190">
        <f>TableWRRanks324236[[#This Row],[FPS]]+(TableWRRanks324236[[#This Row],[REC]]*0.5)</f>
        <v>0</v>
      </c>
    </row>
    <row r="186" spans="30:41" x14ac:dyDescent="0.25">
      <c r="AD186" s="58">
        <v>185</v>
      </c>
      <c r="AE186" s="58">
        <f>VLOOKUP(TableWRRanks324236[[#This Row],[RK]],Rankings!A:AI,28,FALSE)</f>
        <v>0</v>
      </c>
      <c r="AF186" s="58" t="str">
        <f>IFERROR(INDEX(TableWRCalcPts[TM],MATCH(TableWRRanks324236[[#This Row],[Player]],TableWRCalcPts[PLAYER],0)),"")</f>
        <v/>
      </c>
      <c r="AG186" s="58" t="str">
        <f>IFERROR(INDEX(TableWRCalcPts[BYE],MATCH(TableWRRanks324236[[#This Row],[Player]],TableWRCalcPts[PLAYER],0)),"")</f>
        <v/>
      </c>
      <c r="AH186" s="100">
        <f>VLOOKUP(TableWRRanks324236[[#This Row],[Player]],WR!B:O,4,FALSE)</f>
        <v>0</v>
      </c>
      <c r="AI186" s="100">
        <f>VLOOKUP(TableWRRanks324236[[#This Row],[Player]],WR!B:O,5,FALSE)</f>
        <v>0</v>
      </c>
      <c r="AJ186" s="100">
        <f>VLOOKUP(TableWRRanks324236[[#This Row],[Player]],WR!B:O,6,FALSE)</f>
        <v>0</v>
      </c>
      <c r="AK186" s="100">
        <f>VLOOKUP(TableWRRanks324236[[#This Row],[Player]],WR!B:O,7,FALSE)</f>
        <v>0</v>
      </c>
      <c r="AL186" s="100">
        <f>VLOOKUP(TableWRRanks324236[[#This Row],[Player]],WR!B:O,8,FALSE)</f>
        <v>0</v>
      </c>
      <c r="AM186" s="100">
        <f>VLOOKUP(TableWRRanks324236[[#This Row],[Player]],WR!B:O,9,FALSE)</f>
        <v>0</v>
      </c>
      <c r="AN186" s="95">
        <f>VLOOKUP(TableWRRanks324236[[#This Row],[Player]],WR!B:O,13,FALSE)</f>
        <v>0</v>
      </c>
      <c r="AO186" s="190">
        <f>TableWRRanks324236[[#This Row],[FPS]]+(TableWRRanks324236[[#This Row],[REC]]*0.5)</f>
        <v>0</v>
      </c>
    </row>
    <row r="187" spans="30:41" x14ac:dyDescent="0.25">
      <c r="AD187" s="58">
        <v>186</v>
      </c>
      <c r="AE187" s="58" t="e">
        <f>VLOOKUP(TableWRRanks324236[[#This Row],[RK]],Rankings!A:AI,28,FALSE)</f>
        <v>#N/A</v>
      </c>
      <c r="AF187" s="58" t="str">
        <f>IFERROR(INDEX(TableWRCalcPts[TM],MATCH(TableWRRanks324236[[#This Row],[Player]],TableWRCalcPts[PLAYER],0)),"")</f>
        <v/>
      </c>
      <c r="AG187" s="58" t="str">
        <f>IFERROR(INDEX(TableWRCalcPts[BYE],MATCH(TableWRRanks324236[[#This Row],[Player]],TableWRCalcPts[PLAYER],0)),"")</f>
        <v/>
      </c>
      <c r="AH187" s="100" t="e">
        <f>VLOOKUP(TableWRRanks324236[[#This Row],[Player]],WR!B:O,4,FALSE)</f>
        <v>#N/A</v>
      </c>
      <c r="AI187" s="100" t="e">
        <f>VLOOKUP(TableWRRanks324236[[#This Row],[Player]],WR!B:O,5,FALSE)</f>
        <v>#N/A</v>
      </c>
      <c r="AJ187" s="100" t="e">
        <f>VLOOKUP(TableWRRanks324236[[#This Row],[Player]],WR!B:O,6,FALSE)</f>
        <v>#N/A</v>
      </c>
      <c r="AK187" s="100" t="e">
        <f>VLOOKUP(TableWRRanks324236[[#This Row],[Player]],WR!B:O,7,FALSE)</f>
        <v>#N/A</v>
      </c>
      <c r="AL187" s="100" t="e">
        <f>VLOOKUP(TableWRRanks324236[[#This Row],[Player]],WR!B:O,8,FALSE)</f>
        <v>#N/A</v>
      </c>
      <c r="AM187" s="100" t="e">
        <f>VLOOKUP(TableWRRanks324236[[#This Row],[Player]],WR!B:O,9,FALSE)</f>
        <v>#N/A</v>
      </c>
      <c r="AN187" s="95" t="e">
        <f>VLOOKUP(TableWRRanks324236[[#This Row],[Player]],WR!B:O,13,FALSE)</f>
        <v>#N/A</v>
      </c>
      <c r="AO187" s="190" t="e">
        <f>TableWRRanks324236[[#This Row],[FPS]]+(TableWRRanks324236[[#This Row],[REC]]*0.5)</f>
        <v>#N/A</v>
      </c>
    </row>
    <row r="188" spans="30:41" x14ac:dyDescent="0.25">
      <c r="AD188" s="58">
        <v>187</v>
      </c>
      <c r="AE188" s="58" t="e">
        <f>VLOOKUP(TableWRRanks324236[[#This Row],[RK]],Rankings!A:AI,28,FALSE)</f>
        <v>#N/A</v>
      </c>
      <c r="AF188" s="58" t="str">
        <f>IFERROR(INDEX(TableWRCalcPts[TM],MATCH(TableWRRanks324236[[#This Row],[Player]],TableWRCalcPts[PLAYER],0)),"")</f>
        <v/>
      </c>
      <c r="AG188" s="58" t="str">
        <f>IFERROR(INDEX(TableWRCalcPts[BYE],MATCH(TableWRRanks324236[[#This Row],[Player]],TableWRCalcPts[PLAYER],0)),"")</f>
        <v/>
      </c>
      <c r="AH188" s="100" t="e">
        <f>VLOOKUP(TableWRRanks324236[[#This Row],[Player]],WR!B:O,4,FALSE)</f>
        <v>#N/A</v>
      </c>
      <c r="AI188" s="100" t="e">
        <f>VLOOKUP(TableWRRanks324236[[#This Row],[Player]],WR!B:O,5,FALSE)</f>
        <v>#N/A</v>
      </c>
      <c r="AJ188" s="100" t="e">
        <f>VLOOKUP(TableWRRanks324236[[#This Row],[Player]],WR!B:O,6,FALSE)</f>
        <v>#N/A</v>
      </c>
      <c r="AK188" s="100" t="e">
        <f>VLOOKUP(TableWRRanks324236[[#This Row],[Player]],WR!B:O,7,FALSE)</f>
        <v>#N/A</v>
      </c>
      <c r="AL188" s="100" t="e">
        <f>VLOOKUP(TableWRRanks324236[[#This Row],[Player]],WR!B:O,8,FALSE)</f>
        <v>#N/A</v>
      </c>
      <c r="AM188" s="100" t="e">
        <f>VLOOKUP(TableWRRanks324236[[#This Row],[Player]],WR!B:O,9,FALSE)</f>
        <v>#N/A</v>
      </c>
      <c r="AN188" s="95" t="e">
        <f>VLOOKUP(TableWRRanks324236[[#This Row],[Player]],WR!B:O,13,FALSE)</f>
        <v>#N/A</v>
      </c>
      <c r="AO188" s="190" t="e">
        <f>TableWRRanks324236[[#This Row],[FPS]]+(TableWRRanks324236[[#This Row],[REC]]*0.5)</f>
        <v>#N/A</v>
      </c>
    </row>
    <row r="189" spans="30:41" x14ac:dyDescent="0.25">
      <c r="AD189" s="58">
        <v>188</v>
      </c>
      <c r="AE189" s="58" t="e">
        <f>VLOOKUP(TableWRRanks324236[[#This Row],[RK]],Rankings!A:AI,28,FALSE)</f>
        <v>#N/A</v>
      </c>
      <c r="AF189" s="58" t="str">
        <f>IFERROR(INDEX(TableWRCalcPts[TM],MATCH(TableWRRanks324236[[#This Row],[Player]],TableWRCalcPts[PLAYER],0)),"")</f>
        <v/>
      </c>
      <c r="AG189" s="58" t="str">
        <f>IFERROR(INDEX(TableWRCalcPts[BYE],MATCH(TableWRRanks324236[[#This Row],[Player]],TableWRCalcPts[PLAYER],0)),"")</f>
        <v/>
      </c>
      <c r="AH189" s="100" t="e">
        <f>VLOOKUP(TableWRRanks324236[[#This Row],[Player]],WR!B:O,4,FALSE)</f>
        <v>#N/A</v>
      </c>
      <c r="AI189" s="100" t="e">
        <f>VLOOKUP(TableWRRanks324236[[#This Row],[Player]],WR!B:O,5,FALSE)</f>
        <v>#N/A</v>
      </c>
      <c r="AJ189" s="100" t="e">
        <f>VLOOKUP(TableWRRanks324236[[#This Row],[Player]],WR!B:O,6,FALSE)</f>
        <v>#N/A</v>
      </c>
      <c r="AK189" s="100" t="e">
        <f>VLOOKUP(TableWRRanks324236[[#This Row],[Player]],WR!B:O,7,FALSE)</f>
        <v>#N/A</v>
      </c>
      <c r="AL189" s="100" t="e">
        <f>VLOOKUP(TableWRRanks324236[[#This Row],[Player]],WR!B:O,8,FALSE)</f>
        <v>#N/A</v>
      </c>
      <c r="AM189" s="100" t="e">
        <f>VLOOKUP(TableWRRanks324236[[#This Row],[Player]],WR!B:O,9,FALSE)</f>
        <v>#N/A</v>
      </c>
      <c r="AN189" s="95" t="e">
        <f>VLOOKUP(TableWRRanks324236[[#This Row],[Player]],WR!B:O,13,FALSE)</f>
        <v>#N/A</v>
      </c>
      <c r="AO189" s="190" t="e">
        <f>TableWRRanks324236[[#This Row],[FPS]]+(TableWRRanks324236[[#This Row],[REC]]*0.5)</f>
        <v>#N/A</v>
      </c>
    </row>
    <row r="190" spans="30:41" x14ac:dyDescent="0.25">
      <c r="AD190" s="58">
        <v>189</v>
      </c>
      <c r="AE190" s="58" t="e">
        <f>VLOOKUP(TableWRRanks324236[[#This Row],[RK]],Rankings!A:AI,28,FALSE)</f>
        <v>#N/A</v>
      </c>
      <c r="AF190" s="58" t="str">
        <f>IFERROR(INDEX(TableWRCalcPts[TM],MATCH(TableWRRanks324236[[#This Row],[Player]],TableWRCalcPts[PLAYER],0)),"")</f>
        <v/>
      </c>
      <c r="AG190" s="58" t="str">
        <f>IFERROR(INDEX(TableWRCalcPts[BYE],MATCH(TableWRRanks324236[[#This Row],[Player]],TableWRCalcPts[PLAYER],0)),"")</f>
        <v/>
      </c>
      <c r="AH190" s="100" t="e">
        <f>VLOOKUP(TableWRRanks324236[[#This Row],[Player]],WR!B:O,4,FALSE)</f>
        <v>#N/A</v>
      </c>
      <c r="AI190" s="100" t="e">
        <f>VLOOKUP(TableWRRanks324236[[#This Row],[Player]],WR!B:O,5,FALSE)</f>
        <v>#N/A</v>
      </c>
      <c r="AJ190" s="100" t="e">
        <f>VLOOKUP(TableWRRanks324236[[#This Row],[Player]],WR!B:O,6,FALSE)</f>
        <v>#N/A</v>
      </c>
      <c r="AK190" s="100" t="e">
        <f>VLOOKUP(TableWRRanks324236[[#This Row],[Player]],WR!B:O,7,FALSE)</f>
        <v>#N/A</v>
      </c>
      <c r="AL190" s="100" t="e">
        <f>VLOOKUP(TableWRRanks324236[[#This Row],[Player]],WR!B:O,8,FALSE)</f>
        <v>#N/A</v>
      </c>
      <c r="AM190" s="100" t="e">
        <f>VLOOKUP(TableWRRanks324236[[#This Row],[Player]],WR!B:O,9,FALSE)</f>
        <v>#N/A</v>
      </c>
      <c r="AN190" s="95" t="e">
        <f>VLOOKUP(TableWRRanks324236[[#This Row],[Player]],WR!B:O,13,FALSE)</f>
        <v>#N/A</v>
      </c>
      <c r="AO190" s="190" t="e">
        <f>TableWRRanks324236[[#This Row],[FPS]]+(TableWRRanks324236[[#This Row],[REC]]*0.5)</f>
        <v>#N/A</v>
      </c>
    </row>
    <row r="191" spans="30:41" x14ac:dyDescent="0.25">
      <c r="AD191" s="58">
        <v>190</v>
      </c>
      <c r="AE191" s="58" t="e">
        <f>VLOOKUP(TableWRRanks324236[[#This Row],[RK]],Rankings!A:AI,28,FALSE)</f>
        <v>#N/A</v>
      </c>
      <c r="AF191" s="58" t="str">
        <f>IFERROR(INDEX(TableWRCalcPts[TM],MATCH(TableWRRanks324236[[#This Row],[Player]],TableWRCalcPts[PLAYER],0)),"")</f>
        <v/>
      </c>
      <c r="AG191" s="58" t="str">
        <f>IFERROR(INDEX(TableWRCalcPts[BYE],MATCH(TableWRRanks324236[[#This Row],[Player]],TableWRCalcPts[PLAYER],0)),"")</f>
        <v/>
      </c>
      <c r="AH191" s="100" t="e">
        <f>VLOOKUP(TableWRRanks324236[[#This Row],[Player]],WR!B:O,4,FALSE)</f>
        <v>#N/A</v>
      </c>
      <c r="AI191" s="100" t="e">
        <f>VLOOKUP(TableWRRanks324236[[#This Row],[Player]],WR!B:O,5,FALSE)</f>
        <v>#N/A</v>
      </c>
      <c r="AJ191" s="100" t="e">
        <f>VLOOKUP(TableWRRanks324236[[#This Row],[Player]],WR!B:O,6,FALSE)</f>
        <v>#N/A</v>
      </c>
      <c r="AK191" s="100" t="e">
        <f>VLOOKUP(TableWRRanks324236[[#This Row],[Player]],WR!B:O,7,FALSE)</f>
        <v>#N/A</v>
      </c>
      <c r="AL191" s="100" t="e">
        <f>VLOOKUP(TableWRRanks324236[[#This Row],[Player]],WR!B:O,8,FALSE)</f>
        <v>#N/A</v>
      </c>
      <c r="AM191" s="100" t="e">
        <f>VLOOKUP(TableWRRanks324236[[#This Row],[Player]],WR!B:O,9,FALSE)</f>
        <v>#N/A</v>
      </c>
      <c r="AN191" s="95" t="e">
        <f>VLOOKUP(TableWRRanks324236[[#This Row],[Player]],WR!B:O,13,FALSE)</f>
        <v>#N/A</v>
      </c>
      <c r="AO191" s="190" t="e">
        <f>TableWRRanks324236[[#This Row],[FPS]]+(TableWRRanks324236[[#This Row],[REC]]*0.5)</f>
        <v>#N/A</v>
      </c>
    </row>
    <row r="192" spans="30:41" x14ac:dyDescent="0.25">
      <c r="AD192" s="58">
        <v>191</v>
      </c>
      <c r="AE192" s="58" t="e">
        <f>VLOOKUP(TableWRRanks324236[[#This Row],[RK]],Rankings!A:AI,28,FALSE)</f>
        <v>#N/A</v>
      </c>
      <c r="AF192" s="58" t="str">
        <f>IFERROR(INDEX(TableWRCalcPts[TM],MATCH(TableWRRanks324236[[#This Row],[Player]],TableWRCalcPts[PLAYER],0)),"")</f>
        <v/>
      </c>
      <c r="AG192" s="58" t="str">
        <f>IFERROR(INDEX(TableWRCalcPts[BYE],MATCH(TableWRRanks324236[[#This Row],[Player]],TableWRCalcPts[PLAYER],0)),"")</f>
        <v/>
      </c>
      <c r="AH192" s="100" t="e">
        <f>VLOOKUP(TableWRRanks324236[[#This Row],[Player]],WR!B:O,4,FALSE)</f>
        <v>#N/A</v>
      </c>
      <c r="AI192" s="100" t="e">
        <f>VLOOKUP(TableWRRanks324236[[#This Row],[Player]],WR!B:O,5,FALSE)</f>
        <v>#N/A</v>
      </c>
      <c r="AJ192" s="100" t="e">
        <f>VLOOKUP(TableWRRanks324236[[#This Row],[Player]],WR!B:O,6,FALSE)</f>
        <v>#N/A</v>
      </c>
      <c r="AK192" s="100" t="e">
        <f>VLOOKUP(TableWRRanks324236[[#This Row],[Player]],WR!B:O,7,FALSE)</f>
        <v>#N/A</v>
      </c>
      <c r="AL192" s="100" t="e">
        <f>VLOOKUP(TableWRRanks324236[[#This Row],[Player]],WR!B:O,8,FALSE)</f>
        <v>#N/A</v>
      </c>
      <c r="AM192" s="100" t="e">
        <f>VLOOKUP(TableWRRanks324236[[#This Row],[Player]],WR!B:O,9,FALSE)</f>
        <v>#N/A</v>
      </c>
      <c r="AN192" s="95" t="e">
        <f>VLOOKUP(TableWRRanks324236[[#This Row],[Player]],WR!B:O,13,FALSE)</f>
        <v>#N/A</v>
      </c>
      <c r="AO192" s="190" t="e">
        <f>TableWRRanks324236[[#This Row],[FPS]]+(TableWRRanks324236[[#This Row],[REC]]*0.5)</f>
        <v>#N/A</v>
      </c>
    </row>
    <row r="193" spans="30:41" x14ac:dyDescent="0.25">
      <c r="AD193" s="58">
        <v>192</v>
      </c>
      <c r="AE193" s="58" t="e">
        <f>VLOOKUP(TableWRRanks324236[[#This Row],[RK]],Rankings!A:AI,28,FALSE)</f>
        <v>#N/A</v>
      </c>
      <c r="AF193" s="58" t="str">
        <f>IFERROR(INDEX(TableWRCalcPts[TM],MATCH(TableWRRanks324236[[#This Row],[Player]],TableWRCalcPts[PLAYER],0)),"")</f>
        <v/>
      </c>
      <c r="AG193" s="58" t="str">
        <f>IFERROR(INDEX(TableWRCalcPts[BYE],MATCH(TableWRRanks324236[[#This Row],[Player]],TableWRCalcPts[PLAYER],0)),"")</f>
        <v/>
      </c>
      <c r="AH193" s="100" t="e">
        <f>VLOOKUP(TableWRRanks324236[[#This Row],[Player]],WR!B:O,4,FALSE)</f>
        <v>#N/A</v>
      </c>
      <c r="AI193" s="100" t="e">
        <f>VLOOKUP(TableWRRanks324236[[#This Row],[Player]],WR!B:O,5,FALSE)</f>
        <v>#N/A</v>
      </c>
      <c r="AJ193" s="100" t="e">
        <f>VLOOKUP(TableWRRanks324236[[#This Row],[Player]],WR!B:O,6,FALSE)</f>
        <v>#N/A</v>
      </c>
      <c r="AK193" s="100" t="e">
        <f>VLOOKUP(TableWRRanks324236[[#This Row],[Player]],WR!B:O,7,FALSE)</f>
        <v>#N/A</v>
      </c>
      <c r="AL193" s="100" t="e">
        <f>VLOOKUP(TableWRRanks324236[[#This Row],[Player]],WR!B:O,8,FALSE)</f>
        <v>#N/A</v>
      </c>
      <c r="AM193" s="100" t="e">
        <f>VLOOKUP(TableWRRanks324236[[#This Row],[Player]],WR!B:O,9,FALSE)</f>
        <v>#N/A</v>
      </c>
      <c r="AN193" s="95" t="e">
        <f>VLOOKUP(TableWRRanks324236[[#This Row],[Player]],WR!B:O,13,FALSE)</f>
        <v>#N/A</v>
      </c>
      <c r="AO193" s="190" t="e">
        <f>TableWRRanks324236[[#This Row],[FPS]]+(TableWRRanks324236[[#This Row],[REC]]*0.5)</f>
        <v>#N/A</v>
      </c>
    </row>
    <row r="194" spans="30:41" x14ac:dyDescent="0.25">
      <c r="AD194" s="58">
        <v>193</v>
      </c>
      <c r="AE194" s="58" t="e">
        <f>VLOOKUP(TableWRRanks324236[[#This Row],[RK]],Rankings!A:AI,28,FALSE)</f>
        <v>#N/A</v>
      </c>
      <c r="AF194" s="58" t="str">
        <f>IFERROR(INDEX(TableWRCalcPts[TM],MATCH(TableWRRanks324236[[#This Row],[Player]],TableWRCalcPts[PLAYER],0)),"")</f>
        <v/>
      </c>
      <c r="AG194" s="58" t="str">
        <f>IFERROR(INDEX(TableWRCalcPts[BYE],MATCH(TableWRRanks324236[[#This Row],[Player]],TableWRCalcPts[PLAYER],0)),"")</f>
        <v/>
      </c>
      <c r="AH194" s="100" t="e">
        <f>VLOOKUP(TableWRRanks324236[[#This Row],[Player]],WR!B:O,4,FALSE)</f>
        <v>#N/A</v>
      </c>
      <c r="AI194" s="100" t="e">
        <f>VLOOKUP(TableWRRanks324236[[#This Row],[Player]],WR!B:O,5,FALSE)</f>
        <v>#N/A</v>
      </c>
      <c r="AJ194" s="100" t="e">
        <f>VLOOKUP(TableWRRanks324236[[#This Row],[Player]],WR!B:O,6,FALSE)</f>
        <v>#N/A</v>
      </c>
      <c r="AK194" s="100" t="e">
        <f>VLOOKUP(TableWRRanks324236[[#This Row],[Player]],WR!B:O,7,FALSE)</f>
        <v>#N/A</v>
      </c>
      <c r="AL194" s="100" t="e">
        <f>VLOOKUP(TableWRRanks324236[[#This Row],[Player]],WR!B:O,8,FALSE)</f>
        <v>#N/A</v>
      </c>
      <c r="AM194" s="100" t="e">
        <f>VLOOKUP(TableWRRanks324236[[#This Row],[Player]],WR!B:O,9,FALSE)</f>
        <v>#N/A</v>
      </c>
      <c r="AN194" s="95" t="e">
        <f>VLOOKUP(TableWRRanks324236[[#This Row],[Player]],WR!B:O,13,FALSE)</f>
        <v>#N/A</v>
      </c>
      <c r="AO194" s="190" t="e">
        <f>TableWRRanks324236[[#This Row],[FPS]]+(TableWRRanks324236[[#This Row],[REC]]*0.5)</f>
        <v>#N/A</v>
      </c>
    </row>
    <row r="195" spans="30:41" x14ac:dyDescent="0.25">
      <c r="AD195" s="58">
        <v>194</v>
      </c>
      <c r="AE195" s="58" t="e">
        <f>VLOOKUP(TableWRRanks324236[[#This Row],[RK]],Rankings!A:AI,28,FALSE)</f>
        <v>#N/A</v>
      </c>
      <c r="AF195" s="58" t="str">
        <f>IFERROR(INDEX(TableWRCalcPts[TM],MATCH(TableWRRanks324236[[#This Row],[Player]],TableWRCalcPts[PLAYER],0)),"")</f>
        <v/>
      </c>
      <c r="AG195" s="58" t="str">
        <f>IFERROR(INDEX(TableWRCalcPts[BYE],MATCH(TableWRRanks324236[[#This Row],[Player]],TableWRCalcPts[PLAYER],0)),"")</f>
        <v/>
      </c>
      <c r="AH195" s="100" t="e">
        <f>VLOOKUP(TableWRRanks324236[[#This Row],[Player]],WR!B:O,4,FALSE)</f>
        <v>#N/A</v>
      </c>
      <c r="AI195" s="100" t="e">
        <f>VLOOKUP(TableWRRanks324236[[#This Row],[Player]],WR!B:O,5,FALSE)</f>
        <v>#N/A</v>
      </c>
      <c r="AJ195" s="100" t="e">
        <f>VLOOKUP(TableWRRanks324236[[#This Row],[Player]],WR!B:O,6,FALSE)</f>
        <v>#N/A</v>
      </c>
      <c r="AK195" s="100" t="e">
        <f>VLOOKUP(TableWRRanks324236[[#This Row],[Player]],WR!B:O,7,FALSE)</f>
        <v>#N/A</v>
      </c>
      <c r="AL195" s="100" t="e">
        <f>VLOOKUP(TableWRRanks324236[[#This Row],[Player]],WR!B:O,8,FALSE)</f>
        <v>#N/A</v>
      </c>
      <c r="AM195" s="100" t="e">
        <f>VLOOKUP(TableWRRanks324236[[#This Row],[Player]],WR!B:O,9,FALSE)</f>
        <v>#N/A</v>
      </c>
      <c r="AN195" s="95" t="e">
        <f>VLOOKUP(TableWRRanks324236[[#This Row],[Player]],WR!B:O,13,FALSE)</f>
        <v>#N/A</v>
      </c>
      <c r="AO195" s="190" t="e">
        <f>TableWRRanks324236[[#This Row],[FPS]]+(TableWRRanks324236[[#This Row],[REC]]*0.5)</f>
        <v>#N/A</v>
      </c>
    </row>
    <row r="196" spans="30:41" x14ac:dyDescent="0.25">
      <c r="AD196" s="58">
        <v>195</v>
      </c>
      <c r="AE196" s="58" t="e">
        <f>VLOOKUP(TableWRRanks324236[[#This Row],[RK]],Rankings!A:AI,28,FALSE)</f>
        <v>#N/A</v>
      </c>
      <c r="AF196" s="58" t="str">
        <f>IFERROR(INDEX(TableWRCalcPts[TM],MATCH(TableWRRanks324236[[#This Row],[Player]],TableWRCalcPts[PLAYER],0)),"")</f>
        <v/>
      </c>
      <c r="AG196" s="58" t="str">
        <f>IFERROR(INDEX(TableWRCalcPts[BYE],MATCH(TableWRRanks324236[[#This Row],[Player]],TableWRCalcPts[PLAYER],0)),"")</f>
        <v/>
      </c>
      <c r="AH196" s="100" t="e">
        <f>VLOOKUP(TableWRRanks324236[[#This Row],[Player]],WR!B:O,4,FALSE)</f>
        <v>#N/A</v>
      </c>
      <c r="AI196" s="100" t="e">
        <f>VLOOKUP(TableWRRanks324236[[#This Row],[Player]],WR!B:O,5,FALSE)</f>
        <v>#N/A</v>
      </c>
      <c r="AJ196" s="100" t="e">
        <f>VLOOKUP(TableWRRanks324236[[#This Row],[Player]],WR!B:O,6,FALSE)</f>
        <v>#N/A</v>
      </c>
      <c r="AK196" s="100" t="e">
        <f>VLOOKUP(TableWRRanks324236[[#This Row],[Player]],WR!B:O,7,FALSE)</f>
        <v>#N/A</v>
      </c>
      <c r="AL196" s="100" t="e">
        <f>VLOOKUP(TableWRRanks324236[[#This Row],[Player]],WR!B:O,8,FALSE)</f>
        <v>#N/A</v>
      </c>
      <c r="AM196" s="100" t="e">
        <f>VLOOKUP(TableWRRanks324236[[#This Row],[Player]],WR!B:O,9,FALSE)</f>
        <v>#N/A</v>
      </c>
      <c r="AN196" s="95" t="e">
        <f>VLOOKUP(TableWRRanks324236[[#This Row],[Player]],WR!B:O,13,FALSE)</f>
        <v>#N/A</v>
      </c>
      <c r="AO196" s="190" t="e">
        <f>TableWRRanks324236[[#This Row],[FPS]]+(TableWRRanks324236[[#This Row],[REC]]*0.5)</f>
        <v>#N/A</v>
      </c>
    </row>
    <row r="197" spans="30:41" x14ac:dyDescent="0.25">
      <c r="AD197" s="58">
        <v>196</v>
      </c>
      <c r="AE197" s="58" t="e">
        <f>VLOOKUP(TableWRRanks324236[[#This Row],[RK]],Rankings!A:AI,28,FALSE)</f>
        <v>#N/A</v>
      </c>
      <c r="AF197" s="58" t="str">
        <f>IFERROR(INDEX(TableWRCalcPts[TM],MATCH(TableWRRanks324236[[#This Row],[Player]],TableWRCalcPts[PLAYER],0)),"")</f>
        <v/>
      </c>
      <c r="AG197" s="58" t="str">
        <f>IFERROR(INDEX(TableWRCalcPts[BYE],MATCH(TableWRRanks324236[[#This Row],[Player]],TableWRCalcPts[PLAYER],0)),"")</f>
        <v/>
      </c>
      <c r="AH197" s="100" t="e">
        <f>VLOOKUP(TableWRRanks324236[[#This Row],[Player]],WR!B:O,4,FALSE)</f>
        <v>#N/A</v>
      </c>
      <c r="AI197" s="100" t="e">
        <f>VLOOKUP(TableWRRanks324236[[#This Row],[Player]],WR!B:O,5,FALSE)</f>
        <v>#N/A</v>
      </c>
      <c r="AJ197" s="100" t="e">
        <f>VLOOKUP(TableWRRanks324236[[#This Row],[Player]],WR!B:O,6,FALSE)</f>
        <v>#N/A</v>
      </c>
      <c r="AK197" s="100" t="e">
        <f>VLOOKUP(TableWRRanks324236[[#This Row],[Player]],WR!B:O,7,FALSE)</f>
        <v>#N/A</v>
      </c>
      <c r="AL197" s="100" t="e">
        <f>VLOOKUP(TableWRRanks324236[[#This Row],[Player]],WR!B:O,8,FALSE)</f>
        <v>#N/A</v>
      </c>
      <c r="AM197" s="100" t="e">
        <f>VLOOKUP(TableWRRanks324236[[#This Row],[Player]],WR!B:O,9,FALSE)</f>
        <v>#N/A</v>
      </c>
      <c r="AN197" s="95" t="e">
        <f>VLOOKUP(TableWRRanks324236[[#This Row],[Player]],WR!B:O,13,FALSE)</f>
        <v>#N/A</v>
      </c>
      <c r="AO197" s="190" t="e">
        <f>TableWRRanks324236[[#This Row],[FPS]]+(TableWRRanks324236[[#This Row],[REC]]*0.5)</f>
        <v>#N/A</v>
      </c>
    </row>
    <row r="198" spans="30:41" x14ac:dyDescent="0.25">
      <c r="AD198" s="58">
        <v>197</v>
      </c>
      <c r="AE198" s="58" t="e">
        <f>VLOOKUP(TableWRRanks324236[[#This Row],[RK]],Rankings!A:AI,28,FALSE)</f>
        <v>#N/A</v>
      </c>
      <c r="AF198" s="58" t="str">
        <f>IFERROR(INDEX(TableWRCalcPts[TM],MATCH(TableWRRanks324236[[#This Row],[Player]],TableWRCalcPts[PLAYER],0)),"")</f>
        <v/>
      </c>
      <c r="AG198" s="58" t="str">
        <f>IFERROR(INDEX(TableWRCalcPts[BYE],MATCH(TableWRRanks324236[[#This Row],[Player]],TableWRCalcPts[PLAYER],0)),"")</f>
        <v/>
      </c>
      <c r="AH198" s="100" t="e">
        <f>VLOOKUP(TableWRRanks324236[[#This Row],[Player]],WR!B:O,4,FALSE)</f>
        <v>#N/A</v>
      </c>
      <c r="AI198" s="100" t="e">
        <f>VLOOKUP(TableWRRanks324236[[#This Row],[Player]],WR!B:O,5,FALSE)</f>
        <v>#N/A</v>
      </c>
      <c r="AJ198" s="100" t="e">
        <f>VLOOKUP(TableWRRanks324236[[#This Row],[Player]],WR!B:O,6,FALSE)</f>
        <v>#N/A</v>
      </c>
      <c r="AK198" s="100" t="e">
        <f>VLOOKUP(TableWRRanks324236[[#This Row],[Player]],WR!B:O,7,FALSE)</f>
        <v>#N/A</v>
      </c>
      <c r="AL198" s="100" t="e">
        <f>VLOOKUP(TableWRRanks324236[[#This Row],[Player]],WR!B:O,8,FALSE)</f>
        <v>#N/A</v>
      </c>
      <c r="AM198" s="100" t="e">
        <f>VLOOKUP(TableWRRanks324236[[#This Row],[Player]],WR!B:O,9,FALSE)</f>
        <v>#N/A</v>
      </c>
      <c r="AN198" s="95" t="e">
        <f>VLOOKUP(TableWRRanks324236[[#This Row],[Player]],WR!B:O,13,FALSE)</f>
        <v>#N/A</v>
      </c>
      <c r="AO198" s="190" t="e">
        <f>TableWRRanks324236[[#This Row],[FPS]]+(TableWRRanks324236[[#This Row],[REC]]*0.5)</f>
        <v>#N/A</v>
      </c>
    </row>
    <row r="199" spans="30:41" x14ac:dyDescent="0.25">
      <c r="AD199" s="58">
        <v>198</v>
      </c>
      <c r="AE199" s="58" t="e">
        <f>VLOOKUP(TableWRRanks324236[[#This Row],[RK]],Rankings!A:AI,28,FALSE)</f>
        <v>#N/A</v>
      </c>
      <c r="AF199" s="58" t="str">
        <f>IFERROR(INDEX(TableWRCalcPts[TM],MATCH(TableWRRanks324236[[#This Row],[Player]],TableWRCalcPts[PLAYER],0)),"")</f>
        <v/>
      </c>
      <c r="AG199" s="58" t="str">
        <f>IFERROR(INDEX(TableWRCalcPts[BYE],MATCH(TableWRRanks324236[[#This Row],[Player]],TableWRCalcPts[PLAYER],0)),"")</f>
        <v/>
      </c>
      <c r="AH199" s="100" t="e">
        <f>VLOOKUP(TableWRRanks324236[[#This Row],[Player]],WR!B:O,4,FALSE)</f>
        <v>#N/A</v>
      </c>
      <c r="AI199" s="100" t="e">
        <f>VLOOKUP(TableWRRanks324236[[#This Row],[Player]],WR!B:O,5,FALSE)</f>
        <v>#N/A</v>
      </c>
      <c r="AJ199" s="100" t="e">
        <f>VLOOKUP(TableWRRanks324236[[#This Row],[Player]],WR!B:O,6,FALSE)</f>
        <v>#N/A</v>
      </c>
      <c r="AK199" s="100" t="e">
        <f>VLOOKUP(TableWRRanks324236[[#This Row],[Player]],WR!B:O,7,FALSE)</f>
        <v>#N/A</v>
      </c>
      <c r="AL199" s="100" t="e">
        <f>VLOOKUP(TableWRRanks324236[[#This Row],[Player]],WR!B:O,8,FALSE)</f>
        <v>#N/A</v>
      </c>
      <c r="AM199" s="100" t="e">
        <f>VLOOKUP(TableWRRanks324236[[#This Row],[Player]],WR!B:O,9,FALSE)</f>
        <v>#N/A</v>
      </c>
      <c r="AN199" s="95" t="e">
        <f>VLOOKUP(TableWRRanks324236[[#This Row],[Player]],WR!B:O,13,FALSE)</f>
        <v>#N/A</v>
      </c>
      <c r="AO199" s="190" t="e">
        <f>TableWRRanks324236[[#This Row],[FPS]]+(TableWRRanks324236[[#This Row],[REC]]*0.5)</f>
        <v>#N/A</v>
      </c>
    </row>
    <row r="200" spans="30:41" x14ac:dyDescent="0.25">
      <c r="AD200" s="58">
        <v>199</v>
      </c>
      <c r="AE200" s="58" t="e">
        <f>VLOOKUP(TableWRRanks324236[[#This Row],[RK]],Rankings!A:AI,28,FALSE)</f>
        <v>#N/A</v>
      </c>
      <c r="AF200" s="58" t="str">
        <f>IFERROR(INDEX(TableWRCalcPts[TM],MATCH(TableWRRanks324236[[#This Row],[Player]],TableWRCalcPts[PLAYER],0)),"")</f>
        <v/>
      </c>
      <c r="AG200" s="58" t="str">
        <f>IFERROR(INDEX(TableWRCalcPts[BYE],MATCH(TableWRRanks324236[[#This Row],[Player]],TableWRCalcPts[PLAYER],0)),"")</f>
        <v/>
      </c>
      <c r="AH200" s="100" t="e">
        <f>VLOOKUP(TableWRRanks324236[[#This Row],[Player]],WR!B:O,4,FALSE)</f>
        <v>#N/A</v>
      </c>
      <c r="AI200" s="100" t="e">
        <f>VLOOKUP(TableWRRanks324236[[#This Row],[Player]],WR!B:O,5,FALSE)</f>
        <v>#N/A</v>
      </c>
      <c r="AJ200" s="100" t="e">
        <f>VLOOKUP(TableWRRanks324236[[#This Row],[Player]],WR!B:O,6,FALSE)</f>
        <v>#N/A</v>
      </c>
      <c r="AK200" s="100" t="e">
        <f>VLOOKUP(TableWRRanks324236[[#This Row],[Player]],WR!B:O,7,FALSE)</f>
        <v>#N/A</v>
      </c>
      <c r="AL200" s="100" t="e">
        <f>VLOOKUP(TableWRRanks324236[[#This Row],[Player]],WR!B:O,8,FALSE)</f>
        <v>#N/A</v>
      </c>
      <c r="AM200" s="100" t="e">
        <f>VLOOKUP(TableWRRanks324236[[#This Row],[Player]],WR!B:O,9,FALSE)</f>
        <v>#N/A</v>
      </c>
      <c r="AN200" s="95" t="e">
        <f>VLOOKUP(TableWRRanks324236[[#This Row],[Player]],WR!B:O,13,FALSE)</f>
        <v>#N/A</v>
      </c>
      <c r="AO200" s="190" t="e">
        <f>TableWRRanks324236[[#This Row],[FPS]]+(TableWRRanks324236[[#This Row],[REC]]*0.5)</f>
        <v>#N/A</v>
      </c>
    </row>
    <row r="201" spans="30:41" x14ac:dyDescent="0.25">
      <c r="AD201" s="58">
        <v>200</v>
      </c>
      <c r="AE201" s="58" t="e">
        <f>VLOOKUP(TableWRRanks324236[[#This Row],[RK]],Rankings!A:AI,28,FALSE)</f>
        <v>#N/A</v>
      </c>
      <c r="AF201" s="58" t="str">
        <f>IFERROR(INDEX(TableWRCalcPts[TM],MATCH(TableWRRanks324236[[#This Row],[Player]],TableWRCalcPts[PLAYER],0)),"")</f>
        <v/>
      </c>
      <c r="AG201" s="58" t="str">
        <f>IFERROR(INDEX(TableWRCalcPts[BYE],MATCH(TableWRRanks324236[[#This Row],[Player]],TableWRCalcPts[PLAYER],0)),"")</f>
        <v/>
      </c>
      <c r="AH201" s="100" t="e">
        <f>VLOOKUP(TableWRRanks324236[[#This Row],[Player]],WR!B:O,4,FALSE)</f>
        <v>#N/A</v>
      </c>
      <c r="AI201" s="100" t="e">
        <f>VLOOKUP(TableWRRanks324236[[#This Row],[Player]],WR!B:O,5,FALSE)</f>
        <v>#N/A</v>
      </c>
      <c r="AJ201" s="100" t="e">
        <f>VLOOKUP(TableWRRanks324236[[#This Row],[Player]],WR!B:O,6,FALSE)</f>
        <v>#N/A</v>
      </c>
      <c r="AK201" s="100" t="e">
        <f>VLOOKUP(TableWRRanks324236[[#This Row],[Player]],WR!B:O,7,FALSE)</f>
        <v>#N/A</v>
      </c>
      <c r="AL201" s="100" t="e">
        <f>VLOOKUP(TableWRRanks324236[[#This Row],[Player]],WR!B:O,8,FALSE)</f>
        <v>#N/A</v>
      </c>
      <c r="AM201" s="100" t="e">
        <f>VLOOKUP(TableWRRanks324236[[#This Row],[Player]],WR!B:O,9,FALSE)</f>
        <v>#N/A</v>
      </c>
      <c r="AN201" s="95" t="e">
        <f>VLOOKUP(TableWRRanks324236[[#This Row],[Player]],WR!B:O,13,FALSE)</f>
        <v>#N/A</v>
      </c>
      <c r="AO201" s="190" t="e">
        <f>TableWRRanks324236[[#This Row],[FPS]]+(TableWRRanks324236[[#This Row],[REC]]*0.5)</f>
        <v>#N/A</v>
      </c>
    </row>
    <row r="202" spans="30:41" x14ac:dyDescent="0.25">
      <c r="AD202" s="58">
        <v>201</v>
      </c>
      <c r="AE202" s="58" t="e">
        <f>VLOOKUP(TableWRRanks324236[[#This Row],[RK]],Rankings!A:AI,28,FALSE)</f>
        <v>#N/A</v>
      </c>
      <c r="AF202" s="58" t="str">
        <f>IFERROR(INDEX(TableWRCalcPts[TM],MATCH(TableWRRanks324236[[#This Row],[Player]],TableWRCalcPts[PLAYER],0)),"")</f>
        <v/>
      </c>
      <c r="AG202" s="58" t="str">
        <f>IFERROR(INDEX(TableWRCalcPts[BYE],MATCH(TableWRRanks324236[[#This Row],[Player]],TableWRCalcPts[PLAYER],0)),"")</f>
        <v/>
      </c>
      <c r="AH202" s="100" t="e">
        <f>VLOOKUP(TableWRRanks324236[[#This Row],[Player]],WR!B:O,4,FALSE)</f>
        <v>#N/A</v>
      </c>
      <c r="AI202" s="100" t="e">
        <f>VLOOKUP(TableWRRanks324236[[#This Row],[Player]],WR!B:O,5,FALSE)</f>
        <v>#N/A</v>
      </c>
      <c r="AJ202" s="100" t="e">
        <f>VLOOKUP(TableWRRanks324236[[#This Row],[Player]],WR!B:O,6,FALSE)</f>
        <v>#N/A</v>
      </c>
      <c r="AK202" s="100" t="e">
        <f>VLOOKUP(TableWRRanks324236[[#This Row],[Player]],WR!B:O,7,FALSE)</f>
        <v>#N/A</v>
      </c>
      <c r="AL202" s="100" t="e">
        <f>VLOOKUP(TableWRRanks324236[[#This Row],[Player]],WR!B:O,8,FALSE)</f>
        <v>#N/A</v>
      </c>
      <c r="AM202" s="100" t="e">
        <f>VLOOKUP(TableWRRanks324236[[#This Row],[Player]],WR!B:O,9,FALSE)</f>
        <v>#N/A</v>
      </c>
      <c r="AN202" s="95" t="e">
        <f>VLOOKUP(TableWRRanks324236[[#This Row],[Player]],WR!B:O,13,FALSE)</f>
        <v>#N/A</v>
      </c>
      <c r="AO202" s="190" t="e">
        <f>TableWRRanks324236[[#This Row],[FPS]]+(TableWRRanks324236[[#This Row],[REC]]*0.5)</f>
        <v>#N/A</v>
      </c>
    </row>
    <row r="203" spans="30:41" x14ac:dyDescent="0.25">
      <c r="AD203" s="58">
        <v>202</v>
      </c>
      <c r="AE203" s="58" t="e">
        <f>VLOOKUP(TableWRRanks324236[[#This Row],[RK]],Rankings!A:AI,28,FALSE)</f>
        <v>#N/A</v>
      </c>
      <c r="AF203" s="58" t="str">
        <f>IFERROR(INDEX(TableWRCalcPts[TM],MATCH(TableWRRanks324236[[#This Row],[Player]],TableWRCalcPts[PLAYER],0)),"")</f>
        <v/>
      </c>
      <c r="AG203" s="58" t="str">
        <f>IFERROR(INDEX(TableWRCalcPts[BYE],MATCH(TableWRRanks324236[[#This Row],[Player]],TableWRCalcPts[PLAYER],0)),"")</f>
        <v/>
      </c>
      <c r="AH203" s="100" t="e">
        <f>VLOOKUP(TableWRRanks324236[[#This Row],[Player]],WR!B:O,4,FALSE)</f>
        <v>#N/A</v>
      </c>
      <c r="AI203" s="100" t="e">
        <f>VLOOKUP(TableWRRanks324236[[#This Row],[Player]],WR!B:O,5,FALSE)</f>
        <v>#N/A</v>
      </c>
      <c r="AJ203" s="100" t="e">
        <f>VLOOKUP(TableWRRanks324236[[#This Row],[Player]],WR!B:O,6,FALSE)</f>
        <v>#N/A</v>
      </c>
      <c r="AK203" s="100" t="e">
        <f>VLOOKUP(TableWRRanks324236[[#This Row],[Player]],WR!B:O,7,FALSE)</f>
        <v>#N/A</v>
      </c>
      <c r="AL203" s="100" t="e">
        <f>VLOOKUP(TableWRRanks324236[[#This Row],[Player]],WR!B:O,8,FALSE)</f>
        <v>#N/A</v>
      </c>
      <c r="AM203" s="100" t="e">
        <f>VLOOKUP(TableWRRanks324236[[#This Row],[Player]],WR!B:O,9,FALSE)</f>
        <v>#N/A</v>
      </c>
      <c r="AN203" s="95" t="e">
        <f>VLOOKUP(TableWRRanks324236[[#This Row],[Player]],WR!B:O,13,FALSE)</f>
        <v>#N/A</v>
      </c>
      <c r="AO203" s="190" t="e">
        <f>TableWRRanks324236[[#This Row],[FPS]]+(TableWRRanks324236[[#This Row],[REC]]*0.5)</f>
        <v>#N/A</v>
      </c>
    </row>
    <row r="204" spans="30:41" x14ac:dyDescent="0.25">
      <c r="AD204" s="58">
        <v>203</v>
      </c>
      <c r="AE204" s="58" t="e">
        <f>VLOOKUP(TableWRRanks324236[[#This Row],[RK]],Rankings!A:AI,28,FALSE)</f>
        <v>#N/A</v>
      </c>
      <c r="AF204" s="58" t="str">
        <f>IFERROR(INDEX(TableWRCalcPts[TM],MATCH(TableWRRanks324236[[#This Row],[Player]],TableWRCalcPts[PLAYER],0)),"")</f>
        <v/>
      </c>
      <c r="AG204" s="58" t="str">
        <f>IFERROR(INDEX(TableWRCalcPts[BYE],MATCH(TableWRRanks324236[[#This Row],[Player]],TableWRCalcPts[PLAYER],0)),"")</f>
        <v/>
      </c>
      <c r="AH204" s="100" t="e">
        <f>VLOOKUP(TableWRRanks324236[[#This Row],[Player]],WR!B:O,4,FALSE)</f>
        <v>#N/A</v>
      </c>
      <c r="AI204" s="100" t="e">
        <f>VLOOKUP(TableWRRanks324236[[#This Row],[Player]],WR!B:O,5,FALSE)</f>
        <v>#N/A</v>
      </c>
      <c r="AJ204" s="100" t="e">
        <f>VLOOKUP(TableWRRanks324236[[#This Row],[Player]],WR!B:O,6,FALSE)</f>
        <v>#N/A</v>
      </c>
      <c r="AK204" s="100" t="e">
        <f>VLOOKUP(TableWRRanks324236[[#This Row],[Player]],WR!B:O,7,FALSE)</f>
        <v>#N/A</v>
      </c>
      <c r="AL204" s="100" t="e">
        <f>VLOOKUP(TableWRRanks324236[[#This Row],[Player]],WR!B:O,8,FALSE)</f>
        <v>#N/A</v>
      </c>
      <c r="AM204" s="100" t="e">
        <f>VLOOKUP(TableWRRanks324236[[#This Row],[Player]],WR!B:O,9,FALSE)</f>
        <v>#N/A</v>
      </c>
      <c r="AN204" s="95" t="e">
        <f>VLOOKUP(TableWRRanks324236[[#This Row],[Player]],WR!B:O,13,FALSE)</f>
        <v>#N/A</v>
      </c>
      <c r="AO204" s="190" t="e">
        <f>TableWRRanks324236[[#This Row],[FPS]]+(TableWRRanks324236[[#This Row],[REC]]*0.5)</f>
        <v>#N/A</v>
      </c>
    </row>
    <row r="205" spans="30:41" x14ac:dyDescent="0.25">
      <c r="AD205" s="58">
        <v>204</v>
      </c>
      <c r="AE205" s="58" t="e">
        <f>VLOOKUP(TableWRRanks324236[[#This Row],[RK]],Rankings!A:AI,28,FALSE)</f>
        <v>#N/A</v>
      </c>
      <c r="AF205" s="58" t="str">
        <f>IFERROR(INDEX(TableWRCalcPts[TM],MATCH(TableWRRanks324236[[#This Row],[Player]],TableWRCalcPts[PLAYER],0)),"")</f>
        <v/>
      </c>
      <c r="AG205" s="58" t="str">
        <f>IFERROR(INDEX(TableWRCalcPts[BYE],MATCH(TableWRRanks324236[[#This Row],[Player]],TableWRCalcPts[PLAYER],0)),"")</f>
        <v/>
      </c>
      <c r="AH205" s="100" t="e">
        <f>VLOOKUP(TableWRRanks324236[[#This Row],[Player]],WR!B:O,4,FALSE)</f>
        <v>#N/A</v>
      </c>
      <c r="AI205" s="100" t="e">
        <f>VLOOKUP(TableWRRanks324236[[#This Row],[Player]],WR!B:O,5,FALSE)</f>
        <v>#N/A</v>
      </c>
      <c r="AJ205" s="100" t="e">
        <f>VLOOKUP(TableWRRanks324236[[#This Row],[Player]],WR!B:O,6,FALSE)</f>
        <v>#N/A</v>
      </c>
      <c r="AK205" s="100" t="e">
        <f>VLOOKUP(TableWRRanks324236[[#This Row],[Player]],WR!B:O,7,FALSE)</f>
        <v>#N/A</v>
      </c>
      <c r="AL205" s="100" t="e">
        <f>VLOOKUP(TableWRRanks324236[[#This Row],[Player]],WR!B:O,8,FALSE)</f>
        <v>#N/A</v>
      </c>
      <c r="AM205" s="100" t="e">
        <f>VLOOKUP(TableWRRanks324236[[#This Row],[Player]],WR!B:O,9,FALSE)</f>
        <v>#N/A</v>
      </c>
      <c r="AN205" s="95" t="e">
        <f>VLOOKUP(TableWRRanks324236[[#This Row],[Player]],WR!B:O,13,FALSE)</f>
        <v>#N/A</v>
      </c>
      <c r="AO205" s="190" t="e">
        <f>TableWRRanks324236[[#This Row],[FPS]]+(TableWRRanks324236[[#This Row],[REC]]*0.5)</f>
        <v>#N/A</v>
      </c>
    </row>
    <row r="206" spans="30:41" x14ac:dyDescent="0.25">
      <c r="AD206" s="58">
        <v>205</v>
      </c>
      <c r="AE206" s="58" t="e">
        <f>VLOOKUP(TableWRRanks324236[[#This Row],[RK]],Rankings!A:AI,28,FALSE)</f>
        <v>#N/A</v>
      </c>
      <c r="AF206" s="58" t="str">
        <f>IFERROR(INDEX(TableWRCalcPts[TM],MATCH(TableWRRanks324236[[#This Row],[Player]],TableWRCalcPts[PLAYER],0)),"")</f>
        <v/>
      </c>
      <c r="AG206" s="58" t="str">
        <f>IFERROR(INDEX(TableWRCalcPts[BYE],MATCH(TableWRRanks324236[[#This Row],[Player]],TableWRCalcPts[PLAYER],0)),"")</f>
        <v/>
      </c>
      <c r="AH206" s="100" t="e">
        <f>VLOOKUP(TableWRRanks324236[[#This Row],[Player]],WR!B:O,4,FALSE)</f>
        <v>#N/A</v>
      </c>
      <c r="AI206" s="100" t="e">
        <f>VLOOKUP(TableWRRanks324236[[#This Row],[Player]],WR!B:O,5,FALSE)</f>
        <v>#N/A</v>
      </c>
      <c r="AJ206" s="100" t="e">
        <f>VLOOKUP(TableWRRanks324236[[#This Row],[Player]],WR!B:O,6,FALSE)</f>
        <v>#N/A</v>
      </c>
      <c r="AK206" s="100" t="e">
        <f>VLOOKUP(TableWRRanks324236[[#This Row],[Player]],WR!B:O,7,FALSE)</f>
        <v>#N/A</v>
      </c>
      <c r="AL206" s="100" t="e">
        <f>VLOOKUP(TableWRRanks324236[[#This Row],[Player]],WR!B:O,8,FALSE)</f>
        <v>#N/A</v>
      </c>
      <c r="AM206" s="100" t="e">
        <f>VLOOKUP(TableWRRanks324236[[#This Row],[Player]],WR!B:O,9,FALSE)</f>
        <v>#N/A</v>
      </c>
      <c r="AN206" s="95" t="e">
        <f>VLOOKUP(TableWRRanks324236[[#This Row],[Player]],WR!B:O,13,FALSE)</f>
        <v>#N/A</v>
      </c>
      <c r="AO206" s="190" t="e">
        <f>TableWRRanks324236[[#This Row],[FPS]]+(TableWRRanks324236[[#This Row],[REC]]*0.5)</f>
        <v>#N/A</v>
      </c>
    </row>
    <row r="207" spans="30:41" x14ac:dyDescent="0.25">
      <c r="AD207" s="58">
        <v>206</v>
      </c>
      <c r="AE207" s="58" t="e">
        <f>VLOOKUP(TableWRRanks324236[[#This Row],[RK]],Rankings!A:AI,28,FALSE)</f>
        <v>#N/A</v>
      </c>
      <c r="AF207" s="58" t="str">
        <f>IFERROR(INDEX(TableWRCalcPts[TM],MATCH(TableWRRanks324236[[#This Row],[Player]],TableWRCalcPts[PLAYER],0)),"")</f>
        <v/>
      </c>
      <c r="AG207" s="58" t="str">
        <f>IFERROR(INDEX(TableWRCalcPts[BYE],MATCH(TableWRRanks324236[[#This Row],[Player]],TableWRCalcPts[PLAYER],0)),"")</f>
        <v/>
      </c>
      <c r="AH207" s="100" t="e">
        <f>VLOOKUP(TableWRRanks324236[[#This Row],[Player]],WR!B:O,4,FALSE)</f>
        <v>#N/A</v>
      </c>
      <c r="AI207" s="100" t="e">
        <f>VLOOKUP(TableWRRanks324236[[#This Row],[Player]],WR!B:O,5,FALSE)</f>
        <v>#N/A</v>
      </c>
      <c r="AJ207" s="100" t="e">
        <f>VLOOKUP(TableWRRanks324236[[#This Row],[Player]],WR!B:O,6,FALSE)</f>
        <v>#N/A</v>
      </c>
      <c r="AK207" s="100" t="e">
        <f>VLOOKUP(TableWRRanks324236[[#This Row],[Player]],WR!B:O,7,FALSE)</f>
        <v>#N/A</v>
      </c>
      <c r="AL207" s="100" t="e">
        <f>VLOOKUP(TableWRRanks324236[[#This Row],[Player]],WR!B:O,8,FALSE)</f>
        <v>#N/A</v>
      </c>
      <c r="AM207" s="100" t="e">
        <f>VLOOKUP(TableWRRanks324236[[#This Row],[Player]],WR!B:O,9,FALSE)</f>
        <v>#N/A</v>
      </c>
      <c r="AN207" s="95" t="e">
        <f>VLOOKUP(TableWRRanks324236[[#This Row],[Player]],WR!B:O,13,FALSE)</f>
        <v>#N/A</v>
      </c>
      <c r="AO207" s="190" t="e">
        <f>TableWRRanks324236[[#This Row],[FPS]]+(TableWRRanks324236[[#This Row],[REC]]*0.5)</f>
        <v>#N/A</v>
      </c>
    </row>
    <row r="208" spans="30:41" x14ac:dyDescent="0.25">
      <c r="AD208" s="58">
        <v>207</v>
      </c>
      <c r="AE208" s="58" t="e">
        <f>VLOOKUP(TableWRRanks324236[[#This Row],[RK]],Rankings!A:AI,28,FALSE)</f>
        <v>#N/A</v>
      </c>
      <c r="AF208" s="58" t="str">
        <f>IFERROR(INDEX(TableWRCalcPts[TM],MATCH(TableWRRanks324236[[#This Row],[Player]],TableWRCalcPts[PLAYER],0)),"")</f>
        <v/>
      </c>
      <c r="AG208" s="58" t="str">
        <f>IFERROR(INDEX(TableWRCalcPts[BYE],MATCH(TableWRRanks324236[[#This Row],[Player]],TableWRCalcPts[PLAYER],0)),"")</f>
        <v/>
      </c>
      <c r="AH208" s="100" t="e">
        <f>VLOOKUP(TableWRRanks324236[[#This Row],[Player]],WR!B:O,4,FALSE)</f>
        <v>#N/A</v>
      </c>
      <c r="AI208" s="100" t="e">
        <f>VLOOKUP(TableWRRanks324236[[#This Row],[Player]],WR!B:O,5,FALSE)</f>
        <v>#N/A</v>
      </c>
      <c r="AJ208" s="100" t="e">
        <f>VLOOKUP(TableWRRanks324236[[#This Row],[Player]],WR!B:O,6,FALSE)</f>
        <v>#N/A</v>
      </c>
      <c r="AK208" s="100" t="e">
        <f>VLOOKUP(TableWRRanks324236[[#This Row],[Player]],WR!B:O,7,FALSE)</f>
        <v>#N/A</v>
      </c>
      <c r="AL208" s="100" t="e">
        <f>VLOOKUP(TableWRRanks324236[[#This Row],[Player]],WR!B:O,8,FALSE)</f>
        <v>#N/A</v>
      </c>
      <c r="AM208" s="100" t="e">
        <f>VLOOKUP(TableWRRanks324236[[#This Row],[Player]],WR!B:O,9,FALSE)</f>
        <v>#N/A</v>
      </c>
      <c r="AN208" s="95" t="e">
        <f>VLOOKUP(TableWRRanks324236[[#This Row],[Player]],WR!B:O,13,FALSE)</f>
        <v>#N/A</v>
      </c>
      <c r="AO208" s="190" t="e">
        <f>TableWRRanks324236[[#This Row],[FPS]]+(TableWRRanks324236[[#This Row],[REC]]*0.5)</f>
        <v>#N/A</v>
      </c>
    </row>
    <row r="209" spans="30:41" x14ac:dyDescent="0.25">
      <c r="AD209" s="58">
        <v>208</v>
      </c>
      <c r="AE209" s="58" t="e">
        <f>VLOOKUP(TableWRRanks324236[[#This Row],[RK]],Rankings!A:AI,28,FALSE)</f>
        <v>#N/A</v>
      </c>
      <c r="AF209" s="58" t="str">
        <f>IFERROR(INDEX(TableWRCalcPts[TM],MATCH(TableWRRanks324236[[#This Row],[Player]],TableWRCalcPts[PLAYER],0)),"")</f>
        <v/>
      </c>
      <c r="AG209" s="58" t="str">
        <f>IFERROR(INDEX(TableWRCalcPts[BYE],MATCH(TableWRRanks324236[[#This Row],[Player]],TableWRCalcPts[PLAYER],0)),"")</f>
        <v/>
      </c>
      <c r="AH209" s="100" t="e">
        <f>VLOOKUP(TableWRRanks324236[[#This Row],[Player]],WR!B:O,4,FALSE)</f>
        <v>#N/A</v>
      </c>
      <c r="AI209" s="100" t="e">
        <f>VLOOKUP(TableWRRanks324236[[#This Row],[Player]],WR!B:O,5,FALSE)</f>
        <v>#N/A</v>
      </c>
      <c r="AJ209" s="100" t="e">
        <f>VLOOKUP(TableWRRanks324236[[#This Row],[Player]],WR!B:O,6,FALSE)</f>
        <v>#N/A</v>
      </c>
      <c r="AK209" s="100" t="e">
        <f>VLOOKUP(TableWRRanks324236[[#This Row],[Player]],WR!B:O,7,FALSE)</f>
        <v>#N/A</v>
      </c>
      <c r="AL209" s="100" t="e">
        <f>VLOOKUP(TableWRRanks324236[[#This Row],[Player]],WR!B:O,8,FALSE)</f>
        <v>#N/A</v>
      </c>
      <c r="AM209" s="100" t="e">
        <f>VLOOKUP(TableWRRanks324236[[#This Row],[Player]],WR!B:O,9,FALSE)</f>
        <v>#N/A</v>
      </c>
      <c r="AN209" s="95" t="e">
        <f>VLOOKUP(TableWRRanks324236[[#This Row],[Player]],WR!B:O,13,FALSE)</f>
        <v>#N/A</v>
      </c>
      <c r="AO209" s="190" t="e">
        <f>TableWRRanks324236[[#This Row],[FPS]]+(TableWRRanks324236[[#This Row],[REC]]*0.5)</f>
        <v>#N/A</v>
      </c>
    </row>
    <row r="210" spans="30:41" x14ac:dyDescent="0.25">
      <c r="AD210" s="58">
        <v>209</v>
      </c>
      <c r="AE210" s="58" t="e">
        <f>VLOOKUP(TableWRRanks324236[[#This Row],[RK]],Rankings!A:AI,28,FALSE)</f>
        <v>#N/A</v>
      </c>
      <c r="AF210" s="58" t="str">
        <f>IFERROR(INDEX(TableWRCalcPts[TM],MATCH(TableWRRanks324236[[#This Row],[Player]],TableWRCalcPts[PLAYER],0)),"")</f>
        <v/>
      </c>
      <c r="AG210" s="58" t="str">
        <f>IFERROR(INDEX(TableWRCalcPts[BYE],MATCH(TableWRRanks324236[[#This Row],[Player]],TableWRCalcPts[PLAYER],0)),"")</f>
        <v/>
      </c>
      <c r="AH210" s="100" t="e">
        <f>VLOOKUP(TableWRRanks324236[[#This Row],[Player]],WR!B:O,4,FALSE)</f>
        <v>#N/A</v>
      </c>
      <c r="AI210" s="100" t="e">
        <f>VLOOKUP(TableWRRanks324236[[#This Row],[Player]],WR!B:O,5,FALSE)</f>
        <v>#N/A</v>
      </c>
      <c r="AJ210" s="100" t="e">
        <f>VLOOKUP(TableWRRanks324236[[#This Row],[Player]],WR!B:O,6,FALSE)</f>
        <v>#N/A</v>
      </c>
      <c r="AK210" s="100" t="e">
        <f>VLOOKUP(TableWRRanks324236[[#This Row],[Player]],WR!B:O,7,FALSE)</f>
        <v>#N/A</v>
      </c>
      <c r="AL210" s="100" t="e">
        <f>VLOOKUP(TableWRRanks324236[[#This Row],[Player]],WR!B:O,8,FALSE)</f>
        <v>#N/A</v>
      </c>
      <c r="AM210" s="100" t="e">
        <f>VLOOKUP(TableWRRanks324236[[#This Row],[Player]],WR!B:O,9,FALSE)</f>
        <v>#N/A</v>
      </c>
      <c r="AN210" s="95" t="e">
        <f>VLOOKUP(TableWRRanks324236[[#This Row],[Player]],WR!B:O,13,FALSE)</f>
        <v>#N/A</v>
      </c>
      <c r="AO210" s="190" t="e">
        <f>TableWRRanks324236[[#This Row],[FPS]]+(TableWRRanks324236[[#This Row],[REC]]*0.5)</f>
        <v>#N/A</v>
      </c>
    </row>
    <row r="211" spans="30:41" x14ac:dyDescent="0.25">
      <c r="AD211" s="58">
        <v>210</v>
      </c>
      <c r="AE211" s="58" t="e">
        <f>VLOOKUP(TableWRRanks324236[[#This Row],[RK]],Rankings!A:AI,28,FALSE)</f>
        <v>#N/A</v>
      </c>
      <c r="AF211" s="58" t="str">
        <f>IFERROR(INDEX(TableWRCalcPts[TM],MATCH(TableWRRanks324236[[#This Row],[Player]],TableWRCalcPts[PLAYER],0)),"")</f>
        <v/>
      </c>
      <c r="AG211" s="58" t="str">
        <f>IFERROR(INDEX(TableWRCalcPts[BYE],MATCH(TableWRRanks324236[[#This Row],[Player]],TableWRCalcPts[PLAYER],0)),"")</f>
        <v/>
      </c>
      <c r="AH211" s="100" t="e">
        <f>VLOOKUP(TableWRRanks324236[[#This Row],[Player]],WR!B:O,4,FALSE)</f>
        <v>#N/A</v>
      </c>
      <c r="AI211" s="100" t="e">
        <f>VLOOKUP(TableWRRanks324236[[#This Row],[Player]],WR!B:O,5,FALSE)</f>
        <v>#N/A</v>
      </c>
      <c r="AJ211" s="100" t="e">
        <f>VLOOKUP(TableWRRanks324236[[#This Row],[Player]],WR!B:O,6,FALSE)</f>
        <v>#N/A</v>
      </c>
      <c r="AK211" s="100" t="e">
        <f>VLOOKUP(TableWRRanks324236[[#This Row],[Player]],WR!B:O,7,FALSE)</f>
        <v>#N/A</v>
      </c>
      <c r="AL211" s="100" t="e">
        <f>VLOOKUP(TableWRRanks324236[[#This Row],[Player]],WR!B:O,8,FALSE)</f>
        <v>#N/A</v>
      </c>
      <c r="AM211" s="100" t="e">
        <f>VLOOKUP(TableWRRanks324236[[#This Row],[Player]],WR!B:O,9,FALSE)</f>
        <v>#N/A</v>
      </c>
      <c r="AN211" s="95" t="e">
        <f>VLOOKUP(TableWRRanks324236[[#This Row],[Player]],WR!B:O,13,FALSE)</f>
        <v>#N/A</v>
      </c>
      <c r="AO211" s="190" t="e">
        <f>TableWRRanks324236[[#This Row],[FPS]]+(TableWRRanks324236[[#This Row],[REC]]*0.5)</f>
        <v>#N/A</v>
      </c>
    </row>
    <row r="212" spans="30:41" x14ac:dyDescent="0.25">
      <c r="AD212" s="58">
        <v>211</v>
      </c>
      <c r="AE212" s="58" t="e">
        <f>VLOOKUP(TableWRRanks324236[[#This Row],[RK]],Rankings!A:AI,28,FALSE)</f>
        <v>#N/A</v>
      </c>
      <c r="AF212" s="58" t="str">
        <f>IFERROR(INDEX(TableWRCalcPts[TM],MATCH(TableWRRanks324236[[#This Row],[Player]],TableWRCalcPts[PLAYER],0)),"")</f>
        <v/>
      </c>
      <c r="AG212" s="58" t="str">
        <f>IFERROR(INDEX(TableWRCalcPts[BYE],MATCH(TableWRRanks324236[[#This Row],[Player]],TableWRCalcPts[PLAYER],0)),"")</f>
        <v/>
      </c>
      <c r="AH212" s="100" t="e">
        <f>VLOOKUP(TableWRRanks324236[[#This Row],[Player]],WR!B:O,4,FALSE)</f>
        <v>#N/A</v>
      </c>
      <c r="AI212" s="100" t="e">
        <f>VLOOKUP(TableWRRanks324236[[#This Row],[Player]],WR!B:O,5,FALSE)</f>
        <v>#N/A</v>
      </c>
      <c r="AJ212" s="100" t="e">
        <f>VLOOKUP(TableWRRanks324236[[#This Row],[Player]],WR!B:O,6,FALSE)</f>
        <v>#N/A</v>
      </c>
      <c r="AK212" s="100" t="e">
        <f>VLOOKUP(TableWRRanks324236[[#This Row],[Player]],WR!B:O,7,FALSE)</f>
        <v>#N/A</v>
      </c>
      <c r="AL212" s="100" t="e">
        <f>VLOOKUP(TableWRRanks324236[[#This Row],[Player]],WR!B:O,8,FALSE)</f>
        <v>#N/A</v>
      </c>
      <c r="AM212" s="100" t="e">
        <f>VLOOKUP(TableWRRanks324236[[#This Row],[Player]],WR!B:O,9,FALSE)</f>
        <v>#N/A</v>
      </c>
      <c r="AN212" s="95" t="e">
        <f>VLOOKUP(TableWRRanks324236[[#This Row],[Player]],WR!B:O,13,FALSE)</f>
        <v>#N/A</v>
      </c>
      <c r="AO212" s="190" t="e">
        <f>TableWRRanks324236[[#This Row],[FPS]]+(TableWRRanks324236[[#This Row],[REC]]*0.5)</f>
        <v>#N/A</v>
      </c>
    </row>
    <row r="213" spans="30:41" x14ac:dyDescent="0.25">
      <c r="AD213" s="58">
        <v>212</v>
      </c>
      <c r="AE213" s="58" t="e">
        <f>VLOOKUP(TableWRRanks324236[[#This Row],[RK]],Rankings!A:AI,28,FALSE)</f>
        <v>#N/A</v>
      </c>
      <c r="AF213" s="58" t="str">
        <f>IFERROR(INDEX(TableWRCalcPts[TM],MATCH(TableWRRanks324236[[#This Row],[Player]],TableWRCalcPts[PLAYER],0)),"")</f>
        <v/>
      </c>
      <c r="AG213" s="58" t="str">
        <f>IFERROR(INDEX(TableWRCalcPts[BYE],MATCH(TableWRRanks324236[[#This Row],[Player]],TableWRCalcPts[PLAYER],0)),"")</f>
        <v/>
      </c>
      <c r="AH213" s="100" t="e">
        <f>VLOOKUP(TableWRRanks324236[[#This Row],[Player]],WR!B:O,4,FALSE)</f>
        <v>#N/A</v>
      </c>
      <c r="AI213" s="100" t="e">
        <f>VLOOKUP(TableWRRanks324236[[#This Row],[Player]],WR!B:O,5,FALSE)</f>
        <v>#N/A</v>
      </c>
      <c r="AJ213" s="100" t="e">
        <f>VLOOKUP(TableWRRanks324236[[#This Row],[Player]],WR!B:O,6,FALSE)</f>
        <v>#N/A</v>
      </c>
      <c r="AK213" s="100" t="e">
        <f>VLOOKUP(TableWRRanks324236[[#This Row],[Player]],WR!B:O,7,FALSE)</f>
        <v>#N/A</v>
      </c>
      <c r="AL213" s="100" t="e">
        <f>VLOOKUP(TableWRRanks324236[[#This Row],[Player]],WR!B:O,8,FALSE)</f>
        <v>#N/A</v>
      </c>
      <c r="AM213" s="100" t="e">
        <f>VLOOKUP(TableWRRanks324236[[#This Row],[Player]],WR!B:O,9,FALSE)</f>
        <v>#N/A</v>
      </c>
      <c r="AN213" s="95" t="e">
        <f>VLOOKUP(TableWRRanks324236[[#This Row],[Player]],WR!B:O,13,FALSE)</f>
        <v>#N/A</v>
      </c>
      <c r="AO213" s="190" t="e">
        <f>TableWRRanks324236[[#This Row],[FPS]]+(TableWRRanks324236[[#This Row],[REC]]*0.5)</f>
        <v>#N/A</v>
      </c>
    </row>
    <row r="214" spans="30:41" x14ac:dyDescent="0.25">
      <c r="AD214" s="58">
        <v>213</v>
      </c>
      <c r="AE214" s="58" t="e">
        <f>VLOOKUP(TableWRRanks324236[[#This Row],[RK]],Rankings!A:AI,28,FALSE)</f>
        <v>#N/A</v>
      </c>
      <c r="AF214" s="58" t="str">
        <f>IFERROR(INDEX(TableWRCalcPts[TM],MATCH(TableWRRanks324236[[#This Row],[Player]],TableWRCalcPts[PLAYER],0)),"")</f>
        <v/>
      </c>
      <c r="AG214" s="58" t="str">
        <f>IFERROR(INDEX(TableWRCalcPts[BYE],MATCH(TableWRRanks324236[[#This Row],[Player]],TableWRCalcPts[PLAYER],0)),"")</f>
        <v/>
      </c>
      <c r="AH214" s="100" t="e">
        <f>VLOOKUP(TableWRRanks324236[[#This Row],[Player]],WR!B:O,4,FALSE)</f>
        <v>#N/A</v>
      </c>
      <c r="AI214" s="100" t="e">
        <f>VLOOKUP(TableWRRanks324236[[#This Row],[Player]],WR!B:O,5,FALSE)</f>
        <v>#N/A</v>
      </c>
      <c r="AJ214" s="100" t="e">
        <f>VLOOKUP(TableWRRanks324236[[#This Row],[Player]],WR!B:O,6,FALSE)</f>
        <v>#N/A</v>
      </c>
      <c r="AK214" s="100" t="e">
        <f>VLOOKUP(TableWRRanks324236[[#This Row],[Player]],WR!B:O,7,FALSE)</f>
        <v>#N/A</v>
      </c>
      <c r="AL214" s="100" t="e">
        <f>VLOOKUP(TableWRRanks324236[[#This Row],[Player]],WR!B:O,8,FALSE)</f>
        <v>#N/A</v>
      </c>
      <c r="AM214" s="100" t="e">
        <f>VLOOKUP(TableWRRanks324236[[#This Row],[Player]],WR!B:O,9,FALSE)</f>
        <v>#N/A</v>
      </c>
      <c r="AN214" s="95" t="e">
        <f>VLOOKUP(TableWRRanks324236[[#This Row],[Player]],WR!B:O,13,FALSE)</f>
        <v>#N/A</v>
      </c>
      <c r="AO214" s="190" t="e">
        <f>TableWRRanks324236[[#This Row],[FPS]]+(TableWRRanks324236[[#This Row],[REC]]*0.5)</f>
        <v>#N/A</v>
      </c>
    </row>
    <row r="215" spans="30:41" x14ac:dyDescent="0.25">
      <c r="AD215" s="58">
        <v>214</v>
      </c>
      <c r="AE215" s="58" t="e">
        <f>VLOOKUP(TableWRRanks324236[[#This Row],[RK]],Rankings!A:AI,28,FALSE)</f>
        <v>#N/A</v>
      </c>
      <c r="AF215" s="58" t="str">
        <f>IFERROR(INDEX(TableWRCalcPts[TM],MATCH(TableWRRanks324236[[#This Row],[Player]],TableWRCalcPts[PLAYER],0)),"")</f>
        <v/>
      </c>
      <c r="AG215" s="58" t="str">
        <f>IFERROR(INDEX(TableWRCalcPts[BYE],MATCH(TableWRRanks324236[[#This Row],[Player]],TableWRCalcPts[PLAYER],0)),"")</f>
        <v/>
      </c>
      <c r="AH215" s="100" t="e">
        <f>VLOOKUP(TableWRRanks324236[[#This Row],[Player]],WR!B:O,4,FALSE)</f>
        <v>#N/A</v>
      </c>
      <c r="AI215" s="100" t="e">
        <f>VLOOKUP(TableWRRanks324236[[#This Row],[Player]],WR!B:O,5,FALSE)</f>
        <v>#N/A</v>
      </c>
      <c r="AJ215" s="100" t="e">
        <f>VLOOKUP(TableWRRanks324236[[#This Row],[Player]],WR!B:O,6,FALSE)</f>
        <v>#N/A</v>
      </c>
      <c r="AK215" s="100" t="e">
        <f>VLOOKUP(TableWRRanks324236[[#This Row],[Player]],WR!B:O,7,FALSE)</f>
        <v>#N/A</v>
      </c>
      <c r="AL215" s="100" t="e">
        <f>VLOOKUP(TableWRRanks324236[[#This Row],[Player]],WR!B:O,8,FALSE)</f>
        <v>#N/A</v>
      </c>
      <c r="AM215" s="100" t="e">
        <f>VLOOKUP(TableWRRanks324236[[#This Row],[Player]],WR!B:O,9,FALSE)</f>
        <v>#N/A</v>
      </c>
      <c r="AN215" s="95" t="e">
        <f>VLOOKUP(TableWRRanks324236[[#This Row],[Player]],WR!B:O,13,FALSE)</f>
        <v>#N/A</v>
      </c>
      <c r="AO215" s="190" t="e">
        <f>TableWRRanks324236[[#This Row],[FPS]]+(TableWRRanks324236[[#This Row],[REC]]*0.5)</f>
        <v>#N/A</v>
      </c>
    </row>
    <row r="216" spans="30:41" x14ac:dyDescent="0.25">
      <c r="AD216" s="58">
        <v>215</v>
      </c>
      <c r="AE216" s="58" t="e">
        <f>VLOOKUP(TableWRRanks324236[[#This Row],[RK]],Rankings!A:AI,28,FALSE)</f>
        <v>#N/A</v>
      </c>
      <c r="AF216" s="58" t="str">
        <f>IFERROR(INDEX(TableWRCalcPts[TM],MATCH(TableWRRanks324236[[#This Row],[Player]],TableWRCalcPts[PLAYER],0)),"")</f>
        <v/>
      </c>
      <c r="AG216" s="58" t="str">
        <f>IFERROR(INDEX(TableWRCalcPts[BYE],MATCH(TableWRRanks324236[[#This Row],[Player]],TableWRCalcPts[PLAYER],0)),"")</f>
        <v/>
      </c>
      <c r="AH216" s="100" t="e">
        <f>VLOOKUP(TableWRRanks324236[[#This Row],[Player]],WR!B:O,4,FALSE)</f>
        <v>#N/A</v>
      </c>
      <c r="AI216" s="100" t="e">
        <f>VLOOKUP(TableWRRanks324236[[#This Row],[Player]],WR!B:O,5,FALSE)</f>
        <v>#N/A</v>
      </c>
      <c r="AJ216" s="100" t="e">
        <f>VLOOKUP(TableWRRanks324236[[#This Row],[Player]],WR!B:O,6,FALSE)</f>
        <v>#N/A</v>
      </c>
      <c r="AK216" s="100" t="e">
        <f>VLOOKUP(TableWRRanks324236[[#This Row],[Player]],WR!B:O,7,FALSE)</f>
        <v>#N/A</v>
      </c>
      <c r="AL216" s="100" t="e">
        <f>VLOOKUP(TableWRRanks324236[[#This Row],[Player]],WR!B:O,8,FALSE)</f>
        <v>#N/A</v>
      </c>
      <c r="AM216" s="100" t="e">
        <f>VLOOKUP(TableWRRanks324236[[#This Row],[Player]],WR!B:O,9,FALSE)</f>
        <v>#N/A</v>
      </c>
      <c r="AN216" s="95" t="e">
        <f>VLOOKUP(TableWRRanks324236[[#This Row],[Player]],WR!B:O,13,FALSE)</f>
        <v>#N/A</v>
      </c>
      <c r="AO216" s="190" t="e">
        <f>TableWRRanks324236[[#This Row],[FPS]]+(TableWRRanks324236[[#This Row],[REC]]*0.5)</f>
        <v>#N/A</v>
      </c>
    </row>
    <row r="217" spans="30:41" x14ac:dyDescent="0.25">
      <c r="AD217" s="58">
        <v>216</v>
      </c>
      <c r="AE217" s="58" t="e">
        <f>VLOOKUP(TableWRRanks324236[[#This Row],[RK]],Rankings!A:AI,28,FALSE)</f>
        <v>#N/A</v>
      </c>
      <c r="AF217" s="58" t="str">
        <f>IFERROR(INDEX(TableWRCalcPts[TM],MATCH(TableWRRanks324236[[#This Row],[Player]],TableWRCalcPts[PLAYER],0)),"")</f>
        <v/>
      </c>
      <c r="AG217" s="58" t="str">
        <f>IFERROR(INDEX(TableWRCalcPts[BYE],MATCH(TableWRRanks324236[[#This Row],[Player]],TableWRCalcPts[PLAYER],0)),"")</f>
        <v/>
      </c>
      <c r="AH217" s="100" t="e">
        <f>VLOOKUP(TableWRRanks324236[[#This Row],[Player]],WR!B:O,4,FALSE)</f>
        <v>#N/A</v>
      </c>
      <c r="AI217" s="100" t="e">
        <f>VLOOKUP(TableWRRanks324236[[#This Row],[Player]],WR!B:O,5,FALSE)</f>
        <v>#N/A</v>
      </c>
      <c r="AJ217" s="100" t="e">
        <f>VLOOKUP(TableWRRanks324236[[#This Row],[Player]],WR!B:O,6,FALSE)</f>
        <v>#N/A</v>
      </c>
      <c r="AK217" s="100" t="e">
        <f>VLOOKUP(TableWRRanks324236[[#This Row],[Player]],WR!B:O,7,FALSE)</f>
        <v>#N/A</v>
      </c>
      <c r="AL217" s="100" t="e">
        <f>VLOOKUP(TableWRRanks324236[[#This Row],[Player]],WR!B:O,8,FALSE)</f>
        <v>#N/A</v>
      </c>
      <c r="AM217" s="100" t="e">
        <f>VLOOKUP(TableWRRanks324236[[#This Row],[Player]],WR!B:O,9,FALSE)</f>
        <v>#N/A</v>
      </c>
      <c r="AN217" s="95" t="e">
        <f>VLOOKUP(TableWRRanks324236[[#This Row],[Player]],WR!B:O,13,FALSE)</f>
        <v>#N/A</v>
      </c>
      <c r="AO217" s="190" t="e">
        <f>TableWRRanks324236[[#This Row],[FPS]]+(TableWRRanks324236[[#This Row],[REC]]*0.5)</f>
        <v>#N/A</v>
      </c>
    </row>
    <row r="218" spans="30:41" x14ac:dyDescent="0.25">
      <c r="AD218" s="58">
        <v>217</v>
      </c>
      <c r="AE218" s="58" t="e">
        <f>VLOOKUP(TableWRRanks324236[[#This Row],[RK]],Rankings!A:AI,28,FALSE)</f>
        <v>#N/A</v>
      </c>
      <c r="AF218" s="58" t="str">
        <f>IFERROR(INDEX(TableWRCalcPts[TM],MATCH(TableWRRanks324236[[#This Row],[Player]],TableWRCalcPts[PLAYER],0)),"")</f>
        <v/>
      </c>
      <c r="AG218" s="58" t="str">
        <f>IFERROR(INDEX(TableWRCalcPts[BYE],MATCH(TableWRRanks324236[[#This Row],[Player]],TableWRCalcPts[PLAYER],0)),"")</f>
        <v/>
      </c>
      <c r="AH218" s="100" t="e">
        <f>VLOOKUP(TableWRRanks324236[[#This Row],[Player]],WR!B:O,4,FALSE)</f>
        <v>#N/A</v>
      </c>
      <c r="AI218" s="100" t="e">
        <f>VLOOKUP(TableWRRanks324236[[#This Row],[Player]],WR!B:O,5,FALSE)</f>
        <v>#N/A</v>
      </c>
      <c r="AJ218" s="100" t="e">
        <f>VLOOKUP(TableWRRanks324236[[#This Row],[Player]],WR!B:O,6,FALSE)</f>
        <v>#N/A</v>
      </c>
      <c r="AK218" s="100" t="e">
        <f>VLOOKUP(TableWRRanks324236[[#This Row],[Player]],WR!B:O,7,FALSE)</f>
        <v>#N/A</v>
      </c>
      <c r="AL218" s="100" t="e">
        <f>VLOOKUP(TableWRRanks324236[[#This Row],[Player]],WR!B:O,8,FALSE)</f>
        <v>#N/A</v>
      </c>
      <c r="AM218" s="100" t="e">
        <f>VLOOKUP(TableWRRanks324236[[#This Row],[Player]],WR!B:O,9,FALSE)</f>
        <v>#N/A</v>
      </c>
      <c r="AN218" s="95" t="e">
        <f>VLOOKUP(TableWRRanks324236[[#This Row],[Player]],WR!B:O,13,FALSE)</f>
        <v>#N/A</v>
      </c>
      <c r="AO218" s="190" t="e">
        <f>TableWRRanks324236[[#This Row],[FPS]]+(TableWRRanks324236[[#This Row],[REC]]*0.5)</f>
        <v>#N/A</v>
      </c>
    </row>
    <row r="219" spans="30:41" x14ac:dyDescent="0.25">
      <c r="AD219" s="58">
        <v>218</v>
      </c>
      <c r="AE219" s="58" t="e">
        <f>VLOOKUP(TableWRRanks324236[[#This Row],[RK]],Rankings!A:AI,28,FALSE)</f>
        <v>#N/A</v>
      </c>
      <c r="AF219" s="58" t="str">
        <f>IFERROR(INDEX(TableWRCalcPts[TM],MATCH(TableWRRanks324236[[#This Row],[Player]],TableWRCalcPts[PLAYER],0)),"")</f>
        <v/>
      </c>
      <c r="AG219" s="58" t="str">
        <f>IFERROR(INDEX(TableWRCalcPts[BYE],MATCH(TableWRRanks324236[[#This Row],[Player]],TableWRCalcPts[PLAYER],0)),"")</f>
        <v/>
      </c>
      <c r="AH219" s="100" t="e">
        <f>VLOOKUP(TableWRRanks324236[[#This Row],[Player]],WR!B:O,4,FALSE)</f>
        <v>#N/A</v>
      </c>
      <c r="AI219" s="100" t="e">
        <f>VLOOKUP(TableWRRanks324236[[#This Row],[Player]],WR!B:O,5,FALSE)</f>
        <v>#N/A</v>
      </c>
      <c r="AJ219" s="100" t="e">
        <f>VLOOKUP(TableWRRanks324236[[#This Row],[Player]],WR!B:O,6,FALSE)</f>
        <v>#N/A</v>
      </c>
      <c r="AK219" s="100" t="e">
        <f>VLOOKUP(TableWRRanks324236[[#This Row],[Player]],WR!B:O,7,FALSE)</f>
        <v>#N/A</v>
      </c>
      <c r="AL219" s="100" t="e">
        <f>VLOOKUP(TableWRRanks324236[[#This Row],[Player]],WR!B:O,8,FALSE)</f>
        <v>#N/A</v>
      </c>
      <c r="AM219" s="100" t="e">
        <f>VLOOKUP(TableWRRanks324236[[#This Row],[Player]],WR!B:O,9,FALSE)</f>
        <v>#N/A</v>
      </c>
      <c r="AN219" s="95" t="e">
        <f>VLOOKUP(TableWRRanks324236[[#This Row],[Player]],WR!B:O,13,FALSE)</f>
        <v>#N/A</v>
      </c>
      <c r="AO219" s="190" t="e">
        <f>TableWRRanks324236[[#This Row],[FPS]]+(TableWRRanks324236[[#This Row],[REC]]*0.5)</f>
        <v>#N/A</v>
      </c>
    </row>
    <row r="220" spans="30:41" x14ac:dyDescent="0.25">
      <c r="AD220" s="58">
        <v>219</v>
      </c>
      <c r="AE220" s="58" t="e">
        <f>VLOOKUP(TableWRRanks324236[[#This Row],[RK]],Rankings!A:AI,28,FALSE)</f>
        <v>#N/A</v>
      </c>
      <c r="AF220" s="58" t="str">
        <f>IFERROR(INDEX(TableWRCalcPts[TM],MATCH(TableWRRanks324236[[#This Row],[Player]],TableWRCalcPts[PLAYER],0)),"")</f>
        <v/>
      </c>
      <c r="AG220" s="58" t="str">
        <f>IFERROR(INDEX(TableWRCalcPts[BYE],MATCH(TableWRRanks324236[[#This Row],[Player]],TableWRCalcPts[PLAYER],0)),"")</f>
        <v/>
      </c>
      <c r="AH220" s="100" t="e">
        <f>VLOOKUP(TableWRRanks324236[[#This Row],[Player]],WR!B:O,4,FALSE)</f>
        <v>#N/A</v>
      </c>
      <c r="AI220" s="100" t="e">
        <f>VLOOKUP(TableWRRanks324236[[#This Row],[Player]],WR!B:O,5,FALSE)</f>
        <v>#N/A</v>
      </c>
      <c r="AJ220" s="100" t="e">
        <f>VLOOKUP(TableWRRanks324236[[#This Row],[Player]],WR!B:O,6,FALSE)</f>
        <v>#N/A</v>
      </c>
      <c r="AK220" s="100" t="e">
        <f>VLOOKUP(TableWRRanks324236[[#This Row],[Player]],WR!B:O,7,FALSE)</f>
        <v>#N/A</v>
      </c>
      <c r="AL220" s="100" t="e">
        <f>VLOOKUP(TableWRRanks324236[[#This Row],[Player]],WR!B:O,8,FALSE)</f>
        <v>#N/A</v>
      </c>
      <c r="AM220" s="100" t="e">
        <f>VLOOKUP(TableWRRanks324236[[#This Row],[Player]],WR!B:O,9,FALSE)</f>
        <v>#N/A</v>
      </c>
      <c r="AN220" s="95" t="e">
        <f>VLOOKUP(TableWRRanks324236[[#This Row],[Player]],WR!B:O,13,FALSE)</f>
        <v>#N/A</v>
      </c>
      <c r="AO220" s="190" t="e">
        <f>TableWRRanks324236[[#This Row],[FPS]]+(TableWRRanks324236[[#This Row],[REC]]*0.5)</f>
        <v>#N/A</v>
      </c>
    </row>
    <row r="221" spans="30:41" x14ac:dyDescent="0.25">
      <c r="AD221" s="58">
        <v>220</v>
      </c>
      <c r="AE221" s="58" t="e">
        <f>VLOOKUP(TableWRRanks324236[[#This Row],[RK]],Rankings!A:AI,28,FALSE)</f>
        <v>#N/A</v>
      </c>
      <c r="AF221" s="58" t="str">
        <f>IFERROR(INDEX(TableWRCalcPts[TM],MATCH(TableWRRanks324236[[#This Row],[Player]],TableWRCalcPts[PLAYER],0)),"")</f>
        <v/>
      </c>
      <c r="AG221" s="58" t="str">
        <f>IFERROR(INDEX(TableWRCalcPts[BYE],MATCH(TableWRRanks324236[[#This Row],[Player]],TableWRCalcPts[PLAYER],0)),"")</f>
        <v/>
      </c>
      <c r="AH221" s="100" t="e">
        <f>VLOOKUP(TableWRRanks324236[[#This Row],[Player]],WR!B:O,4,FALSE)</f>
        <v>#N/A</v>
      </c>
      <c r="AI221" s="100" t="e">
        <f>VLOOKUP(TableWRRanks324236[[#This Row],[Player]],WR!B:O,5,FALSE)</f>
        <v>#N/A</v>
      </c>
      <c r="AJ221" s="100" t="e">
        <f>VLOOKUP(TableWRRanks324236[[#This Row],[Player]],WR!B:O,6,FALSE)</f>
        <v>#N/A</v>
      </c>
      <c r="AK221" s="100" t="e">
        <f>VLOOKUP(TableWRRanks324236[[#This Row],[Player]],WR!B:O,7,FALSE)</f>
        <v>#N/A</v>
      </c>
      <c r="AL221" s="100" t="e">
        <f>VLOOKUP(TableWRRanks324236[[#This Row],[Player]],WR!B:O,8,FALSE)</f>
        <v>#N/A</v>
      </c>
      <c r="AM221" s="100" t="e">
        <f>VLOOKUP(TableWRRanks324236[[#This Row],[Player]],WR!B:O,9,FALSE)</f>
        <v>#N/A</v>
      </c>
      <c r="AN221" s="95" t="e">
        <f>VLOOKUP(TableWRRanks324236[[#This Row],[Player]],WR!B:O,13,FALSE)</f>
        <v>#N/A</v>
      </c>
      <c r="AO221" s="190" t="e">
        <f>TableWRRanks324236[[#This Row],[FPS]]+(TableWRRanks324236[[#This Row],[REC]]*0.5)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1629-40BB-4D9E-8865-E9D3A823F0A2}">
  <sheetPr>
    <tabColor theme="7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58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37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37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VLOOKUP(TableQBRanks30403438[[#This Row],[RK]],Rankings!A:T,3,FALSE)</f>
        <v>Josh Allen</v>
      </c>
      <c r="C2" s="58" t="str">
        <f>IFERROR(INDEX(TableQBCalcPts[TM],MATCH(TableQBRanks30403438[[#This Row],[Player]],TableQBCalcPts[PLAYER],0)),"")</f>
        <v>BUF</v>
      </c>
      <c r="D2" s="58">
        <f>IFERROR(INDEX(TableQBCalcPts[BYE],MATCH(TableQBRanks30403438[[#This Row],[Player]],TableQBCalcPts[PLAYER],0)),"")</f>
        <v>7</v>
      </c>
      <c r="E2" s="100">
        <f>VLOOKUP(TableQBRanks30403438[[#This Row],[Player]],QB!B:O,4,FALSE)</f>
        <v>515.96819999999991</v>
      </c>
      <c r="F2" s="100">
        <f>VLOOKUP(TableQBRanks30403438[[#This Row],[Player]],QB!B:O,5,FALSE)</f>
        <v>346.46237053878565</v>
      </c>
      <c r="G2" s="100">
        <f>VLOOKUP(TableQBRanks30403438[[#This Row],[Player]],QB!B:O,6,FALSE)</f>
        <v>4001.6403797229746</v>
      </c>
      <c r="H2" s="100">
        <f>VLOOKUP(TableQBRanks30403438[[#This Row],[Player]],QB!B:O,7,FALSE)</f>
        <v>27.370527272564068</v>
      </c>
      <c r="I2" s="100">
        <f>VLOOKUP(TableQBRanks30403438[[#This Row],[Player]],QB!B:O,8,FALSE)</f>
        <v>11.143251191832489</v>
      </c>
      <c r="J2" s="100">
        <f>VLOOKUP(TableQBRanks30403438[[#This Row],[Player]],QB!B:O,9,FALSE)</f>
        <v>105.7124432</v>
      </c>
      <c r="K2" s="100">
        <f>VLOOKUP(TableQBRanks30403438[[#This Row],[Player]],QB!B:O,10,FALSE)</f>
        <v>538.18209884132466</v>
      </c>
      <c r="L2" s="100">
        <f>VLOOKUP(TableQBRanks30403438[[#This Row],[Player]],QB!B:O,11,FALSE)</f>
        <v>11.659311123198451</v>
      </c>
      <c r="M2" s="95">
        <f>VLOOKUP(TableQBRanks30403438[[#This Row],[Player]],QB!B:O,13,FALSE)</f>
        <v>471.56584130967269</v>
      </c>
      <c r="N2" s="140">
        <f>IF(VLOOKUP(TableQBRanks30403438[[#This Row],[Player]],'Ranks w Proj'!$B:$N,13,FALSE)&lt;0,0,VLOOKUP(TableQBRanks30403438[[#This Row],[Player]],'Ranks w Proj'!$B:$N,13,FALSE))</f>
        <v>40.077402131621454</v>
      </c>
      <c r="P2" s="58">
        <v>1</v>
      </c>
      <c r="Q2" s="58" t="str">
        <f>VLOOKUP(TableRBRanks31413539[[#This Row],[RK]],Rankings!A:AY,38,FALSE)</f>
        <v>Bijan Robinson</v>
      </c>
      <c r="R2" s="58" t="str">
        <f>IFERROR(INDEX(TableRBCalcPts[TM],MATCH(TableRBRanks31413539[[#This Row],[Player]],TableRBCalcPts[PLAYER],0)),"")</f>
        <v>ATL</v>
      </c>
      <c r="S2" s="58">
        <f>IFERROR(INDEX(TableRBCalcPts[BYE],MATCH(TableRBRanks31413539[[#This Row],[Player]],TableRBCalcPts[PLAYER],0)),"")</f>
        <v>11</v>
      </c>
      <c r="T2" s="100">
        <f>VLOOKUP(TableRBRanks31413539[[#This Row],[Player]],RB!B:O,4,FALSE)</f>
        <v>264.86942944000003</v>
      </c>
      <c r="U2" s="100">
        <f>VLOOKUP(TableRBRanks31413539[[#This Row],[Player]],RB!B:O,5,FALSE)</f>
        <v>1287.2654270784003</v>
      </c>
      <c r="V2" s="100">
        <f>VLOOKUP(TableRBRanks31413539[[#This Row],[Player]],RB!B:O,6,FALSE)</f>
        <v>10.065038318720001</v>
      </c>
      <c r="W2" s="100">
        <f>VLOOKUP(TableRBRanks31413539[[#This Row],[Player]],RB!B:O,7,FALSE)</f>
        <v>102.17828880000003</v>
      </c>
      <c r="X2" s="100">
        <f>VLOOKUP(TableRBRanks31413539[[#This Row],[Player]],RB!B:O,8,FALSE)</f>
        <v>76.394583552176854</v>
      </c>
      <c r="Y2" s="100">
        <f>VLOOKUP(TableRBRanks31413539[[#This Row],[Player]],RB!B:O,9,FALSE)</f>
        <v>737.62506684720006</v>
      </c>
      <c r="Z2" s="100">
        <f>VLOOKUP(TableRBRanks31413539[[#This Row],[Player]],RB!B:O,10,FALSE)</f>
        <v>3.6379056015915796</v>
      </c>
      <c r="AA2" s="95">
        <f>VLOOKUP(TableRBRanks31413539[[#This Row],[Player]],RB!B:O,14,FALSE)</f>
        <v>322.90400469051792</v>
      </c>
      <c r="AB2" s="190">
        <f>TableRBRanks31413539[[#This Row],[FPS]]-(TableRBRanks31413539[[#This Row],[REC]]*0.5)</f>
        <v>284.70671291442949</v>
      </c>
      <c r="AD2" s="58">
        <v>1</v>
      </c>
      <c r="AE2" s="58" t="str">
        <f>VLOOKUP(TableWRRanks32423644[[#This Row],[RK]],Rankings!A:AZ,43,FALSE)</f>
        <v>Puka Nacua</v>
      </c>
      <c r="AF2" s="58" t="str">
        <f>IFERROR(INDEX(TableWRCalcPts[TM],MATCH(TableWRRanks32423644[[#This Row],[Player]],TableWRCalcPts[PLAYER],0)),"")</f>
        <v>LAR</v>
      </c>
      <c r="AG2" s="58">
        <f>IFERROR(INDEX(TableWRCalcPts[BYE],MATCH(TableWRRanks32423644[[#This Row],[Player]],TableWRCalcPts[PLAYER],0)),"")</f>
        <v>11</v>
      </c>
      <c r="AH2" s="100">
        <f>VLOOKUP(TableWRRanks32423644[[#This Row],[Player]],WR!B:O,4,FALSE)</f>
        <v>80.681953432518583</v>
      </c>
      <c r="AI2" s="100">
        <f>VLOOKUP(TableWRRanks32423644[[#This Row],[Player]],WR!B:O,5,FALSE)</f>
        <v>0.80502599893730076</v>
      </c>
      <c r="AJ2" s="100">
        <f>VLOOKUP(TableWRRanks32423644[[#This Row],[Player]],WR!B:O,6,FALSE)</f>
        <v>173.0302048136553</v>
      </c>
      <c r="AK2" s="100">
        <f>VLOOKUP(TableWRRanks32423644[[#This Row],[Player]],WR!B:O,7,FALSE)</f>
        <v>122.85144541769526</v>
      </c>
      <c r="AL2" s="100">
        <f>VLOOKUP(TableWRRanks32423644[[#This Row],[Player]],WR!B:O,8,FALSE)</f>
        <v>1600.7543337925692</v>
      </c>
      <c r="AM2" s="100">
        <f>VLOOKUP(TableWRRanks32423644[[#This Row],[Player]],WR!B:O,9,FALSE)</f>
        <v>9.0910069609094482</v>
      </c>
      <c r="AN2" s="95">
        <f>VLOOKUP(TableWRRanks32423644[[#This Row],[Player]],WR!B:O,13,FALSE)</f>
        <v>288.94554919043696</v>
      </c>
      <c r="AO2" s="190">
        <f>TableWRRanks32423644[[#This Row],[FPS]]-(TableWRRanks32423644[[#This Row],[REC]]*0.5)</f>
        <v>227.51982648158935</v>
      </c>
      <c r="AQ2" s="58">
        <v>1</v>
      </c>
      <c r="AR2" s="58" t="str">
        <f>VLOOKUP(TableTERanks33433745[[#This Row],[RK]],Rankings!A:AZ,48,FALSE)</f>
        <v>Brock Bowers</v>
      </c>
      <c r="AS2" s="58" t="str">
        <f>IFERROR(INDEX(TableTECalcPts[TM],MATCH(TableTERanks33433745[[#This Row],[Player]],TableTECalcPts[PLAYER],0)),"")</f>
        <v>LV</v>
      </c>
      <c r="AT2" s="58">
        <f>IFERROR(INDEX(TableTECalcPts[BYE],MATCH(TableTERanks33433745[[#This Row],[Player]],TableTECalcPts[PLAYER],0)),"")</f>
        <v>13</v>
      </c>
      <c r="AU2" s="100">
        <f>VLOOKUP(TableTERanks33433745[[#This Row],[Player]],TE!B:O,4,FALSE)</f>
        <v>136.61925984000001</v>
      </c>
      <c r="AV2" s="100">
        <f>VLOOKUP(TableTERanks33433745[[#This Row],[Player]],TE!B:O,5,FALSE)</f>
        <v>94.540527809280007</v>
      </c>
      <c r="AW2" s="100">
        <f>VLOOKUP(TableTERanks33433745[[#This Row],[Player]],TE!B:O,6,FALSE)</f>
        <v>1016.8526900232712</v>
      </c>
      <c r="AX2" s="100">
        <f>VLOOKUP(TableTERanks33433745[[#This Row],[Player]],TE!B:O,7,FALSE)</f>
        <v>6.7123774744588802</v>
      </c>
      <c r="AY2" s="95">
        <f>VLOOKUP(TableTERanks33433745[[#This Row],[Player]],TE!B:O,11,FALSE)</f>
        <v>189.22979775372039</v>
      </c>
      <c r="AZ2" s="190">
        <f>TableTERanks33433745[[#This Row],[FPS]]-(TableTERanks33433745[[#This Row],[REC]]*0.5)</f>
        <v>141.9595338490804</v>
      </c>
    </row>
    <row r="3" spans="1:52" x14ac:dyDescent="0.25">
      <c r="A3" s="58">
        <v>2</v>
      </c>
      <c r="B3" s="58" t="str">
        <f>VLOOKUP(TableQBRanks30403438[[#This Row],[RK]],Rankings!A:T,3,FALSE)</f>
        <v>Drake Maye</v>
      </c>
      <c r="C3" s="58" t="str">
        <f>IFERROR(INDEX(TableQBCalcPts[TM],MATCH(TableQBRanks30403438[[#This Row],[Player]],TableQBCalcPts[PLAYER],0)),"")</f>
        <v>NE</v>
      </c>
      <c r="D3" s="58">
        <f>IFERROR(INDEX(TableQBCalcPts[BYE],MATCH(TableQBRanks30403438[[#This Row],[Player]],TableQBCalcPts[PLAYER],0)),"")</f>
        <v>11</v>
      </c>
      <c r="E3" s="100">
        <f>VLOOKUP(TableQBRanks30403438[[#This Row],[Player]],QB!B:O,4,FALSE)</f>
        <v>545.37979999999993</v>
      </c>
      <c r="F3" s="100">
        <f>VLOOKUP(TableQBRanks30403438[[#This Row],[Player]],QB!B:O,5,FALSE)</f>
        <v>383.40199939999991</v>
      </c>
      <c r="G3" s="100">
        <f>VLOOKUP(TableQBRanks30403438[[#This Row],[Player]],QB!B:O,6,FALSE)</f>
        <v>4412.9570130939992</v>
      </c>
      <c r="H3" s="100">
        <f>VLOOKUP(TableQBRanks30403438[[#This Row],[Player]],QB!B:O,7,FALSE)</f>
        <v>29.905355953199994</v>
      </c>
      <c r="I3" s="100">
        <f>VLOOKUP(TableQBRanks30403438[[#This Row],[Player]],QB!B:O,8,FALSE)</f>
        <v>11.850977386295915</v>
      </c>
      <c r="J3" s="100">
        <f>VLOOKUP(TableQBRanks30403438[[#This Row],[Player]],QB!B:O,9,FALSE)</f>
        <v>86.66193899999999</v>
      </c>
      <c r="K3" s="100">
        <f>VLOOKUP(TableQBRanks30403438[[#This Row],[Player]],QB!B:O,10,FALSE)</f>
        <v>416.84392658999991</v>
      </c>
      <c r="L3" s="100">
        <f>VLOOKUP(TableQBRanks30403438[[#This Row],[Player]],QB!B:O,11,FALSE)</f>
        <v>3.6398014379999997</v>
      </c>
      <c r="M3" s="95">
        <f>VLOOKUP(TableQBRanks30403438[[#This Row],[Player]],QB!B:O,13,FALSE)</f>
        <v>445.96284008366393</v>
      </c>
      <c r="N3" s="140">
        <f>IF(VLOOKUP(TableQBRanks30403438[[#This Row],[Player]],'Ranks w Proj'!$B:$N,13,FALSE)&lt;0,0,VLOOKUP(TableQBRanks30403438[[#This Row],[Player]],'Ranks w Proj'!$B:$N,13,FALSE))</f>
        <v>34.159683353746708</v>
      </c>
      <c r="P3" s="58">
        <v>2</v>
      </c>
      <c r="Q3" s="58" t="str">
        <f>VLOOKUP(TableRBRanks31413539[[#This Row],[RK]],Rankings!A:AY,38,FALSE)</f>
        <v>Jahmyr Gibbs</v>
      </c>
      <c r="R3" s="58" t="str">
        <f>IFERROR(INDEX(TableRBCalcPts[TM],MATCH(TableRBRanks31413539[[#This Row],[Player]],TableRBCalcPts[PLAYER],0)),"")</f>
        <v>DET</v>
      </c>
      <c r="S3" s="58">
        <f>IFERROR(INDEX(TableRBCalcPts[BYE],MATCH(TableRBRanks31413539[[#This Row],[Player]],TableRBCalcPts[PLAYER],0)),"")</f>
        <v>6</v>
      </c>
      <c r="T3" s="100">
        <f>VLOOKUP(TableRBRanks31413539[[#This Row],[Player]],RB!B:O,4,FALSE)</f>
        <v>260.11842080000002</v>
      </c>
      <c r="U3" s="100">
        <f>VLOOKUP(TableRBRanks31413539[[#This Row],[Player]],RB!B:O,5,FALSE)</f>
        <v>1279.782630336</v>
      </c>
      <c r="V3" s="100">
        <f>VLOOKUP(TableRBRanks31413539[[#This Row],[Player]],RB!B:O,6,FALSE)</f>
        <v>13.526157881600001</v>
      </c>
      <c r="W3" s="100">
        <f>VLOOKUP(TableRBRanks31413539[[#This Row],[Player]],RB!B:O,7,FALSE)</f>
        <v>93.666047999999975</v>
      </c>
      <c r="X3" s="100">
        <f>VLOOKUP(TableRBRanks31413539[[#This Row],[Player]],RB!B:O,8,FALSE)</f>
        <v>72.778519295999985</v>
      </c>
      <c r="Y3" s="100">
        <f>VLOOKUP(TableRBRanks31413539[[#This Row],[Player]],RB!B:O,9,FALSE)</f>
        <v>575.01351531904493</v>
      </c>
      <c r="Z3" s="100">
        <f>VLOOKUP(TableRBRanks31413539[[#This Row],[Player]],RB!B:O,10,FALSE)</f>
        <v>3.5207265372926151</v>
      </c>
      <c r="AA3" s="95">
        <f>VLOOKUP(TableRBRanks31413539[[#This Row],[Player]],RB!B:O,14,FALSE)</f>
        <v>324.15018072686019</v>
      </c>
      <c r="AB3" s="190">
        <f>TableRBRanks31413539[[#This Row],[FPS]]-(TableRBRanks31413539[[#This Row],[REC]]*0.5)</f>
        <v>287.76092107886018</v>
      </c>
      <c r="AD3" s="58">
        <v>2</v>
      </c>
      <c r="AE3" s="58" t="str">
        <f>VLOOKUP(TableWRRanks32423644[[#This Row],[RK]],Rankings!A:AZ,43,FALSE)</f>
        <v>Ja'Marr Chase</v>
      </c>
      <c r="AF3" s="58" t="str">
        <f>IFERROR(INDEX(TableWRCalcPts[TM],MATCH(TableWRRanks32423644[[#This Row],[Player]],TableWRCalcPts[PLAYER],0)),"")</f>
        <v>CIN</v>
      </c>
      <c r="AG3" s="58">
        <f>IFERROR(INDEX(TableWRCalcPts[BYE],MATCH(TableWRRanks32423644[[#This Row],[Player]],TableWRCalcPts[PLAYER],0)),"")</f>
        <v>6</v>
      </c>
      <c r="AH3" s="100">
        <f>VLOOKUP(TableWRRanks32423644[[#This Row],[Player]],WR!B:O,4,FALSE)</f>
        <v>14.884963338313767</v>
      </c>
      <c r="AI3" s="100">
        <f>VLOOKUP(TableWRRanks32423644[[#This Row],[Player]],WR!B:O,5,FALSE)</f>
        <v>4.8294128068303098E-2</v>
      </c>
      <c r="AJ3" s="100">
        <f>VLOOKUP(TableWRRanks32423644[[#This Row],[Player]],WR!B:O,6,FALSE)</f>
        <v>189.1810375</v>
      </c>
      <c r="AK3" s="100">
        <f>VLOOKUP(TableWRRanks32423644[[#This Row],[Player]],WR!B:O,7,FALSE)</f>
        <v>130.50871869868942</v>
      </c>
      <c r="AL3" s="100">
        <f>VLOOKUP(TableWRRanks32423644[[#This Row],[Player]],WR!B:O,8,FALSE)</f>
        <v>1621.4955597299952</v>
      </c>
      <c r="AM3" s="100">
        <f>VLOOKUP(TableWRRanks32423644[[#This Row],[Player]],WR!B:O,9,FALSE)</f>
        <v>11.615275964183358</v>
      </c>
      <c r="AN3" s="95">
        <f>VLOOKUP(TableWRRanks32423644[[#This Row],[Player]],WR!B:O,13,FALSE)</f>
        <v>298.87383220968559</v>
      </c>
      <c r="AO3" s="190">
        <f>TableWRRanks32423644[[#This Row],[FPS]]-(TableWRRanks32423644[[#This Row],[REC]]*0.5)</f>
        <v>233.61947286034086</v>
      </c>
      <c r="AQ3" s="58">
        <v>2</v>
      </c>
      <c r="AR3" s="58" t="str">
        <f>VLOOKUP(TableTERanks33433745[[#This Row],[RK]],Rankings!A:AZ,48,FALSE)</f>
        <v>Trey McBride</v>
      </c>
      <c r="AS3" s="58" t="str">
        <f>IFERROR(INDEX(TableTECalcPts[TM],MATCH(TableTERanks33433745[[#This Row],[Player]],TableTECalcPts[PLAYER],0)),"")</f>
        <v>ARI</v>
      </c>
      <c r="AT3" s="58">
        <f>IFERROR(INDEX(TableTECalcPts[BYE],MATCH(TableTERanks33433745[[#This Row],[Player]],TableTECalcPts[PLAYER],0)),"")</f>
        <v>14</v>
      </c>
      <c r="AU3" s="100">
        <f>VLOOKUP(TableTERanks33433745[[#This Row],[Player]],TE!B:O,4,FALSE)</f>
        <v>140.09546880000002</v>
      </c>
      <c r="AV3" s="100">
        <f>VLOOKUP(TableTERanks33433745[[#This Row],[Player]],TE!B:O,5,FALSE)</f>
        <v>97.851594983020078</v>
      </c>
      <c r="AW3" s="100">
        <f>VLOOKUP(TableTERanks33433745[[#This Row],[Player]],TE!B:O,6,FALSE)</f>
        <v>972.64485413121952</v>
      </c>
      <c r="AX3" s="100">
        <f>VLOOKUP(TableTERanks33433745[[#This Row],[Player]],TE!B:O,7,FALSE)</f>
        <v>6.1646504839302647</v>
      </c>
      <c r="AY3" s="95">
        <f>VLOOKUP(TableTERanks33433745[[#This Row],[Player]],TE!B:O,11,FALSE)</f>
        <v>183.17818580821358</v>
      </c>
      <c r="AZ3" s="190">
        <f>TableTERanks33433745[[#This Row],[FPS]]-(TableTERanks33433745[[#This Row],[REC]]*0.5)</f>
        <v>134.25238831670356</v>
      </c>
    </row>
    <row r="4" spans="1:52" x14ac:dyDescent="0.25">
      <c r="A4" s="58">
        <v>3</v>
      </c>
      <c r="B4" s="58" t="str">
        <f>VLOOKUP(TableQBRanks30403438[[#This Row],[RK]],Rankings!A:T,3,FALSE)</f>
        <v>Lamar Jackson</v>
      </c>
      <c r="C4" s="58" t="str">
        <f>IFERROR(INDEX(TableQBCalcPts[TM],MATCH(TableQBRanks30403438[[#This Row],[Player]],TableQBCalcPts[PLAYER],0)),"")</f>
        <v>BAL</v>
      </c>
      <c r="D4" s="58">
        <f>IFERROR(INDEX(TableQBCalcPts[BYE],MATCH(TableQBRanks30403438[[#This Row],[Player]],TableQBCalcPts[PLAYER],0)),"")</f>
        <v>13</v>
      </c>
      <c r="E4" s="100">
        <f>VLOOKUP(TableQBRanks30403438[[#This Row],[Player]],QB!B:O,4,FALSE)</f>
        <v>455.57439999999997</v>
      </c>
      <c r="F4" s="100">
        <f>VLOOKUP(TableQBRanks30403438[[#This Row],[Player]],QB!B:O,5,FALSE)</f>
        <v>294.66200484712675</v>
      </c>
      <c r="G4" s="100">
        <f>VLOOKUP(TableQBRanks30403438[[#This Row],[Player]],QB!B:O,6,FALSE)</f>
        <v>3653.8088601043719</v>
      </c>
      <c r="H4" s="100">
        <f>VLOOKUP(TableQBRanks30403438[[#This Row],[Player]],QB!B:O,7,FALSE)</f>
        <v>27.509901520511995</v>
      </c>
      <c r="I4" s="100">
        <f>VLOOKUP(TableQBRanks30403438[[#This Row],[Player]],QB!B:O,8,FALSE)</f>
        <v>8.6775547780125564</v>
      </c>
      <c r="J4" s="100">
        <f>VLOOKUP(TableQBRanks30403438[[#This Row],[Player]],QB!B:O,9,FALSE)</f>
        <v>127.95454966421661</v>
      </c>
      <c r="K4" s="100">
        <f>VLOOKUP(TableQBRanks30403438[[#This Row],[Player]],QB!B:O,10,FALSE)</f>
        <v>723.43585354761888</v>
      </c>
      <c r="L4" s="100">
        <f>VLOOKUP(TableQBRanks30403438[[#This Row],[Player]],QB!B:O,11,FALSE)</f>
        <v>3.5060651957753577</v>
      </c>
      <c r="M4" s="95">
        <f>VLOOKUP(TableQBRanks30403438[[#This Row],[Player]],QB!B:O,13,FALSE)</f>
        <v>425.38038576336101</v>
      </c>
      <c r="N4" s="140">
        <f>IF(VLOOKUP(TableQBRanks30403438[[#This Row],[Player]],'Ranks w Proj'!$B:$N,13,FALSE)&lt;0,0,VLOOKUP(TableQBRanks30403438[[#This Row],[Player]],'Ranks w Proj'!$B:$N,13,FALSE))</f>
        <v>28.94425009689326</v>
      </c>
      <c r="P4" s="58">
        <v>3</v>
      </c>
      <c r="Q4" s="58" t="str">
        <f>VLOOKUP(TableRBRanks31413539[[#This Row],[RK]],Rankings!A:AY,38,FALSE)</f>
        <v>Christian McCaffrey</v>
      </c>
      <c r="R4" s="58" t="str">
        <f>IFERROR(INDEX(TableRBCalcPts[TM],MATCH(TableRBRanks31413539[[#This Row],[Player]],TableRBCalcPts[PLAYER],0)),"")</f>
        <v>SF</v>
      </c>
      <c r="S4" s="58">
        <f>IFERROR(INDEX(TableRBCalcPts[BYE],MATCH(TableRBRanks31413539[[#This Row],[Player]],TableRBCalcPts[PLAYER],0)),"")</f>
        <v>8</v>
      </c>
      <c r="T4" s="100">
        <f>VLOOKUP(TableRBRanks31413539[[#This Row],[Player]],RB!B:O,4,FALSE)</f>
        <v>254.66866432</v>
      </c>
      <c r="U4" s="100">
        <f>VLOOKUP(TableRBRanks31413539[[#This Row],[Player]],RB!B:O,5,FALSE)</f>
        <v>1049.2348969984</v>
      </c>
      <c r="V4" s="100">
        <f>VLOOKUP(TableRBRanks31413539[[#This Row],[Player]],RB!B:O,6,FALSE)</f>
        <v>8.9812697224945435</v>
      </c>
      <c r="W4" s="100">
        <f>VLOOKUP(TableRBRanks31413539[[#This Row],[Player]],RB!B:O,7,FALSE)</f>
        <v>100.92519808</v>
      </c>
      <c r="X4" s="100">
        <f>VLOOKUP(TableRBRanks31413539[[#This Row],[Player]],RB!B:O,8,FALSE)</f>
        <v>82.85958762368</v>
      </c>
      <c r="Y4" s="100">
        <f>VLOOKUP(TableRBRanks31413539[[#This Row],[Player]],RB!B:O,9,FALSE)</f>
        <v>752.20054293276496</v>
      </c>
      <c r="Z4" s="100">
        <f>VLOOKUP(TableRBRanks31413539[[#This Row],[Player]],RB!B:O,10,FALSE)</f>
        <v>5.3858731955392001</v>
      </c>
      <c r="AA4" s="95">
        <f>VLOOKUP(TableRBRanks31413539[[#This Row],[Player]],RB!B:O,14,FALSE)</f>
        <v>307.77619531315895</v>
      </c>
      <c r="AB4" s="190">
        <f>TableRBRanks31413539[[#This Row],[FPS]]-(TableRBRanks31413539[[#This Row],[REC]]*0.5)</f>
        <v>266.34640150131895</v>
      </c>
      <c r="AD4" s="58">
        <v>3</v>
      </c>
      <c r="AE4" s="58" t="str">
        <f>VLOOKUP(TableWRRanks32423644[[#This Row],[RK]],Rankings!A:AZ,43,FALSE)</f>
        <v>Jaxon Smith-Njigba</v>
      </c>
      <c r="AF4" s="58" t="str">
        <f>IFERROR(INDEX(TableWRCalcPts[TM],MATCH(TableWRRanks32423644[[#This Row],[Player]],TableWRCalcPts[PLAYER],0)),"")</f>
        <v>SEA</v>
      </c>
      <c r="AG4" s="58">
        <f>IFERROR(INDEX(TableWRCalcPts[BYE],MATCH(TableWRRanks32423644[[#This Row],[Player]],TableWRCalcPts[PLAYER],0)),"")</f>
        <v>11</v>
      </c>
      <c r="AH4" s="100">
        <f>VLOOKUP(TableWRRanks32423644[[#This Row],[Player]],WR!B:O,4,FALSE)</f>
        <v>29.701884942186943</v>
      </c>
      <c r="AI4" s="100">
        <f>VLOOKUP(TableWRRanks32423644[[#This Row],[Player]],WR!B:O,5,FALSE)</f>
        <v>6.7405473662896301E-2</v>
      </c>
      <c r="AJ4" s="100">
        <f>VLOOKUP(TableWRRanks32423644[[#This Row],[Player]],WR!B:O,6,FALSE)</f>
        <v>166.05532776000001</v>
      </c>
      <c r="AK4" s="100">
        <f>VLOOKUP(TableWRRanks32423644[[#This Row],[Player]],WR!B:O,7,FALSE)</f>
        <v>119.72589131496001</v>
      </c>
      <c r="AL4" s="100">
        <f>VLOOKUP(TableWRRanks32423644[[#This Row],[Player]],WR!B:O,8,FALSE)</f>
        <v>1773.1404503745578</v>
      </c>
      <c r="AM4" s="100">
        <f>VLOOKUP(TableWRRanks32423644[[#This Row],[Player]],WR!B:O,9,FALSE)</f>
        <v>9.9372489791416818</v>
      </c>
      <c r="AN4" s="95">
        <f>VLOOKUP(TableWRRanks32423644[[#This Row],[Player]],WR!B:O,13,FALSE)</f>
        <v>300.17510590598198</v>
      </c>
      <c r="AO4" s="190">
        <f>TableWRRanks32423644[[#This Row],[FPS]]-(TableWRRanks32423644[[#This Row],[REC]]*0.5)</f>
        <v>240.31216024850198</v>
      </c>
      <c r="AQ4" s="58">
        <v>3</v>
      </c>
      <c r="AR4" s="58" t="str">
        <f>VLOOKUP(TableTERanks33433745[[#This Row],[RK]],Rankings!A:AZ,48,FALSE)</f>
        <v>Colston Loveland</v>
      </c>
      <c r="AS4" s="58" t="str">
        <f>IFERROR(INDEX(TableTECalcPts[TM],MATCH(TableTERanks33433745[[#This Row],[Player]],TableTECalcPts[PLAYER],0)),"")</f>
        <v>CHI</v>
      </c>
      <c r="AT4" s="58">
        <f>IFERROR(INDEX(TableTECalcPts[BYE],MATCH(TableTERanks33433745[[#This Row],[Player]],TableTECalcPts[PLAYER],0)),"")</f>
        <v>10</v>
      </c>
      <c r="AU4" s="100">
        <f>VLOOKUP(TableTERanks33433745[[#This Row],[Player]],TE!B:O,4,FALSE)</f>
        <v>122.93785616000001</v>
      </c>
      <c r="AV4" s="100">
        <f>VLOOKUP(TableTERanks33433745[[#This Row],[Player]],TE!B:O,5,FALSE)</f>
        <v>83.843617901120012</v>
      </c>
      <c r="AW4" s="100">
        <f>VLOOKUP(TableTERanks33433745[[#This Row],[Player]],TE!B:O,6,FALSE)</f>
        <v>1012.8309042455297</v>
      </c>
      <c r="AX4" s="100">
        <f>VLOOKUP(TableTERanks33433745[[#This Row],[Player]],TE!B:O,7,FALSE)</f>
        <v>8.3843617901120009</v>
      </c>
      <c r="AY4" s="95">
        <f>VLOOKUP(TableTERanks33433745[[#This Row],[Player]],TE!B:O,11,FALSE)</f>
        <v>193.51107011578497</v>
      </c>
      <c r="AZ4" s="190">
        <f>TableTERanks33433745[[#This Row],[FPS]]-(TableTERanks33433745[[#This Row],[REC]]*0.5)</f>
        <v>151.58926116522497</v>
      </c>
    </row>
    <row r="5" spans="1:52" x14ac:dyDescent="0.25">
      <c r="A5" s="58">
        <v>4</v>
      </c>
      <c r="B5" s="58" t="str">
        <f>VLOOKUP(TableQBRanks30403438[[#This Row],[RK]],Rankings!A:T,3,FALSE)</f>
        <v>Jayden Daniels</v>
      </c>
      <c r="C5" s="58" t="str">
        <f>IFERROR(INDEX(TableQBCalcPts[TM],MATCH(TableQBRanks30403438[[#This Row],[Player]],TableQBCalcPts[PLAYER],0)),"")</f>
        <v>WSH</v>
      </c>
      <c r="D5" s="58">
        <f>IFERROR(INDEX(TableQBCalcPts[BYE],MATCH(TableQBRanks30403438[[#This Row],[Player]],TableQBCalcPts[PLAYER],0)),"")</f>
        <v>7</v>
      </c>
      <c r="E5" s="100">
        <f>VLOOKUP(TableQBRanks30403438[[#This Row],[Player]],QB!B:O,4,FALSE)</f>
        <v>482.58289999999994</v>
      </c>
      <c r="F5" s="100">
        <f>VLOOKUP(TableQBRanks30403438[[#This Row],[Player]],QB!B:O,5,FALSE)</f>
        <v>319.10744445753329</v>
      </c>
      <c r="G5" s="100">
        <f>VLOOKUP(TableQBRanks30403438[[#This Row],[Player]],QB!B:O,6,FALSE)</f>
        <v>3518.5626973932303</v>
      </c>
      <c r="H5" s="100">
        <f>VLOOKUP(TableQBRanks30403438[[#This Row],[Player]],QB!B:O,7,FALSE)</f>
        <v>22.337521112027332</v>
      </c>
      <c r="I5" s="100">
        <f>VLOOKUP(TableQBRanks30403438[[#This Row],[Player]],QB!B:O,8,FALSE)</f>
        <v>9.1155950210989563</v>
      </c>
      <c r="J5" s="100">
        <f>VLOOKUP(TableQBRanks30403438[[#This Row],[Player]],QB!B:O,9,FALSE)</f>
        <v>129.95258640000006</v>
      </c>
      <c r="K5" s="100">
        <f>VLOOKUP(TableQBRanks30403438[[#This Row],[Player]],QB!B:O,10,FALSE)</f>
        <v>734.23211316000038</v>
      </c>
      <c r="L5" s="100">
        <f>VLOOKUP(TableQBRanks30403438[[#This Row],[Player]],QB!B:O,11,FALSE)</f>
        <v>4.808245696800002</v>
      </c>
      <c r="M5" s="95">
        <f>VLOOKUP(TableQBRanks30403438[[#This Row],[Player]],QB!B:O,13,FALSE)</f>
        <v>399.83546948934764</v>
      </c>
      <c r="N5" s="140">
        <f>IF(VLOOKUP(TableQBRanks30403438[[#This Row],[Player]],'Ranks w Proj'!$B:$N,13,FALSE)&lt;0,0,VLOOKUP(TableQBRanks30403438[[#This Row],[Player]],'Ranks w Proj'!$B:$N,13,FALSE))</f>
        <v>19.812211630289035</v>
      </c>
      <c r="P5" s="58">
        <v>4</v>
      </c>
      <c r="Q5" s="58" t="str">
        <f>VLOOKUP(TableRBRanks31413539[[#This Row],[RK]],Rankings!A:AY,38,FALSE)</f>
        <v>Jonathan Taylor</v>
      </c>
      <c r="R5" s="58" t="str">
        <f>IFERROR(INDEX(TableRBCalcPts[TM],MATCH(TableRBRanks31413539[[#This Row],[Player]],TableRBCalcPts[PLAYER],0)),"")</f>
        <v>IND</v>
      </c>
      <c r="S5" s="58">
        <f>IFERROR(INDEX(TableRBCalcPts[BYE],MATCH(TableRBRanks31413539[[#This Row],[Player]],TableRBCalcPts[PLAYER],0)),"")</f>
        <v>13</v>
      </c>
      <c r="T5" s="100">
        <f>VLOOKUP(TableRBRanks31413539[[#This Row],[Player]],RB!B:O,4,FALSE)</f>
        <v>303.2034544</v>
      </c>
      <c r="U5" s="100">
        <f>VLOOKUP(TableRBRanks31413539[[#This Row],[Player]],RB!B:O,5,FALSE)</f>
        <v>1452.6606494689795</v>
      </c>
      <c r="V5" s="100">
        <f>VLOOKUP(TableRBRanks31413539[[#This Row],[Player]],RB!B:O,6,FALSE)</f>
        <v>13.251572502380769</v>
      </c>
      <c r="W5" s="100">
        <f>VLOOKUP(TableRBRanks31413539[[#This Row],[Player]],RB!B:O,7,FALSE)</f>
        <v>56.964969599999996</v>
      </c>
      <c r="X5" s="100">
        <f>VLOOKUP(TableRBRanks31413539[[#This Row],[Player]],RB!B:O,8,FALSE)</f>
        <v>43.655331304608843</v>
      </c>
      <c r="Y5" s="100">
        <f>VLOOKUP(TableRBRanks31413539[[#This Row],[Player]],RB!B:O,9,FALSE)</f>
        <v>331.16475852092032</v>
      </c>
      <c r="Z5" s="100">
        <f>VLOOKUP(TableRBRanks31413539[[#This Row],[Player]],RB!B:O,10,FALSE)</f>
        <v>1.3533152704428741</v>
      </c>
      <c r="AA5" s="95">
        <f>VLOOKUP(TableRBRanks31413539[[#This Row],[Player]],RB!B:O,14,FALSE)</f>
        <v>287.83953308823624</v>
      </c>
      <c r="AB5" s="190">
        <f>TableRBRanks31413539[[#This Row],[FPS]]-(TableRBRanks31413539[[#This Row],[REC]]*0.5)</f>
        <v>266.01186743593183</v>
      </c>
      <c r="AD5" s="58">
        <v>4</v>
      </c>
      <c r="AE5" s="58" t="str">
        <f>VLOOKUP(TableWRRanks32423644[[#This Row],[RK]],Rankings!A:AZ,43,FALSE)</f>
        <v>Amon-Ra St. Brown</v>
      </c>
      <c r="AF5" s="58" t="str">
        <f>IFERROR(INDEX(TableWRCalcPts[TM],MATCH(TableWRRanks32423644[[#This Row],[Player]],TableWRCalcPts[PLAYER],0)),"")</f>
        <v>DET</v>
      </c>
      <c r="AG5" s="58">
        <f>IFERROR(INDEX(TableWRCalcPts[BYE],MATCH(TableWRRanks32423644[[#This Row],[Player]],TableWRCalcPts[PLAYER],0)),"")</f>
        <v>6</v>
      </c>
      <c r="AH5" s="100">
        <f>VLOOKUP(TableWRRanks32423644[[#This Row],[Player]],WR!B:O,4,FALSE)</f>
        <v>10.987722675575707</v>
      </c>
      <c r="AI5" s="100">
        <f>VLOOKUP(TableWRRanks32423644[[#This Row],[Player]],WR!B:O,5,FALSE)</f>
        <v>2.6346927574275147E-2</v>
      </c>
      <c r="AJ5" s="100">
        <f>VLOOKUP(TableWRRanks32423644[[#This Row],[Player]],WR!B:O,6,FALSE)</f>
        <v>172.69677599999994</v>
      </c>
      <c r="AK5" s="100">
        <f>VLOOKUP(TableWRRanks32423644[[#This Row],[Player]],WR!B:O,7,FALSE)</f>
        <v>120.54234964799996</v>
      </c>
      <c r="AL5" s="100">
        <f>VLOOKUP(TableWRRanks32423644[[#This Row],[Player]],WR!B:O,8,FALSE)</f>
        <v>1423.6051493428795</v>
      </c>
      <c r="AM5" s="100">
        <f>VLOOKUP(TableWRRanks32423644[[#This Row],[Player]],WR!B:O,9,FALSE)</f>
        <v>9.8844726711359971</v>
      </c>
      <c r="AN5" s="95">
        <f>VLOOKUP(TableWRRanks32423644[[#This Row],[Player]],WR!B:O,13,FALSE)</f>
        <v>263.19537961810715</v>
      </c>
      <c r="AO5" s="190">
        <f>TableWRRanks32423644[[#This Row],[FPS]]-(TableWRRanks32423644[[#This Row],[REC]]*0.5)</f>
        <v>202.92420479410717</v>
      </c>
      <c r="AQ5" s="58">
        <v>4</v>
      </c>
      <c r="AR5" s="58" t="str">
        <f>VLOOKUP(TableTERanks33433745[[#This Row],[RK]],Rankings!A:AZ,48,FALSE)</f>
        <v>Tucker Kraft</v>
      </c>
      <c r="AS5" s="58" t="str">
        <f>IFERROR(INDEX(TableTECalcPts[TM],MATCH(TableTERanks33433745[[#This Row],[Player]],TableTECalcPts[PLAYER],0)),"")</f>
        <v>GB</v>
      </c>
      <c r="AT5" s="58">
        <f>IFERROR(INDEX(TableTECalcPts[BYE],MATCH(TableTERanks33433745[[#This Row],[Player]],TableTECalcPts[PLAYER],0)),"")</f>
        <v>11</v>
      </c>
      <c r="AU5" s="100">
        <f>VLOOKUP(TableTERanks33433745[[#This Row],[Player]],TE!B:O,4,FALSE)</f>
        <v>92.354636623115567</v>
      </c>
      <c r="AV5" s="100">
        <f>VLOOKUP(TableTERanks33433745[[#This Row],[Player]],TE!B:O,5,FALSE)</f>
        <v>66.144135726810134</v>
      </c>
      <c r="AW5" s="100">
        <f>VLOOKUP(TableTERanks33433745[[#This Row],[Player]],TE!B:O,6,FALSE)</f>
        <v>815.55719351156893</v>
      </c>
      <c r="AX5" s="100">
        <f>VLOOKUP(TableTERanks33433745[[#This Row],[Player]],TE!B:O,7,FALSE)</f>
        <v>6.4159811655005834</v>
      </c>
      <c r="AY5" s="95">
        <f>VLOOKUP(TableTERanks33433745[[#This Row],[Player]],TE!B:O,11,FALSE)</f>
        <v>153.12367420756547</v>
      </c>
      <c r="AZ5" s="190">
        <f>TableTERanks33433745[[#This Row],[FPS]]-(TableTERanks33433745[[#This Row],[REC]]*0.5)</f>
        <v>120.0516063441604</v>
      </c>
    </row>
    <row r="6" spans="1:52" x14ac:dyDescent="0.25">
      <c r="A6" s="58">
        <v>5</v>
      </c>
      <c r="B6" s="58" t="str">
        <f>VLOOKUP(TableQBRanks30403438[[#This Row],[RK]],Rankings!A:T,3,FALSE)</f>
        <v>Joe Burrow</v>
      </c>
      <c r="C6" s="58" t="str">
        <f>IFERROR(INDEX(TableQBCalcPts[TM],MATCH(TableQBRanks30403438[[#This Row],[Player]],TableQBCalcPts[PLAYER],0)),"")</f>
        <v>CIN</v>
      </c>
      <c r="D6" s="58">
        <f>IFERROR(INDEX(TableQBCalcPts[BYE],MATCH(TableQBRanks30403438[[#This Row],[Player]],TableQBCalcPts[PLAYER],0)),"")</f>
        <v>6</v>
      </c>
      <c r="E6" s="100">
        <f>VLOOKUP(TableQBRanks30403438[[#This Row],[Player]],QB!B:O,4,FALSE)</f>
        <v>613.34375</v>
      </c>
      <c r="F6" s="100">
        <f>VLOOKUP(TableQBRanks30403438[[#This Row],[Player]],QB!B:O,5,FALSE)</f>
        <v>419.80440510814873</v>
      </c>
      <c r="G6" s="100">
        <f>VLOOKUP(TableQBRanks30403438[[#This Row],[Player]],QB!B:O,6,FALSE)</f>
        <v>4542.2836632701692</v>
      </c>
      <c r="H6" s="100">
        <f>VLOOKUP(TableQBRanks30403438[[#This Row],[Player]],QB!B:O,7,FALSE)</f>
        <v>36.103178839300789</v>
      </c>
      <c r="I6" s="100">
        <f>VLOOKUP(TableQBRanks30403438[[#This Row],[Player]],QB!B:O,8,FALSE)</f>
        <v>11.04144846541895</v>
      </c>
      <c r="J6" s="100">
        <f>VLOOKUP(TableQBRanks30403438[[#This Row],[Player]],QB!B:O,9,FALSE)</f>
        <v>37.203494999999997</v>
      </c>
      <c r="K6" s="100">
        <f>VLOOKUP(TableQBRanks30403438[[#This Row],[Player]],QB!B:O,10,FALSE)</f>
        <v>131.04229460580694</v>
      </c>
      <c r="L6" s="100">
        <f>VLOOKUP(TableQBRanks30403438[[#This Row],[Player]],QB!B:O,11,FALSE)</f>
        <v>1.078901355</v>
      </c>
      <c r="M6" s="95">
        <f>VLOOKUP(TableQBRanks30403438[[#This Row],[Player]],QB!B:O,13,FALSE)</f>
        <v>448.82704920258811</v>
      </c>
      <c r="N6" s="140">
        <f>IF(VLOOKUP(TableQBRanks30403438[[#This Row],[Player]],'Ranks w Proj'!$B:$N,13,FALSE)&lt;0,0,VLOOKUP(TableQBRanks30403438[[#This Row],[Player]],'Ranks w Proj'!$B:$N,13,FALSE))</f>
        <v>35.720992523403901</v>
      </c>
      <c r="P6" s="58">
        <v>5</v>
      </c>
      <c r="Q6" s="58" t="str">
        <f>VLOOKUP(TableRBRanks31413539[[#This Row],[RK]],Rankings!A:AY,38,FALSE)</f>
        <v>James Cook</v>
      </c>
      <c r="R6" s="58" t="str">
        <f>IFERROR(INDEX(TableRBCalcPts[TM],MATCH(TableRBRanks31413539[[#This Row],[Player]],TableRBCalcPts[PLAYER],0)),"")</f>
        <v>BUF</v>
      </c>
      <c r="S6" s="58">
        <f>IFERROR(INDEX(TableRBCalcPts[BYE],MATCH(TableRBRanks31413539[[#This Row],[Player]],TableRBCalcPts[PLAYER],0)),"")</f>
        <v>7</v>
      </c>
      <c r="T6" s="100">
        <f>VLOOKUP(TableRBRanks31413539[[#This Row],[Player]],RB!B:O,4,FALSE)</f>
        <v>275.25126719999997</v>
      </c>
      <c r="U6" s="100">
        <f>VLOOKUP(TableRBRanks31413539[[#This Row],[Player]],RB!B:O,5,FALSE)</f>
        <v>1356.9887472959997</v>
      </c>
      <c r="V6" s="100">
        <f>VLOOKUP(TableRBRanks31413539[[#This Row],[Player]],RB!B:O,6,FALSE)</f>
        <v>9.9643321198835419</v>
      </c>
      <c r="W6" s="100">
        <f>VLOOKUP(TableRBRanks31413539[[#This Row],[Player]],RB!B:O,7,FALSE)</f>
        <v>45.968075999999989</v>
      </c>
      <c r="X6" s="100">
        <f>VLOOKUP(TableRBRanks31413539[[#This Row],[Player]],RB!B:O,8,FALSE)</f>
        <v>34.768849644722884</v>
      </c>
      <c r="Y6" s="100">
        <f>VLOOKUP(TableRBRanks31413539[[#This Row],[Player]],RB!B:O,9,FALSE)</f>
        <v>281.62768212225535</v>
      </c>
      <c r="Z6" s="100">
        <f>VLOOKUP(TableRBRanks31413539[[#This Row],[Player]],RB!B:O,10,FALSE)</f>
        <v>1.9945345104578305</v>
      </c>
      <c r="AA6" s="95">
        <f>VLOOKUP(TableRBRanks31413539[[#This Row],[Player]],RB!B:O,14,FALSE)</f>
        <v>252.99926754623516</v>
      </c>
      <c r="AB6" s="190">
        <f>TableRBRanks31413539[[#This Row],[FPS]]-(TableRBRanks31413539[[#This Row],[REC]]*0.5)</f>
        <v>235.61484272387372</v>
      </c>
      <c r="AD6" s="58">
        <v>5</v>
      </c>
      <c r="AE6" s="58" t="str">
        <f>VLOOKUP(TableWRRanks32423644[[#This Row],[RK]],Rankings!A:AZ,43,FALSE)</f>
        <v>Justin Jefferson</v>
      </c>
      <c r="AF6" s="58" t="str">
        <f>IFERROR(INDEX(TableWRCalcPts[TM],MATCH(TableWRRanks32423644[[#This Row],[Player]],TableWRCalcPts[PLAYER],0)),"")</f>
        <v>MIN</v>
      </c>
      <c r="AG6" s="58">
        <f>IFERROR(INDEX(TableWRCalcPts[BYE],MATCH(TableWRRanks32423644[[#This Row],[Player]],TableWRCalcPts[PLAYER],0)),"")</f>
        <v>6</v>
      </c>
      <c r="AH6" s="100">
        <f>VLOOKUP(TableWRRanks32423644[[#This Row],[Player]],WR!B:O,4,FALSE)</f>
        <v>0</v>
      </c>
      <c r="AI6" s="100">
        <f>VLOOKUP(TableWRRanks32423644[[#This Row],[Player]],WR!B:O,5,FALSE)</f>
        <v>0</v>
      </c>
      <c r="AJ6" s="100">
        <f>VLOOKUP(TableWRRanks32423644[[#This Row],[Player]],WR!B:O,6,FALSE)</f>
        <v>152.61732863999998</v>
      </c>
      <c r="AK6" s="100">
        <f>VLOOKUP(TableWRRanks32423644[[#This Row],[Player]],WR!B:O,7,FALSE)</f>
        <v>101.33790621695999</v>
      </c>
      <c r="AL6" s="100">
        <f>VLOOKUP(TableWRRanks32423644[[#This Row],[Player]],WR!B:O,8,FALSE)</f>
        <v>1263.6836905254911</v>
      </c>
      <c r="AM6" s="100">
        <f>VLOOKUP(TableWRRanks32423644[[#This Row],[Player]],WR!B:O,9,FALSE)</f>
        <v>7.7016808724889589</v>
      </c>
      <c r="AN6" s="95">
        <f>VLOOKUP(TableWRRanks32423644[[#This Row],[Player]],WR!B:O,13,FALSE)</f>
        <v>223.24740739596288</v>
      </c>
      <c r="AO6" s="190">
        <f>TableWRRanks32423644[[#This Row],[FPS]]-(TableWRRanks32423644[[#This Row],[REC]]*0.5)</f>
        <v>172.57845428748288</v>
      </c>
      <c r="AQ6" s="58">
        <v>5</v>
      </c>
      <c r="AR6" s="58" t="str">
        <f>VLOOKUP(TableTERanks33433745[[#This Row],[RK]],Rankings!A:AZ,48,FALSE)</f>
        <v>Tyler Warren</v>
      </c>
      <c r="AS6" s="58" t="str">
        <f>IFERROR(INDEX(TableTECalcPts[TM],MATCH(TableTERanks33433745[[#This Row],[Player]],TableTECalcPts[PLAYER],0)),"")</f>
        <v>IND</v>
      </c>
      <c r="AT6" s="58">
        <f>IFERROR(INDEX(TableTECalcPts[BYE],MATCH(TableTERanks33433745[[#This Row],[Player]],TableTECalcPts[PLAYER],0)),"")</f>
        <v>13</v>
      </c>
      <c r="AU6" s="100">
        <f>VLOOKUP(TableTERanks33433745[[#This Row],[Player]],TE!B:O,4,FALSE)</f>
        <v>118.63346879999999</v>
      </c>
      <c r="AV6" s="100">
        <f>VLOOKUP(TableTERanks33433745[[#This Row],[Player]],TE!B:O,5,FALSE)</f>
        <v>87.076966099199993</v>
      </c>
      <c r="AW6" s="100">
        <f>VLOOKUP(TableTERanks33433745[[#This Row],[Player]],TE!B:O,6,FALSE)</f>
        <v>902.98813844870381</v>
      </c>
      <c r="AX6" s="100">
        <f>VLOOKUP(TableTERanks33433745[[#This Row],[Player]],TE!B:O,7,FALSE)</f>
        <v>5.7470797625471999</v>
      </c>
      <c r="AY6" s="95">
        <f>VLOOKUP(TableTERanks33433745[[#This Row],[Player]],TE!B:O,11,FALSE)</f>
        <v>168.31977546975355</v>
      </c>
      <c r="AZ6" s="190">
        <f>TableTERanks33433745[[#This Row],[FPS]]-(TableTERanks33433745[[#This Row],[REC]]*0.5)</f>
        <v>124.78129242015356</v>
      </c>
    </row>
    <row r="7" spans="1:52" x14ac:dyDescent="0.25">
      <c r="A7" s="58">
        <v>6</v>
      </c>
      <c r="B7" s="58" t="str">
        <f>VLOOKUP(TableQBRanks30403438[[#This Row],[RK]],Rankings!A:T,3,FALSE)</f>
        <v>Jalen Hurts</v>
      </c>
      <c r="C7" s="58" t="str">
        <f>IFERROR(INDEX(TableQBCalcPts[TM],MATCH(TableQBRanks30403438[[#This Row],[Player]],TableQBCalcPts[PLAYER],0)),"")</f>
        <v>PHI</v>
      </c>
      <c r="D7" s="58">
        <f>IFERROR(INDEX(TableQBCalcPts[BYE],MATCH(TableQBRanks30403438[[#This Row],[Player]],TableQBCalcPts[PLAYER],0)),"")</f>
        <v>10</v>
      </c>
      <c r="E7" s="100">
        <f>VLOOKUP(TableQBRanks30403438[[#This Row],[Player]],QB!B:O,4,FALSE)</f>
        <v>480.31367999999998</v>
      </c>
      <c r="F7" s="100">
        <f>VLOOKUP(TableQBRanks30403438[[#This Row],[Player]],QB!B:O,5,FALSE)</f>
        <v>315.3586330461053</v>
      </c>
      <c r="G7" s="100">
        <f>VLOOKUP(TableQBRanks30403438[[#This Row],[Player]],QB!B:O,6,FALSE)</f>
        <v>3538.3238627773017</v>
      </c>
      <c r="H7" s="100">
        <f>VLOOKUP(TableQBRanks30403438[[#This Row],[Player]],QB!B:O,7,FALSE)</f>
        <v>24.913332010642318</v>
      </c>
      <c r="I7" s="100">
        <f>VLOOKUP(TableQBRanks30403438[[#This Row],[Player]],QB!B:O,8,FALSE)</f>
        <v>8.0550783346701191</v>
      </c>
      <c r="J7" s="100">
        <f>VLOOKUP(TableQBRanks30403438[[#This Row],[Player]],QB!B:O,9,FALSE)</f>
        <v>108.73328928000001</v>
      </c>
      <c r="K7" s="100">
        <f>VLOOKUP(TableQBRanks30403438[[#This Row],[Player]],QB!B:O,10,FALSE)</f>
        <v>444.46017109093691</v>
      </c>
      <c r="L7" s="100">
        <f>VLOOKUP(TableQBRanks30403438[[#This Row],[Player]],QB!B:O,11,FALSE)</f>
        <v>8.8073964316800009</v>
      </c>
      <c r="M7" s="95">
        <f>VLOOKUP(TableQBRanks30403438[[#This Row],[Player]],QB!B:O,13,FALSE)</f>
        <v>411.78412724406013</v>
      </c>
      <c r="N7" s="140">
        <f>IF(VLOOKUP(TableQBRanks30403438[[#This Row],[Player]],'Ranks w Proj'!$B:$N,13,FALSE)&lt;0,0,VLOOKUP(TableQBRanks30403438[[#This Row],[Player]],'Ranks w Proj'!$B:$N,13,FALSE))</f>
        <v>22.694225670429237</v>
      </c>
      <c r="P7" s="58">
        <v>6</v>
      </c>
      <c r="Q7" s="58" t="str">
        <f>VLOOKUP(TableRBRanks31413539[[#This Row],[RK]],Rankings!A:AY,38,FALSE)</f>
        <v>Derrick Henry</v>
      </c>
      <c r="R7" s="58" t="str">
        <f>IFERROR(INDEX(TableRBCalcPts[TM],MATCH(TableRBRanks31413539[[#This Row],[Player]],TableRBCalcPts[PLAYER],0)),"")</f>
        <v>BAL</v>
      </c>
      <c r="S7" s="58">
        <f>IFERROR(INDEX(TableRBCalcPts[BYE],MATCH(TableRBRanks31413539[[#This Row],[Player]],TableRBCalcPts[PLAYER],0)),"")</f>
        <v>13</v>
      </c>
      <c r="T7" s="100">
        <f>VLOOKUP(TableRBRanks31413539[[#This Row],[Player]],RB!B:O,4,FALSE)</f>
        <v>281.9247546543528</v>
      </c>
      <c r="U7" s="100">
        <f>VLOOKUP(TableRBRanks31413539[[#This Row],[Player]],RB!B:O,5,FALSE)</f>
        <v>1413.2204856259643</v>
      </c>
      <c r="V7" s="100">
        <f>VLOOKUP(TableRBRanks31413539[[#This Row],[Player]],RB!B:O,6,FALSE)</f>
        <v>11.113038933805319</v>
      </c>
      <c r="W7" s="100">
        <f>VLOOKUP(TableRBRanks31413539[[#This Row],[Player]],RB!B:O,7,FALSE)</f>
        <v>25.847852799999995</v>
      </c>
      <c r="X7" s="100">
        <f>VLOOKUP(TableRBRanks31413539[[#This Row],[Player]],RB!B:O,8,FALSE)</f>
        <v>18.452265156863994</v>
      </c>
      <c r="Y7" s="100">
        <f>VLOOKUP(TableRBRanks31413539[[#This Row],[Player]],RB!B:O,9,FALSE)</f>
        <v>177.21666981521065</v>
      </c>
      <c r="Z7" s="100">
        <f>VLOOKUP(TableRBRanks31413539[[#This Row],[Player]],RB!B:O,10,FALSE)</f>
        <v>0.97797005331379172</v>
      </c>
      <c r="AA7" s="95">
        <f>VLOOKUP(TableRBRanks31413539[[#This Row],[Player]],RB!B:O,14,FALSE)</f>
        <v>240.81590204526415</v>
      </c>
      <c r="AB7" s="190">
        <f>TableRBRanks31413539[[#This Row],[FPS]]-(TableRBRanks31413539[[#This Row],[REC]]*0.5)</f>
        <v>231.58976946683217</v>
      </c>
      <c r="AD7" s="58">
        <v>6</v>
      </c>
      <c r="AE7" s="58" t="str">
        <f>VLOOKUP(TableWRRanks32423644[[#This Row],[RK]],Rankings!A:AZ,43,FALSE)</f>
        <v>A.J. Brown</v>
      </c>
      <c r="AF7" s="58" t="str">
        <f>IFERROR(INDEX(TableWRCalcPts[TM],MATCH(TableWRRanks32423644[[#This Row],[Player]],TableWRCalcPts[PLAYER],0)),"")</f>
        <v>NE</v>
      </c>
      <c r="AG7" s="58">
        <f>IFERROR(INDEX(TableWRCalcPts[BYE],MATCH(TableWRRanks32423644[[#This Row],[Player]],TableWRCalcPts[PLAYER],0)),"")</f>
        <v>11</v>
      </c>
      <c r="AH7" s="100">
        <f>VLOOKUP(TableWRRanks32423644[[#This Row],[Player]],WR!B:O,4,FALSE)</f>
        <v>0</v>
      </c>
      <c r="AI7" s="100">
        <f>VLOOKUP(TableWRRanks32423644[[#This Row],[Player]],WR!B:O,5,FALSE)</f>
        <v>0</v>
      </c>
      <c r="AJ7" s="100">
        <f>VLOOKUP(TableWRRanks32423644[[#This Row],[Player]],WR!B:O,6,FALSE)</f>
        <v>134.16343079999993</v>
      </c>
      <c r="AK7" s="100">
        <f>VLOOKUP(TableWRRanks32423644[[#This Row],[Player]],WR!B:O,7,FALSE)</f>
        <v>85.462105419599951</v>
      </c>
      <c r="AL7" s="100">
        <f>VLOOKUP(TableWRRanks32423644[[#This Row],[Player]],WR!B:O,8,FALSE)</f>
        <v>1244.3282549093753</v>
      </c>
      <c r="AM7" s="100">
        <f>VLOOKUP(TableWRRanks32423644[[#This Row],[Player]],WR!B:O,9,FALSE)</f>
        <v>8.9735210690579947</v>
      </c>
      <c r="AN7" s="95">
        <f>VLOOKUP(TableWRRanks32423644[[#This Row],[Player]],WR!B:O,13,FALSE)</f>
        <v>221.00500461508548</v>
      </c>
      <c r="AO7" s="190">
        <f>TableWRRanks32423644[[#This Row],[FPS]]-(TableWRRanks32423644[[#This Row],[REC]]*0.5)</f>
        <v>178.27395190528551</v>
      </c>
      <c r="AQ7" s="58">
        <v>6</v>
      </c>
      <c r="AR7" s="58" t="str">
        <f>VLOOKUP(TableTERanks33433745[[#This Row],[RK]],Rankings!A:AZ,48,FALSE)</f>
        <v>George Kittle</v>
      </c>
      <c r="AS7" s="58" t="str">
        <f>IFERROR(INDEX(TableTECalcPts[TM],MATCH(TableTERanks33433745[[#This Row],[Player]],TableTECalcPts[PLAYER],0)),"")</f>
        <v>SF</v>
      </c>
      <c r="AT7" s="58">
        <f>IFERROR(INDEX(TableTECalcPts[BYE],MATCH(TableTERanks33433745[[#This Row],[Player]],TableTECalcPts[PLAYER],0)),"")</f>
        <v>8</v>
      </c>
      <c r="AU7" s="100">
        <f>VLOOKUP(TableTERanks33433745[[#This Row],[Player]],TE!B:O,4,FALSE)</f>
        <v>86.967457920000015</v>
      </c>
      <c r="AV7" s="100">
        <f>VLOOKUP(TableTERanks33433745[[#This Row],[Player]],TE!B:O,5,FALSE)</f>
        <v>67.834617177600009</v>
      </c>
      <c r="AW7" s="100">
        <f>VLOOKUP(TableTERanks33433745[[#This Row],[Player]],TE!B:O,6,FALSE)</f>
        <v>796.37840566502416</v>
      </c>
      <c r="AX7" s="100">
        <f>VLOOKUP(TableTERanks33433745[[#This Row],[Player]],TE!B:O,7,FALSE)</f>
        <v>6.9191309521152009</v>
      </c>
      <c r="AY7" s="95">
        <f>VLOOKUP(TableTERanks33433745[[#This Row],[Player]],TE!B:O,11,FALSE)</f>
        <v>155.06993486799362</v>
      </c>
      <c r="AZ7" s="190">
        <f>TableTERanks33433745[[#This Row],[FPS]]-(TableTERanks33433745[[#This Row],[REC]]*0.5)</f>
        <v>121.15262627919361</v>
      </c>
    </row>
    <row r="8" spans="1:52" x14ac:dyDescent="0.25">
      <c r="A8" s="58">
        <v>7</v>
      </c>
      <c r="B8" s="58" t="str">
        <f>VLOOKUP(TableQBRanks30403438[[#This Row],[RK]],Rankings!A:T,3,FALSE)</f>
        <v>Dak Prescott</v>
      </c>
      <c r="C8" s="58" t="str">
        <f>IFERROR(INDEX(TableQBCalcPts[TM],MATCH(TableQBRanks30403438[[#This Row],[Player]],TableQBCalcPts[PLAYER],0)),"")</f>
        <v>DAL</v>
      </c>
      <c r="D8" s="58">
        <f>IFERROR(INDEX(TableQBCalcPts[BYE],MATCH(TableQBRanks30403438[[#This Row],[Player]],TableQBCalcPts[PLAYER],0)),"")</f>
        <v>14</v>
      </c>
      <c r="E8" s="100">
        <f>VLOOKUP(TableQBRanks30403438[[#This Row],[Player]],QB!B:O,4,FALSE)</f>
        <v>602.76369999999997</v>
      </c>
      <c r="F8" s="100">
        <f>VLOOKUP(TableQBRanks30403438[[#This Row],[Player]],QB!B:O,5,FALSE)</f>
        <v>405.58246881758657</v>
      </c>
      <c r="G8" s="100">
        <f>VLOOKUP(TableQBRanks30403438[[#This Row],[Player]],QB!B:O,6,FALSE)</f>
        <v>4542.5236507569689</v>
      </c>
      <c r="H8" s="100">
        <f>VLOOKUP(TableQBRanks30403438[[#This Row],[Player]],QB!B:O,7,FALSE)</f>
        <v>31.229850098954167</v>
      </c>
      <c r="I8" s="100">
        <f>VLOOKUP(TableQBRanks30403438[[#This Row],[Player]],QB!B:O,8,FALSE)</f>
        <v>12.267773740200933</v>
      </c>
      <c r="J8" s="100">
        <f>VLOOKUP(TableQBRanks30403438[[#This Row],[Player]],QB!B:O,9,FALSE)</f>
        <v>46.131584100000005</v>
      </c>
      <c r="K8" s="100">
        <f>VLOOKUP(TableQBRanks30403438[[#This Row],[Player]],QB!B:O,10,FALSE)</f>
        <v>168.88968348237614</v>
      </c>
      <c r="L8" s="100">
        <f>VLOOKUP(TableQBRanks30403438[[#This Row],[Player]],QB!B:O,11,FALSE)</f>
        <v>1.6670136111378264</v>
      </c>
      <c r="M8" s="95">
        <f>VLOOKUP(TableQBRanks30403438[[#This Row],[Player]],QB!B:O,13,FALSE)</f>
        <v>424.26156978062608</v>
      </c>
      <c r="N8" s="140">
        <f>IF(VLOOKUP(TableQBRanks30403438[[#This Row],[Player]],'Ranks w Proj'!$B:$N,13,FALSE)&lt;0,0,VLOOKUP(TableQBRanks30403438[[#This Row],[Player]],'Ranks w Proj'!$B:$N,13,FALSE))</f>
        <v>26.377587629938926</v>
      </c>
      <c r="P8" s="58">
        <v>7</v>
      </c>
      <c r="Q8" s="58" t="str">
        <f>VLOOKUP(TableRBRanks31413539[[#This Row],[RK]],Rankings!A:AY,38,FALSE)</f>
        <v>Chase Brown</v>
      </c>
      <c r="R8" s="58" t="str">
        <f>IFERROR(INDEX(TableRBCalcPts[TM],MATCH(TableRBRanks31413539[[#This Row],[Player]],TableRBCalcPts[PLAYER],0)),"")</f>
        <v>CIN</v>
      </c>
      <c r="S8" s="58">
        <f>IFERROR(INDEX(TableRBCalcPts[BYE],MATCH(TableRBRanks31413539[[#This Row],[Player]],TableRBCalcPts[PLAYER],0)),"")</f>
        <v>6</v>
      </c>
      <c r="T8" s="100">
        <f>VLOOKUP(TableRBRanks31413539[[#This Row],[Player]],RB!B:O,4,FALSE)</f>
        <v>230.81351999999998</v>
      </c>
      <c r="U8" s="100">
        <f>VLOOKUP(TableRBRanks31413539[[#This Row],[Player]],RB!B:O,5,FALSE)</f>
        <v>1010.9632175999999</v>
      </c>
      <c r="V8" s="100">
        <f>VLOOKUP(TableRBRanks31413539[[#This Row],[Player]],RB!B:O,6,FALSE)</f>
        <v>6.6935920800000002</v>
      </c>
      <c r="W8" s="100">
        <f>VLOOKUP(TableRBRanks31413539[[#This Row],[Player]],RB!B:O,7,FALSE)</f>
        <v>85.416187500000007</v>
      </c>
      <c r="X8" s="100">
        <f>VLOOKUP(TableRBRanks31413539[[#This Row],[Player]],RB!B:O,8,FALSE)</f>
        <v>71.363433367549675</v>
      </c>
      <c r="Y8" s="100">
        <f>VLOOKUP(TableRBRanks31413539[[#This Row],[Player]],RB!B:O,9,FALSE)</f>
        <v>490.7282533733445</v>
      </c>
      <c r="Z8" s="100">
        <f>VLOOKUP(TableRBRanks31413539[[#This Row],[Player]],RB!B:O,10,FALSE)</f>
        <v>3.7786763741721856</v>
      </c>
      <c r="AA8" s="95">
        <f>VLOOKUP(TableRBRanks31413539[[#This Row],[Player]],RB!B:O,14,FALSE)</f>
        <v>248.68447450614235</v>
      </c>
      <c r="AB8" s="190">
        <f>TableRBRanks31413539[[#This Row],[FPS]]-(TableRBRanks31413539[[#This Row],[REC]]*0.5)</f>
        <v>213.00275782236753</v>
      </c>
      <c r="AD8" s="58">
        <v>7</v>
      </c>
      <c r="AE8" s="58" t="str">
        <f>VLOOKUP(TableWRRanks32423644[[#This Row],[RK]],Rankings!A:AZ,43,FALSE)</f>
        <v>George Pickens</v>
      </c>
      <c r="AF8" s="58" t="str">
        <f>IFERROR(INDEX(TableWRCalcPts[TM],MATCH(TableWRRanks32423644[[#This Row],[Player]],TableWRCalcPts[PLAYER],0)),"")</f>
        <v>DAL</v>
      </c>
      <c r="AG8" s="58">
        <f>IFERROR(INDEX(TableWRCalcPts[BYE],MATCH(TableWRRanks32423644[[#This Row],[Player]],TableWRCalcPts[PLAYER],0)),"")</f>
        <v>14</v>
      </c>
      <c r="AH8" s="100">
        <f>VLOOKUP(TableWRRanks32423644[[#This Row],[Player]],WR!B:O,4,FALSE)</f>
        <v>0</v>
      </c>
      <c r="AI8" s="100">
        <f>VLOOKUP(TableWRRanks32423644[[#This Row],[Player]],WR!B:O,5,FALSE)</f>
        <v>0</v>
      </c>
      <c r="AJ8" s="100">
        <f>VLOOKUP(TableWRRanks32423644[[#This Row],[Player]],WR!B:O,6,FALSE)</f>
        <v>139.23841469999999</v>
      </c>
      <c r="AK8" s="100">
        <f>VLOOKUP(TableWRRanks32423644[[#This Row],[Player]],WR!B:O,7,FALSE)</f>
        <v>91.758115287300001</v>
      </c>
      <c r="AL8" s="100">
        <f>VLOOKUP(TableWRRanks32423644[[#This Row],[Player]],WR!B:O,8,FALSE)</f>
        <v>1343.3095698179657</v>
      </c>
      <c r="AM8" s="100">
        <f>VLOOKUP(TableWRRanks32423644[[#This Row],[Player]],WR!B:O,9,FALSE)</f>
        <v>8.7170209522935007</v>
      </c>
      <c r="AN8" s="95">
        <f>VLOOKUP(TableWRRanks32423644[[#This Row],[Player]],WR!B:O,13,FALSE)</f>
        <v>232.51214033920755</v>
      </c>
      <c r="AO8" s="190">
        <f>TableWRRanks32423644[[#This Row],[FPS]]-(TableWRRanks32423644[[#This Row],[REC]]*0.5)</f>
        <v>186.63308269555756</v>
      </c>
      <c r="AQ8" s="58">
        <v>7</v>
      </c>
      <c r="AR8" s="58" t="str">
        <f>VLOOKUP(TableTERanks33433745[[#This Row],[RK]],Rankings!A:AZ,48,FALSE)</f>
        <v>Sam LaPorta</v>
      </c>
      <c r="AS8" s="58" t="str">
        <f>IFERROR(INDEX(TableTECalcPts[TM],MATCH(TableTERanks33433745[[#This Row],[Player]],TableTECalcPts[PLAYER],0)),"")</f>
        <v>DET</v>
      </c>
      <c r="AT8" s="58">
        <f>IFERROR(INDEX(TableTECalcPts[BYE],MATCH(TableTERanks33433745[[#This Row],[Player]],TableTECalcPts[PLAYER],0)),"")</f>
        <v>6</v>
      </c>
      <c r="AU8" s="100">
        <f>VLOOKUP(TableTERanks33433745[[#This Row],[Player]],TE!B:O,4,FALSE)</f>
        <v>101.86182719999996</v>
      </c>
      <c r="AV8" s="100">
        <f>VLOOKUP(TableTERanks33433745[[#This Row],[Player]],TE!B:O,5,FALSE)</f>
        <v>75.275890300799972</v>
      </c>
      <c r="AW8" s="100">
        <f>VLOOKUP(TableTERanks33433745[[#This Row],[Player]],TE!B:O,6,FALSE)</f>
        <v>825.77651659977573</v>
      </c>
      <c r="AX8" s="100">
        <f>VLOOKUP(TableTERanks33433745[[#This Row],[Player]],TE!B:O,7,FALSE)</f>
        <v>5.9467953337631982</v>
      </c>
      <c r="AY8" s="95">
        <f>VLOOKUP(TableTERanks33433745[[#This Row],[Player]],TE!B:O,11,FALSE)</f>
        <v>155.89636881295675</v>
      </c>
      <c r="AZ8" s="190">
        <f>TableTERanks33433745[[#This Row],[FPS]]-(TableTERanks33433745[[#This Row],[REC]]*0.5)</f>
        <v>118.25842366255677</v>
      </c>
    </row>
    <row r="9" spans="1:52" x14ac:dyDescent="0.25">
      <c r="A9" s="58">
        <v>8</v>
      </c>
      <c r="B9" s="58" t="str">
        <f>VLOOKUP(TableQBRanks30403438[[#This Row],[RK]],Rankings!A:T,3,FALSE)</f>
        <v>Jaxson Dart</v>
      </c>
      <c r="C9" s="58" t="str">
        <f>IFERROR(INDEX(TableQBCalcPts[TM],MATCH(TableQBRanks30403438[[#This Row],[Player]],TableQBCalcPts[PLAYER],0)),"")</f>
        <v>NYG</v>
      </c>
      <c r="D9" s="58">
        <f>IFERROR(INDEX(TableQBCalcPts[BYE],MATCH(TableQBRanks30403438[[#This Row],[Player]],TableQBCalcPts[PLAYER],0)),"")</f>
        <v>8</v>
      </c>
      <c r="E9" s="100">
        <f>VLOOKUP(TableQBRanks30403438[[#This Row],[Player]],QB!B:O,4,FALSE)</f>
        <v>479.28354999999999</v>
      </c>
      <c r="F9" s="100">
        <f>VLOOKUP(TableQBRanks30403438[[#This Row],[Player]],QB!B:O,5,FALSE)</f>
        <v>308.94051789906553</v>
      </c>
      <c r="G9" s="100">
        <f>VLOOKUP(TableQBRanks30403438[[#This Row],[Player]],QB!B:O,6,FALSE)</f>
        <v>3355.0940243838513</v>
      </c>
      <c r="H9" s="100">
        <f>VLOOKUP(TableQBRanks30403438[[#This Row],[Player]],QB!B:O,7,FALSE)</f>
        <v>22.243717288732718</v>
      </c>
      <c r="I9" s="100">
        <f>VLOOKUP(TableQBRanks30403438[[#This Row],[Player]],QB!B:O,8,FALSE)</f>
        <v>8.4071869948781188</v>
      </c>
      <c r="J9" s="100">
        <f>VLOOKUP(TableQBRanks30403438[[#This Row],[Player]],QB!B:O,9,FALSE)</f>
        <v>98.681278359999993</v>
      </c>
      <c r="K9" s="100">
        <f>VLOOKUP(TableQBRanks30403438[[#This Row],[Player]],QB!B:O,10,FALSE)</f>
        <v>556.56240995039991</v>
      </c>
      <c r="L9" s="100">
        <f>VLOOKUP(TableQBRanks30403438[[#This Row],[Player]],QB!B:O,11,FALSE)</f>
        <v>7.6971397120799994</v>
      </c>
      <c r="M9" s="95">
        <f>VLOOKUP(TableQBRanks30403438[[#This Row],[Player]],QB!B:O,13,FALSE)</f>
        <v>391.99200877029875</v>
      </c>
      <c r="N9" s="140">
        <f>IF(VLOOKUP(TableQBRanks30403438[[#This Row],[Player]],'Ranks w Proj'!$B:$N,13,FALSE)&lt;0,0,VLOOKUP(TableQBRanks30403438[[#This Row],[Player]],'Ranks w Proj'!$B:$N,13,FALSE))</f>
        <v>18.062150228510593</v>
      </c>
      <c r="P9" s="58">
        <v>8</v>
      </c>
      <c r="Q9" s="58" t="str">
        <f>VLOOKUP(TableRBRanks31413539[[#This Row],[RK]],Rankings!A:AY,38,FALSE)</f>
        <v>De'Von Achane</v>
      </c>
      <c r="R9" s="58" t="str">
        <f>IFERROR(INDEX(TableRBCalcPts[TM],MATCH(TableRBRanks31413539[[#This Row],[Player]],TableRBCalcPts[PLAYER],0)),"")</f>
        <v>MIA</v>
      </c>
      <c r="S9" s="58">
        <f>IFERROR(INDEX(TableRBCalcPts[BYE],MATCH(TableRBRanks31413539[[#This Row],[Player]],TableRBCalcPts[PLAYER],0)),"")</f>
        <v>6</v>
      </c>
      <c r="T9" s="100">
        <f>VLOOKUP(TableRBRanks31413539[[#This Row],[Player]],RB!B:O,4,FALSE)</f>
        <v>251.27361063396268</v>
      </c>
      <c r="U9" s="100">
        <f>VLOOKUP(TableRBRanks31413539[[#This Row],[Player]],RB!B:O,5,FALSE)</f>
        <v>1193.5496505113226</v>
      </c>
      <c r="V9" s="100">
        <f>VLOOKUP(TableRBRanks31413539[[#This Row],[Player]],RB!B:O,6,FALSE)</f>
        <v>6.0305666552151047</v>
      </c>
      <c r="W9" s="100">
        <f>VLOOKUP(TableRBRanks31413539[[#This Row],[Player]],RB!B:O,7,FALSE)</f>
        <v>78.79152959999999</v>
      </c>
      <c r="X9" s="100">
        <f>VLOOKUP(TableRBRanks31413539[[#This Row],[Player]],RB!B:O,8,FALSE)</f>
        <v>61.772559206399997</v>
      </c>
      <c r="Y9" s="100">
        <f>VLOOKUP(TableRBRanks31413539[[#This Row],[Player]],RB!B:O,9,FALSE)</f>
        <v>451.55740779878397</v>
      </c>
      <c r="Z9" s="100">
        <f>VLOOKUP(TableRBRanks31413539[[#This Row],[Player]],RB!B:O,10,FALSE)</f>
        <v>2.9650828419071997</v>
      </c>
      <c r="AA9" s="95">
        <f>VLOOKUP(TableRBRanks31413539[[#This Row],[Player]],RB!B:O,14,FALSE)</f>
        <v>249.37088241694448</v>
      </c>
      <c r="AB9" s="190">
        <f>TableRBRanks31413539[[#This Row],[FPS]]-(TableRBRanks31413539[[#This Row],[REC]]*0.5)</f>
        <v>218.48460281374449</v>
      </c>
      <c r="AD9" s="58">
        <v>8</v>
      </c>
      <c r="AE9" s="58" t="str">
        <f>VLOOKUP(TableWRRanks32423644[[#This Row],[RK]],Rankings!A:AZ,43,FALSE)</f>
        <v>Drake London</v>
      </c>
      <c r="AF9" s="58" t="str">
        <f>IFERROR(INDEX(TableWRCalcPts[TM],MATCH(TableWRRanks32423644[[#This Row],[Player]],TableWRCalcPts[PLAYER],0)),"")</f>
        <v>ATL</v>
      </c>
      <c r="AG9" s="58">
        <f>IFERROR(INDEX(TableWRCalcPts[BYE],MATCH(TableWRRanks32423644[[#This Row],[Player]],TableWRCalcPts[PLAYER],0)),"")</f>
        <v>11</v>
      </c>
      <c r="AH9" s="100">
        <f>VLOOKUP(TableWRRanks32423644[[#This Row],[Player]],WR!B:O,4,FALSE)</f>
        <v>0</v>
      </c>
      <c r="AI9" s="100">
        <f>VLOOKUP(TableWRRanks32423644[[#This Row],[Player]],WR!B:O,5,FALSE)</f>
        <v>0</v>
      </c>
      <c r="AJ9" s="100">
        <f>VLOOKUP(TableWRRanks32423644[[#This Row],[Player]],WR!B:O,6,FALSE)</f>
        <v>158.37634764000006</v>
      </c>
      <c r="AK9" s="100">
        <f>VLOOKUP(TableWRRanks32423644[[#This Row],[Player]],WR!B:O,7,FALSE)</f>
        <v>101.04410979432004</v>
      </c>
      <c r="AL9" s="100">
        <f>VLOOKUP(TableWRRanks32423644[[#This Row],[Player]],WR!B:O,8,FALSE)</f>
        <v>1316.60475061999</v>
      </c>
      <c r="AM9" s="100">
        <f>VLOOKUP(TableWRRanks32423644[[#This Row],[Player]],WR!B:O,9,FALSE)</f>
        <v>7.7803964541626423</v>
      </c>
      <c r="AN9" s="95">
        <f>VLOOKUP(TableWRRanks32423644[[#This Row],[Player]],WR!B:O,13,FALSE)</f>
        <v>228.86490868413486</v>
      </c>
      <c r="AO9" s="190">
        <f>TableWRRanks32423644[[#This Row],[FPS]]-(TableWRRanks32423644[[#This Row],[REC]]*0.5)</f>
        <v>178.34285378697484</v>
      </c>
      <c r="AQ9" s="58">
        <v>8</v>
      </c>
      <c r="AR9" s="58" t="str">
        <f>VLOOKUP(TableTERanks33433745[[#This Row],[RK]],Rankings!A:AZ,48,FALSE)</f>
        <v>Harold Fannin</v>
      </c>
      <c r="AS9" s="58" t="str">
        <f>IFERROR(INDEX(TableTECalcPts[TM],MATCH(TableTERanks33433745[[#This Row],[Player]],TableTECalcPts[PLAYER],0)),"")</f>
        <v>CLE</v>
      </c>
      <c r="AT9" s="58">
        <f>IFERROR(INDEX(TableTECalcPts[BYE],MATCH(TableTERanks33433745[[#This Row],[Player]],TableTECalcPts[PLAYER],0)),"")</f>
        <v>11</v>
      </c>
      <c r="AU9" s="100">
        <f>VLOOKUP(TableTERanks33433745[[#This Row],[Player]],TE!B:O,4,FALSE)</f>
        <v>119.247282</v>
      </c>
      <c r="AV9" s="100">
        <f>VLOOKUP(TableTERanks33433745[[#This Row],[Player]],TE!B:O,5,FALSE)</f>
        <v>77.987722427999998</v>
      </c>
      <c r="AW9" s="100">
        <f>VLOOKUP(TableTERanks33433745[[#This Row],[Player]],TE!B:O,6,FALSE)</f>
        <v>822.62324703441573</v>
      </c>
      <c r="AX9" s="100">
        <f>VLOOKUP(TableTERanks33433745[[#This Row],[Player]],TE!B:O,7,FALSE)</f>
        <v>5.4591405699600006</v>
      </c>
      <c r="AY9" s="95">
        <f>VLOOKUP(TableTERanks33433745[[#This Row],[Player]],TE!B:O,11,FALSE)</f>
        <v>154.01102933720159</v>
      </c>
      <c r="AZ9" s="190">
        <f>TableTERanks33433745[[#This Row],[FPS]]-(TableTERanks33433745[[#This Row],[REC]]*0.5)</f>
        <v>115.0171681232016</v>
      </c>
    </row>
    <row r="10" spans="1:52" x14ac:dyDescent="0.25">
      <c r="A10" s="58">
        <v>9</v>
      </c>
      <c r="B10" s="58" t="str">
        <f>VLOOKUP(TableQBRanks30403438[[#This Row],[RK]],Rankings!A:T,3,FALSE)</f>
        <v>Trevor Lawrence</v>
      </c>
      <c r="C10" s="58" t="str">
        <f>IFERROR(INDEX(TableQBCalcPts[TM],MATCH(TableQBRanks30403438[[#This Row],[Player]],TableQBCalcPts[PLAYER],0)),"")</f>
        <v>JAX</v>
      </c>
      <c r="D10" s="58">
        <f>IFERROR(INDEX(TableQBCalcPts[BYE],MATCH(TableQBRanks30403438[[#This Row],[Player]],TableQBCalcPts[PLAYER],0)),"")</f>
        <v>7</v>
      </c>
      <c r="E10" s="100">
        <f>VLOOKUP(TableQBRanks30403438[[#This Row],[Player]],QB!B:O,4,FALSE)</f>
        <v>565.38405</v>
      </c>
      <c r="F10" s="100">
        <f>VLOOKUP(TableQBRanks30403438[[#This Row],[Player]],QB!B:O,5,FALSE)</f>
        <v>348.84195884999997</v>
      </c>
      <c r="G10" s="100">
        <f>VLOOKUP(TableQBRanks30403438[[#This Row],[Player]],QB!B:O,6,FALSE)</f>
        <v>4018.6593659519995</v>
      </c>
      <c r="H10" s="100">
        <f>VLOOKUP(TableQBRanks30403438[[#This Row],[Player]],QB!B:O,7,FALSE)</f>
        <v>26.17068504618894</v>
      </c>
      <c r="I10" s="100">
        <f>VLOOKUP(TableQBRanks30403438[[#This Row],[Player]],QB!B:O,8,FALSE)</f>
        <v>13.253447540661002</v>
      </c>
      <c r="J10" s="100">
        <f>VLOOKUP(TableQBRanks30403438[[#This Row],[Player]],QB!B:O,9,FALSE)</f>
        <v>74.940732299999993</v>
      </c>
      <c r="K10" s="100">
        <f>VLOOKUP(TableQBRanks30403438[[#This Row],[Player]],QB!B:O,10,FALSE)</f>
        <v>337.36719955313924</v>
      </c>
      <c r="L10" s="100">
        <f>VLOOKUP(TableQBRanks30403438[[#This Row],[Player]],QB!B:O,11,FALSE)</f>
        <v>6.0402230233800003</v>
      </c>
      <c r="M10" s="95">
        <f>VLOOKUP(TableQBRanks30403438[[#This Row],[Player]],QB!B:O,13,FALSE)</f>
        <v>409.37929135514651</v>
      </c>
      <c r="N10" s="140">
        <f>IF(VLOOKUP(TableQBRanks30403438[[#This Row],[Player]],'Ranks w Proj'!$B:$N,13,FALSE)&lt;0,0,VLOOKUP(TableQBRanks30403438[[#This Row],[Player]],'Ranks w Proj'!$B:$N,13,FALSE))</f>
        <v>22.23405575955822</v>
      </c>
      <c r="P10" s="58">
        <v>9</v>
      </c>
      <c r="Q10" s="58" t="str">
        <f>VLOOKUP(TableRBRanks31413539[[#This Row],[RK]],Rankings!A:AY,38,FALSE)</f>
        <v>Ashton Jeanty</v>
      </c>
      <c r="R10" s="58" t="str">
        <f>IFERROR(INDEX(TableRBCalcPts[TM],MATCH(TableRBRanks31413539[[#This Row],[Player]],TableRBCalcPts[PLAYER],0)),"")</f>
        <v>LV</v>
      </c>
      <c r="S10" s="58">
        <f>IFERROR(INDEX(TableRBCalcPts[BYE],MATCH(TableRBRanks31413539[[#This Row],[Player]],TableRBCalcPts[PLAYER],0)),"")</f>
        <v>13</v>
      </c>
      <c r="T10" s="100">
        <f>VLOOKUP(TableRBRanks31413539[[#This Row],[Player]],RB!B:O,4,FALSE)</f>
        <v>275.88197951999996</v>
      </c>
      <c r="U10" s="100">
        <f>VLOOKUP(TableRBRanks31413539[[#This Row],[Player]],RB!B:O,5,FALSE)</f>
        <v>1144.910215008</v>
      </c>
      <c r="V10" s="100">
        <f>VLOOKUP(TableRBRanks31413539[[#This Row],[Player]],RB!B:O,6,FALSE)</f>
        <v>7.772515406074942</v>
      </c>
      <c r="W10" s="100">
        <f>VLOOKUP(TableRBRanks31413539[[#This Row],[Player]],RB!B:O,7,FALSE)</f>
        <v>71.303279039999993</v>
      </c>
      <c r="X10" s="100">
        <f>VLOOKUP(TableRBRanks31413539[[#This Row],[Player]],RB!B:O,8,FALSE)</f>
        <v>50.482721560319995</v>
      </c>
      <c r="Y10" s="100">
        <f>VLOOKUP(TableRBRanks31413539[[#This Row],[Player]],RB!B:O,9,FALSE)</f>
        <v>351.86456927543037</v>
      </c>
      <c r="Z10" s="100">
        <f>VLOOKUP(TableRBRanks31413539[[#This Row],[Player]],RB!B:O,10,FALSE)</f>
        <v>1.9183434192921598</v>
      </c>
      <c r="AA10" s="95">
        <f>VLOOKUP(TableRBRanks31413539[[#This Row],[Player]],RB!B:O,14,FALSE)</f>
        <v>233.06399216070568</v>
      </c>
      <c r="AB10" s="190">
        <f>TableRBRanks31413539[[#This Row],[FPS]]-(TableRBRanks31413539[[#This Row],[REC]]*0.5)</f>
        <v>207.82263138054569</v>
      </c>
      <c r="AD10" s="58">
        <v>9</v>
      </c>
      <c r="AE10" s="58" t="str">
        <f>VLOOKUP(TableWRRanks32423644[[#This Row],[RK]],Rankings!A:AZ,43,FALSE)</f>
        <v>CeeDee Lamb</v>
      </c>
      <c r="AF10" s="58" t="str">
        <f>IFERROR(INDEX(TableWRCalcPts[TM],MATCH(TableWRRanks32423644[[#This Row],[Player]],TableWRCalcPts[PLAYER],0)),"")</f>
        <v>DAL</v>
      </c>
      <c r="AG10" s="58">
        <f>IFERROR(INDEX(TableWRCalcPts[BYE],MATCH(TableWRRanks32423644[[#This Row],[Player]],TableWRCalcPts[PLAYER],0)),"")</f>
        <v>14</v>
      </c>
      <c r="AH10" s="100">
        <f>VLOOKUP(TableWRRanks32423644[[#This Row],[Player]],WR!B:O,4,FALSE)</f>
        <v>0</v>
      </c>
      <c r="AI10" s="100">
        <f>VLOOKUP(TableWRRanks32423644[[#This Row],[Player]],WR!B:O,5,FALSE)</f>
        <v>0</v>
      </c>
      <c r="AJ10" s="100">
        <f>VLOOKUP(TableWRRanks32423644[[#This Row],[Player]],WR!B:O,6,FALSE)</f>
        <v>154.30750719999998</v>
      </c>
      <c r="AK10" s="100">
        <f>VLOOKUP(TableWRRanks32423644[[#This Row],[Player]],WR!B:O,7,FALSE)</f>
        <v>97.522344550399978</v>
      </c>
      <c r="AL10" s="100">
        <f>VLOOKUP(TableWRRanks32423644[[#This Row],[Player]],WR!B:O,8,FALSE)</f>
        <v>1311.8247996280857</v>
      </c>
      <c r="AM10" s="100">
        <f>VLOOKUP(TableWRRanks32423644[[#This Row],[Player]],WR!B:O,9,FALSE)</f>
        <v>7.2166534967295979</v>
      </c>
      <c r="AN10" s="95">
        <f>VLOOKUP(TableWRRanks32423644[[#This Row],[Player]],WR!B:O,13,FALSE)</f>
        <v>223.24357321838613</v>
      </c>
      <c r="AO10" s="190">
        <f>TableWRRanks32423644[[#This Row],[FPS]]-(TableWRRanks32423644[[#This Row],[REC]]*0.5)</f>
        <v>174.48240094318615</v>
      </c>
      <c r="AQ10" s="58">
        <v>9</v>
      </c>
      <c r="AR10" s="58" t="str">
        <f>VLOOKUP(TableTERanks33433745[[#This Row],[RK]],Rankings!A:AZ,48,FALSE)</f>
        <v>Kyle Pitts</v>
      </c>
      <c r="AS10" s="58" t="str">
        <f>IFERROR(INDEX(TableTECalcPts[TM],MATCH(TableTERanks33433745[[#This Row],[Player]],TableTECalcPts[PLAYER],0)),"")</f>
        <v>ATL</v>
      </c>
      <c r="AT10" s="58">
        <f>IFERROR(INDEX(TableTECalcPts[BYE],MATCH(TableTERanks33433745[[#This Row],[Player]],TableTECalcPts[PLAYER],0)),"")</f>
        <v>11</v>
      </c>
      <c r="AU10" s="100">
        <f>VLOOKUP(TableTERanks33433745[[#This Row],[Player]],TE!B:O,4,FALSE)</f>
        <v>108.42251756000002</v>
      </c>
      <c r="AV10" s="100">
        <f>VLOOKUP(TableTERanks33433745[[#This Row],[Player]],TE!B:O,5,FALSE)</f>
        <v>73.503679893626185</v>
      </c>
      <c r="AW10" s="100">
        <f>VLOOKUP(TableTERanks33433745[[#This Row],[Player]],TE!B:O,6,FALSE)</f>
        <v>806.69339349943709</v>
      </c>
      <c r="AX10" s="100">
        <f>VLOOKUP(TableTERanks33433745[[#This Row],[Player]],TE!B:O,7,FALSE)</f>
        <v>3.9691987142558141</v>
      </c>
      <c r="AY10" s="95">
        <f>VLOOKUP(TableTERanks33433745[[#This Row],[Player]],TE!B:O,11,FALSE)</f>
        <v>141.2363715822917</v>
      </c>
      <c r="AZ10" s="190">
        <f>TableTERanks33433745[[#This Row],[FPS]]-(TableTERanks33433745[[#This Row],[REC]]*0.5)</f>
        <v>104.4845316354786</v>
      </c>
    </row>
    <row r="11" spans="1:52" x14ac:dyDescent="0.25">
      <c r="A11" s="58">
        <v>10</v>
      </c>
      <c r="B11" s="58" t="str">
        <f>VLOOKUP(TableQBRanks30403438[[#This Row],[RK]],Rankings!A:T,3,FALSE)</f>
        <v>Patrick Mahomes</v>
      </c>
      <c r="C11" s="58" t="str">
        <f>IFERROR(INDEX(TableQBCalcPts[TM],MATCH(TableQBRanks30403438[[#This Row],[Player]],TableQBCalcPts[PLAYER],0)),"")</f>
        <v>KC</v>
      </c>
      <c r="D11" s="58">
        <f>IFERROR(INDEX(TableQBCalcPts[BYE],MATCH(TableQBRanks30403438[[#This Row],[Player]],TableQBCalcPts[PLAYER],0)),"")</f>
        <v>5</v>
      </c>
      <c r="E11" s="100">
        <f>VLOOKUP(TableQBRanks30403438[[#This Row],[Player]],QB!B:O,4,FALSE)</f>
        <v>567.55374999999992</v>
      </c>
      <c r="F11" s="100">
        <f>VLOOKUP(TableQBRanks30403438[[#This Row],[Player]],QB!B:O,5,FALSE)</f>
        <v>369.37652327206109</v>
      </c>
      <c r="G11" s="100">
        <f>VLOOKUP(TableQBRanks30403438[[#This Row],[Player]],QB!B:O,6,FALSE)</f>
        <v>4051.9940332102506</v>
      </c>
      <c r="H11" s="100">
        <f>VLOOKUP(TableQBRanks30403438[[#This Row],[Player]],QB!B:O,7,FALSE)</f>
        <v>30.288874908309012</v>
      </c>
      <c r="I11" s="100">
        <f>VLOOKUP(TableQBRanks30403438[[#This Row],[Player]],QB!B:O,8,FALSE)</f>
        <v>12.108582487817603</v>
      </c>
      <c r="J11" s="100">
        <f>VLOOKUP(TableQBRanks30403438[[#This Row],[Player]],QB!B:O,9,FALSE)</f>
        <v>56.256655000000009</v>
      </c>
      <c r="K11" s="100">
        <f>VLOOKUP(TableQBRanks30403438[[#This Row],[Player]],QB!B:O,10,FALSE)</f>
        <v>327.35795325263115</v>
      </c>
      <c r="L11" s="100">
        <f>VLOOKUP(TableQBRanks30403438[[#This Row],[Player]],QB!B:O,11,FALSE)</f>
        <v>2.6440627850000005</v>
      </c>
      <c r="M11" s="95">
        <f>VLOOKUP(TableQBRanks30403438[[#This Row],[Player]],QB!B:O,13,FALSE)</f>
        <v>417.24225265291568</v>
      </c>
      <c r="N11" s="140">
        <f>IF(VLOOKUP(TableQBRanks30403438[[#This Row],[Player]],'Ranks w Proj'!$B:$N,13,FALSE)&lt;0,0,VLOOKUP(TableQBRanks30403438[[#This Row],[Player]],'Ranks w Proj'!$B:$N,13,FALSE))</f>
        <v>24.766975066461786</v>
      </c>
      <c r="P11" s="58">
        <v>10</v>
      </c>
      <c r="Q11" s="58" t="str">
        <f>VLOOKUP(TableRBRanks31413539[[#This Row],[RK]],Rankings!A:AY,38,FALSE)</f>
        <v>Saquon Barkley</v>
      </c>
      <c r="R11" s="58" t="str">
        <f>IFERROR(INDEX(TableRBCalcPts[TM],MATCH(TableRBRanks31413539[[#This Row],[Player]],TableRBCalcPts[PLAYER],0)),"")</f>
        <v>PHI</v>
      </c>
      <c r="S11" s="58">
        <f>IFERROR(INDEX(TableRBCalcPts[BYE],MATCH(TableRBRanks31413539[[#This Row],[Player]],TableRBCalcPts[PLAYER],0)),"")</f>
        <v>10</v>
      </c>
      <c r="T11" s="100">
        <f>VLOOKUP(TableRBRanks31413539[[#This Row],[Player]],RB!B:O,4,FALSE)</f>
        <v>308.61065928000005</v>
      </c>
      <c r="U11" s="100">
        <f>VLOOKUP(TableRBRanks31413539[[#This Row],[Player]],RB!B:O,5,FALSE)</f>
        <v>1320.8536217184003</v>
      </c>
      <c r="V11" s="100">
        <f>VLOOKUP(TableRBRanks31413539[[#This Row],[Player]],RB!B:O,6,FALSE)</f>
        <v>9.2583197784000006</v>
      </c>
      <c r="W11" s="100">
        <f>VLOOKUP(TableRBRanks31413539[[#This Row],[Player]],RB!B:O,7,FALSE)</f>
        <v>44.188858559999993</v>
      </c>
      <c r="X11" s="100">
        <f>VLOOKUP(TableRBRanks31413539[[#This Row],[Player]],RB!B:O,8,FALSE)</f>
        <v>29.923019353693945</v>
      </c>
      <c r="Y11" s="100">
        <f>VLOOKUP(TableRBRanks31413539[[#This Row],[Player]],RB!B:O,9,FALSE)</f>
        <v>221.13111302379824</v>
      </c>
      <c r="Z11" s="100">
        <f>VLOOKUP(TableRBRanks31413539[[#This Row],[Player]],RB!B:O,10,FALSE)</f>
        <v>1.5559970063920852</v>
      </c>
      <c r="AA11" s="95">
        <f>VLOOKUP(TableRBRanks31413539[[#This Row],[Player]],RB!B:O,14,FALSE)</f>
        <v>234.04588385981933</v>
      </c>
      <c r="AB11" s="190">
        <f>TableRBRanks31413539[[#This Row],[FPS]]-(TableRBRanks31413539[[#This Row],[REC]]*0.5)</f>
        <v>219.08437418297234</v>
      </c>
      <c r="AD11" s="58">
        <v>10</v>
      </c>
      <c r="AE11" s="58" t="str">
        <f>VLOOKUP(TableWRRanks32423644[[#This Row],[RK]],Rankings!A:AZ,43,FALSE)</f>
        <v>Nico Collins</v>
      </c>
      <c r="AF11" s="58" t="str">
        <f>IFERROR(INDEX(TableWRCalcPts[TM],MATCH(TableWRRanks32423644[[#This Row],[Player]],TableWRCalcPts[PLAYER],0)),"")</f>
        <v>HOU</v>
      </c>
      <c r="AG11" s="58">
        <f>IFERROR(INDEX(TableWRCalcPts[BYE],MATCH(TableWRRanks32423644[[#This Row],[Player]],TableWRCalcPts[PLAYER],0)),"")</f>
        <v>8</v>
      </c>
      <c r="AH11" s="100">
        <f>VLOOKUP(TableWRRanks32423644[[#This Row],[Player]],WR!B:O,4,FALSE)</f>
        <v>0</v>
      </c>
      <c r="AI11" s="100">
        <f>VLOOKUP(TableWRRanks32423644[[#This Row],[Player]],WR!B:O,5,FALSE)</f>
        <v>0</v>
      </c>
      <c r="AJ11" s="100">
        <f>VLOOKUP(TableWRRanks32423644[[#This Row],[Player]],WR!B:O,6,FALSE)</f>
        <v>144.36713591999998</v>
      </c>
      <c r="AK11" s="100">
        <f>VLOOKUP(TableWRRanks32423644[[#This Row],[Player]],WR!B:O,7,FALSE)</f>
        <v>86.447767364422631</v>
      </c>
      <c r="AL11" s="100">
        <f>VLOOKUP(TableWRRanks32423644[[#This Row],[Player]],WR!B:O,8,FALSE)</f>
        <v>1272.5111356043012</v>
      </c>
      <c r="AM11" s="100">
        <f>VLOOKUP(TableWRRanks32423644[[#This Row],[Player]],WR!B:O,9,FALSE)</f>
        <v>7.0022691565182331</v>
      </c>
      <c r="AN11" s="95">
        <f>VLOOKUP(TableWRRanks32423644[[#This Row],[Player]],WR!B:O,13,FALSE)</f>
        <v>212.48861218175085</v>
      </c>
      <c r="AO11" s="190">
        <f>TableWRRanks32423644[[#This Row],[FPS]]-(TableWRRanks32423644[[#This Row],[REC]]*0.5)</f>
        <v>169.26472849953953</v>
      </c>
      <c r="AQ11" s="58">
        <v>10</v>
      </c>
      <c r="AR11" s="58" t="str">
        <f>VLOOKUP(TableTERanks33433745[[#This Row],[RK]],Rankings!A:AZ,48,FALSE)</f>
        <v>Isaiah Likely</v>
      </c>
      <c r="AS11" s="58" t="str">
        <f>IFERROR(INDEX(TableTECalcPts[TM],MATCH(TableTERanks33433745[[#This Row],[Player]],TableTECalcPts[PLAYER],0)),"")</f>
        <v>NYG</v>
      </c>
      <c r="AT11" s="58">
        <f>IFERROR(INDEX(TableTECalcPts[BYE],MATCH(TableTERanks33433745[[#This Row],[Player]],TableTECalcPts[PLAYER],0)),"")</f>
        <v>8</v>
      </c>
      <c r="AU11" s="100">
        <f>VLOOKUP(TableTERanks33433745[[#This Row],[Player]],TE!B:O,4,FALSE)</f>
        <v>99.378182820000006</v>
      </c>
      <c r="AV11" s="100">
        <f>VLOOKUP(TableTERanks33433745[[#This Row],[Player]],TE!B:O,5,FALSE)</f>
        <v>72.033140364044769</v>
      </c>
      <c r="AW11" s="100">
        <f>VLOOKUP(TableTERanks33433745[[#This Row],[Player]],TE!B:O,6,FALSE)</f>
        <v>787.32222417900925</v>
      </c>
      <c r="AX11" s="100">
        <f>VLOOKUP(TableTERanks33433745[[#This Row],[Player]],TE!B:O,7,FALSE)</f>
        <v>5.6906180887595372</v>
      </c>
      <c r="AY11" s="95">
        <f>VLOOKUP(TableTERanks33433745[[#This Row],[Player]],TE!B:O,11,FALSE)</f>
        <v>148.89250113248056</v>
      </c>
      <c r="AZ11" s="190">
        <f>TableTERanks33433745[[#This Row],[FPS]]-(TableTERanks33433745[[#This Row],[REC]]*0.5)</f>
        <v>112.87593095045818</v>
      </c>
    </row>
    <row r="12" spans="1:52" x14ac:dyDescent="0.25">
      <c r="A12" s="58">
        <v>11</v>
      </c>
      <c r="B12" s="58" t="str">
        <f>VLOOKUP(TableQBRanks30403438[[#This Row],[RK]],Rankings!A:T,3,FALSE)</f>
        <v>Caleb Williams</v>
      </c>
      <c r="C12" s="58" t="str">
        <f>IFERROR(INDEX(TableQBCalcPts[TM],MATCH(TableQBRanks30403438[[#This Row],[Player]],TableQBCalcPts[PLAYER],0)),"")</f>
        <v>CHI</v>
      </c>
      <c r="D12" s="58">
        <f>IFERROR(INDEX(TableQBCalcPts[BYE],MATCH(TableQBRanks30403438[[#This Row],[Player]],TableQBCalcPts[PLAYER],0)),"")</f>
        <v>10</v>
      </c>
      <c r="E12" s="100">
        <f>VLOOKUP(TableQBRanks30403438[[#This Row],[Player]],QB!B:O,4,FALSE)</f>
        <v>563.9351200000001</v>
      </c>
      <c r="F12" s="100">
        <f>VLOOKUP(TableQBRanks30403438[[#This Row],[Player]],QB!B:O,5,FALSE)</f>
        <v>342.87255296000006</v>
      </c>
      <c r="G12" s="100">
        <f>VLOOKUP(TableQBRanks30403438[[#This Row],[Player]],QB!B:O,6,FALSE)</f>
        <v>4087.0408312832005</v>
      </c>
      <c r="H12" s="100">
        <f>VLOOKUP(TableQBRanks30403438[[#This Row],[Player]],QB!B:O,7,FALSE)</f>
        <v>27.587748593545736</v>
      </c>
      <c r="I12" s="100">
        <f>VLOOKUP(TableQBRanks30403438[[#This Row],[Player]],QB!B:O,8,FALSE)</f>
        <v>8.1560842475057171</v>
      </c>
      <c r="J12" s="100">
        <f>VLOOKUP(TableQBRanks30403438[[#This Row],[Player]],QB!B:O,9,FALSE)</f>
        <v>67.718607599999984</v>
      </c>
      <c r="K12" s="100">
        <f>VLOOKUP(TableQBRanks30403438[[#This Row],[Player]],QB!B:O,10,FALSE)</f>
        <v>346.77774832403907</v>
      </c>
      <c r="L12" s="100">
        <f>VLOOKUP(TableQBRanks30403438[[#This Row],[Player]],QB!B:O,11,FALSE)</f>
        <v>2.7764629115999995</v>
      </c>
      <c r="M12" s="95">
        <f>VLOOKUP(TableQBRanks30403438[[#This Row],[Player]],QB!B:O,13,FALSE)</f>
        <v>406.47584816310064</v>
      </c>
      <c r="N12" s="140">
        <f>IF(VLOOKUP(TableQBRanks30403438[[#This Row],[Player]],'Ranks w Proj'!$B:$N,13,FALSE)&lt;0,0,VLOOKUP(TableQBRanks30403438[[#This Row],[Player]],'Ranks w Proj'!$B:$N,13,FALSE))</f>
        <v>21.687693246487889</v>
      </c>
      <c r="P12" s="58">
        <v>11</v>
      </c>
      <c r="Q12" s="58" t="str">
        <f>VLOOKUP(TableRBRanks31413539[[#This Row],[RK]],Rankings!A:AY,38,FALSE)</f>
        <v>Omarion Hampton</v>
      </c>
      <c r="R12" s="58" t="str">
        <f>IFERROR(INDEX(TableRBCalcPts[TM],MATCH(TableRBRanks31413539[[#This Row],[Player]],TableRBCalcPts[PLAYER],0)),"")</f>
        <v>LAC</v>
      </c>
      <c r="S12" s="58">
        <f>IFERROR(INDEX(TableRBCalcPts[BYE],MATCH(TableRBRanks31413539[[#This Row],[Player]],TableRBCalcPts[PLAYER],0)),"")</f>
        <v>7</v>
      </c>
      <c r="T12" s="100">
        <f>VLOOKUP(TableRBRanks31413539[[#This Row],[Player]],RB!B:O,4,FALSE)</f>
        <v>245.76099547999996</v>
      </c>
      <c r="U12" s="100">
        <f>VLOOKUP(TableRBRanks31413539[[#This Row],[Player]],RB!B:O,5,FALSE)</f>
        <v>1059.2298905187997</v>
      </c>
      <c r="V12" s="100">
        <f>VLOOKUP(TableRBRanks31413539[[#This Row],[Player]],RB!B:O,6,FALSE)</f>
        <v>9.3401261782654164</v>
      </c>
      <c r="W12" s="100">
        <f>VLOOKUP(TableRBRanks31413539[[#This Row],[Player]],RB!B:O,7,FALSE)</f>
        <v>60.081101079999996</v>
      </c>
      <c r="X12" s="100">
        <f>VLOOKUP(TableRBRanks31413539[[#This Row],[Player]],RB!B:O,8,FALSE)</f>
        <v>50.502220518281199</v>
      </c>
      <c r="Y12" s="100">
        <f>VLOOKUP(TableRBRanks31413539[[#This Row],[Player]],RB!B:O,9,FALSE)</f>
        <v>354.52558803833398</v>
      </c>
      <c r="Z12" s="100">
        <f>VLOOKUP(TableRBRanks31413539[[#This Row],[Player]],RB!B:O,10,FALSE)</f>
        <v>1.7349038609381815</v>
      </c>
      <c r="AA12" s="95">
        <f>VLOOKUP(TableRBRanks31413539[[#This Row],[Player]],RB!B:O,14,FALSE)</f>
        <v>233.07683835007555</v>
      </c>
      <c r="AB12" s="190">
        <f>TableRBRanks31413539[[#This Row],[FPS]]-(TableRBRanks31413539[[#This Row],[REC]]*0.5)</f>
        <v>207.82572809093494</v>
      </c>
      <c r="AD12" s="58">
        <v>11</v>
      </c>
      <c r="AE12" s="58" t="str">
        <f>VLOOKUP(TableWRRanks32423644[[#This Row],[RK]],Rankings!A:AZ,43,FALSE)</f>
        <v>Chris Olave</v>
      </c>
      <c r="AF12" s="58" t="str">
        <f>IFERROR(INDEX(TableWRCalcPts[TM],MATCH(TableWRRanks32423644[[#This Row],[Player]],TableWRCalcPts[PLAYER],0)),"")</f>
        <v>NO</v>
      </c>
      <c r="AG12" s="58">
        <f>IFERROR(INDEX(TableWRCalcPts[BYE],MATCH(TableWRRanks32423644[[#This Row],[Player]],TableWRCalcPts[PLAYER],0)),"")</f>
        <v>8</v>
      </c>
      <c r="AH12" s="100">
        <f>VLOOKUP(TableWRRanks32423644[[#This Row],[Player]],WR!B:O,4,FALSE)</f>
        <v>0</v>
      </c>
      <c r="AI12" s="100">
        <f>VLOOKUP(TableWRRanks32423644[[#This Row],[Player]],WR!B:O,5,FALSE)</f>
        <v>0</v>
      </c>
      <c r="AJ12" s="100">
        <f>VLOOKUP(TableWRRanks32423644[[#This Row],[Player]],WR!B:O,6,FALSE)</f>
        <v>137.60868352000003</v>
      </c>
      <c r="AK12" s="100">
        <f>VLOOKUP(TableWRRanks32423644[[#This Row],[Player]],WR!B:O,7,FALSE)</f>
        <v>86.005427200000014</v>
      </c>
      <c r="AL12" s="100">
        <f>VLOOKUP(TableWRRanks32423644[[#This Row],[Player]],WR!B:O,8,FALSE)</f>
        <v>1075.9278942720002</v>
      </c>
      <c r="AM12" s="100">
        <f>VLOOKUP(TableWRRanks32423644[[#This Row],[Player]],WR!B:O,9,FALSE)</f>
        <v>7.1384504576000012</v>
      </c>
      <c r="AN12" s="95">
        <f>VLOOKUP(TableWRRanks32423644[[#This Row],[Player]],WR!B:O,13,FALSE)</f>
        <v>193.42620577280005</v>
      </c>
      <c r="AO12" s="190">
        <f>TableWRRanks32423644[[#This Row],[FPS]]-(TableWRRanks32423644[[#This Row],[REC]]*0.5)</f>
        <v>150.42349217280002</v>
      </c>
      <c r="AQ12" s="58">
        <v>11</v>
      </c>
      <c r="AR12" s="58" t="str">
        <f>VLOOKUP(TableTERanks33433745[[#This Row],[RK]],Rankings!A:AZ,48,FALSE)</f>
        <v>Dalton Kincaid</v>
      </c>
      <c r="AS12" s="58" t="str">
        <f>IFERROR(INDEX(TableTECalcPts[TM],MATCH(TableTERanks33433745[[#This Row],[Player]],TableTECalcPts[PLAYER],0)),"")</f>
        <v>BUF</v>
      </c>
      <c r="AT12" s="58">
        <f>IFERROR(INDEX(TableTECalcPts[BYE],MATCH(TableTERanks33433745[[#This Row],[Player]],TableTECalcPts[PLAYER],0)),"")</f>
        <v>7</v>
      </c>
      <c r="AU12" s="100">
        <f>VLOOKUP(TableTERanks33433745[[#This Row],[Player]],TE!B:O,4,FALSE)</f>
        <v>88.871613599999961</v>
      </c>
      <c r="AV12" s="100">
        <f>VLOOKUP(TableTERanks33433745[[#This Row],[Player]],TE!B:O,5,FALSE)</f>
        <v>61.143670156799971</v>
      </c>
      <c r="AW12" s="100">
        <f>VLOOKUP(TableTERanks33433745[[#This Row],[Player]],TE!B:O,6,FALSE)</f>
        <v>742.28415570355173</v>
      </c>
      <c r="AX12" s="100">
        <f>VLOOKUP(TableTERanks33433745[[#This Row],[Player]],TE!B:O,7,FALSE)</f>
        <v>5.4417866439551972</v>
      </c>
      <c r="AY12" s="95">
        <f>VLOOKUP(TableTERanks33433745[[#This Row],[Player]],TE!B:O,11,FALSE)</f>
        <v>137.45097051248635</v>
      </c>
      <c r="AZ12" s="190">
        <f>TableTERanks33433745[[#This Row],[FPS]]-(TableTERanks33433745[[#This Row],[REC]]*0.5)</f>
        <v>106.87913543408636</v>
      </c>
    </row>
    <row r="13" spans="1:52" x14ac:dyDescent="0.25">
      <c r="A13" s="58">
        <v>12</v>
      </c>
      <c r="B13" s="58" t="str">
        <f>VLOOKUP(TableQBRanks30403438[[#This Row],[RK]],Rankings!A:T,3,FALSE)</f>
        <v>Justin Herbert</v>
      </c>
      <c r="C13" s="58" t="str">
        <f>IFERROR(INDEX(TableQBCalcPts[TM],MATCH(TableQBRanks30403438[[#This Row],[Player]],TableQBCalcPts[PLAYER],0)),"")</f>
        <v>LAC</v>
      </c>
      <c r="D13" s="58">
        <f>IFERROR(INDEX(TableQBCalcPts[BYE],MATCH(TableQBRanks30403438[[#This Row],[Player]],TableQBCalcPts[PLAYER],0)),"")</f>
        <v>7</v>
      </c>
      <c r="E13" s="100">
        <f>VLOOKUP(TableQBRanks30403438[[#This Row],[Player]],QB!B:O,4,FALSE)</f>
        <v>531.69115999999997</v>
      </c>
      <c r="F13" s="100">
        <f>VLOOKUP(TableQBRanks30403438[[#This Row],[Player]],QB!B:O,5,FALSE)</f>
        <v>352.22829470099089</v>
      </c>
      <c r="G13" s="100">
        <f>VLOOKUP(TableQBRanks30403438[[#This Row],[Player]],QB!B:O,6,FALSE)</f>
        <v>4029.1470687418719</v>
      </c>
      <c r="H13" s="100">
        <f>VLOOKUP(TableQBRanks30403438[[#This Row],[Player]],QB!B:O,7,FALSE)</f>
        <v>26.430355388976508</v>
      </c>
      <c r="I13" s="100">
        <f>VLOOKUP(TableQBRanks30403438[[#This Row],[Player]],QB!B:O,8,FALSE)</f>
        <v>10.075406373377627</v>
      </c>
      <c r="J13" s="100">
        <f>VLOOKUP(TableQBRanks30403438[[#This Row],[Player]],QB!B:O,9,FALSE)</f>
        <v>71.8862144</v>
      </c>
      <c r="K13" s="100">
        <f>VLOOKUP(TableQBRanks30403438[[#This Row],[Player]],QB!B:O,10,FALSE)</f>
        <v>384.4700904988764</v>
      </c>
      <c r="L13" s="100">
        <f>VLOOKUP(TableQBRanks30403438[[#This Row],[Player]],QB!B:O,11,FALSE)</f>
        <v>2.0128140031999999</v>
      </c>
      <c r="M13" s="95">
        <f>VLOOKUP(TableQBRanks30403438[[#This Row],[Player]],QB!B:O,13,FALSE)</f>
        <v>395.41933124934303</v>
      </c>
      <c r="N13" s="140">
        <f>IF(VLOOKUP(TableQBRanks30403438[[#This Row],[Player]],'Ranks w Proj'!$B:$N,13,FALSE)&lt;0,0,VLOOKUP(TableQBRanks30403438[[#This Row],[Player]],'Ranks w Proj'!$B:$N,13,FALSE))</f>
        <v>18.880958958839273</v>
      </c>
      <c r="P13" s="58">
        <v>12</v>
      </c>
      <c r="Q13" s="58" t="str">
        <f>VLOOKUP(TableRBRanks31413539[[#This Row],[RK]],Rankings!A:AY,38,FALSE)</f>
        <v>Kenneth Walker</v>
      </c>
      <c r="R13" s="58" t="str">
        <f>IFERROR(INDEX(TableRBCalcPts[TM],MATCH(TableRBRanks31413539[[#This Row],[Player]],TableRBCalcPts[PLAYER],0)),"")</f>
        <v>KC</v>
      </c>
      <c r="S13" s="58">
        <f>IFERROR(INDEX(TableRBCalcPts[BYE],MATCH(TableRBRanks31413539[[#This Row],[Player]],TableRBCalcPts[PLAYER],0)),"")</f>
        <v>5</v>
      </c>
      <c r="T13" s="100">
        <f>VLOOKUP(TableRBRanks31413539[[#This Row],[Player]],RB!B:O,4,FALSE)</f>
        <v>263.54079150000001</v>
      </c>
      <c r="U13" s="100">
        <f>VLOOKUP(TableRBRanks31413539[[#This Row],[Player]],RB!B:O,5,FALSE)</f>
        <v>1131.4315892972611</v>
      </c>
      <c r="V13" s="100">
        <f>VLOOKUP(TableRBRanks31413539[[#This Row],[Player]],RB!B:O,6,FALSE)</f>
        <v>9.223927702500001</v>
      </c>
      <c r="W13" s="100">
        <f>VLOOKUP(TableRBRanks31413539[[#This Row],[Player]],RB!B:O,7,FALSE)</f>
        <v>53.278361499999995</v>
      </c>
      <c r="X13" s="100">
        <f>VLOOKUP(TableRBRanks31413539[[#This Row],[Player]],RB!B:O,8,FALSE)</f>
        <v>40.118606209499994</v>
      </c>
      <c r="Y13" s="100">
        <f>VLOOKUP(TableRBRanks31413539[[#This Row],[Player]],RB!B:O,9,FALSE)</f>
        <v>323.7802601893066</v>
      </c>
      <c r="Z13" s="100">
        <f>VLOOKUP(TableRBRanks31413539[[#This Row],[Player]],RB!B:O,10,FALSE)</f>
        <v>2.0460489166844997</v>
      </c>
      <c r="AA13" s="95">
        <f>VLOOKUP(TableRBRanks31413539[[#This Row],[Player]],RB!B:O,14,FALSE)</f>
        <v>233.20034776851375</v>
      </c>
      <c r="AB13" s="190">
        <f>TableRBRanks31413539[[#This Row],[FPS]]-(TableRBRanks31413539[[#This Row],[REC]]*0.5)</f>
        <v>213.14104466376375</v>
      </c>
      <c r="AD13" s="58">
        <v>12</v>
      </c>
      <c r="AE13" s="58" t="str">
        <f>VLOOKUP(TableWRRanks32423644[[#This Row],[RK]],Rankings!A:AZ,43,FALSE)</f>
        <v>Tetairoa McMillan</v>
      </c>
      <c r="AF13" s="58" t="str">
        <f>IFERROR(INDEX(TableWRCalcPts[TM],MATCH(TableWRRanks32423644[[#This Row],[Player]],TableWRCalcPts[PLAYER],0)),"")</f>
        <v>CAR</v>
      </c>
      <c r="AG13" s="58">
        <f>IFERROR(INDEX(TableWRCalcPts[BYE],MATCH(TableWRRanks32423644[[#This Row],[Player]],TableWRCalcPts[PLAYER],0)),"")</f>
        <v>5</v>
      </c>
      <c r="AH13" s="100">
        <f>VLOOKUP(TableWRRanks32423644[[#This Row],[Player]],WR!B:O,4,FALSE)</f>
        <v>0</v>
      </c>
      <c r="AI13" s="100">
        <f>VLOOKUP(TableWRRanks32423644[[#This Row],[Player]],WR!B:O,5,FALSE)</f>
        <v>0</v>
      </c>
      <c r="AJ13" s="100">
        <f>VLOOKUP(TableWRRanks32423644[[#This Row],[Player]],WR!B:O,6,FALSE)</f>
        <v>148.61523599999998</v>
      </c>
      <c r="AK13" s="100">
        <f>VLOOKUP(TableWRRanks32423644[[#This Row],[Player]],WR!B:O,7,FALSE)</f>
        <v>84.666360677684196</v>
      </c>
      <c r="AL13" s="100">
        <f>VLOOKUP(TableWRRanks32423644[[#This Row],[Player]],WR!B:O,8,FALSE)</f>
        <v>1213.2689485112146</v>
      </c>
      <c r="AM13" s="100">
        <f>VLOOKUP(TableWRRanks32423644[[#This Row],[Player]],WR!B:O,9,FALSE)</f>
        <v>7.3659733789585244</v>
      </c>
      <c r="AN13" s="95">
        <f>VLOOKUP(TableWRRanks32423644[[#This Row],[Player]],WR!B:O,13,FALSE)</f>
        <v>207.85591546371469</v>
      </c>
      <c r="AO13" s="190">
        <f>TableWRRanks32423644[[#This Row],[FPS]]-(TableWRRanks32423644[[#This Row],[REC]]*0.5)</f>
        <v>165.52273512487261</v>
      </c>
      <c r="AQ13" s="58">
        <v>12</v>
      </c>
      <c r="AR13" s="58" t="str">
        <f>VLOOKUP(TableTERanks33433745[[#This Row],[RK]],Rankings!A:AZ,48,FALSE)</f>
        <v>Travis Kelce</v>
      </c>
      <c r="AS13" s="58" t="str">
        <f>IFERROR(INDEX(TableTECalcPts[TM],MATCH(TableTERanks33433745[[#This Row],[Player]],TableTECalcPts[PLAYER],0)),"")</f>
        <v>KC</v>
      </c>
      <c r="AT13" s="58">
        <f>IFERROR(INDEX(TableTECalcPts[BYE],MATCH(TableTERanks33433745[[#This Row],[Player]],TableTECalcPts[PLAYER],0)),"")</f>
        <v>5</v>
      </c>
      <c r="AU13" s="100">
        <f>VLOOKUP(TableTERanks33433745[[#This Row],[Player]],TE!B:O,4,FALSE)</f>
        <v>106.55672299999999</v>
      </c>
      <c r="AV13" s="100">
        <f>VLOOKUP(TableTERanks33433745[[#This Row],[Player]],TE!B:O,5,FALSE)</f>
        <v>73.630695592999984</v>
      </c>
      <c r="AW13" s="100">
        <f>VLOOKUP(TableTERanks33433745[[#This Row],[Player]],TE!B:O,6,FALSE)</f>
        <v>781.9579871976598</v>
      </c>
      <c r="AX13" s="100">
        <f>VLOOKUP(TableTERanks33433745[[#This Row],[Player]],TE!B:O,7,FALSE)</f>
        <v>5.4486714738819986</v>
      </c>
      <c r="AY13" s="95">
        <f>VLOOKUP(TableTERanks33433745[[#This Row],[Player]],TE!B:O,11,FALSE)</f>
        <v>147.70317535955797</v>
      </c>
      <c r="AZ13" s="190">
        <f>TableTERanks33433745[[#This Row],[FPS]]-(TableTERanks33433745[[#This Row],[REC]]*0.5)</f>
        <v>110.88782756305798</v>
      </c>
    </row>
    <row r="14" spans="1:52" x14ac:dyDescent="0.25">
      <c r="A14" s="58">
        <v>13</v>
      </c>
      <c r="B14" s="58" t="str">
        <f>VLOOKUP(TableQBRanks30403438[[#This Row],[RK]],Rankings!A:T,3,FALSE)</f>
        <v>Brock Purdy</v>
      </c>
      <c r="C14" s="58" t="str">
        <f>IFERROR(INDEX(TableQBCalcPts[TM],MATCH(TableQBRanks30403438[[#This Row],[Player]],TableQBCalcPts[PLAYER],0)),"")</f>
        <v>SF</v>
      </c>
      <c r="D14" s="58">
        <f>IFERROR(INDEX(TableQBCalcPts[BYE],MATCH(TableQBRanks30403438[[#This Row],[Player]],TableQBCalcPts[PLAYER],0)),"")</f>
        <v>8</v>
      </c>
      <c r="E14" s="100">
        <f>VLOOKUP(TableQBRanks30403438[[#This Row],[Player]],QB!B:O,4,FALSE)</f>
        <v>536.83616000000006</v>
      </c>
      <c r="F14" s="100">
        <f>VLOOKUP(TableQBRanks30403438[[#This Row],[Player]],QB!B:O,5,FALSE)</f>
        <v>361.29073568000007</v>
      </c>
      <c r="G14" s="100">
        <f>VLOOKUP(TableQBRanks30403438[[#This Row],[Player]],QB!B:O,6,FALSE)</f>
        <v>4295.7468472352011</v>
      </c>
      <c r="H14" s="100">
        <f>VLOOKUP(TableQBRanks30403438[[#This Row],[Player]],QB!B:O,7,FALSE)</f>
        <v>29.625840325760006</v>
      </c>
      <c r="I14" s="100">
        <f>VLOOKUP(TableQBRanks30403438[[#This Row],[Player]],QB!B:O,8,FALSE)</f>
        <v>15.441805867686105</v>
      </c>
      <c r="J14" s="100">
        <f>VLOOKUP(TableQBRanks30403438[[#This Row],[Player]],QB!B:O,9,FALSE)</f>
        <v>64.131889919999992</v>
      </c>
      <c r="K14" s="100">
        <f>VLOOKUP(TableQBRanks30403438[[#This Row],[Player]],QB!B:O,10,FALSE)</f>
        <v>275.80616229242338</v>
      </c>
      <c r="L14" s="100">
        <f>VLOOKUP(TableQBRanks30403438[[#This Row],[Player]],QB!B:O,11,FALSE)</f>
        <v>3.9495945227970899</v>
      </c>
      <c r="M14" s="95">
        <f>VLOOKUP(TableQBRanks30403438[[#This Row],[Player]],QB!B:O,13,FALSE)</f>
        <v>421.55036691030688</v>
      </c>
      <c r="N14" s="140">
        <f>IF(VLOOKUP(TableQBRanks30403438[[#This Row],[Player]],'Ranks w Proj'!$B:$N,13,FALSE)&lt;0,0,VLOOKUP(TableQBRanks30403438[[#This Row],[Player]],'Ranks w Proj'!$B:$N,13,FALSE))</f>
        <v>25.622801754329171</v>
      </c>
      <c r="P14" s="58">
        <v>13</v>
      </c>
      <c r="Q14" s="58" t="str">
        <f>VLOOKUP(TableRBRanks31413539[[#This Row],[RK]],Rankings!A:AY,38,FALSE)</f>
        <v>Kyren Williams</v>
      </c>
      <c r="R14" s="58" t="str">
        <f>IFERROR(INDEX(TableRBCalcPts[TM],MATCH(TableRBRanks31413539[[#This Row],[Player]],TableRBCalcPts[PLAYER],0)),"")</f>
        <v>LAR</v>
      </c>
      <c r="S14" s="58">
        <f>IFERROR(INDEX(TableRBCalcPts[BYE],MATCH(TableRBRanks31413539[[#This Row],[Player]],TableRBCalcPts[PLAYER],0)),"")</f>
        <v>11</v>
      </c>
      <c r="T14" s="100">
        <f>VLOOKUP(TableRBRanks31413539[[#This Row],[Player]],RB!B:O,4,FALSE)</f>
        <v>243.83066399999998</v>
      </c>
      <c r="U14" s="100">
        <f>VLOOKUP(TableRBRanks31413539[[#This Row],[Player]],RB!B:O,5,FALSE)</f>
        <v>1119.18274776</v>
      </c>
      <c r="V14" s="100">
        <f>VLOOKUP(TableRBRanks31413539[[#This Row],[Player]],RB!B:O,6,FALSE)</f>
        <v>10.728549215999999</v>
      </c>
      <c r="W14" s="100">
        <f>VLOOKUP(TableRBRanks31413539[[#This Row],[Player]],RB!B:O,7,FALSE)</f>
        <v>39.582072996587819</v>
      </c>
      <c r="X14" s="100">
        <f>VLOOKUP(TableRBRanks31413539[[#This Row],[Player]],RB!B:O,8,FALSE)</f>
        <v>28.30118219256029</v>
      </c>
      <c r="Y14" s="100">
        <f>VLOOKUP(TableRBRanks31413539[[#This Row],[Player]],RB!B:O,9,FALSE)</f>
        <v>209.71176004687175</v>
      </c>
      <c r="Z14" s="100">
        <f>VLOOKUP(TableRBRanks31413539[[#This Row],[Player]],RB!B:O,10,FALSE)</f>
        <v>1.8112756603238587</v>
      </c>
      <c r="AA14" s="95">
        <f>VLOOKUP(TableRBRanks31413539[[#This Row],[Player]],RB!B:O,14,FALSE)</f>
        <v>222.27899113491048</v>
      </c>
      <c r="AB14" s="190">
        <f>TableRBRanks31413539[[#This Row],[FPS]]-(TableRBRanks31413539[[#This Row],[REC]]*0.5)</f>
        <v>208.12840003863033</v>
      </c>
      <c r="AD14" s="58">
        <v>13</v>
      </c>
      <c r="AE14" s="58" t="str">
        <f>VLOOKUP(TableWRRanks32423644[[#This Row],[RK]],Rankings!A:AZ,43,FALSE)</f>
        <v>Zay Flowers</v>
      </c>
      <c r="AF14" s="58" t="str">
        <f>IFERROR(INDEX(TableWRCalcPts[TM],MATCH(TableWRRanks32423644[[#This Row],[Player]],TableWRCalcPts[PLAYER],0)),"")</f>
        <v>BAL</v>
      </c>
      <c r="AG14" s="58">
        <f>IFERROR(INDEX(TableWRCalcPts[BYE],MATCH(TableWRRanks32423644[[#This Row],[Player]],TableWRCalcPts[PLAYER],0)),"")</f>
        <v>13</v>
      </c>
      <c r="AH14" s="100">
        <f>VLOOKUP(TableWRRanks32423644[[#This Row],[Player]],WR!B:O,4,FALSE)</f>
        <v>56.413694630198776</v>
      </c>
      <c r="AI14" s="100">
        <f>VLOOKUP(TableWRRanks32423644[[#This Row],[Player]],WR!B:O,5,FALSE)</f>
        <v>0.26872532932368426</v>
      </c>
      <c r="AJ14" s="100">
        <f>VLOOKUP(TableWRRanks32423644[[#This Row],[Player]],WR!B:O,6,FALSE)</f>
        <v>122.65981056</v>
      </c>
      <c r="AK14" s="100">
        <f>VLOOKUP(TableWRRanks32423644[[#This Row],[Player]],WR!B:O,7,FALSE)</f>
        <v>82.022021242617427</v>
      </c>
      <c r="AL14" s="100">
        <f>VLOOKUP(TableWRRanks32423644[[#This Row],[Player]],WR!B:O,8,FALSE)</f>
        <v>1157.1558788318523</v>
      </c>
      <c r="AM14" s="100">
        <f>VLOOKUP(TableWRRanks32423644[[#This Row],[Player]],WR!B:O,9,FALSE)</f>
        <v>6.8078277631372472</v>
      </c>
      <c r="AN14" s="95">
        <f>VLOOKUP(TableWRRanks32423644[[#This Row],[Player]],WR!B:O,13,FALSE)</f>
        <v>204.82728652227939</v>
      </c>
      <c r="AO14" s="190">
        <f>TableWRRanks32423644[[#This Row],[FPS]]-(TableWRRanks32423644[[#This Row],[REC]]*0.5)</f>
        <v>163.81627590097068</v>
      </c>
      <c r="AQ14" s="58">
        <v>13</v>
      </c>
      <c r="AR14" s="58" t="str">
        <f>VLOOKUP(TableTERanks33433745[[#This Row],[RK]],Rankings!A:AZ,48,FALSE)</f>
        <v>Mark Andrews</v>
      </c>
      <c r="AS14" s="58" t="str">
        <f>IFERROR(INDEX(TableTECalcPts[TM],MATCH(TableTERanks33433745[[#This Row],[Player]],TableTECalcPts[PLAYER],0)),"")</f>
        <v>BAL</v>
      </c>
      <c r="AT14" s="58">
        <f>IFERROR(INDEX(TableTECalcPts[BYE],MATCH(TableTERanks33433745[[#This Row],[Player]],TableTECalcPts[PLAYER],0)),"")</f>
        <v>13</v>
      </c>
      <c r="AU14" s="100">
        <f>VLOOKUP(TableTERanks33433745[[#This Row],[Player]],TE!B:O,4,FALSE)</f>
        <v>84.12301183999999</v>
      </c>
      <c r="AV14" s="100">
        <f>VLOOKUP(TableTERanks33433745[[#This Row],[Player]],TE!B:O,5,FALSE)</f>
        <v>56.303566443035386</v>
      </c>
      <c r="AW14" s="100">
        <f>VLOOKUP(TableTERanks33433745[[#This Row],[Player]],TE!B:O,6,FALSE)</f>
        <v>600.92286879987364</v>
      </c>
      <c r="AX14" s="100">
        <f>VLOOKUP(TableTERanks33433745[[#This Row],[Player]],TE!B:O,7,FALSE)</f>
        <v>6.7564279731642465</v>
      </c>
      <c r="AY14" s="95">
        <f>VLOOKUP(TableTERanks33433745[[#This Row],[Player]],TE!B:O,11,FALSE)</f>
        <v>128.78263794049053</v>
      </c>
      <c r="AZ14" s="190">
        <f>TableTERanks33433745[[#This Row],[FPS]]-(TableTERanks33433745[[#This Row],[REC]]*0.5)</f>
        <v>100.63085471897284</v>
      </c>
    </row>
    <row r="15" spans="1:52" x14ac:dyDescent="0.25">
      <c r="A15" s="58">
        <v>14</v>
      </c>
      <c r="B15" s="58" t="str">
        <f>VLOOKUP(TableQBRanks30403438[[#This Row],[RK]],Rankings!A:T,3,FALSE)</f>
        <v>Bo Nix</v>
      </c>
      <c r="C15" s="58" t="str">
        <f>IFERROR(INDEX(TableQBCalcPts[TM],MATCH(TableQBRanks30403438[[#This Row],[Player]],TableQBCalcPts[PLAYER],0)),"")</f>
        <v>DEN</v>
      </c>
      <c r="D15" s="58">
        <f>IFERROR(INDEX(TableQBCalcPts[BYE],MATCH(TableQBRanks30403438[[#This Row],[Player]],TableQBCalcPts[PLAYER],0)),"")</f>
        <v>10</v>
      </c>
      <c r="E15" s="100">
        <f>VLOOKUP(TableQBRanks30403438[[#This Row],[Player]],QB!B:O,4,FALSE)</f>
        <v>570.67164000000014</v>
      </c>
      <c r="F15" s="100">
        <f>VLOOKUP(TableQBRanks30403438[[#This Row],[Player]],QB!B:O,5,FALSE)</f>
        <v>369.92991785531984</v>
      </c>
      <c r="G15" s="100">
        <f>VLOOKUP(TableQBRanks30403438[[#This Row],[Player]],QB!B:O,6,FALSE)</f>
        <v>3913.8585309092841</v>
      </c>
      <c r="H15" s="100">
        <f>VLOOKUP(TableQBRanks30403438[[#This Row],[Player]],QB!B:O,7,FALSE)</f>
        <v>26.265024167727706</v>
      </c>
      <c r="I15" s="100">
        <f>VLOOKUP(TableQBRanks30403438[[#This Row],[Player]],QB!B:O,8,FALSE)</f>
        <v>11.445045289519861</v>
      </c>
      <c r="J15" s="100">
        <f>VLOOKUP(TableQBRanks30403438[[#This Row],[Player]],QB!B:O,9,FALSE)</f>
        <v>81.722009879999987</v>
      </c>
      <c r="K15" s="100">
        <f>VLOOKUP(TableQBRanks30403438[[#This Row],[Player]],QB!B:O,10,FALSE)</f>
        <v>353.06822370358316</v>
      </c>
      <c r="L15" s="100">
        <f>VLOOKUP(TableQBRanks30403438[[#This Row],[Player]],QB!B:O,11,FALSE)</f>
        <v>4.273902009493125</v>
      </c>
      <c r="M15" s="95">
        <f>VLOOKUP(TableQBRanks30403438[[#This Row],[Player]],QB!B:O,13,FALSE)</f>
        <v>400.64266716606681</v>
      </c>
      <c r="N15" s="140">
        <f>IF(VLOOKUP(TableQBRanks30403438[[#This Row],[Player]],'Ranks w Proj'!$B:$N,13,FALSE)&lt;0,0,VLOOKUP(TableQBRanks30403438[[#This Row],[Player]],'Ranks w Proj'!$B:$N,13,FALSE))</f>
        <v>20.192760077259251</v>
      </c>
      <c r="P15" s="58">
        <v>14</v>
      </c>
      <c r="Q15" s="58" t="str">
        <f>VLOOKUP(TableRBRanks31413539[[#This Row],[RK]],Rankings!A:AY,38,FALSE)</f>
        <v>Josh Jacobs</v>
      </c>
      <c r="R15" s="58" t="str">
        <f>IFERROR(INDEX(TableRBCalcPts[TM],MATCH(TableRBRanks31413539[[#This Row],[Player]],TableRBCalcPts[PLAYER],0)),"")</f>
        <v>GB</v>
      </c>
      <c r="S15" s="58">
        <f>IFERROR(INDEX(TableRBCalcPts[BYE],MATCH(TableRBRanks31413539[[#This Row],[Player]],TableRBCalcPts[PLAYER],0)),"")</f>
        <v>11</v>
      </c>
      <c r="T15" s="100">
        <f>VLOOKUP(TableRBRanks31413539[[#This Row],[Player]],RB!B:O,4,FALSE)</f>
        <v>244.29464303999998</v>
      </c>
      <c r="U15" s="100">
        <f>VLOOKUP(TableRBRanks31413539[[#This Row],[Player]],RB!B:O,5,FALSE)</f>
        <v>992.89385363042413</v>
      </c>
      <c r="V15" s="100">
        <f>VLOOKUP(TableRBRanks31413539[[#This Row],[Player]],RB!B:O,6,FALSE)</f>
        <v>11.237553579839998</v>
      </c>
      <c r="W15" s="100">
        <f>VLOOKUP(TableRBRanks31413539[[#This Row],[Player]],RB!B:O,7,FALSE)</f>
        <v>45.916429507537686</v>
      </c>
      <c r="X15" s="100">
        <f>VLOOKUP(TableRBRanks31413539[[#This Row],[Player]],RB!B:O,8,FALSE)</f>
        <v>34.693487474221634</v>
      </c>
      <c r="Y15" s="100">
        <f>VLOOKUP(TableRBRanks31413539[[#This Row],[Player]],RB!B:O,9,FALSE)</f>
        <v>264.40452323508913</v>
      </c>
      <c r="Z15" s="100">
        <f>VLOOKUP(TableRBRanks31413539[[#This Row],[Player]],RB!B:O,10,FALSE)</f>
        <v>1.1790050215303887</v>
      </c>
      <c r="AA15" s="95">
        <f>VLOOKUP(TableRBRanks31413539[[#This Row],[Player]],RB!B:O,14,FALSE)</f>
        <v>217.57593303188446</v>
      </c>
      <c r="AB15" s="190">
        <f>TableRBRanks31413539[[#This Row],[FPS]]-(TableRBRanks31413539[[#This Row],[REC]]*0.5)</f>
        <v>200.22918929477365</v>
      </c>
      <c r="AD15" s="58">
        <v>14</v>
      </c>
      <c r="AE15" s="58" t="str">
        <f>VLOOKUP(TableWRRanks32423644[[#This Row],[RK]],Rankings!A:AZ,43,FALSE)</f>
        <v>DeVonta Smith</v>
      </c>
      <c r="AF15" s="58" t="str">
        <f>IFERROR(INDEX(TableWRCalcPts[TM],MATCH(TableWRRanks32423644[[#This Row],[Player]],TableWRCalcPts[PLAYER],0)),"")</f>
        <v>PHI</v>
      </c>
      <c r="AG15" s="58">
        <f>IFERROR(INDEX(TableWRCalcPts[BYE],MATCH(TableWRRanks32423644[[#This Row],[Player]],TableWRCalcPts[PLAYER],0)),"")</f>
        <v>10</v>
      </c>
      <c r="AH15" s="100">
        <f>VLOOKUP(TableWRRanks32423644[[#This Row],[Player]],WR!B:O,4,FALSE)</f>
        <v>0</v>
      </c>
      <c r="AI15" s="100">
        <f>VLOOKUP(TableWRRanks32423644[[#This Row],[Player]],WR!B:O,5,FALSE)</f>
        <v>0</v>
      </c>
      <c r="AJ15" s="100">
        <f>VLOOKUP(TableWRRanks32423644[[#This Row],[Player]],WR!B:O,6,FALSE)</f>
        <v>126.32249784000001</v>
      </c>
      <c r="AK15" s="100">
        <f>VLOOKUP(TableWRRanks32423644[[#This Row],[Player]],WR!B:O,7,FALSE)</f>
        <v>86.025621029040011</v>
      </c>
      <c r="AL15" s="100">
        <f>VLOOKUP(TableWRRanks32423644[[#This Row],[Player]],WR!B:O,8,FALSE)</f>
        <v>1107.149742643745</v>
      </c>
      <c r="AM15" s="100">
        <f>VLOOKUP(TableWRRanks32423644[[#This Row],[Player]],WR!B:O,9,FALSE)</f>
        <v>7.39820340849744</v>
      </c>
      <c r="AN15" s="95">
        <f>VLOOKUP(TableWRRanks32423644[[#This Row],[Player]],WR!B:O,13,FALSE)</f>
        <v>198.11700522987917</v>
      </c>
      <c r="AO15" s="190">
        <f>TableWRRanks32423644[[#This Row],[FPS]]-(TableWRRanks32423644[[#This Row],[REC]]*0.5)</f>
        <v>155.10419471535917</v>
      </c>
      <c r="AQ15" s="58">
        <v>14</v>
      </c>
      <c r="AR15" s="58" t="str">
        <f>VLOOKUP(TableTERanks33433745[[#This Row],[RK]],Rankings!A:AZ,48,FALSE)</f>
        <v>Jake Ferguson</v>
      </c>
      <c r="AS15" s="58" t="str">
        <f>IFERROR(INDEX(TableTECalcPts[TM],MATCH(TableTERanks33433745[[#This Row],[Player]],TableTECalcPts[PLAYER],0)),"")</f>
        <v>DAL</v>
      </c>
      <c r="AT15" s="58">
        <f>IFERROR(INDEX(TableTECalcPts[BYE],MATCH(TableTERanks33433745[[#This Row],[Player]],TableTECalcPts[PLAYER],0)),"")</f>
        <v>14</v>
      </c>
      <c r="AU15" s="100">
        <f>VLOOKUP(TableTERanks33433745[[#This Row],[Player]],TE!B:O,4,FALSE)</f>
        <v>100.0587742</v>
      </c>
      <c r="AV15" s="100">
        <f>VLOOKUP(TableTERanks33433745[[#This Row],[Player]],TE!B:O,5,FALSE)</f>
        <v>74.564451091063063</v>
      </c>
      <c r="AW15" s="100">
        <f>VLOOKUP(TableTERanks33433745[[#This Row],[Player]],TE!B:O,6,FALSE)</f>
        <v>606.75060624015089</v>
      </c>
      <c r="AX15" s="100">
        <f>VLOOKUP(TableTERanks33433745[[#This Row],[Player]],TE!B:O,7,FALSE)</f>
        <v>6.2634138916492974</v>
      </c>
      <c r="AY15" s="95">
        <f>VLOOKUP(TableTERanks33433745[[#This Row],[Player]],TE!B:O,11,FALSE)</f>
        <v>135.53776951944241</v>
      </c>
      <c r="AZ15" s="190">
        <f>TableTERanks33433745[[#This Row],[FPS]]-(TableTERanks33433745[[#This Row],[REC]]*0.5)</f>
        <v>98.255543973910875</v>
      </c>
    </row>
    <row r="16" spans="1:52" x14ac:dyDescent="0.25">
      <c r="A16" s="58">
        <v>15</v>
      </c>
      <c r="B16" s="58" t="str">
        <f>VLOOKUP(TableQBRanks30403438[[#This Row],[RK]],Rankings!A:T,3,FALSE)</f>
        <v>Matthew Stafford</v>
      </c>
      <c r="C16" s="58" t="str">
        <f>IFERROR(INDEX(TableQBCalcPts[TM],MATCH(TableQBRanks30403438[[#This Row],[Player]],TableQBCalcPts[PLAYER],0)),"")</f>
        <v>LAR</v>
      </c>
      <c r="D16" s="58">
        <f>IFERROR(INDEX(TableQBCalcPts[BYE],MATCH(TableQBRanks30403438[[#This Row],[Player]],TableQBCalcPts[PLAYER],0)),"")</f>
        <v>11</v>
      </c>
      <c r="E16" s="100">
        <f>VLOOKUP(TableQBRanks30403438[[#This Row],[Player]],QB!B:O,4,FALSE)</f>
        <v>571.03200000000004</v>
      </c>
      <c r="F16" s="100">
        <f>VLOOKUP(TableQBRanks30403438[[#This Row],[Player]],QB!B:O,5,FALSE)</f>
        <v>371.74183200000004</v>
      </c>
      <c r="G16" s="100">
        <f>VLOOKUP(TableQBRanks30403438[[#This Row],[Player]],QB!B:O,6,FALSE)</f>
        <v>4323.3575061600004</v>
      </c>
      <c r="H16" s="100">
        <f>VLOOKUP(TableQBRanks30403438[[#This Row],[Player]],QB!B:O,7,FALSE)</f>
        <v>34.571990376000002</v>
      </c>
      <c r="I16" s="100">
        <f>VLOOKUP(TableQBRanks30403438[[#This Row],[Player]],QB!B:O,8,FALSE)</f>
        <v>9.7587304586020061</v>
      </c>
      <c r="J16" s="100">
        <f>VLOOKUP(TableQBRanks30403438[[#This Row],[Player]],QB!B:O,9,FALSE)</f>
        <v>24.427479999999996</v>
      </c>
      <c r="K16" s="100">
        <f>VLOOKUP(TableQBRanks30403438[[#This Row],[Player]],QB!B:O,10,FALSE)</f>
        <v>31.922274999999996</v>
      </c>
      <c r="L16" s="100">
        <f>VLOOKUP(TableQBRanks30403438[[#This Row],[Player]],QB!B:O,11,FALSE)</f>
        <v>0.6014341666666666</v>
      </c>
      <c r="M16" s="95">
        <f>VLOOKUP(TableQBRanks30403438[[#This Row],[Player]],QB!B:O,13,FALSE)</f>
        <v>414.58252774379804</v>
      </c>
      <c r="N16" s="140">
        <f>IF(VLOOKUP(TableQBRanks30403438[[#This Row],[Player]],'Ranks w Proj'!$B:$N,13,FALSE)&lt;0,0,VLOOKUP(TableQBRanks30403438[[#This Row],[Player]],'Ranks w Proj'!$B:$N,13,FALSE))</f>
        <v>23.277172890013631</v>
      </c>
      <c r="P16" s="58">
        <v>15</v>
      </c>
      <c r="Q16" s="58" t="str">
        <f>VLOOKUP(TableRBRanks31413539[[#This Row],[RK]],Rankings!A:AY,38,FALSE)</f>
        <v>Javonte Williams</v>
      </c>
      <c r="R16" s="58" t="str">
        <f>IFERROR(INDEX(TableRBCalcPts[TM],MATCH(TableRBRanks31413539[[#This Row],[Player]],TableRBCalcPts[PLAYER],0)),"")</f>
        <v>DAL</v>
      </c>
      <c r="S16" s="58">
        <f>IFERROR(INDEX(TableRBCalcPts[BYE],MATCH(TableRBRanks31413539[[#This Row],[Player]],TableRBCalcPts[PLAYER],0)),"")</f>
        <v>14</v>
      </c>
      <c r="T16" s="100">
        <f>VLOOKUP(TableRBRanks31413539[[#This Row],[Player]],RB!B:O,4,FALSE)</f>
        <v>262.13087039999999</v>
      </c>
      <c r="U16" s="100">
        <f>VLOOKUP(TableRBRanks31413539[[#This Row],[Player]],RB!B:O,5,FALSE)</f>
        <v>1195.3167690239998</v>
      </c>
      <c r="V16" s="100">
        <f>VLOOKUP(TableRBRanks31413539[[#This Row],[Player]],RB!B:O,6,FALSE)</f>
        <v>9.6988422048</v>
      </c>
      <c r="W16" s="100">
        <f>VLOOKUP(TableRBRanks31413539[[#This Row],[Player]],RB!B:O,7,FALSE)</f>
        <v>53.043205599999993</v>
      </c>
      <c r="X16" s="100">
        <f>VLOOKUP(TableRBRanks31413539[[#This Row],[Player]],RB!B:O,8,FALSE)</f>
        <v>37.638304011733325</v>
      </c>
      <c r="Y16" s="100">
        <f>VLOOKUP(TableRBRanks31413539[[#This Row],[Player]],RB!B:O,9,FALSE)</f>
        <v>191.03492454933334</v>
      </c>
      <c r="Z16" s="100">
        <f>VLOOKUP(TableRBRanks31413539[[#This Row],[Player]],RB!B:O,10,FALSE)</f>
        <v>1.9195535045983994</v>
      </c>
      <c r="AA16" s="95">
        <f>VLOOKUP(TableRBRanks31413539[[#This Row],[Player]],RB!B:O,14,FALSE)</f>
        <v>227.16469561959036</v>
      </c>
      <c r="AB16" s="190">
        <f>TableRBRanks31413539[[#This Row],[FPS]]-(TableRBRanks31413539[[#This Row],[REC]]*0.5)</f>
        <v>208.34554361372369</v>
      </c>
      <c r="AD16" s="58">
        <v>15</v>
      </c>
      <c r="AE16" s="58" t="str">
        <f>VLOOKUP(TableWRRanks32423644[[#This Row],[RK]],Rankings!A:AZ,43,FALSE)</f>
        <v>Tee Higgins</v>
      </c>
      <c r="AF16" s="58" t="str">
        <f>IFERROR(INDEX(TableWRCalcPts[TM],MATCH(TableWRRanks32423644[[#This Row],[Player]],TableWRCalcPts[PLAYER],0)),"")</f>
        <v>CIN</v>
      </c>
      <c r="AG16" s="58">
        <f>IFERROR(INDEX(TableWRCalcPts[BYE],MATCH(TableWRRanks32423644[[#This Row],[Player]],TableWRCalcPts[PLAYER],0)),"")</f>
        <v>6</v>
      </c>
      <c r="AH16" s="100">
        <f>VLOOKUP(TableWRRanks32423644[[#This Row],[Player]],WR!B:O,4,FALSE)</f>
        <v>0</v>
      </c>
      <c r="AI16" s="100">
        <f>VLOOKUP(TableWRRanks32423644[[#This Row],[Player]],WR!B:O,5,FALSE)</f>
        <v>0</v>
      </c>
      <c r="AJ16" s="100">
        <f>VLOOKUP(TableWRRanks32423644[[#This Row],[Player]],WR!B:O,6,FALSE)</f>
        <v>128.44063750000001</v>
      </c>
      <c r="AK16" s="100">
        <f>VLOOKUP(TableWRRanks32423644[[#This Row],[Player]],WR!B:O,7,FALSE)</f>
        <v>80.556362332031256</v>
      </c>
      <c r="AL16" s="100">
        <f>VLOOKUP(TableWRRanks32423644[[#This Row],[Player]],WR!B:O,8,FALSE)</f>
        <v>1081.7836240677084</v>
      </c>
      <c r="AM16" s="100">
        <f>VLOOKUP(TableWRRanks32423644[[#This Row],[Player]],WR!B:O,9,FALSE)</f>
        <v>10.311214378500001</v>
      </c>
      <c r="AN16" s="95">
        <f>VLOOKUP(TableWRRanks32423644[[#This Row],[Player]],WR!B:O,13,FALSE)</f>
        <v>210.32382984378648</v>
      </c>
      <c r="AO16" s="190">
        <f>TableWRRanks32423644[[#This Row],[FPS]]-(TableWRRanks32423644[[#This Row],[REC]]*0.5)</f>
        <v>170.04564867777086</v>
      </c>
      <c r="AQ16" s="58">
        <v>15</v>
      </c>
      <c r="AR16" s="58" t="str">
        <f>VLOOKUP(TableTERanks33433745[[#This Row],[RK]],Rankings!A:AZ,48,FALSE)</f>
        <v>Dallas Goedert</v>
      </c>
      <c r="AS16" s="58" t="str">
        <f>IFERROR(INDEX(TableTECalcPts[TM],MATCH(TableTERanks33433745[[#This Row],[Player]],TableTECalcPts[PLAYER],0)),"")</f>
        <v>PHI</v>
      </c>
      <c r="AT16" s="58">
        <f>IFERROR(INDEX(TableTECalcPts[BYE],MATCH(TableTERanks33433745[[#This Row],[Player]],TableTECalcPts[PLAYER],0)),"")</f>
        <v>10</v>
      </c>
      <c r="AU16" s="100">
        <f>VLOOKUP(TableTERanks33433745[[#This Row],[Player]],TE!B:O,4,FALSE)</f>
        <v>78.771443520000005</v>
      </c>
      <c r="AV16" s="100">
        <f>VLOOKUP(TableTERanks33433745[[#This Row],[Player]],TE!B:O,5,FALSE)</f>
        <v>55.376324794559999</v>
      </c>
      <c r="AW16" s="100">
        <f>VLOOKUP(TableTERanks33433745[[#This Row],[Player]],TE!B:O,6,FALSE)</f>
        <v>558.71150776058289</v>
      </c>
      <c r="AX16" s="100">
        <f>VLOOKUP(TableTERanks33433745[[#This Row],[Player]],TE!B:O,7,FALSE)</f>
        <v>5.0946218810995196</v>
      </c>
      <c r="AY16" s="95">
        <f>VLOOKUP(TableTERanks33433745[[#This Row],[Player]],TE!B:O,11,FALSE)</f>
        <v>114.12704445993541</v>
      </c>
      <c r="AZ16" s="190">
        <f>TableTERanks33433745[[#This Row],[FPS]]-(TableTERanks33433745[[#This Row],[REC]]*0.5)</f>
        <v>86.438882062655409</v>
      </c>
    </row>
    <row r="17" spans="1:52" x14ac:dyDescent="0.25">
      <c r="A17" s="58">
        <v>16</v>
      </c>
      <c r="B17" s="58" t="str">
        <f>VLOOKUP(TableQBRanks30403438[[#This Row],[RK]],Rankings!A:T,3,FALSE)</f>
        <v>Kyler Murray</v>
      </c>
      <c r="C17" s="58" t="str">
        <f>IFERROR(INDEX(TableQBCalcPts[TM],MATCH(TableQBRanks30403438[[#This Row],[Player]],TableQBCalcPts[PLAYER],0)),"")</f>
        <v>MIN</v>
      </c>
      <c r="D17" s="58">
        <f>IFERROR(INDEX(TableQBCalcPts[BYE],MATCH(TableQBRanks30403438[[#This Row],[Player]],TableQBCalcPts[PLAYER],0)),"")</f>
        <v>6</v>
      </c>
      <c r="E17" s="100">
        <f>VLOOKUP(TableQBRanks30403438[[#This Row],[Player]],QB!B:O,4,FALSE)</f>
        <v>513.69920000000002</v>
      </c>
      <c r="F17" s="100">
        <f>VLOOKUP(TableQBRanks30403438[[#This Row],[Player]],QB!B:O,5,FALSE)</f>
        <v>349.842312690303</v>
      </c>
      <c r="G17" s="100">
        <f>VLOOKUP(TableQBRanks30403438[[#This Row],[Player]],QB!B:O,6,FALSE)</f>
        <v>3673.3442832481815</v>
      </c>
      <c r="H17" s="100">
        <f>VLOOKUP(TableQBRanks30403438[[#This Row],[Player]],QB!B:O,7,FALSE)</f>
        <v>22.739750324869696</v>
      </c>
      <c r="I17" s="100">
        <f>VLOOKUP(TableQBRanks30403438[[#This Row],[Player]],QB!B:O,8,FALSE)</f>
        <v>10.218902894788569</v>
      </c>
      <c r="J17" s="100">
        <f>VLOOKUP(TableQBRanks30403438[[#This Row],[Player]],QB!B:O,9,FALSE)</f>
        <v>77.734775999999982</v>
      </c>
      <c r="K17" s="100">
        <f>VLOOKUP(TableQBRanks30403438[[#This Row],[Player]],QB!B:O,10,FALSE)</f>
        <v>466.85013550489185</v>
      </c>
      <c r="L17" s="100">
        <f>VLOOKUP(TableQBRanks30403438[[#This Row],[Player]],QB!B:O,11,FALSE)</f>
        <v>3.7312692479999994</v>
      </c>
      <c r="M17" s="95">
        <f>VLOOKUP(TableQBRanks30403438[[#This Row],[Player]],QB!B:O,13,FALSE)</f>
        <v>377.21023069187635</v>
      </c>
      <c r="N17" s="140">
        <f>IF(VLOOKUP(TableQBRanks30403438[[#This Row],[Player]],'Ranks w Proj'!$B:$N,13,FALSE)&lt;0,0,VLOOKUP(TableQBRanks30403438[[#This Row],[Player]],'Ranks w Proj'!$B:$N,13,FALSE))</f>
        <v>14.948735695278563</v>
      </c>
      <c r="P17" s="58">
        <v>16</v>
      </c>
      <c r="Q17" s="58" t="str">
        <f>VLOOKUP(TableRBRanks31413539[[#This Row],[RK]],Rankings!A:AY,38,FALSE)</f>
        <v>Jeremiyah Love</v>
      </c>
      <c r="R17" s="58" t="str">
        <f>IFERROR(INDEX(TableRBCalcPts[TM],MATCH(TableRBRanks31413539[[#This Row],[Player]],TableRBCalcPts[PLAYER],0)),"")</f>
        <v>ARI</v>
      </c>
      <c r="S17" s="58">
        <f>IFERROR(INDEX(TableRBCalcPts[BYE],MATCH(TableRBRanks31413539[[#This Row],[Player]],TableRBCalcPts[PLAYER],0)),"")</f>
        <v>14</v>
      </c>
      <c r="T17" s="100">
        <f>VLOOKUP(TableRBRanks31413539[[#This Row],[Player]],RB!B:O,4,FALSE)</f>
        <v>225.39168960000001</v>
      </c>
      <c r="U17" s="100">
        <f>VLOOKUP(TableRBRanks31413539[[#This Row],[Player]],RB!B:O,5,FALSE)</f>
        <v>1007.3544595648907</v>
      </c>
      <c r="V17" s="100">
        <f>VLOOKUP(TableRBRanks31413539[[#This Row],[Player]],RB!B:O,6,FALSE)</f>
        <v>6.0855756192000001</v>
      </c>
      <c r="W17" s="100">
        <f>VLOOKUP(TableRBRanks31413539[[#This Row],[Player]],RB!B:O,7,FALSE)</f>
        <v>67.823996800000003</v>
      </c>
      <c r="X17" s="100">
        <f>VLOOKUP(TableRBRanks31413539[[#This Row],[Player]],RB!B:O,8,FALSE)</f>
        <v>52.631135339598316</v>
      </c>
      <c r="Y17" s="100">
        <f>VLOOKUP(TableRBRanks31413539[[#This Row],[Player]],RB!B:O,9,FALSE)</f>
        <v>394.73351504698735</v>
      </c>
      <c r="Z17" s="100">
        <f>VLOOKUP(TableRBRanks31413539[[#This Row],[Player]],RB!B:O,10,FALSE)</f>
        <v>1.9473520075651376</v>
      </c>
      <c r="AA17" s="95">
        <f>VLOOKUP(TableRBRanks31413539[[#This Row],[Player]],RB!B:O,14,FALSE)</f>
        <v>214.72193089157778</v>
      </c>
      <c r="AB17" s="190">
        <f>TableRBRanks31413539[[#This Row],[FPS]]-(TableRBRanks31413539[[#This Row],[REC]]*0.5)</f>
        <v>188.40636322177863</v>
      </c>
      <c r="AD17" s="58">
        <v>16</v>
      </c>
      <c r="AE17" s="58" t="str">
        <f>VLOOKUP(TableWRRanks32423644[[#This Row],[RK]],Rankings!A:AZ,43,FALSE)</f>
        <v>Rashee Rice</v>
      </c>
      <c r="AF17" s="58" t="str">
        <f>IFERROR(INDEX(TableWRCalcPts[TM],MATCH(TableWRRanks32423644[[#This Row],[Player]],TableWRCalcPts[PLAYER],0)),"")</f>
        <v>KC</v>
      </c>
      <c r="AG17" s="58">
        <f>IFERROR(INDEX(TableWRCalcPts[BYE],MATCH(TableWRRanks32423644[[#This Row],[Player]],TableWRCalcPts[PLAYER],0)),"")</f>
        <v>5</v>
      </c>
      <c r="AH17" s="100">
        <f>VLOOKUP(TableWRRanks32423644[[#This Row],[Player]],WR!B:O,4,FALSE)</f>
        <v>27.306853604231787</v>
      </c>
      <c r="AI17" s="100">
        <f>VLOOKUP(TableWRRanks32423644[[#This Row],[Player]],WR!B:O,5,FALSE)</f>
        <v>0.41619956720365475</v>
      </c>
      <c r="AJ17" s="100">
        <f>VLOOKUP(TableWRRanks32423644[[#This Row],[Player]],WR!B:O,6,FALSE)</f>
        <v>128.80482999999998</v>
      </c>
      <c r="AK17" s="100">
        <f>VLOOKUP(TableWRRanks32423644[[#This Row],[Player]],WR!B:O,7,FALSE)</f>
        <v>87.587284399999987</v>
      </c>
      <c r="AL17" s="100">
        <f>VLOOKUP(TableWRRanks32423644[[#This Row],[Player]],WR!B:O,8,FALSE)</f>
        <v>975.90036041213159</v>
      </c>
      <c r="AM17" s="100">
        <f>VLOOKUP(TableWRRanks32423644[[#This Row],[Player]],WR!B:O,9,FALSE)</f>
        <v>8.4083793023999984</v>
      </c>
      <c r="AN17" s="95">
        <f>VLOOKUP(TableWRRanks32423644[[#This Row],[Player]],WR!B:O,13,FALSE)</f>
        <v>197.06183681925825</v>
      </c>
      <c r="AO17" s="190">
        <f>TableWRRanks32423644[[#This Row],[FPS]]-(TableWRRanks32423644[[#This Row],[REC]]*0.5)</f>
        <v>153.26819461925825</v>
      </c>
      <c r="AQ17" s="58">
        <v>16</v>
      </c>
      <c r="AR17" s="58" t="str">
        <f>VLOOKUP(TableTERanks33433745[[#This Row],[RK]],Rankings!A:AZ,48,FALSE)</f>
        <v>Hunter Henry</v>
      </c>
      <c r="AS17" s="58" t="str">
        <f>IFERROR(INDEX(TableTECalcPts[TM],MATCH(TableTERanks33433745[[#This Row],[Player]],TableTECalcPts[PLAYER],0)),"")</f>
        <v>NE</v>
      </c>
      <c r="AT17" s="58">
        <f>IFERROR(INDEX(TableTECalcPts[BYE],MATCH(TableTERanks33433745[[#This Row],[Player]],TableTECalcPts[PLAYER],0)),"")</f>
        <v>11</v>
      </c>
      <c r="AU17" s="100">
        <f>VLOOKUP(TableTERanks33433745[[#This Row],[Player]],TE!B:O,4,FALSE)</f>
        <v>78.534691199999969</v>
      </c>
      <c r="AV17" s="100">
        <f>VLOOKUP(TableTERanks33433745[[#This Row],[Player]],TE!B:O,5,FALSE)</f>
        <v>54.324388158843846</v>
      </c>
      <c r="AW17" s="100">
        <f>VLOOKUP(TableTERanks33433745[[#This Row],[Player]],TE!B:O,6,FALSE)</f>
        <v>630.16290264258862</v>
      </c>
      <c r="AX17" s="100">
        <f>VLOOKUP(TableTERanks33433745[[#This Row],[Player]],TE!B:O,7,FALSE)</f>
        <v>4.9435193224547902</v>
      </c>
      <c r="AY17" s="95">
        <f>VLOOKUP(TableTERanks33433745[[#This Row],[Player]],TE!B:O,11,FALSE)</f>
        <v>119.83960027840953</v>
      </c>
      <c r="AZ17" s="190">
        <f>TableTERanks33433745[[#This Row],[FPS]]-(TableTERanks33433745[[#This Row],[REC]]*0.5)</f>
        <v>92.677406198987612</v>
      </c>
    </row>
    <row r="18" spans="1:52" x14ac:dyDescent="0.25">
      <c r="A18" s="58">
        <v>17</v>
      </c>
      <c r="B18" s="58" t="str">
        <f>VLOOKUP(TableQBRanks30403438[[#This Row],[RK]],Rankings!A:T,3,FALSE)</f>
        <v>Malik Willis</v>
      </c>
      <c r="C18" s="58" t="str">
        <f>IFERROR(INDEX(TableQBCalcPts[TM],MATCH(TableQBRanks30403438[[#This Row],[Player]],TableQBCalcPts[PLAYER],0)),"")</f>
        <v>MIA</v>
      </c>
      <c r="D18" s="58">
        <f>IFERROR(INDEX(TableQBCalcPts[BYE],MATCH(TableQBRanks30403438[[#This Row],[Player]],TableQBCalcPts[PLAYER],0)),"")</f>
        <v>6</v>
      </c>
      <c r="E18" s="100">
        <f>VLOOKUP(TableQBRanks30403438[[#This Row],[Player]],QB!B:O,4,FALSE)</f>
        <v>487.42209000000003</v>
      </c>
      <c r="F18" s="100">
        <f>VLOOKUP(TableQBRanks30403438[[#This Row],[Player]],QB!B:O,5,FALSE)</f>
        <v>321.86930607687435</v>
      </c>
      <c r="G18" s="100">
        <f>VLOOKUP(TableQBRanks30403438[[#This Row],[Player]],QB!B:O,6,FALSE)</f>
        <v>3469.7511195087054</v>
      </c>
      <c r="H18" s="100">
        <f>VLOOKUP(TableQBRanks30403438[[#This Row],[Player]],QB!B:O,7,FALSE)</f>
        <v>18.024681140304963</v>
      </c>
      <c r="I18" s="100">
        <f>VLOOKUP(TableQBRanks30403438[[#This Row],[Player]],QB!B:O,8,FALSE)</f>
        <v>10.257034655343029</v>
      </c>
      <c r="J18" s="100">
        <f>VLOOKUP(TableQBRanks30403438[[#This Row],[Player]],QB!B:O,9,FALSE)</f>
        <v>109.2995619288657</v>
      </c>
      <c r="K18" s="100">
        <f>VLOOKUP(TableQBRanks30403438[[#This Row],[Player]],QB!B:O,10,FALSE)</f>
        <v>598.9615993701841</v>
      </c>
      <c r="L18" s="100">
        <f>VLOOKUP(TableQBRanks30403438[[#This Row],[Player]],QB!B:O,11,FALSE)</f>
        <v>4.6998811629412245</v>
      </c>
      <c r="M18" s="95">
        <f>VLOOKUP(TableQBRanks30403438[[#This Row],[Player]],QB!B:O,13,FALSE)</f>
        <v>356.96347448918812</v>
      </c>
      <c r="N18" s="140">
        <f>IF(VLOOKUP(TableQBRanks30403438[[#This Row],[Player]],'Ranks w Proj'!$B:$N,13,FALSE)&lt;0,0,VLOOKUP(TableQBRanks30403438[[#This Row],[Player]],'Ranks w Proj'!$B:$N,13,FALSE))</f>
        <v>9.5179705225548545</v>
      </c>
      <c r="P18" s="58">
        <v>17</v>
      </c>
      <c r="Q18" s="58" t="str">
        <f>VLOOKUP(TableRBRanks31413539[[#This Row],[RK]],Rankings!A:AY,38,FALSE)</f>
        <v>Breece Hall</v>
      </c>
      <c r="R18" s="58" t="str">
        <f>IFERROR(INDEX(TableRBCalcPts[TM],MATCH(TableRBRanks31413539[[#This Row],[Player]],TableRBCalcPts[PLAYER],0)),"")</f>
        <v>NYJ</v>
      </c>
      <c r="S18" s="58">
        <f>IFERROR(INDEX(TableRBCalcPts[BYE],MATCH(TableRBRanks31413539[[#This Row],[Player]],TableRBCalcPts[PLAYER],0)),"")</f>
        <v>13</v>
      </c>
      <c r="T18" s="100">
        <f>VLOOKUP(TableRBRanks31413539[[#This Row],[Player]],RB!B:O,4,FALSE)</f>
        <v>227.64955080000004</v>
      </c>
      <c r="U18" s="100">
        <f>VLOOKUP(TableRBRanks31413539[[#This Row],[Player]],RB!B:O,5,FALSE)</f>
        <v>1013.0405010600002</v>
      </c>
      <c r="V18" s="100">
        <f>VLOOKUP(TableRBRanks31413539[[#This Row],[Player]],RB!B:O,6,FALSE)</f>
        <v>6.0582160827732814</v>
      </c>
      <c r="W18" s="100">
        <f>VLOOKUP(TableRBRanks31413539[[#This Row],[Player]],RB!B:O,7,FALSE)</f>
        <v>63.459983635032508</v>
      </c>
      <c r="X18" s="100">
        <f>VLOOKUP(TableRBRanks31413539[[#This Row],[Player]],RB!B:O,8,FALSE)</f>
        <v>50.28863098644387</v>
      </c>
      <c r="Y18" s="100">
        <f>VLOOKUP(TableRBRanks31413539[[#This Row],[Player]],RB!B:O,9,FALSE)</f>
        <v>439.2112076408128</v>
      </c>
      <c r="Z18" s="100">
        <f>VLOOKUP(TableRBRanks31413539[[#This Row],[Player]],RB!B:O,10,FALSE)</f>
        <v>2.1624111324170863</v>
      </c>
      <c r="AA18" s="95">
        <f>VLOOKUP(TableRBRanks31413539[[#This Row],[Player]],RB!B:O,14,FALSE)</f>
        <v>219.69324965444545</v>
      </c>
      <c r="AB18" s="190">
        <f>TableRBRanks31413539[[#This Row],[FPS]]-(TableRBRanks31413539[[#This Row],[REC]]*0.5)</f>
        <v>194.54893416122351</v>
      </c>
      <c r="AD18" s="58">
        <v>17</v>
      </c>
      <c r="AE18" s="58" t="str">
        <f>VLOOKUP(TableWRRanks32423644[[#This Row],[RK]],Rankings!A:AZ,43,FALSE)</f>
        <v>Emeka Egbuka</v>
      </c>
      <c r="AF18" s="58" t="str">
        <f>IFERROR(INDEX(TableWRCalcPts[TM],MATCH(TableWRRanks32423644[[#This Row],[Player]],TableWRCalcPts[PLAYER],0)),"")</f>
        <v>TB</v>
      </c>
      <c r="AG18" s="58">
        <f>IFERROR(INDEX(TableWRCalcPts[BYE],MATCH(TableWRRanks32423644[[#This Row],[Player]],TableWRCalcPts[PLAYER],0)),"")</f>
        <v>10</v>
      </c>
      <c r="AH18" s="100">
        <f>VLOOKUP(TableWRRanks32423644[[#This Row],[Player]],WR!B:O,4,FALSE)</f>
        <v>0</v>
      </c>
      <c r="AI18" s="100">
        <f>VLOOKUP(TableWRRanks32423644[[#This Row],[Player]],WR!B:O,5,FALSE)</f>
        <v>0</v>
      </c>
      <c r="AJ18" s="100">
        <f>VLOOKUP(TableWRRanks32423644[[#This Row],[Player]],WR!B:O,6,FALSE)</f>
        <v>129.12802811999995</v>
      </c>
      <c r="AK18" s="100">
        <f>VLOOKUP(TableWRRanks32423644[[#This Row],[Player]],WR!B:O,7,FALSE)</f>
        <v>72.440823775319984</v>
      </c>
      <c r="AL18" s="100">
        <f>VLOOKUP(TableWRRanks32423644[[#This Row],[Player]],WR!B:O,8,FALSE)</f>
        <v>1062.7068847839441</v>
      </c>
      <c r="AM18" s="100">
        <f>VLOOKUP(TableWRRanks32423644[[#This Row],[Player]],WR!B:O,9,FALSE)</f>
        <v>7.5338456726332783</v>
      </c>
      <c r="AN18" s="95">
        <f>VLOOKUP(TableWRRanks32423644[[#This Row],[Player]],WR!B:O,13,FALSE)</f>
        <v>187.69417440185407</v>
      </c>
      <c r="AO18" s="190">
        <f>TableWRRanks32423644[[#This Row],[FPS]]-(TableWRRanks32423644[[#This Row],[REC]]*0.5)</f>
        <v>151.47376251419408</v>
      </c>
      <c r="AQ18" s="58">
        <v>17</v>
      </c>
      <c r="AR18" s="58" t="str">
        <f>VLOOKUP(TableTERanks33433745[[#This Row],[RK]],Rankings!A:AZ,48,FALSE)</f>
        <v>T.J. Hockenson</v>
      </c>
      <c r="AS18" s="58" t="str">
        <f>IFERROR(INDEX(TableTECalcPts[TM],MATCH(TableTERanks33433745[[#This Row],[Player]],TableTECalcPts[PLAYER],0)),"")</f>
        <v>MIN</v>
      </c>
      <c r="AT18" s="58">
        <f>IFERROR(INDEX(TableTECalcPts[BYE],MATCH(TableTERanks33433745[[#This Row],[Player]],TableTECalcPts[PLAYER],0)),"")</f>
        <v>6</v>
      </c>
      <c r="AU18" s="100">
        <f>VLOOKUP(TableTERanks33433745[[#This Row],[Player]],TE!B:O,4,FALSE)</f>
        <v>96.445672959999996</v>
      </c>
      <c r="AV18" s="100">
        <f>VLOOKUP(TableTERanks33433745[[#This Row],[Player]],TE!B:O,5,FALSE)</f>
        <v>70.415039708360226</v>
      </c>
      <c r="AW18" s="100">
        <f>VLOOKUP(TableTERanks33433745[[#This Row],[Player]],TE!B:O,6,FALSE)</f>
        <v>617.05294996637326</v>
      </c>
      <c r="AX18" s="100">
        <f>VLOOKUP(TableTERanks33433745[[#This Row],[Player]],TE!B:O,7,FALSE)</f>
        <v>4.2249023825016137</v>
      </c>
      <c r="AY18" s="95">
        <f>VLOOKUP(TableTERanks33433745[[#This Row],[Player]],TE!B:O,11,FALSE)</f>
        <v>122.26222914582712</v>
      </c>
      <c r="AZ18" s="190">
        <f>TableTERanks33433745[[#This Row],[FPS]]-(TableTERanks33433745[[#This Row],[REC]]*0.5)</f>
        <v>87.054709291647015</v>
      </c>
    </row>
    <row r="19" spans="1:52" x14ac:dyDescent="0.25">
      <c r="A19" s="58">
        <v>18</v>
      </c>
      <c r="B19" s="58" t="str">
        <f>VLOOKUP(TableQBRanks30403438[[#This Row],[RK]],Rankings!A:T,3,FALSE)</f>
        <v>Jared Goff</v>
      </c>
      <c r="C19" s="58" t="str">
        <f>IFERROR(INDEX(TableQBCalcPts[TM],MATCH(TableQBRanks30403438[[#This Row],[Player]],TableQBCalcPts[PLAYER],0)),"")</f>
        <v>DET</v>
      </c>
      <c r="D19" s="58">
        <f>IFERROR(INDEX(TableQBCalcPts[BYE],MATCH(TableQBRanks30403438[[#This Row],[Player]],TableQBCalcPts[PLAYER],0)),"")</f>
        <v>6</v>
      </c>
      <c r="E19" s="100">
        <f>VLOOKUP(TableQBRanks30403438[[#This Row],[Player]],QB!B:O,4,FALSE)</f>
        <v>585.41279999999995</v>
      </c>
      <c r="F19" s="100">
        <f>VLOOKUP(TableQBRanks30403438[[#This Row],[Player]],QB!B:O,5,FALSE)</f>
        <v>402.75215997183261</v>
      </c>
      <c r="G19" s="100">
        <f>VLOOKUP(TableQBRanks30403438[[#This Row],[Player]],QB!B:O,6,FALSE)</f>
        <v>4642.5269653189362</v>
      </c>
      <c r="H19" s="100">
        <f>VLOOKUP(TableQBRanks30403438[[#This Row],[Player]],QB!B:O,7,FALSE)</f>
        <v>32.220172797746606</v>
      </c>
      <c r="I19" s="100">
        <f>VLOOKUP(TableQBRanks30403438[[#This Row],[Player]],QB!B:O,8,FALSE)</f>
        <v>10.980004422275686</v>
      </c>
      <c r="J19" s="100">
        <f>VLOOKUP(TableQBRanks30403438[[#This Row],[Player]],QB!B:O,9,FALSE)</f>
        <v>19.431596800000001</v>
      </c>
      <c r="K19" s="100">
        <f>VLOOKUP(TableQBRanks30403438[[#This Row],[Player]],QB!B:O,10,FALSE)</f>
        <v>38.992333759437948</v>
      </c>
      <c r="L19" s="100">
        <f>VLOOKUP(TableQBRanks30403438[[#This Row],[Player]],QB!B:O,11,FALSE)</f>
        <v>0.49196251214456382</v>
      </c>
      <c r="M19" s="95">
        <f>VLOOKUP(TableQBRanks30403438[[#This Row],[Player]],QB!B:O,13,FALSE)</f>
        <v>415.16833542295586</v>
      </c>
      <c r="N19" s="140">
        <f>IF(VLOOKUP(TableQBRanks30403438[[#This Row],[Player]],'Ranks w Proj'!$B:$N,13,FALSE)&lt;0,0,VLOOKUP(TableQBRanks30403438[[#This Row],[Player]],'Ranks w Proj'!$B:$N,13,FALSE))</f>
        <v>23.845131325520654</v>
      </c>
      <c r="P19" s="58">
        <v>18</v>
      </c>
      <c r="Q19" s="58" t="str">
        <f>VLOOKUP(TableRBRanks31413539[[#This Row],[RK]],Rankings!A:AY,38,FALSE)</f>
        <v>David Montgomery</v>
      </c>
      <c r="R19" s="58" t="str">
        <f>IFERROR(INDEX(TableRBCalcPts[TM],MATCH(TableRBRanks31413539[[#This Row],[Player]],TableRBCalcPts[PLAYER],0)),"")</f>
        <v>HOU</v>
      </c>
      <c r="S19" s="58">
        <f>IFERROR(INDEX(TableRBCalcPts[BYE],MATCH(TableRBRanks31413539[[#This Row],[Player]],TableRBCalcPts[PLAYER],0)),"")</f>
        <v>8</v>
      </c>
      <c r="T19" s="100">
        <f>VLOOKUP(TableRBRanks31413539[[#This Row],[Player]],RB!B:O,4,FALSE)</f>
        <v>247.18441510000002</v>
      </c>
      <c r="U19" s="100">
        <f>VLOOKUP(TableRBRanks31413539[[#This Row],[Player]],RB!B:O,5,FALSE)</f>
        <v>1060.4211407790001</v>
      </c>
      <c r="V19" s="100">
        <f>VLOOKUP(TableRBRanks31413539[[#This Row],[Player]],RB!B:O,6,FALSE)</f>
        <v>8.6514545285000022</v>
      </c>
      <c r="W19" s="100">
        <f>VLOOKUP(TableRBRanks31413539[[#This Row],[Player]],RB!B:O,7,FALSE)</f>
        <v>34.946013059999999</v>
      </c>
      <c r="X19" s="100">
        <f>VLOOKUP(TableRBRanks31413539[[#This Row],[Player]],RB!B:O,8,FALSE)</f>
        <v>27.397674239040001</v>
      </c>
      <c r="Y19" s="100">
        <f>VLOOKUP(TableRBRanks31413539[[#This Row],[Player]],RB!B:O,9,FALSE)</f>
        <v>192.6056499004512</v>
      </c>
      <c r="Z19" s="100">
        <f>VLOOKUP(TableRBRanks31413539[[#This Row],[Player]],RB!B:O,10,FALSE)</f>
        <v>0.74105833665154963</v>
      </c>
      <c r="AA19" s="95">
        <f>VLOOKUP(TableRBRanks31413539[[#This Row],[Player]],RB!B:O,14,FALSE)</f>
        <v>195.35659337837441</v>
      </c>
      <c r="AB19" s="190">
        <f>TableRBRanks31413539[[#This Row],[FPS]]-(TableRBRanks31413539[[#This Row],[REC]]*0.5)</f>
        <v>181.65775625885442</v>
      </c>
      <c r="AD19" s="58">
        <v>18</v>
      </c>
      <c r="AE19" s="58" t="str">
        <f>VLOOKUP(TableWRRanks32423644[[#This Row],[RK]],Rankings!A:AZ,43,FALSE)</f>
        <v>Mike Evans</v>
      </c>
      <c r="AF19" s="58" t="str">
        <f>IFERROR(INDEX(TableWRCalcPts[TM],MATCH(TableWRRanks32423644[[#This Row],[Player]],TableWRCalcPts[PLAYER],0)),"")</f>
        <v>SF</v>
      </c>
      <c r="AG19" s="58">
        <f>IFERROR(INDEX(TableWRCalcPts[BYE],MATCH(TableWRRanks32423644[[#This Row],[Player]],TableWRCalcPts[PLAYER],0)),"")</f>
        <v>8</v>
      </c>
      <c r="AH19" s="100">
        <f>VLOOKUP(TableWRRanks32423644[[#This Row],[Player]],WR!B:O,4,FALSE)</f>
        <v>0</v>
      </c>
      <c r="AI19" s="100">
        <f>VLOOKUP(TableWRRanks32423644[[#This Row],[Player]],WR!B:O,5,FALSE)</f>
        <v>0</v>
      </c>
      <c r="AJ19" s="100">
        <f>VLOOKUP(TableWRRanks32423644[[#This Row],[Player]],WR!B:O,6,FALSE)</f>
        <v>124.54598912000002</v>
      </c>
      <c r="AK19" s="100">
        <f>VLOOKUP(TableWRRanks32423644[[#This Row],[Player]],WR!B:O,7,FALSE)</f>
        <v>73.606679569920004</v>
      </c>
      <c r="AL19" s="100">
        <f>VLOOKUP(TableWRRanks32423644[[#This Row],[Player]],WR!B:O,8,FALSE)</f>
        <v>1052.5755178498562</v>
      </c>
      <c r="AM19" s="100">
        <f>VLOOKUP(TableWRRanks32423644[[#This Row],[Player]],WR!B:O,9,FALSE)</f>
        <v>8.3911614709708804</v>
      </c>
      <c r="AN19" s="95">
        <f>VLOOKUP(TableWRRanks32423644[[#This Row],[Player]],WR!B:O,13,FALSE)</f>
        <v>192.40786039577091</v>
      </c>
      <c r="AO19" s="190">
        <f>TableWRRanks32423644[[#This Row],[FPS]]-(TableWRRanks32423644[[#This Row],[REC]]*0.5)</f>
        <v>155.60452061081091</v>
      </c>
      <c r="AQ19" s="58">
        <v>18</v>
      </c>
      <c r="AR19" s="58" t="str">
        <f>VLOOKUP(TableTERanks33433745[[#This Row],[RK]],Rankings!A:AZ,48,FALSE)</f>
        <v>Chig Okonkwo</v>
      </c>
      <c r="AS19" s="58" t="str">
        <f>IFERROR(INDEX(TableTECalcPts[TM],MATCH(TableTERanks33433745[[#This Row],[Player]],TableTECalcPts[PLAYER],0)),"")</f>
        <v>WSH</v>
      </c>
      <c r="AT19" s="58">
        <f>IFERROR(INDEX(TableTECalcPts[BYE],MATCH(TableTERanks33433745[[#This Row],[Player]],TableTECalcPts[PLAYER],0)),"")</f>
        <v>7</v>
      </c>
      <c r="AU19" s="100">
        <f>VLOOKUP(TableTERanks33433745[[#This Row],[Player]],TE!B:O,4,FALSE)</f>
        <v>87.118912999999978</v>
      </c>
      <c r="AV19" s="100">
        <f>VLOOKUP(TableTERanks33433745[[#This Row],[Player]],TE!B:O,5,FALSE)</f>
        <v>62.290022794999985</v>
      </c>
      <c r="AW19" s="100">
        <f>VLOOKUP(TableTERanks33433745[[#This Row],[Player]],TE!B:O,6,FALSE)</f>
        <v>650.30783797979984</v>
      </c>
      <c r="AX19" s="100">
        <f>VLOOKUP(TableTERanks33433745[[#This Row],[Player]],TE!B:O,7,FALSE)</f>
        <v>4.2980115728549997</v>
      </c>
      <c r="AY19" s="95">
        <f>VLOOKUP(TableTERanks33433745[[#This Row],[Player]],TE!B:O,11,FALSE)</f>
        <v>121.96386463260998</v>
      </c>
      <c r="AZ19" s="190">
        <f>TableTERanks33433745[[#This Row],[FPS]]-(TableTERanks33433745[[#This Row],[REC]]*0.5)</f>
        <v>90.818853235109998</v>
      </c>
    </row>
    <row r="20" spans="1:52" x14ac:dyDescent="0.25">
      <c r="A20" s="58">
        <v>19</v>
      </c>
      <c r="B20" s="58" t="str">
        <f>VLOOKUP(TableQBRanks30403438[[#This Row],[RK]],Rankings!A:T,3,FALSE)</f>
        <v>Baker Mayfield</v>
      </c>
      <c r="C20" s="58" t="str">
        <f>IFERROR(INDEX(TableQBCalcPts[TM],MATCH(TableQBRanks30403438[[#This Row],[Player]],TableQBCalcPts[PLAYER],0)),"")</f>
        <v>TB</v>
      </c>
      <c r="D20" s="58">
        <f>IFERROR(INDEX(TableQBCalcPts[BYE],MATCH(TableQBRanks30403438[[#This Row],[Player]],TableQBCalcPts[PLAYER],0)),"")</f>
        <v>10</v>
      </c>
      <c r="E20" s="100">
        <f>VLOOKUP(TableQBRanks30403438[[#This Row],[Player]],QB!B:O,4,FALSE)</f>
        <v>551.82917999999995</v>
      </c>
      <c r="F20" s="100">
        <f>VLOOKUP(TableQBRanks30403438[[#This Row],[Player]],QB!B:O,5,FALSE)</f>
        <v>360.41861641973418</v>
      </c>
      <c r="G20" s="100">
        <f>VLOOKUP(TableQBRanks30403438[[#This Row],[Player]],QB!B:O,6,FALSE)</f>
        <v>3995.2922074491207</v>
      </c>
      <c r="H20" s="100">
        <f>VLOOKUP(TableQBRanks30403438[[#This Row],[Player]],QB!B:O,7,FALSE)</f>
        <v>26.954512554729995</v>
      </c>
      <c r="I20" s="100">
        <f>VLOOKUP(TableQBRanks30403438[[#This Row],[Player]],QB!B:O,8,FALSE)</f>
        <v>12.917319135767858</v>
      </c>
      <c r="J20" s="100">
        <f>VLOOKUP(TableQBRanks30403438[[#This Row],[Player]],QB!B:O,9,FALSE)</f>
        <v>53.873975119999997</v>
      </c>
      <c r="K20" s="100">
        <f>VLOOKUP(TableQBRanks30403438[[#This Row],[Player]],QB!B:O,10,FALSE)</f>
        <v>328.63124823199996</v>
      </c>
      <c r="L20" s="100">
        <f>VLOOKUP(TableQBRanks30403438[[#This Row],[Player]],QB!B:O,11,FALSE)</f>
        <v>1.1614593432239577</v>
      </c>
      <c r="M20" s="95">
        <f>VLOOKUP(TableQBRanks30403438[[#This Row],[Player]],QB!B:O,13,FALSE)</f>
        <v>384.49518701509407</v>
      </c>
      <c r="N20" s="140">
        <f>IF(VLOOKUP(TableQBRanks30403438[[#This Row],[Player]],'Ranks w Proj'!$B:$N,13,FALSE)&lt;0,0,VLOOKUP(TableQBRanks30403438[[#This Row],[Player]],'Ranks w Proj'!$B:$N,13,FALSE))</f>
        <v>16.510453800403699</v>
      </c>
      <c r="P20" s="58">
        <v>19</v>
      </c>
      <c r="Q20" s="58" t="str">
        <f>VLOOKUP(TableRBRanks31413539[[#This Row],[RK]],Rankings!A:AY,38,FALSE)</f>
        <v>Cam Skattebo</v>
      </c>
      <c r="R20" s="58" t="str">
        <f>IFERROR(INDEX(TableRBCalcPts[TM],MATCH(TableRBRanks31413539[[#This Row],[Player]],TableRBCalcPts[PLAYER],0)),"")</f>
        <v>NYG</v>
      </c>
      <c r="S20" s="58">
        <f>IFERROR(INDEX(TableRBCalcPts[BYE],MATCH(TableRBRanks31413539[[#This Row],[Player]],TableRBCalcPts[PLAYER],0)),"")</f>
        <v>8</v>
      </c>
      <c r="T20" s="100">
        <f>VLOOKUP(TableRBRanks31413539[[#This Row],[Player]],RB!B:O,4,FALSE)</f>
        <v>255.00805596000001</v>
      </c>
      <c r="U20" s="100">
        <f>VLOOKUP(TableRBRanks31413539[[#This Row],[Player]],RB!B:O,5,FALSE)</f>
        <v>1083.7842378299999</v>
      </c>
      <c r="V20" s="100">
        <f>VLOOKUP(TableRBRanks31413539[[#This Row],[Player]],RB!B:O,6,FALSE)</f>
        <v>8.4152658466800005</v>
      </c>
      <c r="W20" s="100">
        <f>VLOOKUP(TableRBRanks31413539[[#This Row],[Player]],RB!B:O,7,FALSE)</f>
        <v>54.880489020000006</v>
      </c>
      <c r="X20" s="100">
        <f>VLOOKUP(TableRBRanks31413539[[#This Row],[Player]],RB!B:O,8,FALSE)</f>
        <v>40.392039918720002</v>
      </c>
      <c r="Y20" s="100">
        <f>VLOOKUP(TableRBRanks31413539[[#This Row],[Player]],RB!B:O,9,FALSE)</f>
        <v>308.19126457983361</v>
      </c>
      <c r="Z20" s="100">
        <f>VLOOKUP(TableRBRanks31413539[[#This Row],[Player]],RB!B:O,10,FALSE)</f>
        <v>2.3158899697985933</v>
      </c>
      <c r="AA20" s="95">
        <f>VLOOKUP(TableRBRanks31413539[[#This Row],[Player]],RB!B:O,14,FALSE)</f>
        <v>223.78050509921496</v>
      </c>
      <c r="AB20" s="190">
        <f>TableRBRanks31413539[[#This Row],[FPS]]-(TableRBRanks31413539[[#This Row],[REC]]*0.5)</f>
        <v>203.58448513985496</v>
      </c>
      <c r="AD20" s="58">
        <v>19</v>
      </c>
      <c r="AE20" s="58" t="str">
        <f>VLOOKUP(TableWRRanks32423644[[#This Row],[RK]],Rankings!A:AZ,43,FALSE)</f>
        <v>Terry McLaurin</v>
      </c>
      <c r="AF20" s="58" t="str">
        <f>IFERROR(INDEX(TableWRCalcPts[TM],MATCH(TableWRRanks32423644[[#This Row],[Player]],TableWRCalcPts[PLAYER],0)),"")</f>
        <v>WSH</v>
      </c>
      <c r="AG20" s="58">
        <f>IFERROR(INDEX(TableWRCalcPts[BYE],MATCH(TableWRRanks32423644[[#This Row],[Player]],TableWRCalcPts[PLAYER],0)),"")</f>
        <v>7</v>
      </c>
      <c r="AH20" s="100">
        <f>VLOOKUP(TableWRRanks32423644[[#This Row],[Player]],WR!B:O,4,FALSE)</f>
        <v>0</v>
      </c>
      <c r="AI20" s="100">
        <f>VLOOKUP(TableWRRanks32423644[[#This Row],[Player]],WR!B:O,5,FALSE)</f>
        <v>0</v>
      </c>
      <c r="AJ20" s="100">
        <f>VLOOKUP(TableWRRanks32423644[[#This Row],[Player]],WR!B:O,6,FALSE)</f>
        <v>125.45123471999997</v>
      </c>
      <c r="AK20" s="100">
        <f>VLOOKUP(TableWRRanks32423644[[#This Row],[Player]],WR!B:O,7,FALSE)</f>
        <v>82.67236368047999</v>
      </c>
      <c r="AL20" s="100">
        <f>VLOOKUP(TableWRRanks32423644[[#This Row],[Player]],WR!B:O,8,FALSE)</f>
        <v>1124.3441460545278</v>
      </c>
      <c r="AM20" s="100">
        <f>VLOOKUP(TableWRRanks32423644[[#This Row],[Player]],WR!B:O,9,FALSE)</f>
        <v>7.7712021859651195</v>
      </c>
      <c r="AN20" s="95">
        <f>VLOOKUP(TableWRRanks32423644[[#This Row],[Player]],WR!B:O,13,FALSE)</f>
        <v>200.39780956148348</v>
      </c>
      <c r="AO20" s="190">
        <f>TableWRRanks32423644[[#This Row],[FPS]]-(TableWRRanks32423644[[#This Row],[REC]]*0.5)</f>
        <v>159.0616277212435</v>
      </c>
      <c r="AQ20" s="58">
        <v>19</v>
      </c>
      <c r="AR20" s="58" t="str">
        <f>VLOOKUP(TableTERanks33433745[[#This Row],[RK]],Rankings!A:AZ,48,FALSE)</f>
        <v>Greg Dulcich</v>
      </c>
      <c r="AS20" s="58" t="str">
        <f>IFERROR(INDEX(TableTECalcPts[TM],MATCH(TableTERanks33433745[[#This Row],[Player]],TableTECalcPts[PLAYER],0)),"")</f>
        <v>MIA</v>
      </c>
      <c r="AT20" s="58">
        <f>IFERROR(INDEX(TableTECalcPts[BYE],MATCH(TableTERanks33433745[[#This Row],[Player]],TableTECalcPts[PLAYER],0)),"")</f>
        <v>6</v>
      </c>
      <c r="AU20" s="100">
        <f>VLOOKUP(TableTERanks33433745[[#This Row],[Player]],TE!B:O,4,FALSE)</f>
        <v>79.776423719999997</v>
      </c>
      <c r="AV20" s="100">
        <f>VLOOKUP(TableTERanks33433745[[#This Row],[Player]],TE!B:O,5,FALSE)</f>
        <v>54.487297400759999</v>
      </c>
      <c r="AW20" s="100">
        <f>VLOOKUP(TableTERanks33433745[[#This Row],[Player]],TE!B:O,6,FALSE)</f>
        <v>624.96930118671719</v>
      </c>
      <c r="AX20" s="100">
        <f>VLOOKUP(TableTERanks33433745[[#This Row],[Player]],TE!B:O,7,FALSE)</f>
        <v>3.4871870336486399</v>
      </c>
      <c r="AY20" s="95">
        <f>VLOOKUP(TableTERanks33433745[[#This Row],[Player]],TE!B:O,11,FALSE)</f>
        <v>110.66370102094356</v>
      </c>
      <c r="AZ20" s="190">
        <f>TableTERanks33433745[[#This Row],[FPS]]-(TableTERanks33433745[[#This Row],[REC]]*0.5)</f>
        <v>83.42005232056357</v>
      </c>
    </row>
    <row r="21" spans="1:52" x14ac:dyDescent="0.25">
      <c r="A21" s="58">
        <v>20</v>
      </c>
      <c r="B21" s="58" t="str">
        <f>VLOOKUP(TableQBRanks30403438[[#This Row],[RK]],Rankings!A:T,3,FALSE)</f>
        <v>Tyler Shough</v>
      </c>
      <c r="C21" s="58" t="str">
        <f>IFERROR(INDEX(TableQBCalcPts[TM],MATCH(TableQBRanks30403438[[#This Row],[Player]],TableQBCalcPts[PLAYER],0)),"")</f>
        <v>NO</v>
      </c>
      <c r="D21" s="58">
        <f>IFERROR(INDEX(TableQBCalcPts[BYE],MATCH(TableQBRanks30403438[[#This Row],[Player]],TableQBCalcPts[PLAYER],0)),"")</f>
        <v>8</v>
      </c>
      <c r="E21" s="100">
        <f>VLOOKUP(TableQBRanks30403438[[#This Row],[Player]],QB!B:O,4,FALSE)</f>
        <v>502.59967999999998</v>
      </c>
      <c r="F21" s="100">
        <f>VLOOKUP(TableQBRanks30403438[[#This Row],[Player]],QB!B:O,5,FALSE)</f>
        <v>333.12133515137799</v>
      </c>
      <c r="G21" s="100">
        <f>VLOOKUP(TableQBRanks30403438[[#This Row],[Player]],QB!B:O,6,FALSE)</f>
        <v>3631.02255315002</v>
      </c>
      <c r="H21" s="100">
        <f>VLOOKUP(TableQBRanks30403438[[#This Row],[Player]],QB!B:O,7,FALSE)</f>
        <v>21.986008119990949</v>
      </c>
      <c r="I21" s="100">
        <f>VLOOKUP(TableQBRanks30403438[[#This Row],[Player]],QB!B:O,8,FALSE)</f>
        <v>9.9773578308792974</v>
      </c>
      <c r="J21" s="100">
        <f>VLOOKUP(TableQBRanks30403438[[#This Row],[Player]],QB!B:O,9,FALSE)</f>
        <v>75.848048639999988</v>
      </c>
      <c r="K21" s="100">
        <f>VLOOKUP(TableQBRanks30403438[[#This Row],[Player]],QB!B:O,10,FALSE)</f>
        <v>312.49396039679993</v>
      </c>
      <c r="L21" s="100">
        <f>VLOOKUP(TableQBRanks30403438[[#This Row],[Player]],QB!B:O,11,FALSE)</f>
        <v>4.019946577919999</v>
      </c>
      <c r="M21" s="95">
        <f>VLOOKUP(TableQBRanks30403438[[#This Row],[Player]],QB!B:O,13,FALSE)</f>
        <v>355.86080203740499</v>
      </c>
      <c r="N21" s="140">
        <f>IF(VLOOKUP(TableQBRanks30403438[[#This Row],[Player]],'Ranks w Proj'!$B:$N,13,FALSE)&lt;0,0,VLOOKUP(TableQBRanks30403438[[#This Row],[Player]],'Ranks w Proj'!$B:$N,13,FALSE))</f>
        <v>9.2015544088506829</v>
      </c>
      <c r="P21" s="58">
        <v>20</v>
      </c>
      <c r="Q21" s="58" t="str">
        <f>VLOOKUP(TableRBRanks31413539[[#This Row],[RK]],Rankings!A:AY,38,FALSE)</f>
        <v>D'Andre Swift</v>
      </c>
      <c r="R21" s="58" t="str">
        <f>IFERROR(INDEX(TableRBCalcPts[TM],MATCH(TableRBRanks31413539[[#This Row],[Player]],TableRBCalcPts[PLAYER],0)),"")</f>
        <v>CHI</v>
      </c>
      <c r="S21" s="58">
        <f>IFERROR(INDEX(TableRBCalcPts[BYE],MATCH(TableRBRanks31413539[[#This Row],[Player]],TableRBCalcPts[PLAYER],0)),"")</f>
        <v>10</v>
      </c>
      <c r="T21" s="100">
        <f>VLOOKUP(TableRBRanks31413539[[#This Row],[Player]],RB!B:O,4,FALSE)</f>
        <v>191.94722567999997</v>
      </c>
      <c r="U21" s="100">
        <f>VLOOKUP(TableRBRanks31413539[[#This Row],[Player]],RB!B:O,5,FALSE)</f>
        <v>859.84295708886395</v>
      </c>
      <c r="V21" s="100">
        <f>VLOOKUP(TableRBRanks31413539[[#This Row],[Player]],RB!B:O,6,FALSE)</f>
        <v>7.1020473501599986</v>
      </c>
      <c r="W21" s="100">
        <f>VLOOKUP(TableRBRanks31413539[[#This Row],[Player]],RB!B:O,7,FALSE)</f>
        <v>46.242679840000008</v>
      </c>
      <c r="X21" s="100">
        <f>VLOOKUP(TableRBRanks31413539[[#This Row],[Player]],RB!B:O,8,FALSE)</f>
        <v>33.895884322720008</v>
      </c>
      <c r="Y21" s="100">
        <f>VLOOKUP(TableRBRanks31413539[[#This Row],[Player]],RB!B:O,9,FALSE)</f>
        <v>281.56231987692786</v>
      </c>
      <c r="Z21" s="100">
        <f>VLOOKUP(TableRBRanks31413539[[#This Row],[Player]],RB!B:O,10,FALSE)</f>
        <v>1.0507724140043202</v>
      </c>
      <c r="AA21" s="95">
        <f>VLOOKUP(TableRBRanks31413539[[#This Row],[Player]],RB!B:O,14,FALSE)</f>
        <v>180.0053884429251</v>
      </c>
      <c r="AB21" s="190">
        <f>TableRBRanks31413539[[#This Row],[FPS]]-(TableRBRanks31413539[[#This Row],[REC]]*0.5)</f>
        <v>163.05744628156509</v>
      </c>
      <c r="AD21" s="58">
        <v>20</v>
      </c>
      <c r="AE21" s="58" t="str">
        <f>VLOOKUP(TableWRRanks32423644[[#This Row],[RK]],Rankings!A:AZ,43,FALSE)</f>
        <v>Ladd McConkey</v>
      </c>
      <c r="AF21" s="58" t="str">
        <f>IFERROR(INDEX(TableWRCalcPts[TM],MATCH(TableWRRanks32423644[[#This Row],[Player]],TableWRCalcPts[PLAYER],0)),"")</f>
        <v>LAC</v>
      </c>
      <c r="AG21" s="58">
        <f>IFERROR(INDEX(TableWRCalcPts[BYE],MATCH(TableWRRanks32423644[[#This Row],[Player]],TableWRCalcPts[PLAYER],0)),"")</f>
        <v>7</v>
      </c>
      <c r="AH21" s="100">
        <f>VLOOKUP(TableWRRanks32423644[[#This Row],[Player]],WR!B:O,4,FALSE)</f>
        <v>0</v>
      </c>
      <c r="AI21" s="100">
        <f>VLOOKUP(TableWRRanks32423644[[#This Row],[Player]],WR!B:O,5,FALSE)</f>
        <v>0</v>
      </c>
      <c r="AJ21" s="100">
        <f>VLOOKUP(TableWRRanks32423644[[#This Row],[Player]],WR!B:O,6,FALSE)</f>
        <v>128.13756955999997</v>
      </c>
      <c r="AK21" s="100">
        <f>VLOOKUP(TableWRRanks32423644[[#This Row],[Player]],WR!B:O,7,FALSE)</f>
        <v>85.17099006658664</v>
      </c>
      <c r="AL21" s="100">
        <f>VLOOKUP(TableWRRanks32423644[[#This Row],[Player]],WR!B:O,8,FALSE)</f>
        <v>1129.3673282829388</v>
      </c>
      <c r="AM21" s="100">
        <f>VLOOKUP(TableWRRanks32423644[[#This Row],[Player]],WR!B:O,9,FALSE)</f>
        <v>6.8136792053269311</v>
      </c>
      <c r="AN21" s="95">
        <f>VLOOKUP(TableWRRanks32423644[[#This Row],[Player]],WR!B:O,13,FALSE)</f>
        <v>196.40430309354878</v>
      </c>
      <c r="AO21" s="190">
        <f>TableWRRanks32423644[[#This Row],[FPS]]-(TableWRRanks32423644[[#This Row],[REC]]*0.5)</f>
        <v>153.81880806025546</v>
      </c>
      <c r="AQ21" s="58">
        <v>20</v>
      </c>
      <c r="AR21" s="58" t="str">
        <f>VLOOKUP(TableTERanks33433745[[#This Row],[RK]],Rankings!A:AZ,48,FALSE)</f>
        <v>Brenton Strange</v>
      </c>
      <c r="AS21" s="58" t="str">
        <f>IFERROR(INDEX(TableTECalcPts[TM],MATCH(TableTERanks33433745[[#This Row],[Player]],TableTECalcPts[PLAYER],0)),"")</f>
        <v>JAX</v>
      </c>
      <c r="AT21" s="58">
        <f>IFERROR(INDEX(TableTECalcPts[BYE],MATCH(TableTERanks33433745[[#This Row],[Player]],TableTECalcPts[PLAYER],0)),"")</f>
        <v>7</v>
      </c>
      <c r="AU21" s="100">
        <f>VLOOKUP(TableTERanks33433745[[#This Row],[Player]],TE!B:O,4,FALSE)</f>
        <v>74.996195400000005</v>
      </c>
      <c r="AV21" s="100">
        <f>VLOOKUP(TableTERanks33433745[[#This Row],[Player]],TE!B:O,5,FALSE)</f>
        <v>49.572485159400003</v>
      </c>
      <c r="AW21" s="100">
        <f>VLOOKUP(TableTERanks33433745[[#This Row],[Player]],TE!B:O,6,FALSE)</f>
        <v>532.90421546355003</v>
      </c>
      <c r="AX21" s="100">
        <f>VLOOKUP(TableTERanks33433745[[#This Row],[Player]],TE!B:O,7,FALSE)</f>
        <v>3.5196464463173998</v>
      </c>
      <c r="AY21" s="95">
        <f>VLOOKUP(TableTERanks33433745[[#This Row],[Player]],TE!B:O,11,FALSE)</f>
        <v>99.194542803959408</v>
      </c>
      <c r="AZ21" s="190">
        <f>TableTERanks33433745[[#This Row],[FPS]]-(TableTERanks33433745[[#This Row],[REC]]*0.5)</f>
        <v>74.408300224259406</v>
      </c>
    </row>
    <row r="22" spans="1:52" x14ac:dyDescent="0.25">
      <c r="A22" s="58">
        <v>21</v>
      </c>
      <c r="B22" s="58" t="str">
        <f>VLOOKUP(TableQBRanks30403438[[#This Row],[RK]],Rankings!A:T,3,FALSE)</f>
        <v>Jordan Love</v>
      </c>
      <c r="C22" s="58" t="str">
        <f>IFERROR(INDEX(TableQBCalcPts[TM],MATCH(TableQBRanks30403438[[#This Row],[Player]],TableQBCalcPts[PLAYER],0)),"")</f>
        <v>GB</v>
      </c>
      <c r="D22" s="58">
        <f>IFERROR(INDEX(TableQBCalcPts[BYE],MATCH(TableQBRanks30403438[[#This Row],[Player]],TableQBCalcPts[PLAYER],0)),"")</f>
        <v>11</v>
      </c>
      <c r="E22" s="100">
        <f>VLOOKUP(TableQBRanks30403438[[#This Row],[Player]],QB!B:O,4,FALSE)</f>
        <v>524.46636000000001</v>
      </c>
      <c r="F22" s="100">
        <f>VLOOKUP(TableQBRanks30403438[[#This Row],[Player]],QB!B:O,5,FALSE)</f>
        <v>340.93206060728272</v>
      </c>
      <c r="G22" s="100">
        <f>VLOOKUP(TableQBRanks30403438[[#This Row],[Player]],QB!B:O,6,FALSE)</f>
        <v>4036.6355975902275</v>
      </c>
      <c r="H22" s="100">
        <f>VLOOKUP(TableQBRanks30403438[[#This Row],[Player]],QB!B:O,7,FALSE)</f>
        <v>27.274564848582617</v>
      </c>
      <c r="I22" s="100">
        <f>VLOOKUP(TableQBRanks30403438[[#This Row],[Player]],QB!B:O,8,FALSE)</f>
        <v>10.353645370885355</v>
      </c>
      <c r="J22" s="100">
        <f>VLOOKUP(TableQBRanks30403438[[#This Row],[Player]],QB!B:O,9,FALSE)</f>
        <v>44.803071600000003</v>
      </c>
      <c r="K22" s="100">
        <f>VLOOKUP(TableQBRanks30403438[[#This Row],[Player]],QB!B:O,10,FALSE)</f>
        <v>192.6377548323905</v>
      </c>
      <c r="L22" s="100">
        <f>VLOOKUP(TableQBRanks30403438[[#This Row],[Player]],QB!B:O,11,FALSE)</f>
        <v>1.1200767900000002</v>
      </c>
      <c r="M22" s="95">
        <f>VLOOKUP(TableQBRanks30403438[[#This Row],[Player]],QB!B:O,13,FALSE)</f>
        <v>374.83660990818674</v>
      </c>
      <c r="N22" s="140">
        <f>IF(VLOOKUP(TableQBRanks30403438[[#This Row],[Player]],'Ranks w Proj'!$B:$N,13,FALSE)&lt;0,0,VLOOKUP(TableQBRanks30403438[[#This Row],[Player]],'Ranks w Proj'!$B:$N,13,FALSE))</f>
        <v>13.960710789882222</v>
      </c>
      <c r="P22" s="58">
        <v>21</v>
      </c>
      <c r="Q22" s="58" t="str">
        <f>VLOOKUP(TableRBRanks31413539[[#This Row],[RK]],Rankings!A:AY,38,FALSE)</f>
        <v>Bhayshul Tuten</v>
      </c>
      <c r="R22" s="58" t="str">
        <f>IFERROR(INDEX(TableRBCalcPts[TM],MATCH(TableRBRanks31413539[[#This Row],[Player]],TableRBCalcPts[PLAYER],0)),"")</f>
        <v>JAX</v>
      </c>
      <c r="S22" s="58">
        <f>IFERROR(INDEX(TableRBCalcPts[BYE],MATCH(TableRBRanks31413539[[#This Row],[Player]],TableRBCalcPts[PLAYER],0)),"")</f>
        <v>7</v>
      </c>
      <c r="T22" s="100">
        <f>VLOOKUP(TableRBRanks31413539[[#This Row],[Player]],RB!B:O,4,FALSE)</f>
        <v>213.60352439999997</v>
      </c>
      <c r="U22" s="100">
        <f>VLOOKUP(TableRBRanks31413539[[#This Row],[Player]],RB!B:O,5,FALSE)</f>
        <v>918.49515491999978</v>
      </c>
      <c r="V22" s="100">
        <f>VLOOKUP(TableRBRanks31413539[[#This Row],[Player]],RB!B:O,6,FALSE)</f>
        <v>7.6897268783999984</v>
      </c>
      <c r="W22" s="100">
        <f>VLOOKUP(TableRBRanks31413539[[#This Row],[Player]],RB!B:O,7,FALSE)</f>
        <v>52.609271399999997</v>
      </c>
      <c r="X22" s="100">
        <f>VLOOKUP(TableRBRanks31413539[[#This Row],[Player]],RB!B:O,8,FALSE)</f>
        <v>37.510410508199996</v>
      </c>
      <c r="Y22" s="100">
        <f>VLOOKUP(TableRBRanks31413539[[#This Row],[Player]],RB!B:O,9,FALSE)</f>
        <v>293.33141017412396</v>
      </c>
      <c r="Z22" s="100">
        <f>VLOOKUP(TableRBRanks31413539[[#This Row],[Player]],RB!B:O,10,FALSE)</f>
        <v>2.1756038094756001</v>
      </c>
      <c r="AA22" s="95">
        <f>VLOOKUP(TableRBRanks31413539[[#This Row],[Player]],RB!B:O,14,FALSE)</f>
        <v>199.12984589076595</v>
      </c>
      <c r="AB22" s="190">
        <f>TableRBRanks31413539[[#This Row],[FPS]]-(TableRBRanks31413539[[#This Row],[REC]]*0.5)</f>
        <v>180.37464063666596</v>
      </c>
      <c r="AD22" s="58">
        <v>21</v>
      </c>
      <c r="AE22" s="58" t="str">
        <f>VLOOKUP(TableWRRanks32423644[[#This Row],[RK]],Rankings!A:AZ,43,FALSE)</f>
        <v>Garrett Wilson</v>
      </c>
      <c r="AF22" s="58" t="str">
        <f>IFERROR(INDEX(TableWRCalcPts[TM],MATCH(TableWRRanks32423644[[#This Row],[Player]],TableWRCalcPts[PLAYER],0)),"")</f>
        <v>NYJ</v>
      </c>
      <c r="AG22" s="58">
        <f>IFERROR(INDEX(TableWRCalcPts[BYE],MATCH(TableWRRanks32423644[[#This Row],[Player]],TableWRCalcPts[PLAYER],0)),"")</f>
        <v>13</v>
      </c>
      <c r="AH22" s="100">
        <f>VLOOKUP(TableWRRanks32423644[[#This Row],[Player]],WR!B:O,4,FALSE)</f>
        <v>0</v>
      </c>
      <c r="AI22" s="100">
        <f>VLOOKUP(TableWRRanks32423644[[#This Row],[Player]],WR!B:O,5,FALSE)</f>
        <v>0</v>
      </c>
      <c r="AJ22" s="100">
        <f>VLOOKUP(TableWRRanks32423644[[#This Row],[Player]],WR!B:O,6,FALSE)</f>
        <v>146.68129861471982</v>
      </c>
      <c r="AK22" s="100">
        <f>VLOOKUP(TableWRRanks32423644[[#This Row],[Player]],WR!B:O,7,FALSE)</f>
        <v>95.30946951512766</v>
      </c>
      <c r="AL22" s="100">
        <f>VLOOKUP(TableWRRanks32423644[[#This Row],[Player]],WR!B:O,8,FALSE)</f>
        <v>1088.9716395451674</v>
      </c>
      <c r="AM22" s="100">
        <f>VLOOKUP(TableWRRanks32423644[[#This Row],[Player]],WR!B:O,9,FALSE)</f>
        <v>5.4326397623622764</v>
      </c>
      <c r="AN22" s="95">
        <f>VLOOKUP(TableWRRanks32423644[[#This Row],[Player]],WR!B:O,13,FALSE)</f>
        <v>189.14773728625423</v>
      </c>
      <c r="AO22" s="190">
        <f>TableWRRanks32423644[[#This Row],[FPS]]-(TableWRRanks32423644[[#This Row],[REC]]*0.5)</f>
        <v>141.4930025286904</v>
      </c>
      <c r="AQ22" s="58">
        <v>21</v>
      </c>
      <c r="AR22" s="58" t="str">
        <f>VLOOKUP(TableTERanks33433745[[#This Row],[RK]],Rankings!A:AZ,48,FALSE)</f>
        <v>Dalton Schultz</v>
      </c>
      <c r="AS22" s="58" t="str">
        <f>IFERROR(INDEX(TableTECalcPts[TM],MATCH(TableTERanks33433745[[#This Row],[Player]],TableTECalcPts[PLAYER],0)),"")</f>
        <v>HOU</v>
      </c>
      <c r="AT22" s="58">
        <f>IFERROR(INDEX(TableTECalcPts[BYE],MATCH(TableTERanks33433745[[#This Row],[Player]],TableTECalcPts[PLAYER],0)),"")</f>
        <v>8</v>
      </c>
      <c r="AU22" s="100">
        <f>VLOOKUP(TableTERanks33433745[[#This Row],[Player]],TE!B:O,4,FALSE)</f>
        <v>92.234559059999995</v>
      </c>
      <c r="AV22" s="100">
        <f>VLOOKUP(TableTERanks33433745[[#This Row],[Player]],TE!B:O,5,FALSE)</f>
        <v>67.679544802282692</v>
      </c>
      <c r="AW22" s="100">
        <f>VLOOKUP(TableTERanks33433745[[#This Row],[Player]],TE!B:O,6,FALSE)</f>
        <v>642.78639146145952</v>
      </c>
      <c r="AX22" s="100">
        <f>VLOOKUP(TableTERanks33433745[[#This Row],[Player]],TE!B:O,7,FALSE)</f>
        <v>3.7223749641255481</v>
      </c>
      <c r="AY22" s="95">
        <f>VLOOKUP(TableTERanks33433745[[#This Row],[Player]],TE!B:O,11,FALSE)</f>
        <v>120.45266133204058</v>
      </c>
      <c r="AZ22" s="190">
        <f>TableTERanks33433745[[#This Row],[FPS]]-(TableTERanks33433745[[#This Row],[REC]]*0.5)</f>
        <v>86.612888930899231</v>
      </c>
    </row>
    <row r="23" spans="1:52" x14ac:dyDescent="0.25">
      <c r="A23" s="58">
        <v>22</v>
      </c>
      <c r="B23" s="58" t="str">
        <f>VLOOKUP(TableQBRanks30403438[[#This Row],[RK]],Rankings!A:T,3,FALSE)</f>
        <v>C.J. Stroud</v>
      </c>
      <c r="C23" s="58" t="str">
        <f>IFERROR(INDEX(TableQBCalcPts[TM],MATCH(TableQBRanks30403438[[#This Row],[Player]],TableQBCalcPts[PLAYER],0)),"")</f>
        <v>HOU</v>
      </c>
      <c r="D23" s="58">
        <f>IFERROR(INDEX(TableQBCalcPts[BYE],MATCH(TableQBRanks30403438[[#This Row],[Player]],TableQBCalcPts[PLAYER],0)),"")</f>
        <v>8</v>
      </c>
      <c r="E23" s="100">
        <f>VLOOKUP(TableQBRanks30403438[[#This Row],[Player]],QB!B:O,4,FALSE)</f>
        <v>578.73122999999998</v>
      </c>
      <c r="F23" s="100">
        <f>VLOOKUP(TableQBRanks30403438[[#This Row],[Player]],QB!B:O,5,FALSE)</f>
        <v>370.89967563996294</v>
      </c>
      <c r="G23" s="100">
        <f>VLOOKUP(TableQBRanks30403438[[#This Row],[Player]],QB!B:O,6,FALSE)</f>
        <v>4147.9956605545549</v>
      </c>
      <c r="H23" s="100">
        <f>VLOOKUP(TableQBRanks30403438[[#This Row],[Player]],QB!B:O,7,FALSE)</f>
        <v>24.479378592237556</v>
      </c>
      <c r="I23" s="100">
        <f>VLOOKUP(TableQBRanks30403438[[#This Row],[Player]],QB!B:O,8,FALSE)</f>
        <v>12.140101997351696</v>
      </c>
      <c r="J23" s="100">
        <f>VLOOKUP(TableQBRanks30403438[[#This Row],[Player]],QB!B:O,9,FALSE)</f>
        <v>53.374333880000009</v>
      </c>
      <c r="K23" s="100">
        <f>VLOOKUP(TableQBRanks30403438[[#This Row],[Player]],QB!B:O,10,FALSE)</f>
        <v>225.1106944470877</v>
      </c>
      <c r="L23" s="100">
        <f>VLOOKUP(TableQBRanks30403438[[#This Row],[Player]],QB!B:O,11,FALSE)</f>
        <v>1.0674866776000003</v>
      </c>
      <c r="M23" s="95">
        <f>VLOOKUP(TableQBRanks30403438[[#This Row],[Player]],QB!B:O,13,FALSE)</f>
        <v>366.66195305256093</v>
      </c>
      <c r="N23" s="140">
        <f>IF(VLOOKUP(TableQBRanks30403438[[#This Row],[Player]],'Ranks w Proj'!$B:$N,13,FALSE)&lt;0,0,VLOOKUP(TableQBRanks30403438[[#This Row],[Player]],'Ranks w Proj'!$B:$N,13,FALSE))</f>
        <v>11.912355839758938</v>
      </c>
      <c r="P23" s="58">
        <v>22</v>
      </c>
      <c r="Q23" s="58" t="str">
        <f>VLOOKUP(TableRBRanks31413539[[#This Row],[RK]],Rankings!A:AY,38,FALSE)</f>
        <v>Travis Etienne</v>
      </c>
      <c r="R23" s="58" t="str">
        <f>IFERROR(INDEX(TableRBCalcPts[TM],MATCH(TableRBRanks31413539[[#This Row],[Player]],TableRBCalcPts[PLAYER],0)),"")</f>
        <v>NO</v>
      </c>
      <c r="S23" s="58">
        <f>IFERROR(INDEX(TableRBCalcPts[BYE],MATCH(TableRBRanks31413539[[#This Row],[Player]],TableRBCalcPts[PLAYER],0)),"")</f>
        <v>8</v>
      </c>
      <c r="T23" s="100">
        <f>VLOOKUP(TableRBRanks31413539[[#This Row],[Player]],RB!B:O,4,FALSE)</f>
        <v>258.77569535999999</v>
      </c>
      <c r="U23" s="100">
        <f>VLOOKUP(TableRBRanks31413539[[#This Row],[Player]],RB!B:O,5,FALSE)</f>
        <v>1099.79670528</v>
      </c>
      <c r="V23" s="100">
        <f>VLOOKUP(TableRBRanks31413539[[#This Row],[Player]],RB!B:O,6,FALSE)</f>
        <v>7.1454475502010162</v>
      </c>
      <c r="W23" s="100">
        <f>VLOOKUP(TableRBRanks31413539[[#This Row],[Player]],RB!B:O,7,FALSE)</f>
        <v>44.176957439999995</v>
      </c>
      <c r="X23" s="100">
        <f>VLOOKUP(TableRBRanks31413539[[#This Row],[Player]],RB!B:O,8,FALSE)</f>
        <v>34.237142016</v>
      </c>
      <c r="Y23" s="100">
        <f>VLOOKUP(TableRBRanks31413539[[#This Row],[Player]],RB!B:O,9,FALSE)</f>
        <v>272.87002186751999</v>
      </c>
      <c r="Z23" s="100">
        <f>VLOOKUP(TableRBRanks31413539[[#This Row],[Player]],RB!B:O,10,FALSE)</f>
        <v>1.574908532736</v>
      </c>
      <c r="AA23" s="95">
        <f>VLOOKUP(TableRBRanks31413539[[#This Row],[Player]],RB!B:O,14,FALSE)</f>
        <v>206.70738022037409</v>
      </c>
      <c r="AB23" s="190">
        <f>TableRBRanks31413539[[#This Row],[FPS]]-(TableRBRanks31413539[[#This Row],[REC]]*0.5)</f>
        <v>189.58880921237409</v>
      </c>
      <c r="AD23" s="58">
        <v>22</v>
      </c>
      <c r="AE23" s="58" t="str">
        <f>VLOOKUP(TableWRRanks32423644[[#This Row],[RK]],Rankings!A:AZ,43,FALSE)</f>
        <v>Jaylen Waddle</v>
      </c>
      <c r="AF23" s="58" t="str">
        <f>IFERROR(INDEX(TableWRCalcPts[TM],MATCH(TableWRRanks32423644[[#This Row],[Player]],TableWRCalcPts[PLAYER],0)),"")</f>
        <v>DEN</v>
      </c>
      <c r="AG23" s="58">
        <f>IFERROR(INDEX(TableWRCalcPts[BYE],MATCH(TableWRRanks32423644[[#This Row],[Player]],TableWRCalcPts[PLAYER],0)),"")</f>
        <v>10</v>
      </c>
      <c r="AH23" s="100">
        <f>VLOOKUP(TableWRRanks32423644[[#This Row],[Player]],WR!B:O,4,FALSE)</f>
        <v>12.280629899999997</v>
      </c>
      <c r="AI23" s="100">
        <f>VLOOKUP(TableWRRanks32423644[[#This Row],[Player]],WR!B:O,5,FALSE)</f>
        <v>3.7214029999999995E-2</v>
      </c>
      <c r="AJ23" s="100">
        <f>VLOOKUP(TableWRRanks32423644[[#This Row],[Player]],WR!B:O,6,FALSE)</f>
        <v>133.53716376000003</v>
      </c>
      <c r="AK23" s="100">
        <f>VLOOKUP(TableWRRanks32423644[[#This Row],[Player]],WR!B:O,7,FALSE)</f>
        <v>89.036569720560024</v>
      </c>
      <c r="AL23" s="100">
        <f>VLOOKUP(TableWRRanks32423644[[#This Row],[Player]],WR!B:O,8,FALSE)</f>
        <v>1131.654801148318</v>
      </c>
      <c r="AM23" s="100">
        <f>VLOOKUP(TableWRRanks32423644[[#This Row],[Player]],WR!B:O,9,FALSE)</f>
        <v>6.9448524382036823</v>
      </c>
      <c r="AN23" s="95">
        <f>VLOOKUP(TableWRRanks32423644[[#This Row],[Player]],WR!B:O,13,FALSE)</f>
        <v>200.8042267743339</v>
      </c>
      <c r="AO23" s="190">
        <f>TableWRRanks32423644[[#This Row],[FPS]]-(TableWRRanks32423644[[#This Row],[REC]]*0.5)</f>
        <v>156.28594191405389</v>
      </c>
      <c r="AQ23" s="58">
        <v>22</v>
      </c>
      <c r="AR23" s="58" t="str">
        <f>VLOOKUP(TableTERanks33433745[[#This Row],[RK]],Rankings!A:AZ,48,FALSE)</f>
        <v>Pat Freiermuth</v>
      </c>
      <c r="AS23" s="58" t="str">
        <f>IFERROR(INDEX(TableTECalcPts[TM],MATCH(TableTERanks33433745[[#This Row],[Player]],TableTECalcPts[PLAYER],0)),"")</f>
        <v>PIT</v>
      </c>
      <c r="AT23" s="58">
        <f>IFERROR(INDEX(TableTECalcPts[BYE],MATCH(TableTERanks33433745[[#This Row],[Player]],TableTECalcPts[PLAYER],0)),"")</f>
        <v>9</v>
      </c>
      <c r="AU23" s="100">
        <f>VLOOKUP(TableTERanks33433745[[#This Row],[Player]],TE!B:O,4,FALSE)</f>
        <v>80.089128000000002</v>
      </c>
      <c r="AV23" s="100">
        <f>VLOOKUP(TableTERanks33433745[[#This Row],[Player]],TE!B:O,5,FALSE)</f>
        <v>55.00196004206623</v>
      </c>
      <c r="AW23" s="100">
        <f>VLOOKUP(TableTERanks33433745[[#This Row],[Player]],TE!B:O,6,FALSE)</f>
        <v>563.08809526283449</v>
      </c>
      <c r="AX23" s="100">
        <f>VLOOKUP(TableTERanks33433745[[#This Row],[Player]],TE!B:O,7,FALSE)</f>
        <v>4.2098947371655635</v>
      </c>
      <c r="AY23" s="95">
        <f>VLOOKUP(TableTERanks33433745[[#This Row],[Player]],TE!B:O,11,FALSE)</f>
        <v>109.06915797030996</v>
      </c>
      <c r="AZ23" s="190">
        <f>TableTERanks33433745[[#This Row],[FPS]]-(TableTERanks33433745[[#This Row],[REC]]*0.5)</f>
        <v>81.568177949276844</v>
      </c>
    </row>
    <row r="24" spans="1:52" x14ac:dyDescent="0.25">
      <c r="A24" s="58">
        <v>23</v>
      </c>
      <c r="B24" s="58" t="str">
        <f>VLOOKUP(TableQBRanks30403438[[#This Row],[RK]],Rankings!A:T,3,FALSE)</f>
        <v>Cam Ward</v>
      </c>
      <c r="C24" s="58" t="str">
        <f>IFERROR(INDEX(TableQBCalcPts[TM],MATCH(TableQBRanks30403438[[#This Row],[Player]],TableQBCalcPts[PLAYER],0)),"")</f>
        <v>TEN</v>
      </c>
      <c r="D24" s="58">
        <f>IFERROR(INDEX(TableQBCalcPts[BYE],MATCH(TableQBRanks30403438[[#This Row],[Player]],TableQBCalcPts[PLAYER],0)),"")</f>
        <v>9</v>
      </c>
      <c r="E24" s="100">
        <f>VLOOKUP(TableQBRanks30403438[[#This Row],[Player]],QB!B:O,4,FALSE)</f>
        <v>549.23904000000005</v>
      </c>
      <c r="F24" s="100">
        <f>VLOOKUP(TableQBRanks30403438[[#This Row],[Player]],QB!B:O,5,FALSE)</f>
        <v>348.21755136000002</v>
      </c>
      <c r="G24" s="100">
        <f>VLOOKUP(TableQBRanks30403438[[#This Row],[Player]],QB!B:O,6,FALSE)</f>
        <v>3774.6782567424002</v>
      </c>
      <c r="H24" s="100">
        <f>VLOOKUP(TableQBRanks30403438[[#This Row],[Player]],QB!B:O,7,FALSE)</f>
        <v>22.982358389760002</v>
      </c>
      <c r="I24" s="100">
        <f>VLOOKUP(TableQBRanks30403438[[#This Row],[Player]],QB!B:O,8,FALSE)</f>
        <v>9.1409335663914177</v>
      </c>
      <c r="J24" s="100">
        <f>VLOOKUP(TableQBRanks30403438[[#This Row],[Player]],QB!B:O,9,FALSE)</f>
        <v>50.439110399999997</v>
      </c>
      <c r="K24" s="100">
        <f>VLOOKUP(TableQBRanks30403438[[#This Row],[Player]],QB!B:O,10,FALSE)</f>
        <v>212.48358773351441</v>
      </c>
      <c r="L24" s="100">
        <f>VLOOKUP(TableQBRanks30403438[[#This Row],[Player]],QB!B:O,11,FALSE)</f>
        <v>2.6228337407999995</v>
      </c>
      <c r="M24" s="95">
        <f>VLOOKUP(TableQBRanks30403438[[#This Row],[Player]],QB!B:O,13,FALSE)</f>
        <v>351.54746339601598</v>
      </c>
      <c r="N24" s="140">
        <f>IF(VLOOKUP(TableQBRanks30403438[[#This Row],[Player]],'Ranks w Proj'!$B:$N,13,FALSE)&lt;0,0,VLOOKUP(TableQBRanks30403438[[#This Row],[Player]],'Ranks w Proj'!$B:$N,13,FALSE))</f>
        <v>8.3871371267846175</v>
      </c>
      <c r="P24" s="58">
        <v>23</v>
      </c>
      <c r="Q24" s="58" t="str">
        <f>VLOOKUP(TableRBRanks31413539[[#This Row],[RK]],Rankings!A:AY,38,FALSE)</f>
        <v>Jadarian Price</v>
      </c>
      <c r="R24" s="58" t="str">
        <f>IFERROR(INDEX(TableRBCalcPts[TM],MATCH(TableRBRanks31413539[[#This Row],[Player]],TableRBCalcPts[PLAYER],0)),"")</f>
        <v>SEA</v>
      </c>
      <c r="S24" s="58">
        <f>IFERROR(INDEX(TableRBCalcPts[BYE],MATCH(TableRBRanks31413539[[#This Row],[Player]],TableRBCalcPts[PLAYER],0)),"")</f>
        <v>11</v>
      </c>
      <c r="T24" s="100">
        <f>VLOOKUP(TableRBRanks31413539[[#This Row],[Player]],RB!B:O,4,FALSE)</f>
        <v>235.31065086231681</v>
      </c>
      <c r="U24" s="100">
        <f>VLOOKUP(TableRBRanks31413539[[#This Row],[Player]],RB!B:O,5,FALSE)</f>
        <v>990.65784013035375</v>
      </c>
      <c r="V24" s="100">
        <f>VLOOKUP(TableRBRanks31413539[[#This Row],[Player]],RB!B:O,6,FALSE)</f>
        <v>8.2358727801810883</v>
      </c>
      <c r="W24" s="100">
        <f>VLOOKUP(TableRBRanks31413539[[#This Row],[Player]],RB!B:O,7,FALSE)</f>
        <v>29.778918959999999</v>
      </c>
      <c r="X24" s="100">
        <f>VLOOKUP(TableRBRanks31413539[[#This Row],[Player]],RB!B:O,8,FALSE)</f>
        <v>21.708831921839998</v>
      </c>
      <c r="Y24" s="100">
        <f>VLOOKUP(TableRBRanks31413539[[#This Row],[Player]],RB!B:O,9,FALSE)</f>
        <v>173.88774369393838</v>
      </c>
      <c r="Z24" s="100">
        <f>VLOOKUP(TableRBRanks31413539[[#This Row],[Player]],RB!B:O,10,FALSE)</f>
        <v>0.93347977263911985</v>
      </c>
      <c r="AA24" s="95">
        <f>VLOOKUP(TableRBRanks31413539[[#This Row],[Player]],RB!B:O,14,FALSE)</f>
        <v>182.32508966027049</v>
      </c>
      <c r="AB24" s="190">
        <f>TableRBRanks31413539[[#This Row],[FPS]]-(TableRBRanks31413539[[#This Row],[REC]]*0.5)</f>
        <v>171.4706736993505</v>
      </c>
      <c r="AD24" s="58">
        <v>23</v>
      </c>
      <c r="AE24" s="58" t="str">
        <f>VLOOKUP(TableWRRanks32423644[[#This Row],[RK]],Rankings!A:AZ,43,FALSE)</f>
        <v>DJ Moore</v>
      </c>
      <c r="AF24" s="58" t="str">
        <f>IFERROR(INDEX(TableWRCalcPts[TM],MATCH(TableWRRanks32423644[[#This Row],[Player]],TableWRCalcPts[PLAYER],0)),"")</f>
        <v>BUF</v>
      </c>
      <c r="AG24" s="58">
        <f>IFERROR(INDEX(TableWRCalcPts[BYE],MATCH(TableWRRanks32423644[[#This Row],[Player]],TableWRCalcPts[PLAYER],0)),"")</f>
        <v>7</v>
      </c>
      <c r="AH24" s="100">
        <f>VLOOKUP(TableWRRanks32423644[[#This Row],[Player]],WR!B:O,4,FALSE)</f>
        <v>25.86713675</v>
      </c>
      <c r="AI24" s="100">
        <f>VLOOKUP(TableWRRanks32423644[[#This Row],[Player]],WR!B:O,5,FALSE)</f>
        <v>0.15582612499999998</v>
      </c>
      <c r="AJ24" s="100">
        <f>VLOOKUP(TableWRRanks32423644[[#This Row],[Player]],WR!B:O,6,FALSE)</f>
        <v>117.98472839999995</v>
      </c>
      <c r="AK24" s="100">
        <f>VLOOKUP(TableWRRanks32423644[[#This Row],[Player]],WR!B:O,7,FALSE)</f>
        <v>77.113608382461507</v>
      </c>
      <c r="AL24" s="100">
        <f>VLOOKUP(TableWRRanks32423644[[#This Row],[Player]],WR!B:O,8,FALSE)</f>
        <v>993.99441204992888</v>
      </c>
      <c r="AM24" s="100">
        <f>VLOOKUP(TableWRRanks32423644[[#This Row],[Player]],WR!B:O,9,FALSE)</f>
        <v>7.4029064047163047</v>
      </c>
      <c r="AN24" s="95">
        <f>VLOOKUP(TableWRRanks32423644[[#This Row],[Player]],WR!B:O,13,FALSE)</f>
        <v>185.89535424952149</v>
      </c>
      <c r="AO24" s="190">
        <f>TableWRRanks32423644[[#This Row],[FPS]]-(TableWRRanks32423644[[#This Row],[REC]]*0.5)</f>
        <v>147.33855005829074</v>
      </c>
      <c r="AQ24" s="58">
        <v>23</v>
      </c>
      <c r="AR24" s="58" t="str">
        <f>VLOOKUP(TableTERanks33433745[[#This Row],[RK]],Rankings!A:AZ,48,FALSE)</f>
        <v>Juwan Johnson</v>
      </c>
      <c r="AS24" s="58" t="str">
        <f>IFERROR(INDEX(TableTECalcPts[TM],MATCH(TableTERanks33433745[[#This Row],[Player]],TableTECalcPts[PLAYER],0)),"")</f>
        <v>NO</v>
      </c>
      <c r="AT24" s="58">
        <f>IFERROR(INDEX(TableTECalcPts[BYE],MATCH(TableTERanks33433745[[#This Row],[Player]],TableTECalcPts[PLAYER],0)),"")</f>
        <v>8</v>
      </c>
      <c r="AU24" s="100">
        <f>VLOOKUP(TableTERanks33433745[[#This Row],[Player]],TE!B:O,4,FALSE)</f>
        <v>75.659386879999985</v>
      </c>
      <c r="AV24" s="100">
        <f>VLOOKUP(TableTERanks33433745[[#This Row],[Player]],TE!B:O,5,FALSE)</f>
        <v>52.280636334079986</v>
      </c>
      <c r="AW24" s="100">
        <f>VLOOKUP(TableTERanks33433745[[#This Row],[Player]],TE!B:O,6,FALSE)</f>
        <v>568.08452249082939</v>
      </c>
      <c r="AX24" s="100">
        <f>VLOOKUP(TableTERanks33433745[[#This Row],[Player]],TE!B:O,7,FALSE)</f>
        <v>2.9799962710425594</v>
      </c>
      <c r="AY24" s="95">
        <f>VLOOKUP(TableTERanks33433745[[#This Row],[Player]],TE!B:O,11,FALSE)</f>
        <v>100.82874804237828</v>
      </c>
      <c r="AZ24" s="190">
        <f>TableTERanks33433745[[#This Row],[FPS]]-(TableTERanks33433745[[#This Row],[REC]]*0.5)</f>
        <v>74.688429875338286</v>
      </c>
    </row>
    <row r="25" spans="1:52" x14ac:dyDescent="0.25">
      <c r="A25" s="58">
        <v>24</v>
      </c>
      <c r="B25" s="58" t="str">
        <f>VLOOKUP(TableQBRanks30403438[[#This Row],[RK]],Rankings!A:T,3,FALSE)</f>
        <v>Daniel Jones</v>
      </c>
      <c r="C25" s="58" t="str">
        <f>IFERROR(INDEX(TableQBCalcPts[TM],MATCH(TableQBRanks30403438[[#This Row],[Player]],TableQBCalcPts[PLAYER],0)),"")</f>
        <v>IND</v>
      </c>
      <c r="D25" s="58">
        <f>IFERROR(INDEX(TableQBCalcPts[BYE],MATCH(TableQBRanks30403438[[#This Row],[Player]],TableQBCalcPts[PLAYER],0)),"")</f>
        <v>13</v>
      </c>
      <c r="E25" s="100">
        <f>VLOOKUP(TableQBRanks30403438[[#This Row],[Player]],QB!B:O,4,FALSE)</f>
        <v>479.952</v>
      </c>
      <c r="F25" s="100">
        <f>VLOOKUP(TableQBRanks30403438[[#This Row],[Player]],QB!B:O,5,FALSE)</f>
        <v>318.89592338176658</v>
      </c>
      <c r="G25" s="100">
        <f>VLOOKUP(TableQBRanks30403438[[#This Row],[Player]],QB!B:O,6,FALSE)</f>
        <v>3479.1545240950736</v>
      </c>
      <c r="H25" s="100">
        <f>VLOOKUP(TableQBRanks30403438[[#This Row],[Player]],QB!B:O,7,FALSE)</f>
        <v>21.366026866578363</v>
      </c>
      <c r="I25" s="100">
        <f>VLOOKUP(TableQBRanks30403438[[#This Row],[Player]],QB!B:O,8,FALSE)</f>
        <v>10.651129947513136</v>
      </c>
      <c r="J25" s="100">
        <f>VLOOKUP(TableQBRanks30403438[[#This Row],[Player]],QB!B:O,9,FALSE)</f>
        <v>72.413768000000005</v>
      </c>
      <c r="K25" s="100">
        <f>VLOOKUP(TableQBRanks30403438[[#This Row],[Player]],QB!B:O,10,FALSE)</f>
        <v>284.72435575494887</v>
      </c>
      <c r="L25" s="100">
        <f>VLOOKUP(TableQBRanks30403438[[#This Row],[Player]],QB!B:O,11,FALSE)</f>
        <v>5.0689637600000008</v>
      </c>
      <c r="M25" s="95">
        <f>VLOOKUP(TableQBRanks30403438[[#This Row],[Player]],QB!B:O,13,FALSE)</f>
        <v>347.48702268943157</v>
      </c>
      <c r="N25" s="140">
        <f>IF(VLOOKUP(TableQBRanks30403438[[#This Row],[Player]],'Ranks w Proj'!$B:$N,13,FALSE)&lt;0,0,VLOOKUP(TableQBRanks30403438[[#This Row],[Player]],'Ranks w Proj'!$B:$N,13,FALSE))</f>
        <v>7.173195690276577</v>
      </c>
      <c r="P25" s="58">
        <v>24</v>
      </c>
      <c r="Q25" s="58" t="str">
        <f>VLOOKUP(TableRBRanks31413539[[#This Row],[RK]],Rankings!A:AY,38,FALSE)</f>
        <v>Quinshon Judkins</v>
      </c>
      <c r="R25" s="58" t="str">
        <f>IFERROR(INDEX(TableRBCalcPts[TM],MATCH(TableRBRanks31413539[[#This Row],[Player]],TableRBCalcPts[PLAYER],0)),"")</f>
        <v>CLE</v>
      </c>
      <c r="S25" s="58">
        <f>IFERROR(INDEX(TableRBCalcPts[BYE],MATCH(TableRBRanks31413539[[#This Row],[Player]],TableRBCalcPts[PLAYER],0)),"")</f>
        <v>11</v>
      </c>
      <c r="T25" s="100">
        <f>VLOOKUP(TableRBRanks31413539[[#This Row],[Player]],RB!B:O,4,FALSE)</f>
        <v>277.13410200000004</v>
      </c>
      <c r="U25" s="100">
        <f>VLOOKUP(TableRBRanks31413539[[#This Row],[Player]],RB!B:O,5,FALSE)</f>
        <v>1136.2498182000002</v>
      </c>
      <c r="V25" s="100">
        <f>VLOOKUP(TableRBRanks31413539[[#This Row],[Player]],RB!B:O,6,FALSE)</f>
        <v>7.8968420827102275</v>
      </c>
      <c r="W25" s="100">
        <f>VLOOKUP(TableRBRanks31413539[[#This Row],[Player]],RB!B:O,7,FALSE)</f>
        <v>29.193317999999998</v>
      </c>
      <c r="X25" s="100">
        <f>VLOOKUP(TableRBRanks31413539[[#This Row],[Player]],RB!B:O,8,FALSE)</f>
        <v>20.075148499443038</v>
      </c>
      <c r="Y25" s="100">
        <f>VLOOKUP(TableRBRanks31413539[[#This Row],[Player]],RB!B:O,9,FALSE)</f>
        <v>139.75715894354431</v>
      </c>
      <c r="Z25" s="100">
        <f>VLOOKUP(TableRBRanks31413539[[#This Row],[Player]],RB!B:O,10,FALSE)</f>
        <v>0.66247990048162031</v>
      </c>
      <c r="AA25" s="95">
        <f>VLOOKUP(TableRBRanks31413539[[#This Row],[Player]],RB!B:O,14,FALSE)</f>
        <v>188.99420386322706</v>
      </c>
      <c r="AB25" s="190">
        <f>TableRBRanks31413539[[#This Row],[FPS]]-(TableRBRanks31413539[[#This Row],[REC]]*0.5)</f>
        <v>178.95662961350553</v>
      </c>
      <c r="AD25" s="58">
        <v>24</v>
      </c>
      <c r="AE25" s="58" t="str">
        <f>VLOOKUP(TableWRRanks32423644[[#This Row],[RK]],Rankings!A:AZ,43,FALSE)</f>
        <v>Luther Burden</v>
      </c>
      <c r="AF25" s="58" t="str">
        <f>IFERROR(INDEX(TableWRCalcPts[TM],MATCH(TableWRRanks32423644[[#This Row],[Player]],TableWRCalcPts[PLAYER],0)),"")</f>
        <v>CHI</v>
      </c>
      <c r="AG25" s="58">
        <f>IFERROR(INDEX(TableWRCalcPts[BYE],MATCH(TableWRRanks32423644[[#This Row],[Player]],TableWRCalcPts[PLAYER],0)),"")</f>
        <v>10</v>
      </c>
      <c r="AH25" s="100">
        <f>VLOOKUP(TableWRRanks32423644[[#This Row],[Player]],WR!B:O,4,FALSE)</f>
        <v>49.025872562294488</v>
      </c>
      <c r="AI25" s="100">
        <f>VLOOKUP(TableWRRanks32423644[[#This Row],[Player]],WR!B:O,5,FALSE)</f>
        <v>0.28516944981580605</v>
      </c>
      <c r="AJ25" s="100">
        <f>VLOOKUP(TableWRRanks32423644[[#This Row],[Player]],WR!B:O,6,FALSE)</f>
        <v>130.26901272000001</v>
      </c>
      <c r="AK25" s="100">
        <f>VLOOKUP(TableWRRanks32423644[[#This Row],[Player]],WR!B:O,7,FALSE)</f>
        <v>81.027325911840009</v>
      </c>
      <c r="AL25" s="100">
        <f>VLOOKUP(TableWRRanks32423644[[#This Row],[Player]],WR!B:O,8,FALSE)</f>
        <v>1060.6476961859858</v>
      </c>
      <c r="AM25" s="100">
        <f>VLOOKUP(TableWRRanks32423644[[#This Row],[Player]],WR!B:O,9,FALSE)</f>
        <v>6.4821860729472007</v>
      </c>
      <c r="AN25" s="95">
        <f>VLOOKUP(TableWRRanks32423644[[#This Row],[Player]],WR!B:O,13,FALSE)</f>
        <v>192.08515296732605</v>
      </c>
      <c r="AO25" s="190">
        <f>TableWRRanks32423644[[#This Row],[FPS]]-(TableWRRanks32423644[[#This Row],[REC]]*0.5)</f>
        <v>151.57149001140604</v>
      </c>
      <c r="AQ25" s="58">
        <v>24</v>
      </c>
      <c r="AR25" s="58" t="str">
        <f>VLOOKUP(TableTERanks33433745[[#This Row],[RK]],Rankings!A:AZ,48,FALSE)</f>
        <v>Terrance Ferguson</v>
      </c>
      <c r="AS25" s="58" t="str">
        <f>IFERROR(INDEX(TableTECalcPts[TM],MATCH(TableTERanks33433745[[#This Row],[Player]],TableTECalcPts[PLAYER],0)),"")</f>
        <v>LAR</v>
      </c>
      <c r="AT25" s="58">
        <f>IFERROR(INDEX(TableTECalcPts[BYE],MATCH(TableTERanks33433745[[#This Row],[Player]],TableTECalcPts[PLAYER],0)),"")</f>
        <v>11</v>
      </c>
      <c r="AU25" s="100">
        <f>VLOOKUP(TableTERanks33433745[[#This Row],[Player]],TE!B:O,4,FALSE)</f>
        <v>62.200400423209423</v>
      </c>
      <c r="AV25" s="100">
        <f>VLOOKUP(TableTERanks33433745[[#This Row],[Player]],TE!B:O,5,FALSE)</f>
        <v>41.736468683973527</v>
      </c>
      <c r="AW25" s="100">
        <f>VLOOKUP(TableTERanks33433745[[#This Row],[Player]],TE!B:O,6,FALSE)</f>
        <v>505.84600044975912</v>
      </c>
      <c r="AX25" s="100">
        <f>VLOOKUP(TableTERanks33433745[[#This Row],[Player]],TE!B:O,7,FALSE)</f>
        <v>4.6744844926050355</v>
      </c>
      <c r="AY25" s="95">
        <f>VLOOKUP(TableTERanks33433745[[#This Row],[Player]],TE!B:O,11,FALSE)</f>
        <v>99.499741342592898</v>
      </c>
      <c r="AZ25" s="190">
        <f>TableTERanks33433745[[#This Row],[FPS]]-(TableTERanks33433745[[#This Row],[REC]]*0.5)</f>
        <v>78.631507000606135</v>
      </c>
    </row>
    <row r="26" spans="1:52" x14ac:dyDescent="0.25">
      <c r="A26" s="58">
        <v>25</v>
      </c>
      <c r="B26" s="58" t="str">
        <f>VLOOKUP(TableQBRanks30403438[[#This Row],[RK]],Rankings!A:T,3,FALSE)</f>
        <v>Sam Darnold</v>
      </c>
      <c r="C26" s="58" t="str">
        <f>IFERROR(INDEX(TableQBCalcPts[TM],MATCH(TableQBRanks30403438[[#This Row],[Player]],TableQBCalcPts[PLAYER],0)),"")</f>
        <v>SEA</v>
      </c>
      <c r="D26" s="58">
        <f>IFERROR(INDEX(TableQBCalcPts[BYE],MATCH(TableQBRanks30403438[[#This Row],[Player]],TableQBCalcPts[PLAYER],0)),"")</f>
        <v>11</v>
      </c>
      <c r="E26" s="100">
        <f>VLOOKUP(TableQBRanks30403438[[#This Row],[Player]],QB!B:O,4,FALSE)</f>
        <v>504.72744</v>
      </c>
      <c r="F26" s="100">
        <f>VLOOKUP(TableQBRanks30403438[[#This Row],[Player]],QB!B:O,5,FALSE)</f>
        <v>335.64374760000004</v>
      </c>
      <c r="G26" s="100">
        <f>VLOOKUP(TableQBRanks30403438[[#This Row],[Player]],QB!B:O,6,FALSE)</f>
        <v>4135.1309704320001</v>
      </c>
      <c r="H26" s="100">
        <f>VLOOKUP(TableQBRanks30403438[[#This Row],[Player]],QB!B:O,7,FALSE)</f>
        <v>26.515856060400004</v>
      </c>
      <c r="I26" s="100">
        <f>VLOOKUP(TableQBRanks30403438[[#This Row],[Player]],QB!B:O,8,FALSE)</f>
        <v>13.01233198593386</v>
      </c>
      <c r="J26" s="100">
        <f>VLOOKUP(TableQBRanks30403438[[#This Row],[Player]],QB!B:O,9,FALSE)</f>
        <v>34.843159255474909</v>
      </c>
      <c r="K26" s="100">
        <f>VLOOKUP(TableQBRanks30403438[[#This Row],[Player]],QB!B:O,10,FALSE)</f>
        <v>110.34912719016842</v>
      </c>
      <c r="L26" s="100">
        <f>VLOOKUP(TableQBRanks30403438[[#This Row],[Player]],QB!B:O,11,FALSE)</f>
        <v>0.86122797089993575</v>
      </c>
      <c r="M26" s="95">
        <f>VLOOKUP(TableQBRanks30403438[[#This Row],[Player]],QB!B:O,13,FALSE)</f>
        <v>361.25469849816261</v>
      </c>
      <c r="N26" s="140">
        <f>IF(VLOOKUP(TableQBRanks30403438[[#This Row],[Player]],'Ranks w Proj'!$B:$N,13,FALSE)&lt;0,0,VLOOKUP(TableQBRanks30403438[[#This Row],[Player]],'Ranks w Proj'!$B:$N,13,FALSE))</f>
        <v>10.641242386869596</v>
      </c>
      <c r="P26" s="58">
        <v>25</v>
      </c>
      <c r="Q26" s="58" t="str">
        <f>VLOOKUP(TableRBRanks31413539[[#This Row],[RK]],Rankings!A:AY,38,FALSE)</f>
        <v>TreVeyon Henderson</v>
      </c>
      <c r="R26" s="58" t="str">
        <f>IFERROR(INDEX(TableRBCalcPts[TM],MATCH(TableRBRanks31413539[[#This Row],[Player]],TableRBCalcPts[PLAYER],0)),"")</f>
        <v>NE</v>
      </c>
      <c r="S26" s="58">
        <f>IFERROR(INDEX(TableRBCalcPts[BYE],MATCH(TableRBRanks31413539[[#This Row],[Player]],TableRBCalcPts[PLAYER],0)),"")</f>
        <v>11</v>
      </c>
      <c r="T26" s="100">
        <f>VLOOKUP(TableRBRanks31413539[[#This Row],[Player]],RB!B:O,4,FALSE)</f>
        <v>175.99039919999998</v>
      </c>
      <c r="U26" s="100">
        <f>VLOOKUP(TableRBRanks31413539[[#This Row],[Player]],RB!B:O,5,FALSE)</f>
        <v>824.46444890520854</v>
      </c>
      <c r="V26" s="100">
        <f>VLOOKUP(TableRBRanks31413539[[#This Row],[Player]],RB!B:O,6,FALSE)</f>
        <v>7.0396159679999997</v>
      </c>
      <c r="W26" s="100">
        <f>VLOOKUP(TableRBRanks31413539[[#This Row],[Player]],RB!B:O,7,FALSE)</f>
        <v>56.719499199999973</v>
      </c>
      <c r="X26" s="100">
        <f>VLOOKUP(TableRBRanks31413539[[#This Row],[Player]],RB!B:O,8,FALSE)</f>
        <v>45.205440862399982</v>
      </c>
      <c r="Y26" s="100">
        <f>VLOOKUP(TableRBRanks31413539[[#This Row],[Player]],RB!B:O,9,FALSE)</f>
        <v>337.68464324212783</v>
      </c>
      <c r="Z26" s="100">
        <f>VLOOKUP(TableRBRanks31413539[[#This Row],[Player]],RB!B:O,10,FALSE)</f>
        <v>1.6022945799520392</v>
      </c>
      <c r="AA26" s="95">
        <f>VLOOKUP(TableRBRanks31413539[[#This Row],[Player]],RB!B:O,14,FALSE)</f>
        <v>190.66909293364586</v>
      </c>
      <c r="AB26" s="190">
        <f>TableRBRanks31413539[[#This Row],[FPS]]-(TableRBRanks31413539[[#This Row],[REC]]*0.5)</f>
        <v>168.06637250244586</v>
      </c>
      <c r="AD26" s="58">
        <v>25</v>
      </c>
      <c r="AE26" s="58" t="str">
        <f>VLOOKUP(TableWRRanks32423644[[#This Row],[RK]],Rankings!A:AZ,43,FALSE)</f>
        <v>Christian Watson</v>
      </c>
      <c r="AF26" s="58" t="str">
        <f>IFERROR(INDEX(TableWRCalcPts[TM],MATCH(TableWRRanks32423644[[#This Row],[Player]],TableWRCalcPts[PLAYER],0)),"")</f>
        <v>GB</v>
      </c>
      <c r="AG26" s="58">
        <f>IFERROR(INDEX(TableWRCalcPts[BYE],MATCH(TableWRRanks32423644[[#This Row],[Player]],TableWRCalcPts[PLAYER],0)),"")</f>
        <v>11</v>
      </c>
      <c r="AH26" s="100">
        <f>VLOOKUP(TableWRRanks32423644[[#This Row],[Player]],WR!B:O,4,FALSE)</f>
        <v>11.407058163795424</v>
      </c>
      <c r="AI26" s="100">
        <f>VLOOKUP(TableWRRanks32423644[[#This Row],[Player]],WR!B:O,5,FALSE)</f>
        <v>2.3580563999999998E-2</v>
      </c>
      <c r="AJ26" s="100">
        <f>VLOOKUP(TableWRRanks32423644[[#This Row],[Player]],WR!B:O,6,FALSE)</f>
        <v>109.051520080402</v>
      </c>
      <c r="AK26" s="100">
        <f>VLOOKUP(TableWRRanks32423644[[#This Row],[Player]],WR!B:O,7,FALSE)</f>
        <v>63.540685700180887</v>
      </c>
      <c r="AL26" s="100">
        <f>VLOOKUP(TableWRRanks32423644[[#This Row],[Player]],WR!B:O,8,FALSE)</f>
        <v>1032.5361426279394</v>
      </c>
      <c r="AM26" s="100">
        <f>VLOOKUP(TableWRRanks32423644[[#This Row],[Player]],WR!B:O,9,FALSE)</f>
        <v>7.3707195412209829</v>
      </c>
      <c r="AN26" s="95">
        <f>VLOOKUP(TableWRRanks32423644[[#This Row],[Player]],WR!B:O,13,FALSE)</f>
        <v>180.53046356058982</v>
      </c>
      <c r="AO26" s="190">
        <f>TableWRRanks32423644[[#This Row],[FPS]]-(TableWRRanks32423644[[#This Row],[REC]]*0.5)</f>
        <v>148.76012071049939</v>
      </c>
      <c r="AQ26" s="58">
        <v>25</v>
      </c>
      <c r="AR26" s="58" t="str">
        <f>VLOOKUP(TableTERanks33433745[[#This Row],[RK]],Rankings!A:AZ,48,FALSE)</f>
        <v>David Njoku</v>
      </c>
      <c r="AS26" s="58" t="str">
        <f>IFERROR(INDEX(TableTECalcPts[TM],MATCH(TableTERanks33433745[[#This Row],[Player]],TableTECalcPts[PLAYER],0)),"")</f>
        <v>LAC</v>
      </c>
      <c r="AT26" s="58">
        <f>IFERROR(INDEX(TableTECalcPts[BYE],MATCH(TableTERanks33433745[[#This Row],[Player]],TableTECalcPts[PLAYER],0)),"")</f>
        <v>7</v>
      </c>
      <c r="AU26" s="100">
        <f>VLOOKUP(TableTERanks33433745[[#This Row],[Player]],TE!B:O,4,FALSE)</f>
        <v>49.978969039999988</v>
      </c>
      <c r="AV26" s="100">
        <f>VLOOKUP(TableTERanks33433745[[#This Row],[Player]],TE!B:O,5,FALSE)</f>
        <v>36.084815646879989</v>
      </c>
      <c r="AW26" s="100">
        <f>VLOOKUP(TableTERanks33433745[[#This Row],[Player]],TE!B:O,6,FALSE)</f>
        <v>378.89931732718867</v>
      </c>
      <c r="AX26" s="100">
        <f>VLOOKUP(TableTERanks33433745[[#This Row],[Player]],TE!B:O,7,FALSE)</f>
        <v>2.6516547050858308</v>
      </c>
      <c r="AY26" s="95">
        <f>VLOOKUP(TableTERanks33433745[[#This Row],[Player]],TE!B:O,11,FALSE)</f>
        <v>71.842267786673858</v>
      </c>
      <c r="AZ26" s="190">
        <f>TableTERanks33433745[[#This Row],[FPS]]-(TableTERanks33433745[[#This Row],[REC]]*0.5)</f>
        <v>53.799859963233864</v>
      </c>
    </row>
    <row r="27" spans="1:52" x14ac:dyDescent="0.25">
      <c r="A27" s="58">
        <v>26</v>
      </c>
      <c r="B27" s="58" t="str">
        <f>VLOOKUP(TableQBRanks30403438[[#This Row],[RK]],Rankings!A:T,3,FALSE)</f>
        <v>Bryce Young</v>
      </c>
      <c r="C27" s="58" t="str">
        <f>IFERROR(INDEX(TableQBCalcPts[TM],MATCH(TableQBRanks30403438[[#This Row],[Player]],TableQBCalcPts[PLAYER],0)),"")</f>
        <v>CAR</v>
      </c>
      <c r="D27" s="58">
        <f>IFERROR(INDEX(TableQBCalcPts[BYE],MATCH(TableQBRanks30403438[[#This Row],[Player]],TableQBCalcPts[PLAYER],0)),"")</f>
        <v>5</v>
      </c>
      <c r="E27" s="100">
        <f>VLOOKUP(TableQBRanks30403438[[#This Row],[Player]],QB!B:O,4,FALSE)</f>
        <v>521.97749999999996</v>
      </c>
      <c r="F27" s="100">
        <f>VLOOKUP(TableQBRanks30403438[[#This Row],[Player]],QB!B:O,5,FALSE)</f>
        <v>333.02164499999998</v>
      </c>
      <c r="G27" s="100">
        <f>VLOOKUP(TableQBRanks30403438[[#This Row],[Player]],QB!B:O,6,FALSE)</f>
        <v>3466.0202038358811</v>
      </c>
      <c r="H27" s="100">
        <f>VLOOKUP(TableQBRanks30403438[[#This Row],[Player]],QB!B:O,7,FALSE)</f>
        <v>23.311515150000002</v>
      </c>
      <c r="I27" s="100">
        <f>VLOOKUP(TableQBRanks30403438[[#This Row],[Player]],QB!B:O,8,FALSE)</f>
        <v>12.028447647849639</v>
      </c>
      <c r="J27" s="100">
        <f>VLOOKUP(TableQBRanks30403438[[#This Row],[Player]],QB!B:O,9,FALSE)</f>
        <v>52.240418999999989</v>
      </c>
      <c r="K27" s="100">
        <f>VLOOKUP(TableQBRanks30403438[[#This Row],[Player]],QB!B:O,10,FALSE)</f>
        <v>245.52996929999995</v>
      </c>
      <c r="L27" s="100">
        <f>VLOOKUP(TableQBRanks30403438[[#This Row],[Player]],QB!B:O,11,FALSE)</f>
        <v>2.1940975979999995</v>
      </c>
      <c r="M27" s="95">
        <f>VLOOKUP(TableQBRanks30403438[[#This Row],[Player]],QB!B:O,13,FALSE)</f>
        <v>337.50119842358561</v>
      </c>
      <c r="N27" s="140">
        <f>IF(VLOOKUP(TableQBRanks30403438[[#This Row],[Player]],'Ranks w Proj'!$B:$N,13,FALSE)&lt;0,0,VLOOKUP(TableQBRanks30403438[[#This Row],[Player]],'Ranks w Proj'!$B:$N,13,FALSE))</f>
        <v>5.263446569531574</v>
      </c>
      <c r="P27" s="58">
        <v>26</v>
      </c>
      <c r="Q27" s="58" t="str">
        <f>VLOOKUP(TableRBRanks31413539[[#This Row],[RK]],Rankings!A:AY,38,FALSE)</f>
        <v>Tony Pollard</v>
      </c>
      <c r="R27" s="58" t="str">
        <f>IFERROR(INDEX(TableRBCalcPts[TM],MATCH(TableRBRanks31413539[[#This Row],[Player]],TableRBCalcPts[PLAYER],0)),"")</f>
        <v>TEN</v>
      </c>
      <c r="S27" s="58">
        <f>IFERROR(INDEX(TableRBCalcPts[BYE],MATCH(TableRBRanks31413539[[#This Row],[Player]],TableRBCalcPts[PLAYER],0)),"")</f>
        <v>9</v>
      </c>
      <c r="T27" s="100">
        <f>VLOOKUP(TableRBRanks31413539[[#This Row],[Player]],RB!B:O,4,FALSE)</f>
        <v>231.14270592</v>
      </c>
      <c r="U27" s="100">
        <f>VLOOKUP(TableRBRanks31413539[[#This Row],[Player]],RB!B:O,5,FALSE)</f>
        <v>1007.7821978112</v>
      </c>
      <c r="V27" s="100">
        <f>VLOOKUP(TableRBRanks31413539[[#This Row],[Player]],RB!B:O,6,FALSE)</f>
        <v>6.0097103539200001</v>
      </c>
      <c r="W27" s="100">
        <f>VLOOKUP(TableRBRanks31413539[[#This Row],[Player]],RB!B:O,7,FALSE)</f>
        <v>42.840645120000005</v>
      </c>
      <c r="X27" s="100">
        <f>VLOOKUP(TableRBRanks31413539[[#This Row],[Player]],RB!B:O,8,FALSE)</f>
        <v>32.473209000960004</v>
      </c>
      <c r="Y27" s="100">
        <f>VLOOKUP(TableRBRanks31413539[[#This Row],[Player]],RB!B:O,9,FALSE)</f>
        <v>218.21996448645123</v>
      </c>
      <c r="Z27" s="100">
        <f>VLOOKUP(TableRBRanks31413539[[#This Row],[Player]],RB!B:O,10,FALSE)</f>
        <v>1.0391426880307202</v>
      </c>
      <c r="AA27" s="95">
        <f>VLOOKUP(TableRBRanks31413539[[#This Row],[Player]],RB!B:O,14,FALSE)</f>
        <v>181.12993898194946</v>
      </c>
      <c r="AB27" s="190">
        <f>TableRBRanks31413539[[#This Row],[FPS]]-(TableRBRanks31413539[[#This Row],[REC]]*0.5)</f>
        <v>164.89333448146945</v>
      </c>
      <c r="AD27" s="58">
        <v>26</v>
      </c>
      <c r="AE27" s="58" t="str">
        <f>VLOOKUP(TableWRRanks32423644[[#This Row],[RK]],Rankings!A:AZ,43,FALSE)</f>
        <v>Malik Nabers</v>
      </c>
      <c r="AF27" s="58" t="str">
        <f>IFERROR(INDEX(TableWRCalcPts[TM],MATCH(TableWRRanks32423644[[#This Row],[Player]],TableWRCalcPts[PLAYER],0)),"")</f>
        <v>NYG</v>
      </c>
      <c r="AG27" s="58">
        <f>IFERROR(INDEX(TableWRCalcPts[BYE],MATCH(TableWRRanks32423644[[#This Row],[Player]],TableWRCalcPts[PLAYER],0)),"")</f>
        <v>8</v>
      </c>
      <c r="AH27" s="100">
        <f>VLOOKUP(TableWRRanks32423644[[#This Row],[Player]],WR!B:O,4,FALSE)</f>
        <v>0</v>
      </c>
      <c r="AI27" s="100">
        <f>VLOOKUP(TableWRRanks32423644[[#This Row],[Player]],WR!B:O,5,FALSE)</f>
        <v>0</v>
      </c>
      <c r="AJ27" s="100">
        <f>VLOOKUP(TableWRRanks32423644[[#This Row],[Player]],WR!B:O,6,FALSE)</f>
        <v>105.80562748</v>
      </c>
      <c r="AK27" s="100">
        <f>VLOOKUP(TableWRRanks32423644[[#This Row],[Player]],WR!B:O,7,FALSE)</f>
        <v>62.742737095639995</v>
      </c>
      <c r="AL27" s="100">
        <f>VLOOKUP(TableWRRanks32423644[[#This Row],[Player]],WR!B:O,8,FALSE)</f>
        <v>836.36068548488117</v>
      </c>
      <c r="AM27" s="100">
        <f>VLOOKUP(TableWRRanks32423644[[#This Row],[Player]],WR!B:O,9,FALSE)</f>
        <v>5.3433888110292518</v>
      </c>
      <c r="AN27" s="95">
        <f>VLOOKUP(TableWRRanks32423644[[#This Row],[Player]],WR!B:O,13,FALSE)</f>
        <v>147.06776996248362</v>
      </c>
      <c r="AO27" s="190">
        <f>TableWRRanks32423644[[#This Row],[FPS]]-(TableWRRanks32423644[[#This Row],[REC]]*0.5)</f>
        <v>115.69640141466363</v>
      </c>
      <c r="AQ27" s="58">
        <v>26</v>
      </c>
      <c r="AR27" s="58" t="str">
        <f>VLOOKUP(TableTERanks33433745[[#This Row],[RK]],Rankings!A:AZ,48,FALSE)</f>
        <v>Kenyon Sadiq</v>
      </c>
      <c r="AS27" s="58" t="str">
        <f>IFERROR(INDEX(TableTECalcPts[TM],MATCH(TableTERanks33433745[[#This Row],[Player]],TableTECalcPts[PLAYER],0)),"")</f>
        <v>NYJ</v>
      </c>
      <c r="AT27" s="58">
        <f>IFERROR(INDEX(TableTECalcPts[BYE],MATCH(TableTERanks33433745[[#This Row],[Player]],TableTECalcPts[PLAYER],0)),"")</f>
        <v>13</v>
      </c>
      <c r="AU27" s="100">
        <f>VLOOKUP(TableTERanks33433745[[#This Row],[Player]],TE!B:O,4,FALSE)</f>
        <v>65.191688273208825</v>
      </c>
      <c r="AV27" s="100">
        <f>VLOOKUP(TableTERanks33433745[[#This Row],[Player]],TE!B:O,5,FALSE)</f>
        <v>46.840733386225139</v>
      </c>
      <c r="AW27" s="100">
        <f>VLOOKUP(TableTERanks33433745[[#This Row],[Player]],TE!B:O,6,FALSE)</f>
        <v>453.82461016603662</v>
      </c>
      <c r="AX27" s="100">
        <f>VLOOKUP(TableTERanks33433745[[#This Row],[Player]],TE!B:O,7,FALSE)</f>
        <v>2.9978069367184088</v>
      </c>
      <c r="AY27" s="95">
        <f>VLOOKUP(TableTERanks33433745[[#This Row],[Player]],TE!B:O,11,FALSE)</f>
        <v>86.789669330026697</v>
      </c>
      <c r="AZ27" s="190">
        <f>TableTERanks33433745[[#This Row],[FPS]]-(TableTERanks33433745[[#This Row],[REC]]*0.5)</f>
        <v>63.369302636914128</v>
      </c>
    </row>
    <row r="28" spans="1:52" x14ac:dyDescent="0.25">
      <c r="A28" s="58">
        <v>27</v>
      </c>
      <c r="B28" s="58" t="str">
        <f>VLOOKUP(TableQBRanks30403438[[#This Row],[RK]],Rankings!A:T,3,FALSE)</f>
        <v>Aaron Rodgers</v>
      </c>
      <c r="C28" s="58" t="str">
        <f>IFERROR(INDEX(TableQBCalcPts[TM],MATCH(TableQBRanks30403438[[#This Row],[Player]],TableQBCalcPts[PLAYER],0)),"")</f>
        <v>PIT</v>
      </c>
      <c r="D28" s="58">
        <f>IFERROR(INDEX(TableQBCalcPts[BYE],MATCH(TableQBRanks30403438[[#This Row],[Player]],TableQBCalcPts[PLAYER],0)),"")</f>
        <v>9</v>
      </c>
      <c r="E28" s="100">
        <f>VLOOKUP(TableQBRanks30403438[[#This Row],[Player]],QB!B:O,4,FALSE)</f>
        <v>550.62</v>
      </c>
      <c r="F28" s="100">
        <f>VLOOKUP(TableQBRanks30403438[[#This Row],[Player]],QB!B:O,5,FALSE)</f>
        <v>353.45392324136321</v>
      </c>
      <c r="G28" s="100">
        <f>VLOOKUP(TableQBRanks30403438[[#This Row],[Player]],QB!B:O,6,FALSE)</f>
        <v>3666.8336314867825</v>
      </c>
      <c r="H28" s="100">
        <f>VLOOKUP(TableQBRanks30403438[[#This Row],[Player]],QB!B:O,7,FALSE)</f>
        <v>23.103741815921587</v>
      </c>
      <c r="I28" s="100">
        <f>VLOOKUP(TableQBRanks30403438[[#This Row],[Player]],QB!B:O,8,FALSE)</f>
        <v>9.89020019921462</v>
      </c>
      <c r="J28" s="100">
        <f>VLOOKUP(TableQBRanks30403438[[#This Row],[Player]],QB!B:O,9,FALSE)</f>
        <v>20.083139999999997</v>
      </c>
      <c r="K28" s="100">
        <f>VLOOKUP(TableQBRanks30403438[[#This Row],[Player]],QB!B:O,10,FALSE)</f>
        <v>65.069373599999992</v>
      </c>
      <c r="L28" s="100">
        <f>VLOOKUP(TableQBRanks30403438[[#This Row],[Player]],QB!B:O,11,FALSE)</f>
        <v>0.67320386565188584</v>
      </c>
      <c r="M28" s="95">
        <f>VLOOKUP(TableQBRanks30403438[[#This Row],[Player]],QB!B:O,13,FALSE)</f>
        <v>321.29714883383383</v>
      </c>
      <c r="N28" s="140">
        <f>IF(VLOOKUP(TableQBRanks30403438[[#This Row],[Player]],'Ranks w Proj'!$B:$N,13,FALSE)&lt;0,0,VLOOKUP(TableQBRanks30403438[[#This Row],[Player]],'Ranks w Proj'!$B:$N,13,FALSE))</f>
        <v>2.1718542546556341</v>
      </c>
      <c r="P28" s="58">
        <v>27</v>
      </c>
      <c r="Q28" s="58" t="str">
        <f>VLOOKUP(TableRBRanks31413539[[#This Row],[RK]],Rankings!A:AY,38,FALSE)</f>
        <v>Bucky Irving</v>
      </c>
      <c r="R28" s="58" t="str">
        <f>IFERROR(INDEX(TableRBCalcPts[TM],MATCH(TableRBRanks31413539[[#This Row],[Player]],TableRBCalcPts[PLAYER],0)),"")</f>
        <v>TB</v>
      </c>
      <c r="S28" s="58">
        <f>IFERROR(INDEX(TableRBCalcPts[BYE],MATCH(TableRBRanks31413539[[#This Row],[Player]],TableRBCalcPts[PLAYER],0)),"")</f>
        <v>10</v>
      </c>
      <c r="T28" s="100">
        <f>VLOOKUP(TableRBRanks31413539[[#This Row],[Player]],RB!B:O,4,FALSE)</f>
        <v>168.58838765999997</v>
      </c>
      <c r="U28" s="100">
        <f>VLOOKUP(TableRBRanks31413539[[#This Row],[Player]],RB!B:O,5,FALSE)</f>
        <v>676.03943451659984</v>
      </c>
      <c r="V28" s="100">
        <f>VLOOKUP(TableRBRanks31413539[[#This Row],[Player]],RB!B:O,6,FALSE)</f>
        <v>3.877532916179999</v>
      </c>
      <c r="W28" s="100">
        <f>VLOOKUP(TableRBRanks31413539[[#This Row],[Player]],RB!B:O,7,FALSE)</f>
        <v>53.527430459999977</v>
      </c>
      <c r="X28" s="100">
        <f>VLOOKUP(TableRBRanks31413539[[#This Row],[Player]],RB!B:O,8,FALSE)</f>
        <v>46.732387859187668</v>
      </c>
      <c r="Y28" s="100">
        <f>VLOOKUP(TableRBRanks31413539[[#This Row],[Player]],RB!B:O,9,FALSE)</f>
        <v>393.01938189576828</v>
      </c>
      <c r="Z28" s="100">
        <f>VLOOKUP(TableRBRanks31413539[[#This Row],[Player]],RB!B:O,10,FALSE)</f>
        <v>2.9441404351288232</v>
      </c>
      <c r="AA28" s="95">
        <f>VLOOKUP(TableRBRanks31413539[[#This Row],[Player]],RB!B:O,14,FALSE)</f>
        <v>171.20211567868358</v>
      </c>
      <c r="AB28" s="190">
        <f>TableRBRanks31413539[[#This Row],[FPS]]-(TableRBRanks31413539[[#This Row],[REC]]*0.5)</f>
        <v>147.83592174908975</v>
      </c>
      <c r="AD28" s="58">
        <v>27</v>
      </c>
      <c r="AE28" s="58" t="str">
        <f>VLOOKUP(TableWRRanks32423644[[#This Row],[RK]],Rankings!A:AZ,43,FALSE)</f>
        <v>Davante Adams</v>
      </c>
      <c r="AF28" s="58" t="str">
        <f>IFERROR(INDEX(TableWRCalcPts[TM],MATCH(TableWRRanks32423644[[#This Row],[Player]],TableWRCalcPts[PLAYER],0)),"")</f>
        <v>LAR</v>
      </c>
      <c r="AG28" s="58">
        <f>IFERROR(INDEX(TableWRCalcPts[BYE],MATCH(TableWRRanks32423644[[#This Row],[Player]],TableWRCalcPts[PLAYER],0)),"")</f>
        <v>11</v>
      </c>
      <c r="AH28" s="100">
        <f>VLOOKUP(TableWRRanks32423644[[#This Row],[Player]],WR!B:O,4,FALSE)</f>
        <v>0</v>
      </c>
      <c r="AI28" s="100">
        <f>VLOOKUP(TableWRRanks32423644[[#This Row],[Player]],WR!B:O,5,FALSE)</f>
        <v>0</v>
      </c>
      <c r="AJ28" s="100">
        <f>VLOOKUP(TableWRRanks32423644[[#This Row],[Player]],WR!B:O,6,FALSE)</f>
        <v>126.66263358908101</v>
      </c>
      <c r="AK28" s="100">
        <f>VLOOKUP(TableWRRanks32423644[[#This Row],[Player]],WR!B:O,7,FALSE)</f>
        <v>68.651147405281918</v>
      </c>
      <c r="AL28" s="100">
        <f>VLOOKUP(TableWRRanks32423644[[#This Row],[Player]],WR!B:O,8,FALSE)</f>
        <v>908.2137547965624</v>
      </c>
      <c r="AM28" s="100">
        <f>VLOOKUP(TableWRRanks32423644[[#This Row],[Player]],WR!B:O,9,FALSE)</f>
        <v>10.778230142629262</v>
      </c>
      <c r="AN28" s="95">
        <f>VLOOKUP(TableWRRanks32423644[[#This Row],[Player]],WR!B:O,13,FALSE)</f>
        <v>189.81633003807275</v>
      </c>
      <c r="AO28" s="190">
        <f>TableWRRanks32423644[[#This Row],[FPS]]-(TableWRRanks32423644[[#This Row],[REC]]*0.5)</f>
        <v>155.4907563354318</v>
      </c>
      <c r="AQ28" s="58">
        <v>27</v>
      </c>
      <c r="AR28" s="58" t="str">
        <f>VLOOKUP(TableTERanks33433745[[#This Row],[RK]],Rankings!A:AZ,48,FALSE)</f>
        <v>Oronde Gadsden</v>
      </c>
      <c r="AS28" s="58" t="str">
        <f>IFERROR(INDEX(TableTECalcPts[TM],MATCH(TableTERanks33433745[[#This Row],[Player]],TableTECalcPts[PLAYER],0)),"")</f>
        <v>LAC</v>
      </c>
      <c r="AT28" s="58">
        <f>IFERROR(INDEX(TableTECalcPts[BYE],MATCH(TableTERanks33433745[[#This Row],[Player]],TableTECalcPts[PLAYER],0)),"")</f>
        <v>7</v>
      </c>
      <c r="AU28" s="100">
        <f>VLOOKUP(TableTERanks33433745[[#This Row],[Player]],TE!B:O,4,FALSE)</f>
        <v>64.866321519999985</v>
      </c>
      <c r="AV28" s="100">
        <f>VLOOKUP(TableTERanks33433745[[#This Row],[Player]],TE!B:O,5,FALSE)</f>
        <v>46.119954600719986</v>
      </c>
      <c r="AW28" s="100">
        <f>VLOOKUP(TableTERanks33433745[[#This Row],[Player]],TE!B:O,6,FALSE)</f>
        <v>531.30187700029421</v>
      </c>
      <c r="AX28" s="100">
        <f>VLOOKUP(TableTERanks33433745[[#This Row],[Player]],TE!B:O,7,FALSE)</f>
        <v>3.5973564588561588</v>
      </c>
      <c r="AY28" s="95">
        <f>VLOOKUP(TableTERanks33433745[[#This Row],[Player]],TE!B:O,11,FALSE)</f>
        <v>97.774303753526368</v>
      </c>
      <c r="AZ28" s="190">
        <f>TableTERanks33433745[[#This Row],[FPS]]-(TableTERanks33433745[[#This Row],[REC]]*0.5)</f>
        <v>74.714326453166379</v>
      </c>
    </row>
    <row r="29" spans="1:52" x14ac:dyDescent="0.25">
      <c r="A29" s="58">
        <v>28</v>
      </c>
      <c r="B29" s="58" t="str">
        <f>VLOOKUP(TableQBRanks30403438[[#This Row],[RK]],Rankings!A:T,3,FALSE)</f>
        <v>Jacoby Brissett</v>
      </c>
      <c r="C29" s="58" t="str">
        <f>IFERROR(INDEX(TableQBCalcPts[TM],MATCH(TableQBRanks30403438[[#This Row],[Player]],TableQBCalcPts[PLAYER],0)),"")</f>
        <v>ARI</v>
      </c>
      <c r="D29" s="58">
        <f>IFERROR(INDEX(TableQBCalcPts[BYE],MATCH(TableQBRanks30403438[[#This Row],[Player]],TableQBCalcPts[PLAYER],0)),"")</f>
        <v>14</v>
      </c>
      <c r="E29" s="100">
        <f>VLOOKUP(TableQBRanks30403438[[#This Row],[Player]],QB!B:O,4,FALSE)</f>
        <v>482.18800000000005</v>
      </c>
      <c r="F29" s="100">
        <f>VLOOKUP(TableQBRanks30403438[[#This Row],[Player]],QB!B:O,5,FALSE)</f>
        <v>309.56469600000003</v>
      </c>
      <c r="G29" s="100">
        <f>VLOOKUP(TableQBRanks30403438[[#This Row],[Player]],QB!B:O,6,FALSE)</f>
        <v>3231.8554262400003</v>
      </c>
      <c r="H29" s="100">
        <f>VLOOKUP(TableQBRanks30403438[[#This Row],[Player]],QB!B:O,7,FALSE)</f>
        <v>21.979093416000001</v>
      </c>
      <c r="I29" s="100">
        <f>VLOOKUP(TableQBRanks30403438[[#This Row],[Player]],QB!B:O,8,FALSE)</f>
        <v>7.9524469492371814</v>
      </c>
      <c r="J29" s="100">
        <f>VLOOKUP(TableQBRanks30403438[[#This Row],[Player]],QB!B:O,9,FALSE)</f>
        <v>44.117365599999999</v>
      </c>
      <c r="K29" s="100">
        <f>VLOOKUP(TableQBRanks30403438[[#This Row],[Player]],QB!B:O,10,FALSE)</f>
        <v>208.64678278208768</v>
      </c>
      <c r="L29" s="100">
        <f>VLOOKUP(TableQBRanks30403438[[#This Row],[Player]],QB!B:O,11,FALSE)</f>
        <v>1.1095870803243719</v>
      </c>
      <c r="M29" s="95">
        <f>VLOOKUP(TableQBRanks30403438[[#This Row],[Player]],QB!B:O,13,FALSE)</f>
        <v>311.67500095651786</v>
      </c>
      <c r="N29" s="140">
        <f>IF(VLOOKUP(TableQBRanks30403438[[#This Row],[Player]],'Ranks w Proj'!$B:$N,13,FALSE)&lt;0,0,VLOOKUP(TableQBRanks30403438[[#This Row],[Player]],'Ranks w Proj'!$B:$N,13,FALSE))</f>
        <v>0.28800227899591035</v>
      </c>
      <c r="P29" s="58">
        <v>28</v>
      </c>
      <c r="Q29" s="58" t="str">
        <f>VLOOKUP(TableRBRanks31413539[[#This Row],[RK]],Rankings!A:AY,38,FALSE)</f>
        <v>Rhamondre Stevenson</v>
      </c>
      <c r="R29" s="58" t="str">
        <f>IFERROR(INDEX(TableRBCalcPts[TM],MATCH(TableRBRanks31413539[[#This Row],[Player]],TableRBCalcPts[PLAYER],0)),"")</f>
        <v>NE</v>
      </c>
      <c r="S29" s="58">
        <f>IFERROR(INDEX(TableRBCalcPts[BYE],MATCH(TableRBRanks31413539[[#This Row],[Player]],TableRBCalcPts[PLAYER],0)),"")</f>
        <v>11</v>
      </c>
      <c r="T29" s="100">
        <f>VLOOKUP(TableRBRanks31413539[[#This Row],[Player]],RB!B:O,4,FALSE)</f>
        <v>160.43569219999998</v>
      </c>
      <c r="U29" s="100">
        <f>VLOOKUP(TableRBRanks31413539[[#This Row],[Player]],RB!B:O,5,FALSE)</f>
        <v>717.14754413399987</v>
      </c>
      <c r="V29" s="100">
        <f>VLOOKUP(TableRBRanks31413539[[#This Row],[Player]],RB!B:O,6,FALSE)</f>
        <v>7.2196061489999988</v>
      </c>
      <c r="W29" s="100">
        <f>VLOOKUP(TableRBRanks31413539[[#This Row],[Player]],RB!B:O,7,FALSE)</f>
        <v>53.447220399999971</v>
      </c>
      <c r="X29" s="100">
        <f>VLOOKUP(TableRBRanks31413539[[#This Row],[Player]],RB!B:O,8,FALSE)</f>
        <v>44.361192931999973</v>
      </c>
      <c r="Y29" s="100">
        <f>VLOOKUP(TableRBRanks31413539[[#This Row],[Player]],RB!B:O,9,FALSE)</f>
        <v>388.60405008431974</v>
      </c>
      <c r="Z29" s="100">
        <f>VLOOKUP(TableRBRanks31413539[[#This Row],[Player]],RB!B:O,10,FALSE)</f>
        <v>2.1634115036045016</v>
      </c>
      <c r="AA29" s="95">
        <f>VLOOKUP(TableRBRanks31413539[[#This Row],[Player]],RB!B:O,14,FALSE)</f>
        <v>189.05386180345894</v>
      </c>
      <c r="AB29" s="190">
        <f>TableRBRanks31413539[[#This Row],[FPS]]-(TableRBRanks31413539[[#This Row],[REC]]*0.5)</f>
        <v>166.87326533745895</v>
      </c>
      <c r="AD29" s="58">
        <v>28</v>
      </c>
      <c r="AE29" s="58" t="str">
        <f>VLOOKUP(TableWRRanks32423644[[#This Row],[RK]],Rankings!A:AZ,43,FALSE)</f>
        <v>Marvin Harrison</v>
      </c>
      <c r="AF29" s="58" t="str">
        <f>IFERROR(INDEX(TableWRCalcPts[TM],MATCH(TableWRRanks32423644[[#This Row],[Player]],TableWRCalcPts[PLAYER],0)),"")</f>
        <v>ARI</v>
      </c>
      <c r="AG29" s="58">
        <f>IFERROR(INDEX(TableWRCalcPts[BYE],MATCH(TableWRRanks32423644[[#This Row],[Player]],TableWRCalcPts[PLAYER],0)),"")</f>
        <v>14</v>
      </c>
      <c r="AH29" s="100">
        <f>VLOOKUP(TableWRRanks32423644[[#This Row],[Player]],WR!B:O,4,FALSE)</f>
        <v>0</v>
      </c>
      <c r="AI29" s="100">
        <f>VLOOKUP(TableWRRanks32423644[[#This Row],[Player]],WR!B:O,5,FALSE)</f>
        <v>0</v>
      </c>
      <c r="AJ29" s="100">
        <f>VLOOKUP(TableWRRanks32423644[[#This Row],[Player]],WR!B:O,6,FALSE)</f>
        <v>122.86150240000002</v>
      </c>
      <c r="AK29" s="100">
        <f>VLOOKUP(TableWRRanks32423644[[#This Row],[Player]],WR!B:O,7,FALSE)</f>
        <v>67.205241812800011</v>
      </c>
      <c r="AL29" s="100">
        <f>VLOOKUP(TableWRRanks32423644[[#This Row],[Player]],WR!B:O,8,FALSE)</f>
        <v>923.40002250787222</v>
      </c>
      <c r="AM29" s="100">
        <f>VLOOKUP(TableWRRanks32423644[[#This Row],[Player]],WR!B:O,9,FALSE)</f>
        <v>5.5108298286496016</v>
      </c>
      <c r="AN29" s="95">
        <f>VLOOKUP(TableWRRanks32423644[[#This Row],[Player]],WR!B:O,13,FALSE)</f>
        <v>159.00760212908483</v>
      </c>
      <c r="AO29" s="190">
        <f>TableWRRanks32423644[[#This Row],[FPS]]-(TableWRRanks32423644[[#This Row],[REC]]*0.5)</f>
        <v>125.40498122268482</v>
      </c>
      <c r="AQ29" s="58">
        <v>28</v>
      </c>
      <c r="AR29" s="58" t="str">
        <f>VLOOKUP(TableTERanks33433745[[#This Row],[RK]],Rankings!A:AZ,48,FALSE)</f>
        <v>Gunnar Helm</v>
      </c>
      <c r="AS29" s="58" t="str">
        <f>IFERROR(INDEX(TableTECalcPts[TM],MATCH(TableTERanks33433745[[#This Row],[Player]],TableTECalcPts[PLAYER],0)),"")</f>
        <v>TEN</v>
      </c>
      <c r="AT29" s="58">
        <f>IFERROR(INDEX(TableTECalcPts[BYE],MATCH(TableTERanks33433745[[#This Row],[Player]],TableTECalcPts[PLAYER],0)),"")</f>
        <v>9</v>
      </c>
      <c r="AU29" s="100">
        <f>VLOOKUP(TableTERanks33433745[[#This Row],[Player]],TE!B:O,4,FALSE)</f>
        <v>62.064011520000015</v>
      </c>
      <c r="AV29" s="100">
        <f>VLOOKUP(TableTERanks33433745[[#This Row],[Player]],TE!B:O,5,FALSE)</f>
        <v>43.568936087040008</v>
      </c>
      <c r="AW29" s="100">
        <f>VLOOKUP(TableTERanks33433745[[#This Row],[Player]],TE!B:O,6,FALSE)</f>
        <v>378.02372776164873</v>
      </c>
      <c r="AX29" s="100">
        <f>VLOOKUP(TableTERanks33433745[[#This Row],[Player]],TE!B:O,7,FALSE)</f>
        <v>3.0498255260928007</v>
      </c>
      <c r="AY29" s="95">
        <f>VLOOKUP(TableTERanks33433745[[#This Row],[Player]],TE!B:O,11,FALSE)</f>
        <v>77.885793976241686</v>
      </c>
      <c r="AZ29" s="190">
        <f>TableTERanks33433745[[#This Row],[FPS]]-(TableTERanks33433745[[#This Row],[REC]]*0.5)</f>
        <v>56.101325932721679</v>
      </c>
    </row>
    <row r="30" spans="1:52" x14ac:dyDescent="0.25">
      <c r="A30" s="58">
        <v>29</v>
      </c>
      <c r="B30" s="58" t="str">
        <f>VLOOKUP(TableQBRanks30403438[[#This Row],[RK]],Rankings!A:T,3,FALSE)</f>
        <v>Tua Tagovailoa</v>
      </c>
      <c r="C30" s="58" t="str">
        <f>IFERROR(INDEX(TableQBCalcPts[TM],MATCH(TableQBRanks30403438[[#This Row],[Player]],TableQBCalcPts[PLAYER],0)),"")</f>
        <v>ATL</v>
      </c>
      <c r="D30" s="58">
        <f>IFERROR(INDEX(TableQBCalcPts[BYE],MATCH(TableQBRanks30403438[[#This Row],[Player]],TableQBCalcPts[PLAYER],0)),"")</f>
        <v>11</v>
      </c>
      <c r="E30" s="100">
        <f>VLOOKUP(TableQBRanks30403438[[#This Row],[Player]],QB!B:O,4,FALSE)</f>
        <v>521.31780000000003</v>
      </c>
      <c r="F30" s="100">
        <f>VLOOKUP(TableQBRanks30403438[[#This Row],[Player]],QB!B:O,5,FALSE)</f>
        <v>348.04812762756814</v>
      </c>
      <c r="G30" s="100">
        <f>VLOOKUP(TableQBRanks30403438[[#This Row],[Player]],QB!B:O,6,FALSE)</f>
        <v>3842.4513290083519</v>
      </c>
      <c r="H30" s="100">
        <f>VLOOKUP(TableQBRanks30403438[[#This Row],[Player]],QB!B:O,7,FALSE)</f>
        <v>20.698284366937415</v>
      </c>
      <c r="I30" s="100">
        <f>VLOOKUP(TableQBRanks30403438[[#This Row],[Player]],QB!B:O,8,FALSE)</f>
        <v>12.815002775919732</v>
      </c>
      <c r="J30" s="100">
        <f>VLOOKUP(TableQBRanks30403438[[#This Row],[Player]],QB!B:O,9,FALSE)</f>
        <v>12.039519520000001</v>
      </c>
      <c r="K30" s="100">
        <f>VLOOKUP(TableQBRanks30403438[[#This Row],[Player]],QB!B:O,10,FALSE)</f>
        <v>32.117807809089577</v>
      </c>
      <c r="L30" s="100">
        <f>VLOOKUP(TableQBRanks30403438[[#This Row],[Player]],QB!B:O,11,FALSE)</f>
        <v>0.18059279280000001</v>
      </c>
      <c r="M30" s="95">
        <f>VLOOKUP(TableQBRanks30403438[[#This Row],[Player]],QB!B:O,13,FALSE)</f>
        <v>304.17290688650468</v>
      </c>
      <c r="N30" s="140">
        <f>IF(VLOOKUP(TableQBRanks30403438[[#This Row],[Player]],'Ranks w Proj'!$B:$N,13,FALSE)&lt;0,0,VLOOKUP(TableQBRanks30403438[[#This Row],[Player]],'Ranks w Proj'!$B:$N,13,FALSE))</f>
        <v>0</v>
      </c>
      <c r="P30" s="58">
        <v>29</v>
      </c>
      <c r="Q30" s="58" t="str">
        <f>VLOOKUP(TableRBRanks31413539[[#This Row],[RK]],Rankings!A:AY,38,FALSE)</f>
        <v>RJ Harvey</v>
      </c>
      <c r="R30" s="58" t="str">
        <f>IFERROR(INDEX(TableRBCalcPts[TM],MATCH(TableRBRanks31413539[[#This Row],[Player]],TableRBCalcPts[PLAYER],0)),"")</f>
        <v>DEN</v>
      </c>
      <c r="S30" s="58">
        <f>IFERROR(INDEX(TableRBCalcPts[BYE],MATCH(TableRBRanks31413539[[#This Row],[Player]],TableRBCalcPts[PLAYER],0)),"")</f>
        <v>10</v>
      </c>
      <c r="T30" s="100">
        <f>VLOOKUP(TableRBRanks31413539[[#This Row],[Player]],RB!B:O,4,FALSE)</f>
        <v>142.00873847999998</v>
      </c>
      <c r="U30" s="100">
        <f>VLOOKUP(TableRBRanks31413539[[#This Row],[Player]],RB!B:O,5,FALSE)</f>
        <v>576.55547822879987</v>
      </c>
      <c r="V30" s="100">
        <f>VLOOKUP(TableRBRanks31413539[[#This Row],[Player]],RB!B:O,6,FALSE)</f>
        <v>5.1123145852799992</v>
      </c>
      <c r="W30" s="100">
        <f>VLOOKUP(TableRBRanks31413539[[#This Row],[Player]],RB!B:O,7,FALSE)</f>
        <v>60.491193840000008</v>
      </c>
      <c r="X30" s="100">
        <f>VLOOKUP(TableRBRanks31413539[[#This Row],[Player]],RB!B:O,8,FALSE)</f>
        <v>47.630766029615998</v>
      </c>
      <c r="Y30" s="100">
        <f>VLOOKUP(TableRBRanks31413539[[#This Row],[Player]],RB!B:O,9,FALSE)</f>
        <v>339.28814059593606</v>
      </c>
      <c r="Z30" s="100">
        <f>VLOOKUP(TableRBRanks31413539[[#This Row],[Player]],RB!B:O,10,FALSE)</f>
        <v>3.3341536220731203</v>
      </c>
      <c r="AA30" s="95">
        <f>VLOOKUP(TableRBRanks31413539[[#This Row],[Player]],RB!B:O,14,FALSE)</f>
        <v>166.0785541414003</v>
      </c>
      <c r="AB30" s="190">
        <f>TableRBRanks31413539[[#This Row],[FPS]]-(TableRBRanks31413539[[#This Row],[REC]]*0.5)</f>
        <v>142.26317112659231</v>
      </c>
      <c r="AD30" s="58">
        <v>29</v>
      </c>
      <c r="AE30" s="58" t="str">
        <f>VLOOKUP(TableWRRanks32423644[[#This Row],[RK]],Rankings!A:AZ,43,FALSE)</f>
        <v>Rome Odunze</v>
      </c>
      <c r="AF30" s="58" t="str">
        <f>IFERROR(INDEX(TableWRCalcPts[TM],MATCH(TableWRRanks32423644[[#This Row],[Player]],TableWRCalcPts[PLAYER],0)),"")</f>
        <v>CHI</v>
      </c>
      <c r="AG30" s="58">
        <f>IFERROR(INDEX(TableWRCalcPts[BYE],MATCH(TableWRRanks32423644[[#This Row],[Player]],TableWRCalcPts[PLAYER],0)),"")</f>
        <v>10</v>
      </c>
      <c r="AH30" s="100">
        <f>VLOOKUP(TableWRRanks32423644[[#This Row],[Player]],WR!B:O,4,FALSE)</f>
        <v>0</v>
      </c>
      <c r="AI30" s="100">
        <f>VLOOKUP(TableWRRanks32423644[[#This Row],[Player]],WR!B:O,5,FALSE)</f>
        <v>0</v>
      </c>
      <c r="AJ30" s="100">
        <f>VLOOKUP(TableWRRanks32423644[[#This Row],[Player]],WR!B:O,6,FALSE)</f>
        <v>128.57720736000002</v>
      </c>
      <c r="AK30" s="100">
        <f>VLOOKUP(TableWRRanks32423644[[#This Row],[Player]],WR!B:O,7,FALSE)</f>
        <v>66.021181549176006</v>
      </c>
      <c r="AL30" s="100">
        <f>VLOOKUP(TableWRRanks32423644[[#This Row],[Player]],WR!B:O,8,FALSE)</f>
        <v>982.39518145173906</v>
      </c>
      <c r="AM30" s="100">
        <f>VLOOKUP(TableWRRanks32423644[[#This Row],[Player]],WR!B:O,9,FALSE)</f>
        <v>7.1302876073110086</v>
      </c>
      <c r="AN30" s="95">
        <f>VLOOKUP(TableWRRanks32423644[[#This Row],[Player]],WR!B:O,13,FALSE)</f>
        <v>174.03183456362797</v>
      </c>
      <c r="AO30" s="190">
        <f>TableWRRanks32423644[[#This Row],[FPS]]-(TableWRRanks32423644[[#This Row],[REC]]*0.5)</f>
        <v>141.02124378903997</v>
      </c>
      <c r="AQ30" s="58">
        <v>29</v>
      </c>
      <c r="AR30" s="58" t="str">
        <f>VLOOKUP(TableTERanks33433745[[#This Row],[RK]],Rankings!A:AZ,48,FALSE)</f>
        <v>AJ Barner</v>
      </c>
      <c r="AS30" s="58" t="str">
        <f>IFERROR(INDEX(TableTECalcPts[TM],MATCH(TableTERanks33433745[[#This Row],[Player]],TableTECalcPts[PLAYER],0)),"")</f>
        <v>SEA</v>
      </c>
      <c r="AT30" s="58">
        <f>IFERROR(INDEX(TableTECalcPts[BYE],MATCH(TableTERanks33433745[[#This Row],[Player]],TableTECalcPts[PLAYER],0)),"")</f>
        <v>11</v>
      </c>
      <c r="AU30" s="100">
        <f>VLOOKUP(TableTERanks33433745[[#This Row],[Player]],TE!B:O,4,FALSE)</f>
        <v>59.557837919999997</v>
      </c>
      <c r="AV30" s="100">
        <f>VLOOKUP(TableTERanks33433745[[#This Row],[Player]],TE!B:O,5,FALSE)</f>
        <v>40.742325764313591</v>
      </c>
      <c r="AW30" s="100">
        <f>VLOOKUP(TableTERanks33433745[[#This Row],[Player]],TE!B:O,6,FALSE)</f>
        <v>415.97914605364178</v>
      </c>
      <c r="AX30" s="100">
        <f>VLOOKUP(TableTERanks33433745[[#This Row],[Player]],TE!B:O,7,FALSE)</f>
        <v>3.7482939703168503</v>
      </c>
      <c r="AY30" s="95">
        <f>VLOOKUP(TableTERanks33433745[[#This Row],[Player]],TE!B:O,11,FALSE)</f>
        <v>84.45884130942207</v>
      </c>
      <c r="AZ30" s="190">
        <f>TableTERanks33433745[[#This Row],[FPS]]-(TableTERanks33433745[[#This Row],[REC]]*0.5)</f>
        <v>64.087678427265274</v>
      </c>
    </row>
    <row r="31" spans="1:52" x14ac:dyDescent="0.25">
      <c r="A31" s="58">
        <v>30</v>
      </c>
      <c r="B31" s="58" t="str">
        <f>VLOOKUP(TableQBRanks30403438[[#This Row],[RK]],Rankings!A:T,3,FALSE)</f>
        <v>Geno Smith</v>
      </c>
      <c r="C31" s="58" t="str">
        <f>IFERROR(INDEX(TableQBCalcPts[TM],MATCH(TableQBRanks30403438[[#This Row],[Player]],TableQBCalcPts[PLAYER],0)),"")</f>
        <v>NYJ</v>
      </c>
      <c r="D31" s="58">
        <f>IFERROR(INDEX(TableQBCalcPts[BYE],MATCH(TableQBRanks30403438[[#This Row],[Player]],TableQBCalcPts[PLAYER],0)),"")</f>
        <v>13</v>
      </c>
      <c r="E31" s="100">
        <f>VLOOKUP(TableQBRanks30403438[[#This Row],[Player]],QB!B:O,4,FALSE)</f>
        <v>516.07799999999997</v>
      </c>
      <c r="F31" s="100">
        <f>VLOOKUP(TableQBRanks30403438[[#This Row],[Player]],QB!B:O,5,FALSE)</f>
        <v>353.25066783130609</v>
      </c>
      <c r="G31" s="100">
        <f>VLOOKUP(TableQBRanks30403438[[#This Row],[Player]],QB!B:O,6,FALSE)</f>
        <v>3634.3919552186435</v>
      </c>
      <c r="H31" s="100">
        <f>VLOOKUP(TableQBRanks30403438[[#This Row],[Player]],QB!B:O,7,FALSE)</f>
        <v>20.135288066384447</v>
      </c>
      <c r="I31" s="100">
        <f>VLOOKUP(TableQBRanks30403438[[#This Row],[Player]],QB!B:O,8,FALSE)</f>
        <v>15.203887356812446</v>
      </c>
      <c r="J31" s="100">
        <f>VLOOKUP(TableQBRanks30403438[[#This Row],[Player]],QB!B:O,9,FALSE)</f>
        <v>41.544983200000004</v>
      </c>
      <c r="K31" s="100">
        <f>VLOOKUP(TableQBRanks30403438[[#This Row],[Player]],QB!B:O,10,FALSE)</f>
        <v>140.9459324385553</v>
      </c>
      <c r="L31" s="100">
        <f>VLOOKUP(TableQBRanks30403438[[#This Row],[Player]],QB!B:O,11,FALSE)</f>
        <v>0.74780969760000005</v>
      </c>
      <c r="M31" s="95">
        <f>VLOOKUP(TableQBRanks30403438[[#This Row],[Player]],QB!B:O,13,FALSE)</f>
        <v>304.89003746282606</v>
      </c>
      <c r="N31" s="140">
        <f>IF(VLOOKUP(TableQBRanks30403438[[#This Row],[Player]],'Ranks w Proj'!$B:$N,13,FALSE)&lt;0,0,VLOOKUP(TableQBRanks30403438[[#This Row],[Player]],'Ranks w Proj'!$B:$N,13,FALSE))</f>
        <v>0</v>
      </c>
      <c r="P31" s="58">
        <v>30</v>
      </c>
      <c r="Q31" s="58" t="str">
        <f>VLOOKUP(TableRBRanks31413539[[#This Row],[RK]],Rankings!A:AY,38,FALSE)</f>
        <v>Kenneth Gainwell</v>
      </c>
      <c r="R31" s="58" t="str">
        <f>IFERROR(INDEX(TableRBCalcPts[TM],MATCH(TableRBRanks31413539[[#This Row],[Player]],TableRBCalcPts[PLAYER],0)),"")</f>
        <v>TB</v>
      </c>
      <c r="S31" s="58">
        <f>IFERROR(INDEX(TableRBCalcPts[BYE],MATCH(TableRBRanks31413539[[#This Row],[Player]],TableRBCalcPts[PLAYER],0)),"")</f>
        <v>10</v>
      </c>
      <c r="T31" s="100">
        <f>VLOOKUP(TableRBRanks31413539[[#This Row],[Player]],RB!B:O,4,FALSE)</f>
        <v>175.09041913999999</v>
      </c>
      <c r="U31" s="100">
        <f>VLOOKUP(TableRBRanks31413539[[#This Row],[Player]],RB!B:O,5,FALSE)</f>
        <v>754.6397064933999</v>
      </c>
      <c r="V31" s="100">
        <f>VLOOKUP(TableRBRanks31413539[[#This Row],[Player]],RB!B:O,6,FALSE)</f>
        <v>5.7779838316200003</v>
      </c>
      <c r="W31" s="100">
        <f>VLOOKUP(TableRBRanks31413539[[#This Row],[Player]],RB!B:O,7,FALSE)</f>
        <v>57.390234719999974</v>
      </c>
      <c r="X31" s="100">
        <f>VLOOKUP(TableRBRanks31413539[[#This Row],[Player]],RB!B:O,8,FALSE)</f>
        <v>48.93924133279998</v>
      </c>
      <c r="Y31" s="100">
        <f>VLOOKUP(TableRBRanks31413539[[#This Row],[Player]],RB!B:O,9,FALSE)</f>
        <v>354.80949966279985</v>
      </c>
      <c r="Z31" s="100">
        <f>VLOOKUP(TableRBRanks31413539[[#This Row],[Player]],RB!B:O,10,FALSE)</f>
        <v>1.9575696533119993</v>
      </c>
      <c r="AA31" s="95">
        <f>VLOOKUP(TableRBRanks31413539[[#This Row],[Player]],RB!B:O,14,FALSE)</f>
        <v>181.82786219161196</v>
      </c>
      <c r="AB31" s="190">
        <f>TableRBRanks31413539[[#This Row],[FPS]]-(TableRBRanks31413539[[#This Row],[REC]]*0.5)</f>
        <v>157.35824152521195</v>
      </c>
      <c r="AD31" s="58">
        <v>30</v>
      </c>
      <c r="AE31" s="58" t="str">
        <f>VLOOKUP(TableWRRanks32423644[[#This Row],[RK]],Rankings!A:AZ,43,FALSE)</f>
        <v>Alec Pierce</v>
      </c>
      <c r="AF31" s="58" t="str">
        <f>IFERROR(INDEX(TableWRCalcPts[TM],MATCH(TableWRRanks32423644[[#This Row],[Player]],TableWRCalcPts[PLAYER],0)),"")</f>
        <v>IND</v>
      </c>
      <c r="AG31" s="58">
        <f>IFERROR(INDEX(TableWRCalcPts[BYE],MATCH(TableWRRanks32423644[[#This Row],[Player]],TableWRCalcPts[PLAYER],0)),"")</f>
        <v>13</v>
      </c>
      <c r="AH31" s="100">
        <f>VLOOKUP(TableWRRanks32423644[[#This Row],[Player]],WR!B:O,4,FALSE)</f>
        <v>0</v>
      </c>
      <c r="AI31" s="100">
        <f>VLOOKUP(TableWRRanks32423644[[#This Row],[Player]],WR!B:O,5,FALSE)</f>
        <v>0</v>
      </c>
      <c r="AJ31" s="100">
        <f>VLOOKUP(TableWRRanks32423644[[#This Row],[Player]],WR!B:O,6,FALSE)</f>
        <v>117.06562559999999</v>
      </c>
      <c r="AK31" s="100">
        <f>VLOOKUP(TableWRRanks32423644[[#This Row],[Player]],WR!B:O,7,FALSE)</f>
        <v>62.957348956398128</v>
      </c>
      <c r="AL31" s="100">
        <f>VLOOKUP(TableWRRanks32423644[[#This Row],[Player]],WR!B:O,8,FALSE)</f>
        <v>1044.6940058485879</v>
      </c>
      <c r="AM31" s="100">
        <f>VLOOKUP(TableWRRanks32423644[[#This Row],[Player]],WR!B:O,9,FALSE)</f>
        <v>6.1068628487706187</v>
      </c>
      <c r="AN31" s="95">
        <f>VLOOKUP(TableWRRanks32423644[[#This Row],[Player]],WR!B:O,13,FALSE)</f>
        <v>172.58925215568158</v>
      </c>
      <c r="AO31" s="190">
        <f>TableWRRanks32423644[[#This Row],[FPS]]-(TableWRRanks32423644[[#This Row],[REC]]*0.5)</f>
        <v>141.11057767748252</v>
      </c>
      <c r="AQ31" s="58">
        <v>30</v>
      </c>
      <c r="AR31" s="58" t="str">
        <f>VLOOKUP(TableTERanks33433745[[#This Row],[RK]],Rankings!A:AZ,48,FALSE)</f>
        <v>Mike Gesicki</v>
      </c>
      <c r="AS31" s="58" t="str">
        <f>IFERROR(INDEX(TableTECalcPts[TM],MATCH(TableTERanks33433745[[#This Row],[Player]],TableTECalcPts[PLAYER],0)),"")</f>
        <v>CIN</v>
      </c>
      <c r="AT31" s="58">
        <f>IFERROR(INDEX(TableTECalcPts[BYE],MATCH(TableTERanks33433745[[#This Row],[Player]],TableTECalcPts[PLAYER],0)),"")</f>
        <v>6</v>
      </c>
      <c r="AU31" s="100">
        <f>VLOOKUP(TableTERanks33433745[[#This Row],[Player]],TE!B:O,4,FALSE)</f>
        <v>61.373112500000005</v>
      </c>
      <c r="AV31" s="100">
        <f>VLOOKUP(TableTERanks33433745[[#This Row],[Player]],TE!B:O,5,FALSE)</f>
        <v>42.427763056172843</v>
      </c>
      <c r="AW31" s="100">
        <f>VLOOKUP(TableTERanks33433745[[#This Row],[Player]],TE!B:O,6,FALSE)</f>
        <v>435.01981948109574</v>
      </c>
      <c r="AX31" s="100">
        <f>VLOOKUP(TableTERanks33433745[[#This Row],[Player]],TE!B:O,7,FALSE)</f>
        <v>3.8184986750555558</v>
      </c>
      <c r="AY31" s="95">
        <f>VLOOKUP(TableTERanks33433745[[#This Row],[Player]],TE!B:O,11,FALSE)</f>
        <v>87.626855526529326</v>
      </c>
      <c r="AZ31" s="190">
        <f>TableTERanks33433745[[#This Row],[FPS]]-(TableTERanks33433745[[#This Row],[REC]]*0.5)</f>
        <v>66.412973998442908</v>
      </c>
    </row>
    <row r="32" spans="1:52" x14ac:dyDescent="0.25">
      <c r="A32" s="58">
        <v>31</v>
      </c>
      <c r="B32" s="58" t="str">
        <f>VLOOKUP(TableQBRanks30403438[[#This Row],[RK]],Rankings!A:T,3,FALSE)</f>
        <v>Kirk Cousins</v>
      </c>
      <c r="C32" s="58" t="str">
        <f>IFERROR(INDEX(TableQBCalcPts[TM],MATCH(TableQBRanks30403438[[#This Row],[Player]],TableQBCalcPts[PLAYER],0)),"")</f>
        <v>LV</v>
      </c>
      <c r="D32" s="58">
        <f>IFERROR(INDEX(TableQBCalcPts[BYE],MATCH(TableQBRanks30403438[[#This Row],[Player]],TableQBCalcPts[PLAYER],0)),"")</f>
        <v>13</v>
      </c>
      <c r="E32" s="100">
        <f>VLOOKUP(TableQBRanks30403438[[#This Row],[Player]],QB!B:O,4,FALSE)</f>
        <v>361.01520000000005</v>
      </c>
      <c r="F32" s="100">
        <f>VLOOKUP(TableQBRanks30403438[[#This Row],[Player]],QB!B:O,5,FALSE)</f>
        <v>231.41074320000004</v>
      </c>
      <c r="G32" s="100">
        <f>VLOOKUP(TableQBRanks30403438[[#This Row],[Player]],QB!B:O,6,FALSE)</f>
        <v>2420.5563738720007</v>
      </c>
      <c r="H32" s="100">
        <f>VLOOKUP(TableQBRanks30403438[[#This Row],[Player]],QB!B:O,7,FALSE)</f>
        <v>13.421823105600003</v>
      </c>
      <c r="I32" s="100">
        <f>VLOOKUP(TableQBRanks30403438[[#This Row],[Player]],QB!B:O,8,FALSE)</f>
        <v>9.2329876300190143</v>
      </c>
      <c r="J32" s="100">
        <f>VLOOKUP(TableQBRanks30403438[[#This Row],[Player]],QB!B:O,9,FALSE)</f>
        <v>2.2177007999999994</v>
      </c>
      <c r="K32" s="100">
        <f>VLOOKUP(TableQBRanks30403438[[#This Row],[Player]],QB!B:O,10,FALSE)</f>
        <v>3.4338593032258053</v>
      </c>
      <c r="L32" s="100">
        <f>VLOOKUP(TableQBRanks30403438[[#This Row],[Player]],QB!B:O,11,FALSE)</f>
        <v>2.3846245161290313E-2</v>
      </c>
      <c r="M32" s="95">
        <f>VLOOKUP(TableQBRanks30403438[[#This Row],[Player]],QB!B:O,13,FALSE)</f>
        <v>191.74774367975132</v>
      </c>
      <c r="N32" s="140">
        <f>IF(VLOOKUP(TableQBRanks30403438[[#This Row],[Player]],'Ranks w Proj'!$B:$N,13,FALSE)&lt;0,0,VLOOKUP(TableQBRanks30403438[[#This Row],[Player]],'Ranks w Proj'!$B:$N,13,FALSE))</f>
        <v>0</v>
      </c>
      <c r="P32" s="58">
        <v>31</v>
      </c>
      <c r="Q32" s="58" t="str">
        <f>VLOOKUP(TableRBRanks31413539[[#This Row],[RK]],Rankings!A:AY,38,FALSE)</f>
        <v>Chuba Hubbard</v>
      </c>
      <c r="R32" s="58" t="str">
        <f>IFERROR(INDEX(TableRBCalcPts[TM],MATCH(TableRBRanks31413539[[#This Row],[Player]],TableRBCalcPts[PLAYER],0)),"")</f>
        <v>CAR</v>
      </c>
      <c r="S32" s="58">
        <f>IFERROR(INDEX(TableRBCalcPts[BYE],MATCH(TableRBRanks31413539[[#This Row],[Player]],TableRBCalcPts[PLAYER],0)),"")</f>
        <v>5</v>
      </c>
      <c r="T32" s="100">
        <f>VLOOKUP(TableRBRanks31413539[[#This Row],[Player]],RB!B:O,4,FALSE)</f>
        <v>191.69211599999997</v>
      </c>
      <c r="U32" s="100">
        <f>VLOOKUP(TableRBRanks31413539[[#This Row],[Player]],RB!B:O,5,FALSE)</f>
        <v>805.10688719999996</v>
      </c>
      <c r="V32" s="100">
        <f>VLOOKUP(TableRBRanks31413539[[#This Row],[Player]],RB!B:O,6,FALSE)</f>
        <v>4.7923028999999993</v>
      </c>
      <c r="W32" s="100">
        <f>VLOOKUP(TableRBRanks31413539[[#This Row],[Player]],RB!B:O,7,FALSE)</f>
        <v>55.999943999999992</v>
      </c>
      <c r="X32" s="100">
        <f>VLOOKUP(TableRBRanks31413539[[#This Row],[Player]],RB!B:O,8,FALSE)</f>
        <v>42.223957775999992</v>
      </c>
      <c r="Y32" s="100">
        <f>VLOOKUP(TableRBRanks31413539[[#This Row],[Player]],RB!B:O,9,FALSE)</f>
        <v>268.52151761299984</v>
      </c>
      <c r="Z32" s="100">
        <f>VLOOKUP(TableRBRanks31413539[[#This Row],[Player]],RB!B:O,10,FALSE)</f>
        <v>2.0689739310239998</v>
      </c>
      <c r="AA32" s="95">
        <f>VLOOKUP(TableRBRanks31413539[[#This Row],[Player]],RB!B:O,14,FALSE)</f>
        <v>169.64248035544395</v>
      </c>
      <c r="AB32" s="190">
        <f>TableRBRanks31413539[[#This Row],[FPS]]-(TableRBRanks31413539[[#This Row],[REC]]*0.5)</f>
        <v>148.53050146744397</v>
      </c>
      <c r="AD32" s="58">
        <v>31</v>
      </c>
      <c r="AE32" s="58" t="str">
        <f>VLOOKUP(TableWRRanks32423644[[#This Row],[RK]],Rankings!A:AZ,43,FALSE)</f>
        <v>Jordyn Tyson</v>
      </c>
      <c r="AF32" s="58" t="str">
        <f>IFERROR(INDEX(TableWRCalcPts[TM],MATCH(TableWRRanks32423644[[#This Row],[Player]],TableWRCalcPts[PLAYER],0)),"")</f>
        <v>NO</v>
      </c>
      <c r="AG32" s="58">
        <f>IFERROR(INDEX(TableWRCalcPts[BYE],MATCH(TableWRRanks32423644[[#This Row],[Player]],TableWRCalcPts[PLAYER],0)),"")</f>
        <v>8</v>
      </c>
      <c r="AH32" s="100">
        <f>VLOOKUP(TableWRRanks32423644[[#This Row],[Player]],WR!B:O,4,FALSE)</f>
        <v>0</v>
      </c>
      <c r="AI32" s="100">
        <f>VLOOKUP(TableWRRanks32423644[[#This Row],[Player]],WR!B:O,5,FALSE)</f>
        <v>0</v>
      </c>
      <c r="AJ32" s="100">
        <f>VLOOKUP(TableWRRanks32423644[[#This Row],[Player]],WR!B:O,6,FALSE)</f>
        <v>114.75853312000001</v>
      </c>
      <c r="AK32" s="100">
        <f>VLOOKUP(TableWRRanks32423644[[#This Row],[Player]],WR!B:O,7,FALSE)</f>
        <v>70.920773468160007</v>
      </c>
      <c r="AL32" s="100">
        <f>VLOOKUP(TableWRRanks32423644[[#This Row],[Player]],WR!B:O,8,FALSE)</f>
        <v>919.13322414735376</v>
      </c>
      <c r="AM32" s="100">
        <f>VLOOKUP(TableWRRanks32423644[[#This Row],[Player]],WR!B:O,9,FALSE)</f>
        <v>6.0991865182617602</v>
      </c>
      <c r="AN32" s="95">
        <f>VLOOKUP(TableWRRanks32423644[[#This Row],[Player]],WR!B:O,13,FALSE)</f>
        <v>163.96882825838594</v>
      </c>
      <c r="AO32" s="190">
        <f>TableWRRanks32423644[[#This Row],[FPS]]-(TableWRRanks32423644[[#This Row],[REC]]*0.5)</f>
        <v>128.50844152430594</v>
      </c>
      <c r="AQ32" s="58">
        <v>31</v>
      </c>
      <c r="AR32" s="58" t="str">
        <f>VLOOKUP(TableTERanks33433745[[#This Row],[RK]],Rankings!A:AZ,48,FALSE)</f>
        <v>Cade Otton</v>
      </c>
      <c r="AS32" s="58" t="str">
        <f>IFERROR(INDEX(TableTECalcPts[TM],MATCH(TableTERanks33433745[[#This Row],[Player]],TableTECalcPts[PLAYER],0)),"")</f>
        <v>TB</v>
      </c>
      <c r="AT32" s="58">
        <f>IFERROR(INDEX(TableTECalcPts[BYE],MATCH(TableTERanks33433745[[#This Row],[Player]],TableTECalcPts[PLAYER],0)),"")</f>
        <v>10</v>
      </c>
      <c r="AU32" s="100">
        <f>VLOOKUP(TableTERanks33433745[[#This Row],[Player]],TE!B:O,4,FALSE)</f>
        <v>73.393280939999983</v>
      </c>
      <c r="AV32" s="100">
        <f>VLOOKUP(TableTERanks33433745[[#This Row],[Player]],TE!B:O,5,FALSE)</f>
        <v>48.586351982279993</v>
      </c>
      <c r="AW32" s="100">
        <f>VLOOKUP(TableTERanks33433745[[#This Row],[Player]],TE!B:O,6,FALSE)</f>
        <v>469.83002366864753</v>
      </c>
      <c r="AX32" s="100">
        <f>VLOOKUP(TableTERanks33433745[[#This Row],[Player]],TE!B:O,7,FALSE)</f>
        <v>2.7694220629899595</v>
      </c>
      <c r="AY32" s="95">
        <f>VLOOKUP(TableTERanks33433745[[#This Row],[Player]],TE!B:O,11,FALSE)</f>
        <v>87.892710735944519</v>
      </c>
      <c r="AZ32" s="190">
        <f>TableTERanks33433745[[#This Row],[FPS]]-(TableTERanks33433745[[#This Row],[REC]]*0.5)</f>
        <v>63.599534744804522</v>
      </c>
    </row>
    <row r="33" spans="1:52" x14ac:dyDescent="0.25">
      <c r="A33" s="58">
        <v>32</v>
      </c>
      <c r="B33" s="58" t="str">
        <f>VLOOKUP(TableQBRanks30403438[[#This Row],[RK]],Rankings!A:T,3,FALSE)</f>
        <v>Deshaun Watson</v>
      </c>
      <c r="C33" s="58" t="str">
        <f>IFERROR(INDEX(TableQBCalcPts[TM],MATCH(TableQBRanks30403438[[#This Row],[Player]],TableQBCalcPts[PLAYER],0)),"")</f>
        <v>CLE</v>
      </c>
      <c r="D33" s="58">
        <f>IFERROR(INDEX(TableQBCalcPts[BYE],MATCH(TableQBRanks30403438[[#This Row],[Player]],TableQBCalcPts[PLAYER],0)),"")</f>
        <v>11</v>
      </c>
      <c r="E33" s="100">
        <f>VLOOKUP(TableQBRanks30403438[[#This Row],[Player]],QB!B:O,4,FALSE)</f>
        <v>242.35199999999998</v>
      </c>
      <c r="F33" s="100">
        <f>VLOOKUP(TableQBRanks30403438[[#This Row],[Player]],QB!B:O,5,FALSE)</f>
        <v>147.35001599999998</v>
      </c>
      <c r="G33" s="100">
        <f>VLOOKUP(TableQBRanks30403438[[#This Row],[Player]],QB!B:O,6,FALSE)</f>
        <v>1611.9485293795922</v>
      </c>
      <c r="H33" s="100">
        <f>VLOOKUP(TableQBRanks30403438[[#This Row],[Player]],QB!B:O,7,FALSE)</f>
        <v>9.1357009919999985</v>
      </c>
      <c r="I33" s="100">
        <f>VLOOKUP(TableQBRanks30403438[[#This Row],[Player]],QB!B:O,8,FALSE)</f>
        <v>6.0999914062062128</v>
      </c>
      <c r="J33" s="100">
        <f>VLOOKUP(TableQBRanks30403438[[#This Row],[Player]],QB!B:O,9,FALSE)</f>
        <v>32.811870000000006</v>
      </c>
      <c r="K33" s="100">
        <f>VLOOKUP(TableQBRanks30403438[[#This Row],[Player]],QB!B:O,10,FALSE)</f>
        <v>145.09293616257241</v>
      </c>
      <c r="L33" s="100">
        <f>VLOOKUP(TableQBRanks30403438[[#This Row],[Player]],QB!B:O,11,FALSE)</f>
        <v>0.95389752307357867</v>
      </c>
      <c r="M33" s="95">
        <f>VLOOKUP(TableQBRanks30403438[[#This Row],[Player]],QB!B:O,13,FALSE)</f>
        <v>148.1598360756762</v>
      </c>
      <c r="N33" s="140">
        <f>IF(VLOOKUP(TableQBRanks30403438[[#This Row],[Player]],'Ranks w Proj'!$B:$N,13,FALSE)&lt;0,0,VLOOKUP(TableQBRanks30403438[[#This Row],[Player]],'Ranks w Proj'!$B:$N,13,FALSE))</f>
        <v>0</v>
      </c>
      <c r="P33" s="58">
        <v>32</v>
      </c>
      <c r="Q33" s="58" t="str">
        <f>VLOOKUP(TableRBRanks31413539[[#This Row],[RK]],Rankings!A:AY,38,FALSE)</f>
        <v>J.K. Dobbins</v>
      </c>
      <c r="R33" s="58" t="str">
        <f>IFERROR(INDEX(TableRBCalcPts[TM],MATCH(TableRBRanks31413539[[#This Row],[Player]],TableRBCalcPts[PLAYER],0)),"")</f>
        <v>DEN</v>
      </c>
      <c r="S33" s="58">
        <f>IFERROR(INDEX(TableRBCalcPts[BYE],MATCH(TableRBRanks31413539[[#This Row],[Player]],TableRBCalcPts[PLAYER],0)),"")</f>
        <v>10</v>
      </c>
      <c r="T33" s="100">
        <f>VLOOKUP(TableRBRanks31413539[[#This Row],[Player]],RB!B:O,4,FALSE)</f>
        <v>154.06608419999998</v>
      </c>
      <c r="U33" s="100">
        <f>VLOOKUP(TableRBRanks31413539[[#This Row],[Player]],RB!B:O,5,FALSE)</f>
        <v>735.81051523953079</v>
      </c>
      <c r="V33" s="100">
        <f>VLOOKUP(TableRBRanks31413539[[#This Row],[Player]],RB!B:O,6,FALSE)</f>
        <v>4.7760486101999993</v>
      </c>
      <c r="W33" s="100">
        <f>VLOOKUP(TableRBRanks31413539[[#This Row],[Player]],RB!B:O,7,FALSE)</f>
        <v>21.68552232</v>
      </c>
      <c r="X33" s="100">
        <f>VLOOKUP(TableRBRanks31413539[[#This Row],[Player]],RB!B:O,8,FALSE)</f>
        <v>15.256422089159999</v>
      </c>
      <c r="Y33" s="100">
        <f>VLOOKUP(TableRBRanks31413539[[#This Row],[Player]],RB!B:O,9,FALSE)</f>
        <v>74.466112235760008</v>
      </c>
      <c r="Z33" s="100">
        <f>VLOOKUP(TableRBRanks31413539[[#This Row],[Player]],RB!B:O,10,FALSE)</f>
        <v>0.50303840412000012</v>
      </c>
      <c r="AA33" s="95">
        <f>VLOOKUP(TableRBRanks31413539[[#This Row],[Player]],RB!B:O,14,FALSE)</f>
        <v>120.33039587802907</v>
      </c>
      <c r="AB33" s="190">
        <f>TableRBRanks31413539[[#This Row],[FPS]]-(TableRBRanks31413539[[#This Row],[REC]]*0.5)</f>
        <v>112.70218483344907</v>
      </c>
      <c r="AD33" s="58">
        <v>32</v>
      </c>
      <c r="AE33" s="58" t="str">
        <f>VLOOKUP(TableWRRanks32423644[[#This Row],[RK]],Rankings!A:AZ,43,FALSE)</f>
        <v>Parker Washington</v>
      </c>
      <c r="AF33" s="58" t="str">
        <f>IFERROR(INDEX(TableWRCalcPts[TM],MATCH(TableWRRanks32423644[[#This Row],[Player]],TableWRCalcPts[PLAYER],0)),"")</f>
        <v>JAX</v>
      </c>
      <c r="AG33" s="58">
        <f>IFERROR(INDEX(TableWRCalcPts[BYE],MATCH(TableWRRanks32423644[[#This Row],[Player]],TableWRCalcPts[PLAYER],0)),"")</f>
        <v>7</v>
      </c>
      <c r="AH33" s="100">
        <f>VLOOKUP(TableWRRanks32423644[[#This Row],[Player]],WR!B:O,4,FALSE)</f>
        <v>22.757878499999997</v>
      </c>
      <c r="AI33" s="100">
        <f>VLOOKUP(TableWRRanks32423644[[#This Row],[Player]],WR!B:O,5,FALSE)</f>
        <v>0.17949876000000001</v>
      </c>
      <c r="AJ33" s="100">
        <f>VLOOKUP(TableWRRanks32423644[[#This Row],[Player]],WR!B:O,6,FALSE)</f>
        <v>125.92644750000001</v>
      </c>
      <c r="AK33" s="100">
        <f>VLOOKUP(TableWRRanks32423644[[#This Row],[Player]],WR!B:O,7,FALSE)</f>
        <v>78.578103240000004</v>
      </c>
      <c r="AL33" s="100">
        <f>VLOOKUP(TableWRRanks32423644[[#This Row],[Player]],WR!B:O,8,FALSE)</f>
        <v>1057.6612696104</v>
      </c>
      <c r="AM33" s="100">
        <f>VLOOKUP(TableWRRanks32423644[[#This Row],[Player]],WR!B:O,9,FALSE)</f>
        <v>6.6005606721600012</v>
      </c>
      <c r="AN33" s="95">
        <f>VLOOKUP(TableWRRanks32423644[[#This Row],[Player]],WR!B:O,13,FALSE)</f>
        <v>188.01132302400001</v>
      </c>
      <c r="AO33" s="190">
        <f>TableWRRanks32423644[[#This Row],[FPS]]-(TableWRRanks32423644[[#This Row],[REC]]*0.5)</f>
        <v>148.722271404</v>
      </c>
      <c r="AQ33" s="58">
        <v>32</v>
      </c>
      <c r="AR33" s="58" t="str">
        <f>VLOOKUP(TableTERanks33433745[[#This Row],[RK]],Rankings!A:AZ,48,FALSE)</f>
        <v>Dawson Knox</v>
      </c>
      <c r="AS33" s="58" t="str">
        <f>IFERROR(INDEX(TableTECalcPts[TM],MATCH(TableTERanks33433745[[#This Row],[Player]],TableTECalcPts[PLAYER],0)),"")</f>
        <v>BUF</v>
      </c>
      <c r="AT33" s="58">
        <f>IFERROR(INDEX(TableTECalcPts[BYE],MATCH(TableTERanks33433745[[#This Row],[Player]],TableTECalcPts[PLAYER],0)),"")</f>
        <v>7</v>
      </c>
      <c r="AU33" s="100">
        <f>VLOOKUP(TableTERanks33433745[[#This Row],[Player]],TE!B:O,4,FALSE)</f>
        <v>39.838999199999989</v>
      </c>
      <c r="AV33" s="100">
        <f>VLOOKUP(TableTERanks33433745[[#This Row],[Player]],TE!B:O,5,FALSE)</f>
        <v>28.006816437599991</v>
      </c>
      <c r="AW33" s="100">
        <f>VLOOKUP(TableTERanks33433745[[#This Row],[Player]],TE!B:O,6,FALSE)</f>
        <v>313.38478405489178</v>
      </c>
      <c r="AX33" s="100">
        <f>VLOOKUP(TableTERanks33433745[[#This Row],[Player]],TE!B:O,7,FALSE)</f>
        <v>2.6886543780095993</v>
      </c>
      <c r="AY33" s="95">
        <f>VLOOKUP(TableTERanks33433745[[#This Row],[Player]],TE!B:O,11,FALSE)</f>
        <v>61.473812892346771</v>
      </c>
      <c r="AZ33" s="190">
        <f>TableTERanks33433745[[#This Row],[FPS]]-(TableTERanks33433745[[#This Row],[REC]]*0.5)</f>
        <v>47.470404673546774</v>
      </c>
    </row>
    <row r="34" spans="1:52" x14ac:dyDescent="0.25">
      <c r="A34" s="58">
        <v>33</v>
      </c>
      <c r="B34" s="58" t="str">
        <f>VLOOKUP(TableQBRanks30403438[[#This Row],[RK]],Rankings!A:T,3,FALSE)</f>
        <v>Shedeur Sanders</v>
      </c>
      <c r="C34" s="58" t="str">
        <f>IFERROR(INDEX(TableQBCalcPts[TM],MATCH(TableQBRanks30403438[[#This Row],[Player]],TableQBCalcPts[PLAYER],0)),"")</f>
        <v>CLE</v>
      </c>
      <c r="D34" s="58">
        <f>IFERROR(INDEX(TableQBCalcPts[BYE],MATCH(TableQBRanks30403438[[#This Row],[Player]],TableQBCalcPts[PLAYER],0)),"")</f>
        <v>11</v>
      </c>
      <c r="E34" s="100">
        <f>VLOOKUP(TableQBRanks30403438[[#This Row],[Player]],QB!B:O,4,FALSE)</f>
        <v>252.45</v>
      </c>
      <c r="F34" s="100">
        <f>VLOOKUP(TableQBRanks30403438[[#This Row],[Player]],QB!B:O,5,FALSE)</f>
        <v>149.45039999999997</v>
      </c>
      <c r="G34" s="100">
        <f>VLOOKUP(TableQBRanks30403438[[#This Row],[Player]],QB!B:O,6,FALSE)</f>
        <v>1652.9214239999999</v>
      </c>
      <c r="H34" s="100">
        <f>VLOOKUP(TableQBRanks30403438[[#This Row],[Player]],QB!B:O,7,FALSE)</f>
        <v>8.9670239999999986</v>
      </c>
      <c r="I34" s="100">
        <f>VLOOKUP(TableQBRanks30403438[[#This Row],[Player]],QB!B:O,8,FALSE)</f>
        <v>8.9204641658318629</v>
      </c>
      <c r="J34" s="100">
        <f>VLOOKUP(TableQBRanks30403438[[#This Row],[Player]],QB!B:O,9,FALSE)</f>
        <v>31.297476000000003</v>
      </c>
      <c r="K34" s="100">
        <f>VLOOKUP(TableQBRanks30403438[[#This Row],[Player]],QB!B:O,10,FALSE)</f>
        <v>216.26555916000004</v>
      </c>
      <c r="L34" s="100">
        <f>VLOOKUP(TableQBRanks30403438[[#This Row],[Player]],QB!B:O,11,FALSE)</f>
        <v>1.4664492175644104</v>
      </c>
      <c r="M34" s="95">
        <f>VLOOKUP(TableQBRanks30403438[[#This Row],[Player]],QB!B:O,13,FALSE)</f>
        <v>156.36882801555461</v>
      </c>
      <c r="N34" s="140">
        <f>IF(VLOOKUP(TableQBRanks30403438[[#This Row],[Player]],'Ranks w Proj'!$B:$N,13,FALSE)&lt;0,0,VLOOKUP(TableQBRanks30403438[[#This Row],[Player]],'Ranks w Proj'!$B:$N,13,FALSE))</f>
        <v>0</v>
      </c>
      <c r="P34" s="58">
        <v>33</v>
      </c>
      <c r="Q34" s="58" t="str">
        <f>VLOOKUP(TableRBRanks31413539[[#This Row],[RK]],Rankings!A:AY,38,FALSE)</f>
        <v>Jordan Mason</v>
      </c>
      <c r="R34" s="58" t="str">
        <f>IFERROR(INDEX(TableRBCalcPts[TM],MATCH(TableRBRanks31413539[[#This Row],[Player]],TableRBCalcPts[PLAYER],0)),"")</f>
        <v>MIN</v>
      </c>
      <c r="S34" s="58">
        <f>IFERROR(INDEX(TableRBCalcPts[BYE],MATCH(TableRBRanks31413539[[#This Row],[Player]],TableRBCalcPts[PLAYER],0)),"")</f>
        <v>6</v>
      </c>
      <c r="T34" s="100">
        <f>VLOOKUP(TableRBRanks31413539[[#This Row],[Player]],RB!B:O,4,FALSE)</f>
        <v>175.01429568</v>
      </c>
      <c r="U34" s="100">
        <f>VLOOKUP(TableRBRanks31413539[[#This Row],[Player]],RB!B:O,5,FALSE)</f>
        <v>796.2577264688789</v>
      </c>
      <c r="V34" s="100">
        <f>VLOOKUP(TableRBRanks31413539[[#This Row],[Player]],RB!B:O,6,FALSE)</f>
        <v>6.6505432358399998</v>
      </c>
      <c r="W34" s="100">
        <f>VLOOKUP(TableRBRanks31413539[[#This Row],[Player]],RB!B:O,7,FALSE)</f>
        <v>13.248032</v>
      </c>
      <c r="X34" s="100">
        <f>VLOOKUP(TableRBRanks31413539[[#This Row],[Player]],RB!B:O,8,FALSE)</f>
        <v>9.9360239999999997</v>
      </c>
      <c r="Y34" s="100">
        <f>VLOOKUP(TableRBRanks31413539[[#This Row],[Player]],RB!B:O,9,FALSE)</f>
        <v>61.404628319999993</v>
      </c>
      <c r="Z34" s="100">
        <f>VLOOKUP(TableRBRanks31413539[[#This Row],[Player]],RB!B:O,10,FALSE)</f>
        <v>0.27820867199999999</v>
      </c>
      <c r="AA34" s="95">
        <f>VLOOKUP(TableRBRanks31413539[[#This Row],[Player]],RB!B:O,14,FALSE)</f>
        <v>132.30675892592791</v>
      </c>
      <c r="AB34" s="190">
        <f>TableRBRanks31413539[[#This Row],[FPS]]-(TableRBRanks31413539[[#This Row],[REC]]*0.5)</f>
        <v>127.33874692592791</v>
      </c>
      <c r="AD34" s="58">
        <v>33</v>
      </c>
      <c r="AE34" s="58" t="str">
        <f>VLOOKUP(TableWRRanks32423644[[#This Row],[RK]],Rankings!A:AZ,43,FALSE)</f>
        <v>Jameson Williams</v>
      </c>
      <c r="AF34" s="58" t="str">
        <f>IFERROR(INDEX(TableWRCalcPts[TM],MATCH(TableWRRanks32423644[[#This Row],[Player]],TableWRCalcPts[PLAYER],0)),"")</f>
        <v>DET</v>
      </c>
      <c r="AG34" s="58">
        <f>IFERROR(INDEX(TableWRCalcPts[BYE],MATCH(TableWRRanks32423644[[#This Row],[Player]],TableWRCalcPts[PLAYER],0)),"")</f>
        <v>6</v>
      </c>
      <c r="AH34" s="100">
        <f>VLOOKUP(TableWRRanks32423644[[#This Row],[Player]],WR!B:O,4,FALSE)</f>
        <v>37.578100758581314</v>
      </c>
      <c r="AI34" s="100">
        <f>VLOOKUP(TableWRRanks32423644[[#This Row],[Player]],WR!B:O,5,FALSE)</f>
        <v>0.46233416661379362</v>
      </c>
      <c r="AJ34" s="100">
        <f>VLOOKUP(TableWRRanks32423644[[#This Row],[Player]],WR!B:O,6,FALSE)</f>
        <v>104.78889119999998</v>
      </c>
      <c r="AK34" s="100">
        <f>VLOOKUP(TableWRRanks32423644[[#This Row],[Player]],WR!B:O,7,FALSE)</f>
        <v>65.691819008519786</v>
      </c>
      <c r="AL34" s="100">
        <f>VLOOKUP(TableWRRanks32423644[[#This Row],[Player]],WR!B:O,8,FALSE)</f>
        <v>1079.9735045000655</v>
      </c>
      <c r="AM34" s="100">
        <f>VLOOKUP(TableWRRanks32423644[[#This Row],[Player]],WR!B:O,9,FALSE)</f>
        <v>6.1093391677923403</v>
      </c>
      <c r="AN34" s="95">
        <f>VLOOKUP(TableWRRanks32423644[[#This Row],[Player]],WR!B:O,13,FALSE)</f>
        <v>184.03111003656136</v>
      </c>
      <c r="AO34" s="190">
        <f>TableWRRanks32423644[[#This Row],[FPS]]-(TableWRRanks32423644[[#This Row],[REC]]*0.5)</f>
        <v>151.18520053230145</v>
      </c>
      <c r="AQ34" s="58">
        <v>33</v>
      </c>
      <c r="AR34" s="58" t="str">
        <f>VLOOKUP(TableTERanks33433745[[#This Row],[RK]],Rankings!A:AZ,48,FALSE)</f>
        <v>Evan Engram</v>
      </c>
      <c r="AS34" s="58" t="str">
        <f>IFERROR(INDEX(TableTECalcPts[TM],MATCH(TableTERanks33433745[[#This Row],[Player]],TableTECalcPts[PLAYER],0)),"")</f>
        <v>DEN</v>
      </c>
      <c r="AT34" s="58">
        <f>IFERROR(INDEX(TableTECalcPts[BYE],MATCH(TableTERanks33433745[[#This Row],[Player]],TableTECalcPts[PLAYER],0)),"")</f>
        <v>10</v>
      </c>
      <c r="AU34" s="100">
        <f>VLOOKUP(TableTERanks33433745[[#This Row],[Player]],TE!B:O,4,FALSE)</f>
        <v>61.632537120000009</v>
      </c>
      <c r="AV34" s="100">
        <f>VLOOKUP(TableTERanks33433745[[#This Row],[Player]],TE!B:O,5,FALSE)</f>
        <v>42.013152766337917</v>
      </c>
      <c r="AW34" s="100">
        <f>VLOOKUP(TableTERanks33433745[[#This Row],[Player]],TE!B:O,6,FALSE)</f>
        <v>375.23544398160726</v>
      </c>
      <c r="AX34" s="100">
        <f>VLOOKUP(TableTERanks33433745[[#This Row],[Player]],TE!B:O,7,FALSE)</f>
        <v>2.1006576383168958</v>
      </c>
      <c r="AY34" s="95">
        <f>VLOOKUP(TableTERanks33433745[[#This Row],[Player]],TE!B:O,11,FALSE)</f>
        <v>71.134066611231063</v>
      </c>
      <c r="AZ34" s="190">
        <f>TableTERanks33433745[[#This Row],[FPS]]-(TableTERanks33433745[[#This Row],[REC]]*0.5)</f>
        <v>50.127490228062101</v>
      </c>
    </row>
    <row r="35" spans="1:52" x14ac:dyDescent="0.25">
      <c r="A35" s="58">
        <v>34</v>
      </c>
      <c r="B35" s="58" t="str">
        <f>VLOOKUP(TableQBRanks30403438[[#This Row],[RK]],Rankings!A:T,3,FALSE)</f>
        <v>Fernando Mendoza</v>
      </c>
      <c r="C35" s="58" t="str">
        <f>IFERROR(INDEX(TableQBCalcPts[TM],MATCH(TableQBRanks30403438[[#This Row],[Player]],TableQBCalcPts[PLAYER],0)),"")</f>
        <v>LV</v>
      </c>
      <c r="D35" s="58">
        <f>IFERROR(INDEX(TableQBCalcPts[BYE],MATCH(TableQBRanks30403438[[#This Row],[Player]],TableQBCalcPts[PLAYER],0)),"")</f>
        <v>13</v>
      </c>
      <c r="E35" s="100">
        <f>VLOOKUP(TableQBRanks30403438[[#This Row],[Player]],QB!B:O,4,FALSE)</f>
        <v>194.39279999999999</v>
      </c>
      <c r="F35" s="100">
        <f>VLOOKUP(TableQBRanks30403438[[#This Row],[Player]],QB!B:O,5,FALSE)</f>
        <v>121.4572833129313</v>
      </c>
      <c r="G35" s="100">
        <f>VLOOKUP(TableQBRanks30403438[[#This Row],[Player]],QB!B:O,6,FALSE)</f>
        <v>1332.3863979428563</v>
      </c>
      <c r="H35" s="100">
        <f>VLOOKUP(TableQBRanks30403438[[#This Row],[Player]],QB!B:O,7,FALSE)</f>
        <v>7.6518088487146718</v>
      </c>
      <c r="I35" s="100">
        <f>VLOOKUP(TableQBRanks30403438[[#This Row],[Player]],QB!B:O,8,FALSE)</f>
        <v>4.7474164219327459</v>
      </c>
      <c r="J35" s="100">
        <f>VLOOKUP(TableQBRanks30403438[[#This Row],[Player]],QB!B:O,9,FALSE)</f>
        <v>38.587993919999988</v>
      </c>
      <c r="K35" s="100">
        <f>VLOOKUP(TableQBRanks30403438[[#This Row],[Player]],QB!B:O,10,FALSE)</f>
        <v>176.02969565291352</v>
      </c>
      <c r="L35" s="100">
        <f>VLOOKUP(TableQBRanks30403438[[#This Row],[Player]],QB!B:O,11,FALSE)</f>
        <v>1.6783488461494951</v>
      </c>
      <c r="M35" s="95">
        <f>VLOOKUP(TableQBRanks30403438[[#This Row],[Player]],QB!B:O,13,FALSE)</f>
        <v>134.27768356155099</v>
      </c>
      <c r="N35" s="140">
        <f>IF(VLOOKUP(TableQBRanks30403438[[#This Row],[Player]],'Ranks w Proj'!$B:$N,13,FALSE)&lt;0,0,VLOOKUP(TableQBRanks30403438[[#This Row],[Player]],'Ranks w Proj'!$B:$N,13,FALSE))</f>
        <v>0</v>
      </c>
      <c r="P35" s="58">
        <v>34</v>
      </c>
      <c r="Q35" s="58" t="str">
        <f>VLOOKUP(TableRBRanks31413539[[#This Row],[RK]],Rankings!A:AY,38,FALSE)</f>
        <v>Jaylen Warren</v>
      </c>
      <c r="R35" s="58" t="str">
        <f>IFERROR(INDEX(TableRBCalcPts[TM],MATCH(TableRBRanks31413539[[#This Row],[Player]],TableRBCalcPts[PLAYER],0)),"")</f>
        <v>PIT</v>
      </c>
      <c r="S35" s="58">
        <f>IFERROR(INDEX(TableRBCalcPts[BYE],MATCH(TableRBRanks31413539[[#This Row],[Player]],TableRBCalcPts[PLAYER],0)),"")</f>
        <v>9</v>
      </c>
      <c r="T35" s="100">
        <f>VLOOKUP(TableRBRanks31413539[[#This Row],[Player]],RB!B:O,4,FALSE)</f>
        <v>182.08713599999996</v>
      </c>
      <c r="U35" s="100">
        <f>VLOOKUP(TableRBRanks31413539[[#This Row],[Player]],RB!B:O,5,FALSE)</f>
        <v>803.00426975999983</v>
      </c>
      <c r="V35" s="100">
        <f>VLOOKUP(TableRBRanks31413539[[#This Row],[Player]],RB!B:O,6,FALSE)</f>
        <v>4.7342655359999988</v>
      </c>
      <c r="W35" s="100">
        <f>VLOOKUP(TableRBRanks31413539[[#This Row],[Player]],RB!B:O,7,FALSE)</f>
        <v>49.984704000000001</v>
      </c>
      <c r="X35" s="100">
        <f>VLOOKUP(TableRBRanks31413539[[#This Row],[Player]],RB!B:O,8,FALSE)</f>
        <v>39.822704675887856</v>
      </c>
      <c r="Y35" s="100">
        <f>VLOOKUP(TableRBRanks31413539[[#This Row],[Player]],RB!B:O,9,FALSE)</f>
        <v>294.97266269786917</v>
      </c>
      <c r="Z35" s="100">
        <f>VLOOKUP(TableRBRanks31413539[[#This Row],[Player]],RB!B:O,10,FALSE)</f>
        <v>1.225793114915888</v>
      </c>
      <c r="AA35" s="95">
        <f>VLOOKUP(TableRBRanks31413539[[#This Row],[Player]],RB!B:O,14,FALSE)</f>
        <v>165.46939748922614</v>
      </c>
      <c r="AB35" s="190">
        <f>TableRBRanks31413539[[#This Row],[FPS]]-(TableRBRanks31413539[[#This Row],[REC]]*0.5)</f>
        <v>145.55804515128222</v>
      </c>
      <c r="AD35" s="58">
        <v>34</v>
      </c>
      <c r="AE35" s="58" t="str">
        <f>VLOOKUP(TableWRRanks32423644[[#This Row],[RK]],Rankings!A:AZ,43,FALSE)</f>
        <v>Carnell Tate</v>
      </c>
      <c r="AF35" s="58" t="str">
        <f>IFERROR(INDEX(TableWRCalcPts[TM],MATCH(TableWRRanks32423644[[#This Row],[Player]],TableWRCalcPts[PLAYER],0)),"")</f>
        <v>TEN</v>
      </c>
      <c r="AG35" s="58">
        <f>IFERROR(INDEX(TableWRCalcPts[BYE],MATCH(TableWRRanks32423644[[#This Row],[Player]],TableWRCalcPts[PLAYER],0)),"")</f>
        <v>9</v>
      </c>
      <c r="AH35" s="100">
        <f>VLOOKUP(TableWRRanks32423644[[#This Row],[Player]],WR!B:O,4,FALSE)</f>
        <v>0</v>
      </c>
      <c r="AI35" s="100">
        <f>VLOOKUP(TableWRRanks32423644[[#This Row],[Player]],WR!B:O,5,FALSE)</f>
        <v>0</v>
      </c>
      <c r="AJ35" s="100">
        <f>VLOOKUP(TableWRRanks32423644[[#This Row],[Player]],WR!B:O,6,FALSE)</f>
        <v>130.71889152</v>
      </c>
      <c r="AK35" s="100">
        <f>VLOOKUP(TableWRRanks32423644[[#This Row],[Player]],WR!B:O,7,FALSE)</f>
        <v>80.784274959360005</v>
      </c>
      <c r="AL35" s="100">
        <f>VLOOKUP(TableWRRanks32423644[[#This Row],[Player]],WR!B:O,8,FALSE)</f>
        <v>1075.2386997090816</v>
      </c>
      <c r="AM35" s="100">
        <f>VLOOKUP(TableWRRanks32423644[[#This Row],[Player]],WR!B:O,9,FALSE)</f>
        <v>6.4627419967488002</v>
      </c>
      <c r="AN35" s="95">
        <f>VLOOKUP(TableWRRanks32423644[[#This Row],[Player]],WR!B:O,13,FALSE)</f>
        <v>186.69245943108095</v>
      </c>
      <c r="AO35" s="190">
        <f>TableWRRanks32423644[[#This Row],[FPS]]-(TableWRRanks32423644[[#This Row],[REC]]*0.5)</f>
        <v>146.30032195140095</v>
      </c>
      <c r="AQ35" s="58">
        <v>34</v>
      </c>
      <c r="AR35" s="58" t="str">
        <f>VLOOKUP(TableTERanks33433745[[#This Row],[RK]],Rankings!A:AZ,48,FALSE)</f>
        <v>Eli Stowers</v>
      </c>
      <c r="AS35" s="58" t="str">
        <f>IFERROR(INDEX(TableTECalcPts[TM],MATCH(TableTERanks33433745[[#This Row],[Player]],TableTECalcPts[PLAYER],0)),"")</f>
        <v>PHI</v>
      </c>
      <c r="AT35" s="58">
        <f>IFERROR(INDEX(TableTECalcPts[BYE],MATCH(TableTERanks33433745[[#This Row],[Player]],TableTECalcPts[PLAYER],0)),"")</f>
        <v>10</v>
      </c>
      <c r="AU35" s="100">
        <f>VLOOKUP(TableTERanks33433745[[#This Row],[Player]],TE!B:O,4,FALSE)</f>
        <v>23.05505664</v>
      </c>
      <c r="AV35" s="100">
        <f>VLOOKUP(TableTERanks33433745[[#This Row],[Player]],TE!B:O,5,FALSE)</f>
        <v>16.39214527104</v>
      </c>
      <c r="AW35" s="100">
        <f>VLOOKUP(TableTERanks33433745[[#This Row],[Player]],TE!B:O,6,FALSE)</f>
        <v>168.09825787902821</v>
      </c>
      <c r="AX35" s="100">
        <f>VLOOKUP(TableTERanks33433745[[#This Row],[Player]],TE!B:O,7,FALSE)</f>
        <v>1.1802344595148799</v>
      </c>
      <c r="AY35" s="95">
        <f>VLOOKUP(TableTERanks33433745[[#This Row],[Player]],TE!B:O,11,FALSE)</f>
        <v>32.087305180512104</v>
      </c>
      <c r="AZ35" s="190">
        <f>TableTERanks33433745[[#This Row],[FPS]]-(TableTERanks33433745[[#This Row],[REC]]*0.5)</f>
        <v>23.891232544992103</v>
      </c>
    </row>
    <row r="36" spans="1:52" x14ac:dyDescent="0.25">
      <c r="A36" s="58">
        <v>35</v>
      </c>
      <c r="B36" s="58" t="str">
        <f>VLOOKUP(TableQBRanks30403438[[#This Row],[RK]],Rankings!A:T,3,FALSE)</f>
        <v>Michael Penix</v>
      </c>
      <c r="C36" s="58" t="str">
        <f>IFERROR(INDEX(TableQBCalcPts[TM],MATCH(TableQBRanks30403438[[#This Row],[Player]],TableQBCalcPts[PLAYER],0)),"")</f>
        <v>ATL</v>
      </c>
      <c r="D36" s="58">
        <f>IFERROR(INDEX(TableQBCalcPts[BYE],MATCH(TableQBRanks30403438[[#This Row],[Player]],TableQBCalcPts[PLAYER],0)),"")</f>
        <v>11</v>
      </c>
      <c r="E36" s="100">
        <f>VLOOKUP(TableQBRanks30403438[[#This Row],[Player]],QB!B:O,4,FALSE)</f>
        <v>57.924199999999999</v>
      </c>
      <c r="F36" s="100">
        <f>VLOOKUP(TableQBRanks30403438[[#This Row],[Player]],QB!B:O,5,FALSE)</f>
        <v>34.758412400683376</v>
      </c>
      <c r="G36" s="100">
        <f>VLOOKUP(TableQBRanks30403438[[#This Row],[Player]],QB!B:O,6,FALSE)</f>
        <v>410.14926632806385</v>
      </c>
      <c r="H36" s="100">
        <f>VLOOKUP(TableQBRanks30403438[[#This Row],[Player]],QB!B:O,7,FALSE)</f>
        <v>1.9369641366742598</v>
      </c>
      <c r="I36" s="100">
        <f>VLOOKUP(TableQBRanks30403438[[#This Row],[Player]],QB!B:O,8,FALSE)</f>
        <v>1.0238992984054669</v>
      </c>
      <c r="J36" s="100">
        <f>VLOOKUP(TableQBRanks30403438[[#This Row],[Player]],QB!B:O,9,FALSE)</f>
        <v>17.1993136</v>
      </c>
      <c r="K36" s="100">
        <f>VLOOKUP(TableQBRanks30403438[[#This Row],[Player]],QB!B:O,10,FALSE)</f>
        <v>60.240657920054332</v>
      </c>
      <c r="L36" s="100">
        <f>VLOOKUP(TableQBRanks30403438[[#This Row],[Player]],QB!B:O,11,FALSE)</f>
        <v>0.90791590080624651</v>
      </c>
      <c r="M36" s="95">
        <f>VLOOKUP(TableQBRanks30403438[[#This Row],[Player]],QB!B:O,13,FALSE)</f>
        <v>41.951258611673893</v>
      </c>
      <c r="N36" s="140">
        <f>IF(VLOOKUP(TableQBRanks30403438[[#This Row],[Player]],'Ranks w Proj'!$B:$N,13,FALSE)&lt;0,0,VLOOKUP(TableQBRanks30403438[[#This Row],[Player]],'Ranks w Proj'!$B:$N,13,FALSE))</f>
        <v>0</v>
      </c>
      <c r="P36" s="58">
        <v>35</v>
      </c>
      <c r="Q36" s="58" t="str">
        <f>VLOOKUP(TableRBRanks31413539[[#This Row],[RK]],Rankings!A:AY,38,FALSE)</f>
        <v>Rico Dowdle</v>
      </c>
      <c r="R36" s="58" t="str">
        <f>IFERROR(INDEX(TableRBCalcPts[TM],MATCH(TableRBRanks31413539[[#This Row],[Player]],TableRBCalcPts[PLAYER],0)),"")</f>
        <v>PIT</v>
      </c>
      <c r="S36" s="58">
        <f>IFERROR(INDEX(TableRBCalcPts[BYE],MATCH(TableRBRanks31413539[[#This Row],[Player]],TableRBCalcPts[PLAYER],0)),"")</f>
        <v>9</v>
      </c>
      <c r="T36" s="100">
        <f>VLOOKUP(TableRBRanks31413539[[#This Row],[Player]],RB!B:O,4,FALSE)</f>
        <v>212.88128399999997</v>
      </c>
      <c r="U36" s="100">
        <f>VLOOKUP(TableRBRanks31413539[[#This Row],[Player]],RB!B:O,5,FALSE)</f>
        <v>926.03358539999977</v>
      </c>
      <c r="V36" s="100">
        <f>VLOOKUP(TableRBRanks31413539[[#This Row],[Player]],RB!B:O,6,FALSE)</f>
        <v>6.3864385199999987</v>
      </c>
      <c r="W36" s="100">
        <f>VLOOKUP(TableRBRanks31413539[[#This Row],[Player]],RB!B:O,7,FALSE)</f>
        <v>32.944464000000004</v>
      </c>
      <c r="X36" s="100">
        <f>VLOOKUP(TableRBRanks31413539[[#This Row],[Player]],RB!B:O,8,FALSE)</f>
        <v>26.388515664000003</v>
      </c>
      <c r="Y36" s="100">
        <f>VLOOKUP(TableRBRanks31413539[[#This Row],[Player]],RB!B:O,9,FALSE)</f>
        <v>196.51585093837056</v>
      </c>
      <c r="Z36" s="100">
        <f>VLOOKUP(TableRBRanks31413539[[#This Row],[Player]],RB!B:O,10,FALSE)</f>
        <v>0.79952816634499868</v>
      </c>
      <c r="AA36" s="95">
        <f>VLOOKUP(TableRBRanks31413539[[#This Row],[Player]],RB!B:O,14,FALSE)</f>
        <v>168.56500158390702</v>
      </c>
      <c r="AB36" s="190">
        <f>TableRBRanks31413539[[#This Row],[FPS]]-(TableRBRanks31413539[[#This Row],[REC]]*0.5)</f>
        <v>155.37074375190701</v>
      </c>
      <c r="AD36" s="58">
        <v>35</v>
      </c>
      <c r="AE36" s="58" t="str">
        <f>VLOOKUP(TableWRRanks32423644[[#This Row],[RK]],Rankings!A:AZ,43,FALSE)</f>
        <v>Makai Lemon</v>
      </c>
      <c r="AF36" s="58" t="str">
        <f>IFERROR(INDEX(TableWRCalcPts[TM],MATCH(TableWRRanks32423644[[#This Row],[Player]],TableWRCalcPts[PLAYER],0)),"")</f>
        <v>PHI</v>
      </c>
      <c r="AG36" s="58">
        <f>IFERROR(INDEX(TableWRCalcPts[BYE],MATCH(TableWRRanks32423644[[#This Row],[Player]],TableWRCalcPts[PLAYER],0)),"")</f>
        <v>10</v>
      </c>
      <c r="AH36" s="100">
        <f>VLOOKUP(TableWRRanks32423644[[#This Row],[Player]],WR!B:O,4,FALSE)</f>
        <v>26.058086755555557</v>
      </c>
      <c r="AI36" s="100">
        <f>VLOOKUP(TableWRRanks32423644[[#This Row],[Player]],WR!B:O,5,FALSE)</f>
        <v>0.2368916977777778</v>
      </c>
      <c r="AJ36" s="100">
        <f>VLOOKUP(TableWRRanks32423644[[#This Row],[Player]],WR!B:O,6,FALSE)</f>
        <v>109.03120535999999</v>
      </c>
      <c r="AK36" s="100">
        <f>VLOOKUP(TableWRRanks32423644[[#This Row],[Player]],WR!B:O,7,FALSE)</f>
        <v>73.923157234079994</v>
      </c>
      <c r="AL36" s="100">
        <f>VLOOKUP(TableWRRanks32423644[[#This Row],[Player]],WR!B:O,8,FALSE)</f>
        <v>918.12561284727349</v>
      </c>
      <c r="AM36" s="100">
        <f>VLOOKUP(TableWRRanks32423644[[#This Row],[Player]],WR!B:O,9,FALSE)</f>
        <v>6.1010253945364816</v>
      </c>
      <c r="AN36" s="95">
        <f>VLOOKUP(TableWRRanks32423644[[#This Row],[Player]],WR!B:O,13,FALSE)</f>
        <v>169.40745113120846</v>
      </c>
      <c r="AO36" s="190">
        <f>TableWRRanks32423644[[#This Row],[FPS]]-(TableWRRanks32423644[[#This Row],[REC]]*0.5)</f>
        <v>132.44587251416846</v>
      </c>
      <c r="AQ36" s="58">
        <v>35</v>
      </c>
      <c r="AR36" s="58" t="str">
        <f>VLOOKUP(TableTERanks33433745[[#This Row],[RK]],Rankings!A:AZ,48,FALSE)</f>
        <v>Jake Tonges</v>
      </c>
      <c r="AS36" s="58" t="str">
        <f>IFERROR(INDEX(TableTECalcPts[TM],MATCH(TableTERanks33433745[[#This Row],[Player]],TableTECalcPts[PLAYER],0)),"")</f>
        <v>SF</v>
      </c>
      <c r="AT36" s="58">
        <f>IFERROR(INDEX(TableTECalcPts[BYE],MATCH(TableTERanks33433745[[#This Row],[Player]],TableTECalcPts[PLAYER],0)),"")</f>
        <v>8</v>
      </c>
      <c r="AU36" s="100">
        <f>VLOOKUP(TableTERanks33433745[[#This Row],[Player]],TE!B:O,4,FALSE)</f>
        <v>22.547118720000004</v>
      </c>
      <c r="AV36" s="100">
        <f>VLOOKUP(TableTERanks33433745[[#This Row],[Player]],TE!B:O,5,FALSE)</f>
        <v>15.67129135848889</v>
      </c>
      <c r="AW36" s="100">
        <f>VLOOKUP(TableTERanks33433745[[#This Row],[Player]],TE!B:O,6,FALSE)</f>
        <v>158.59346854790755</v>
      </c>
      <c r="AX36" s="100">
        <f>VLOOKUP(TableTERanks33433745[[#This Row],[Player]],TE!B:O,7,FALSE)</f>
        <v>1.410416222264</v>
      </c>
      <c r="AY36" s="95">
        <f>VLOOKUP(TableTERanks33433745[[#This Row],[Player]],TE!B:O,11,FALSE)</f>
        <v>32.157489867619205</v>
      </c>
      <c r="AZ36" s="190">
        <f>TableTERanks33433745[[#This Row],[FPS]]-(TableTERanks33433745[[#This Row],[REC]]*0.5)</f>
        <v>24.321844188374762</v>
      </c>
    </row>
    <row r="37" spans="1:52" x14ac:dyDescent="0.25">
      <c r="A37" s="58">
        <v>36</v>
      </c>
      <c r="B37" s="58" t="str">
        <f>VLOOKUP(TableQBRanks30403438[[#This Row],[RK]],Rankings!A:T,3,FALSE)</f>
        <v>Anthony Richardson</v>
      </c>
      <c r="C37" s="58" t="str">
        <f>IFERROR(INDEX(TableQBCalcPts[TM],MATCH(TableQBRanks30403438[[#This Row],[Player]],TableQBCalcPts[PLAYER],0)),"")</f>
        <v>IND</v>
      </c>
      <c r="D37" s="58">
        <f>IFERROR(INDEX(TableQBCalcPts[BYE],MATCH(TableQBRanks30403438[[#This Row],[Player]],TableQBCalcPts[PLAYER],0)),"")</f>
        <v>13</v>
      </c>
      <c r="E37" s="100">
        <f>VLOOKUP(TableQBRanks30403438[[#This Row],[Player]],QB!B:O,4,FALSE)</f>
        <v>26.664000000000001</v>
      </c>
      <c r="F37" s="100">
        <f>VLOOKUP(TableQBRanks30403438[[#This Row],[Player]],QB!B:O,5,FALSE)</f>
        <v>14.66897010976982</v>
      </c>
      <c r="G37" s="100">
        <f>VLOOKUP(TableQBRanks30403438[[#This Row],[Player]],QB!B:O,6,FALSE)</f>
        <v>196.27082006872021</v>
      </c>
      <c r="H37" s="100">
        <f>VLOOKUP(TableQBRanks30403438[[#This Row],[Player]],QB!B:O,7,FALSE)</f>
        <v>0.79212438592757028</v>
      </c>
      <c r="I37" s="100">
        <f>VLOOKUP(TableQBRanks30403438[[#This Row],[Player]],QB!B:O,8,FALSE)</f>
        <v>0.38917262140055342</v>
      </c>
      <c r="J37" s="100">
        <f>VLOOKUP(TableQBRanks30403438[[#This Row],[Player]],QB!B:O,9,FALSE)</f>
        <v>23.359279999999998</v>
      </c>
      <c r="K37" s="100">
        <f>VLOOKUP(TableQBRanks30403438[[#This Row],[Player]],QB!B:O,10,FALSE)</f>
        <v>119.13232799999999</v>
      </c>
      <c r="L37" s="100">
        <f>VLOOKUP(TableQBRanks30403438[[#This Row],[Player]],QB!B:O,11,FALSE)</f>
        <v>1.4249160799999998</v>
      </c>
      <c r="M37" s="95">
        <f>VLOOKUP(TableQBRanks30403438[[#This Row],[Player]],QB!B:O,13,FALSE)</f>
        <v>34.144032787890652</v>
      </c>
      <c r="N37" s="140">
        <f>IF(VLOOKUP(TableQBRanks30403438[[#This Row],[Player]],'Ranks w Proj'!$B:$N,13,FALSE)&lt;0,0,VLOOKUP(TableQBRanks30403438[[#This Row],[Player]],'Ranks w Proj'!$B:$N,13,FALSE))</f>
        <v>0</v>
      </c>
      <c r="P37" s="58">
        <v>36</v>
      </c>
      <c r="Q37" s="58" t="str">
        <f>VLOOKUP(TableRBRanks31413539[[#This Row],[RK]],Rankings!A:AY,38,FALSE)</f>
        <v>Kyle Monangai</v>
      </c>
      <c r="R37" s="58" t="str">
        <f>IFERROR(INDEX(TableRBCalcPts[TM],MATCH(TableRBRanks31413539[[#This Row],[Player]],TableRBCalcPts[PLAYER],0)),"")</f>
        <v>CHI</v>
      </c>
      <c r="S37" s="58">
        <f>IFERROR(INDEX(TableRBCalcPts[BYE],MATCH(TableRBRanks31413539[[#This Row],[Player]],TableRBCalcPts[PLAYER],0)),"")</f>
        <v>10</v>
      </c>
      <c r="T37" s="100">
        <f>VLOOKUP(TableRBRanks31413539[[#This Row],[Player]],RB!B:O,4,FALSE)</f>
        <v>175.60135487999997</v>
      </c>
      <c r="U37" s="100">
        <f>VLOOKUP(TableRBRanks31413539[[#This Row],[Player]],RB!B:O,5,FALSE)</f>
        <v>758.92623990733705</v>
      </c>
      <c r="V37" s="100">
        <f>VLOOKUP(TableRBRanks31413539[[#This Row],[Player]],RB!B:O,6,FALSE)</f>
        <v>6.672851485439999</v>
      </c>
      <c r="W37" s="100">
        <f>VLOOKUP(TableRBRanks31413539[[#This Row],[Player]],RB!B:O,7,FALSE)</f>
        <v>31.016431600000001</v>
      </c>
      <c r="X37" s="100">
        <f>VLOOKUP(TableRBRanks31413539[[#This Row],[Player]],RB!B:O,8,FALSE)</f>
        <v>21.773534983199998</v>
      </c>
      <c r="Y37" s="100">
        <f>VLOOKUP(TableRBRanks31413539[[#This Row],[Player]],RB!B:O,9,FALSE)</f>
        <v>166.47993232787942</v>
      </c>
      <c r="Z37" s="100">
        <f>VLOOKUP(TableRBRanks31413539[[#This Row],[Player]],RB!B:O,10,FALSE)</f>
        <v>0.6961283018646286</v>
      </c>
      <c r="AA37" s="95">
        <f>VLOOKUP(TableRBRanks31413539[[#This Row],[Player]],RB!B:O,14,FALSE)</f>
        <v>147.64126343894941</v>
      </c>
      <c r="AB37" s="190">
        <f>TableRBRanks31413539[[#This Row],[FPS]]-(TableRBRanks31413539[[#This Row],[REC]]*0.5)</f>
        <v>136.7544959473494</v>
      </c>
      <c r="AD37" s="58">
        <v>36</v>
      </c>
      <c r="AE37" s="58" t="str">
        <f>VLOOKUP(TableWRRanks32423644[[#This Row],[RK]],Rankings!A:AZ,43,FALSE)</f>
        <v>Brian Thomas</v>
      </c>
      <c r="AF37" s="58" t="str">
        <f>IFERROR(INDEX(TableWRCalcPts[TM],MATCH(TableWRRanks32423644[[#This Row],[Player]],TableWRCalcPts[PLAYER],0)),"")</f>
        <v>JAX</v>
      </c>
      <c r="AG37" s="58">
        <f>IFERROR(INDEX(TableWRCalcPts[BYE],MATCH(TableWRRanks32423644[[#This Row],[Player]],TableWRCalcPts[PLAYER],0)),"")</f>
        <v>7</v>
      </c>
      <c r="AH37" s="100">
        <f>VLOOKUP(TableWRRanks32423644[[#This Row],[Player]],WR!B:O,4,FALSE)</f>
        <v>0</v>
      </c>
      <c r="AI37" s="100">
        <f>VLOOKUP(TableWRRanks32423644[[#This Row],[Player]],WR!B:O,5,FALSE)</f>
        <v>0</v>
      </c>
      <c r="AJ37" s="100">
        <f>VLOOKUP(TableWRRanks32423644[[#This Row],[Player]],WR!B:O,6,FALSE)</f>
        <v>104.0991966</v>
      </c>
      <c r="AK37" s="100">
        <f>VLOOKUP(TableWRRanks32423644[[#This Row],[Player]],WR!B:O,7,FALSE)</f>
        <v>56.525863753800003</v>
      </c>
      <c r="AL37" s="100">
        <f>VLOOKUP(TableWRRanks32423644[[#This Row],[Player]],WR!B:O,8,FALSE)</f>
        <v>842.80062856915811</v>
      </c>
      <c r="AM37" s="100">
        <f>VLOOKUP(TableWRRanks32423644[[#This Row],[Player]],WR!B:O,9,FALSE)</f>
        <v>5.4830087841186002</v>
      </c>
      <c r="AN37" s="95">
        <f>VLOOKUP(TableWRRanks32423644[[#This Row],[Player]],WR!B:O,13,FALSE)</f>
        <v>145.44104743852742</v>
      </c>
      <c r="AO37" s="190">
        <f>TableWRRanks32423644[[#This Row],[FPS]]-(TableWRRanks32423644[[#This Row],[REC]]*0.5)</f>
        <v>117.17811556162742</v>
      </c>
      <c r="AQ37" s="58">
        <v>36</v>
      </c>
      <c r="AR37" s="58" t="str">
        <f>VLOOKUP(TableTERanks33433745[[#This Row],[RK]],Rankings!A:AZ,48,FALSE)</f>
        <v>Mason Taylor</v>
      </c>
      <c r="AS37" s="58" t="str">
        <f>IFERROR(INDEX(TableTECalcPts[TM],MATCH(TableTERanks33433745[[#This Row],[Player]],TableTECalcPts[PLAYER],0)),"")</f>
        <v>NYJ</v>
      </c>
      <c r="AT37" s="58">
        <f>IFERROR(INDEX(TableTECalcPts[BYE],MATCH(TableTERanks33433745[[#This Row],[Player]],TableTECalcPts[PLAYER],0)),"")</f>
        <v>13</v>
      </c>
      <c r="AU37" s="100">
        <f>VLOOKUP(TableTERanks33433745[[#This Row],[Player]],TE!B:O,4,FALSE)</f>
        <v>51.141755455706921</v>
      </c>
      <c r="AV37" s="100">
        <f>VLOOKUP(TableTERanks33433745[[#This Row],[Player]],TE!B:O,5,FALSE)</f>
        <v>38.867734146337263</v>
      </c>
      <c r="AW37" s="100">
        <f>VLOOKUP(TableTERanks33433745[[#This Row],[Player]],TE!B:O,6,FALSE)</f>
        <v>325.93094124496713</v>
      </c>
      <c r="AX37" s="100">
        <f>VLOOKUP(TableTERanks33433745[[#This Row],[Player]],TE!B:O,7,FALSE)</f>
        <v>2.0988576439022122</v>
      </c>
      <c r="AY37" s="95">
        <f>VLOOKUP(TableTERanks33433745[[#This Row],[Player]],TE!B:O,11,FALSE)</f>
        <v>64.620107061078613</v>
      </c>
      <c r="AZ37" s="190">
        <f>TableTERanks33433745[[#This Row],[FPS]]-(TableTERanks33433745[[#This Row],[REC]]*0.5)</f>
        <v>45.186239987909985</v>
      </c>
    </row>
    <row r="38" spans="1:52" x14ac:dyDescent="0.25">
      <c r="A38" s="58">
        <v>37</v>
      </c>
      <c r="B38" s="58" t="str">
        <f>VLOOKUP(TableQBRanks30403438[[#This Row],[RK]],Rankings!A:T,3,FALSE)</f>
        <v>Justin Fields</v>
      </c>
      <c r="C38" s="58" t="str">
        <f>IFERROR(INDEX(TableQBCalcPts[TM],MATCH(TableQBRanks30403438[[#This Row],[Player]],TableQBCalcPts[PLAYER],0)),"")</f>
        <v>KC</v>
      </c>
      <c r="D38" s="58">
        <f>IFERROR(INDEX(TableQBCalcPts[BYE],MATCH(TableQBRanks30403438[[#This Row],[Player]],TableQBCalcPts[PLAYER],0)),"")</f>
        <v>5</v>
      </c>
      <c r="E38" s="100">
        <f>VLOOKUP(TableQBRanks30403438[[#This Row],[Player]],QB!B:O,4,FALSE)</f>
        <v>29.87125</v>
      </c>
      <c r="F38" s="100">
        <f>VLOOKUP(TableQBRanks30403438[[#This Row],[Player]],QB!B:O,5,FALSE)</f>
        <v>18.916116027884559</v>
      </c>
      <c r="G38" s="100">
        <f>VLOOKUP(TableQBRanks30403438[[#This Row],[Player]],QB!B:O,6,FALSE)</f>
        <v>187.64787099661481</v>
      </c>
      <c r="H38" s="100">
        <f>VLOOKUP(TableQBRanks30403438[[#This Row],[Player]],QB!B:O,7,FALSE)</f>
        <v>1.1605429784513495</v>
      </c>
      <c r="I38" s="100">
        <f>VLOOKUP(TableQBRanks30403438[[#This Row],[Player]],QB!B:O,8,FALSE)</f>
        <v>0.46715527487029007</v>
      </c>
      <c r="J38" s="100">
        <f>VLOOKUP(TableQBRanks30403438[[#This Row],[Player]],QB!B:O,9,FALSE)</f>
        <v>6.4911525000000001</v>
      </c>
      <c r="K38" s="100">
        <f>VLOOKUP(TableQBRanks30403438[[#This Row],[Player]],QB!B:O,10,FALSE)</f>
        <v>32.823096448834477</v>
      </c>
      <c r="L38" s="100">
        <f>VLOOKUP(TableQBRanks30403438[[#This Row],[Player]],QB!B:O,11,FALSE)</f>
        <v>0.25551597218149824</v>
      </c>
      <c r="M38" s="95">
        <f>VLOOKUP(TableQBRanks30403438[[#This Row],[Player]],QB!B:O,13,FALSE)</f>
        <v>20.709034516463291</v>
      </c>
      <c r="N38" s="140">
        <f>IF(VLOOKUP(TableQBRanks30403438[[#This Row],[Player]],'Ranks w Proj'!$B:$N,13,FALSE)&lt;0,0,VLOOKUP(TableQBRanks30403438[[#This Row],[Player]],'Ranks w Proj'!$B:$N,13,FALSE))</f>
        <v>0</v>
      </c>
      <c r="P38" s="58">
        <v>37</v>
      </c>
      <c r="Q38" s="58" t="str">
        <f>VLOOKUP(TableRBRanks31413539[[#This Row],[RK]],Rankings!A:AY,38,FALSE)</f>
        <v>Blake Corum</v>
      </c>
      <c r="R38" s="58" t="str">
        <f>IFERROR(INDEX(TableRBCalcPts[TM],MATCH(TableRBRanks31413539[[#This Row],[Player]],TableRBCalcPts[PLAYER],0)),"")</f>
        <v>LAR</v>
      </c>
      <c r="S38" s="58">
        <f>IFERROR(INDEX(TableRBCalcPts[BYE],MATCH(TableRBRanks31413539[[#This Row],[Player]],TableRBCalcPts[PLAYER],0)),"")</f>
        <v>11</v>
      </c>
      <c r="T38" s="100">
        <f>VLOOKUP(TableRBRanks31413539[[#This Row],[Player]],RB!B:O,4,FALSE)</f>
        <v>155.89173599999995</v>
      </c>
      <c r="U38" s="100">
        <f>VLOOKUP(TableRBRanks31413539[[#This Row],[Player]],RB!B:O,5,FALSE)</f>
        <v>743.60358071999974</v>
      </c>
      <c r="V38" s="100">
        <f>VLOOKUP(TableRBRanks31413539[[#This Row],[Player]],RB!B:O,6,FALSE)</f>
        <v>6.5258998274671915</v>
      </c>
      <c r="W38" s="100">
        <f>VLOOKUP(TableRBRanks31413539[[#This Row],[Player]],RB!B:O,7,FALSE)</f>
        <v>20.921952869624988</v>
      </c>
      <c r="X38" s="100">
        <f>VLOOKUP(TableRBRanks31413539[[#This Row],[Player]],RB!B:O,8,FALSE)</f>
        <v>12.636859533253492</v>
      </c>
      <c r="Y38" s="100">
        <f>VLOOKUP(TableRBRanks31413539[[#This Row],[Player]],RB!B:O,9,FALSE)</f>
        <v>81.245423197401081</v>
      </c>
      <c r="Z38" s="100">
        <f>VLOOKUP(TableRBRanks31413539[[#This Row],[Player]],RB!B:O,10,FALSE)</f>
        <v>0.70766413386219562</v>
      </c>
      <c r="AA38" s="95">
        <f>VLOOKUP(TableRBRanks31413539[[#This Row],[Player]],RB!B:O,14,FALSE)</f>
        <v>132.20471392634317</v>
      </c>
      <c r="AB38" s="190">
        <f>TableRBRanks31413539[[#This Row],[FPS]]-(TableRBRanks31413539[[#This Row],[REC]]*0.5)</f>
        <v>125.88628415971642</v>
      </c>
      <c r="AD38" s="58">
        <v>37</v>
      </c>
      <c r="AE38" s="58" t="str">
        <f>VLOOKUP(TableWRRanks32423644[[#This Row],[RK]],Rankings!A:AZ,43,FALSE)</f>
        <v>Courtland Sutton</v>
      </c>
      <c r="AF38" s="58" t="str">
        <f>IFERROR(INDEX(TableWRCalcPts[TM],MATCH(TableWRRanks32423644[[#This Row],[Player]],TableWRCalcPts[PLAYER],0)),"")</f>
        <v>DEN</v>
      </c>
      <c r="AG38" s="58">
        <f>IFERROR(INDEX(TableWRCalcPts[BYE],MATCH(TableWRRanks32423644[[#This Row],[Player]],TableWRCalcPts[PLAYER],0)),"")</f>
        <v>10</v>
      </c>
      <c r="AH38" s="100">
        <f>VLOOKUP(TableWRRanks32423644[[#This Row],[Player]],WR!B:O,4,FALSE)</f>
        <v>0</v>
      </c>
      <c r="AI38" s="100">
        <f>VLOOKUP(TableWRRanks32423644[[#This Row],[Player]],WR!B:O,5,FALSE)</f>
        <v>0</v>
      </c>
      <c r="AJ38" s="100">
        <f>VLOOKUP(TableWRRanks32423644[[#This Row],[Player]],WR!B:O,6,FALSE)</f>
        <v>123.26507424000002</v>
      </c>
      <c r="AK38" s="100">
        <f>VLOOKUP(TableWRRanks32423644[[#This Row],[Player]],WR!B:O,7,FALSE)</f>
        <v>69.962432445293402</v>
      </c>
      <c r="AL38" s="100">
        <f>VLOOKUP(TableWRRanks32423644[[#This Row],[Player]],WR!B:O,8,FALSE)</f>
        <v>930.5003515224023</v>
      </c>
      <c r="AM38" s="100">
        <f>VLOOKUP(TableWRRanks32423644[[#This Row],[Player]],WR!B:O,9,FALSE)</f>
        <v>7.0662056769746338</v>
      </c>
      <c r="AN38" s="95">
        <f>VLOOKUP(TableWRRanks32423644[[#This Row],[Player]],WR!B:O,13,FALSE)</f>
        <v>170.42848543673475</v>
      </c>
      <c r="AO38" s="190">
        <f>TableWRRanks32423644[[#This Row],[FPS]]-(TableWRRanks32423644[[#This Row],[REC]]*0.5)</f>
        <v>135.44726921408804</v>
      </c>
      <c r="AQ38" s="58">
        <v>37</v>
      </c>
      <c r="AR38" s="58" t="str">
        <f>VLOOKUP(TableTERanks33433745[[#This Row],[RK]],Rankings!A:AZ,48,FALSE)</f>
        <v>Darnell Washington</v>
      </c>
      <c r="AS38" s="58" t="str">
        <f>IFERROR(INDEX(TableTECalcPts[TM],MATCH(TableTERanks33433745[[#This Row],[Player]],TableTECalcPts[PLAYER],0)),"")</f>
        <v>PIT</v>
      </c>
      <c r="AT38" s="58">
        <f>IFERROR(INDEX(TableTECalcPts[BYE],MATCH(TableTERanks33433745[[#This Row],[Player]],TableTECalcPts[PLAYER],0)),"")</f>
        <v>9</v>
      </c>
      <c r="AU38" s="100">
        <f>VLOOKUP(TableTERanks33433745[[#This Row],[Player]],TE!B:O,4,FALSE)</f>
        <v>43.736615999999998</v>
      </c>
      <c r="AV38" s="100">
        <f>VLOOKUP(TableTERanks33433745[[#This Row],[Player]],TE!B:O,5,FALSE)</f>
        <v>31.315417055999998</v>
      </c>
      <c r="AW38" s="100">
        <f>VLOOKUP(TableTERanks33433745[[#This Row],[Player]],TE!B:O,6,FALSE)</f>
        <v>340.2005542619471</v>
      </c>
      <c r="AX38" s="100">
        <f>VLOOKUP(TableTERanks33433745[[#This Row],[Player]],TE!B:O,7,FALSE)</f>
        <v>2.2730634797775009</v>
      </c>
      <c r="AY38" s="95">
        <f>VLOOKUP(TableTERanks33433745[[#This Row],[Player]],TE!B:O,11,FALSE)</f>
        <v>63.316144832859713</v>
      </c>
      <c r="AZ38" s="190">
        <f>TableTERanks33433745[[#This Row],[FPS]]-(TableTERanks33433745[[#This Row],[REC]]*0.5)</f>
        <v>47.658436304859713</v>
      </c>
    </row>
    <row r="39" spans="1:52" x14ac:dyDescent="0.25">
      <c r="A39" s="58">
        <v>38</v>
      </c>
      <c r="B39" s="58" t="str">
        <f>VLOOKUP(TableQBRanks30403438[[#This Row],[RK]],Rankings!A:T,3,FALSE)</f>
        <v>Marcus Mariota</v>
      </c>
      <c r="C39" s="58" t="str">
        <f>IFERROR(INDEX(TableQBCalcPts[TM],MATCH(TableQBRanks30403438[[#This Row],[Player]],TableQBCalcPts[PLAYER],0)),"")</f>
        <v>WSH</v>
      </c>
      <c r="D39" s="58">
        <f>IFERROR(INDEX(TableQBCalcPts[BYE],MATCH(TableQBRanks30403438[[#This Row],[Player]],TableQBCalcPts[PLAYER],0)),"")</f>
        <v>7</v>
      </c>
      <c r="E39" s="100">
        <f>VLOOKUP(TableQBRanks30403438[[#This Row],[Player]],QB!B:O,4,FALSE)</f>
        <v>25.399100000000001</v>
      </c>
      <c r="F39" s="100">
        <f>VLOOKUP(TableQBRanks30403438[[#This Row],[Player]],QB!B:O,5,FALSE)</f>
        <v>16.507009111068687</v>
      </c>
      <c r="G39" s="100">
        <f>VLOOKUP(TableQBRanks30403438[[#This Row],[Player]],QB!B:O,6,FALSE)</f>
        <v>191.81144587061812</v>
      </c>
      <c r="H39" s="100">
        <f>VLOOKUP(TableQBRanks30403438[[#This Row],[Player]],QB!B:O,7,FALSE)</f>
        <v>1.2503162322118277</v>
      </c>
      <c r="I39" s="100">
        <f>VLOOKUP(TableQBRanks30403438[[#This Row],[Player]],QB!B:O,8,FALSE)</f>
        <v>0.62814216439281578</v>
      </c>
      <c r="J39" s="100">
        <f>VLOOKUP(TableQBRanks30403438[[#This Row],[Player]],QB!B:O,9,FALSE)</f>
        <v>4.9981764000000011</v>
      </c>
      <c r="K39" s="100">
        <f>VLOOKUP(TableQBRanks30403438[[#This Row],[Player]],QB!B:O,10,FALSE)</f>
        <v>31.521258817216651</v>
      </c>
      <c r="L39" s="100">
        <f>VLOOKUP(TableQBRanks30403438[[#This Row],[Player]],QB!B:O,11,FALSE)</f>
        <v>0.12310190559540891</v>
      </c>
      <c r="M39" s="95">
        <f>VLOOKUP(TableQBRanks30403438[[#This Row],[Player]],QB!B:O,13,FALSE)</f>
        <v>20.087651290103864</v>
      </c>
      <c r="N39" s="140">
        <f>IF(VLOOKUP(TableQBRanks30403438[[#This Row],[Player]],'Ranks w Proj'!$B:$N,13,FALSE)&lt;0,0,VLOOKUP(TableQBRanks30403438[[#This Row],[Player]],'Ranks w Proj'!$B:$N,13,FALSE))</f>
        <v>0</v>
      </c>
      <c r="P39" s="58">
        <v>38</v>
      </c>
      <c r="Q39" s="58" t="str">
        <f>VLOOKUP(TableRBRanks31413539[[#This Row],[RK]],Rankings!A:AY,38,FALSE)</f>
        <v>Alvin Kamara</v>
      </c>
      <c r="R39" s="58" t="str">
        <f>IFERROR(INDEX(TableRBCalcPts[TM],MATCH(TableRBRanks31413539[[#This Row],[Player]],TableRBCalcPts[PLAYER],0)),"")</f>
        <v>NO</v>
      </c>
      <c r="S39" s="58">
        <f>IFERROR(INDEX(TableRBCalcPts[BYE],MATCH(TableRBRanks31413539[[#This Row],[Player]],TableRBCalcPts[PLAYER],0)),"")</f>
        <v>8</v>
      </c>
      <c r="T39" s="100">
        <f>VLOOKUP(TableRBRanks31413539[[#This Row],[Player]],RB!B:O,4,FALSE)</f>
        <v>121.95176447999999</v>
      </c>
      <c r="U39" s="100">
        <f>VLOOKUP(TableRBRanks31413539[[#This Row],[Player]],RB!B:O,5,FALSE)</f>
        <v>476.83139911680001</v>
      </c>
      <c r="V39" s="100">
        <f>VLOOKUP(TableRBRanks31413539[[#This Row],[Player]],RB!B:O,6,FALSE)</f>
        <v>2.4500325132714935</v>
      </c>
      <c r="W39" s="100">
        <f>VLOOKUP(TableRBRanks31413539[[#This Row],[Player]],RB!B:O,7,FALSE)</f>
        <v>39.60692736</v>
      </c>
      <c r="X39" s="100">
        <f>VLOOKUP(TableRBRanks31413539[[#This Row],[Player]],RB!B:O,8,FALSE)</f>
        <v>29.625981665280001</v>
      </c>
      <c r="Y39" s="100">
        <f>VLOOKUP(TableRBRanks31413539[[#This Row],[Player]],RB!B:O,9,FALSE)</f>
        <v>209.45569037352962</v>
      </c>
      <c r="Z39" s="100">
        <f>VLOOKUP(TableRBRanks31413539[[#This Row],[Player]],RB!B:O,10,FALSE)</f>
        <v>0.97765739495424009</v>
      </c>
      <c r="AA39" s="95">
        <f>VLOOKUP(TableRBRanks31413539[[#This Row],[Player]],RB!B:O,14,FALSE)</f>
        <v>104.00783923102738</v>
      </c>
      <c r="AB39" s="190">
        <f>TableRBRanks31413539[[#This Row],[FPS]]-(TableRBRanks31413539[[#This Row],[REC]]*0.5)</f>
        <v>89.194848398387379</v>
      </c>
      <c r="AD39" s="58">
        <v>38</v>
      </c>
      <c r="AE39" s="58" t="str">
        <f>VLOOKUP(TableWRRanks32423644[[#This Row],[RK]],Rankings!A:AZ,43,FALSE)</f>
        <v>DK Metcalf</v>
      </c>
      <c r="AF39" s="58" t="str">
        <f>IFERROR(INDEX(TableWRCalcPts[TM],MATCH(TableWRRanks32423644[[#This Row],[Player]],TableWRCalcPts[PLAYER],0)),"")</f>
        <v>PIT</v>
      </c>
      <c r="AG39" s="58">
        <f>IFERROR(INDEX(TableWRCalcPts[BYE],MATCH(TableWRRanks32423644[[#This Row],[Player]],TableWRCalcPts[PLAYER],0)),"")</f>
        <v>9</v>
      </c>
      <c r="AH39" s="100">
        <f>VLOOKUP(TableWRRanks32423644[[#This Row],[Player]],WR!B:O,4,FALSE)</f>
        <v>0</v>
      </c>
      <c r="AI39" s="100">
        <f>VLOOKUP(TableWRRanks32423644[[#This Row],[Player]],WR!B:O,5,FALSE)</f>
        <v>0</v>
      </c>
      <c r="AJ39" s="100">
        <f>VLOOKUP(TableWRRanks32423644[[#This Row],[Player]],WR!B:O,6,FALSE)</f>
        <v>120.985704</v>
      </c>
      <c r="AK39" s="100">
        <f>VLOOKUP(TableWRRanks32423644[[#This Row],[Player]],WR!B:O,7,FALSE)</f>
        <v>66.387960727646018</v>
      </c>
      <c r="AL39" s="100">
        <f>VLOOKUP(TableWRRanks32423644[[#This Row],[Player]],WR!B:O,8,FALSE)</f>
        <v>934.74248704525598</v>
      </c>
      <c r="AM39" s="100">
        <f>VLOOKUP(TableWRRanks32423644[[#This Row],[Player]],WR!B:O,9,FALSE)</f>
        <v>6.0413044262157873</v>
      </c>
      <c r="AN39" s="95">
        <f>VLOOKUP(TableWRRanks32423644[[#This Row],[Player]],WR!B:O,13,FALSE)</f>
        <v>162.91605562564334</v>
      </c>
      <c r="AO39" s="190">
        <f>TableWRRanks32423644[[#This Row],[FPS]]-(TableWRRanks32423644[[#This Row],[REC]]*0.5)</f>
        <v>129.72207526182032</v>
      </c>
      <c r="AQ39" s="58">
        <v>38</v>
      </c>
      <c r="AR39" s="58" t="str">
        <f>VLOOKUP(TableTERanks33433745[[#This Row],[RK]],Rankings!A:AZ,48,FALSE)</f>
        <v>Colby Parkinson</v>
      </c>
      <c r="AS39" s="58" t="str">
        <f>IFERROR(INDEX(TableTECalcPts[TM],MATCH(TableTERanks33433745[[#This Row],[Player]],TableTECalcPts[PLAYER],0)),"")</f>
        <v>LAR</v>
      </c>
      <c r="AT39" s="58">
        <f>IFERROR(INDEX(TableTECalcPts[BYE],MATCH(TableTERanks33433745[[#This Row],[Player]],TableTECalcPts[PLAYER],0)),"")</f>
        <v>11</v>
      </c>
      <c r="AU39" s="100">
        <f>VLOOKUP(TableTERanks33433745[[#This Row],[Player]],TE!B:O,4,FALSE)</f>
        <v>40.147531182253346</v>
      </c>
      <c r="AV39" s="100">
        <f>VLOOKUP(TableTERanks33433745[[#This Row],[Player]],TE!B:O,5,FALSE)</f>
        <v>29.267550231862689</v>
      </c>
      <c r="AW39" s="100">
        <f>VLOOKUP(TableTERanks33433745[[#This Row],[Player]],TE!B:O,6,FALSE)</f>
        <v>277.20682944280912</v>
      </c>
      <c r="AX39" s="100">
        <f>VLOOKUP(TableTERanks33433745[[#This Row],[Player]],TE!B:O,7,FALSE)</f>
        <v>3.1236112677785943</v>
      </c>
      <c r="AY39" s="95">
        <f>VLOOKUP(TableTERanks33433745[[#This Row],[Player]],TE!B:O,11,FALSE)</f>
        <v>61.096125666883822</v>
      </c>
      <c r="AZ39" s="190">
        <f>TableTERanks33433745[[#This Row],[FPS]]-(TableTERanks33433745[[#This Row],[REC]]*0.5)</f>
        <v>46.462350550952479</v>
      </c>
    </row>
    <row r="40" spans="1:52" x14ac:dyDescent="0.25">
      <c r="A40" s="58">
        <v>39</v>
      </c>
      <c r="B40" s="58" t="str">
        <f>VLOOKUP(TableQBRanks30403438[[#This Row],[RK]],Rankings!A:T,3,FALSE)</f>
        <v>Tyler Huntley</v>
      </c>
      <c r="C40" s="58" t="str">
        <f>IFERROR(INDEX(TableQBCalcPts[TM],MATCH(TableQBRanks30403438[[#This Row],[Player]],TableQBCalcPts[PLAYER],0)),"")</f>
        <v>BAL</v>
      </c>
      <c r="D40" s="58">
        <f>IFERROR(INDEX(TableQBCalcPts[BYE],MATCH(TableQBRanks30403438[[#This Row],[Player]],TableQBCalcPts[PLAYER],0)),"")</f>
        <v>13</v>
      </c>
      <c r="E40" s="100">
        <f>VLOOKUP(TableQBRanks30403438[[#This Row],[Player]],QB!B:O,4,FALSE)</f>
        <v>23.977599999999999</v>
      </c>
      <c r="F40" s="100">
        <f>VLOOKUP(TableQBRanks30403438[[#This Row],[Player]],QB!B:O,5,FALSE)</f>
        <v>17.184053790823391</v>
      </c>
      <c r="G40" s="100">
        <f>VLOOKUP(TableQBRanks30403438[[#This Row],[Player]],QB!B:O,6,FALSE)</f>
        <v>177.33943512129741</v>
      </c>
      <c r="H40" s="100">
        <f>VLOOKUP(TableQBRanks30403438[[#This Row],[Player]],QB!B:O,7,FALSE)</f>
        <v>1.0091095563597374</v>
      </c>
      <c r="I40" s="100">
        <f>VLOOKUP(TableQBRanks30403438[[#This Row],[Player]],QB!B:O,8,FALSE)</f>
        <v>0.34172605995621669</v>
      </c>
      <c r="J40" s="100">
        <f>VLOOKUP(TableQBRanks30403438[[#This Row],[Player]],QB!B:O,9,FALSE)</f>
        <v>4.5397286451340211</v>
      </c>
      <c r="K40" s="100">
        <f>VLOOKUP(TableQBRanks30403438[[#This Row],[Player]],QB!B:O,10,FALSE)</f>
        <v>24.394805576599303</v>
      </c>
      <c r="L40" s="100">
        <f>VLOOKUP(TableQBRanks30403438[[#This Row],[Player]],QB!B:O,11,FALSE)</f>
        <v>0.14966138390551717</v>
      </c>
      <c r="M40" s="95">
        <f>VLOOKUP(TableQBRanks30403438[[#This Row],[Player]],QB!B:O,13,FALSE)</f>
        <v>17.862362923229476</v>
      </c>
      <c r="N40" s="140">
        <f>IF(VLOOKUP(TableQBRanks30403438[[#This Row],[Player]],'Ranks w Proj'!$B:$N,13,FALSE)&lt;0,0,VLOOKUP(TableQBRanks30403438[[#This Row],[Player]],'Ranks w Proj'!$B:$N,13,FALSE))</f>
        <v>0</v>
      </c>
      <c r="P40" s="58">
        <v>39</v>
      </c>
      <c r="Q40" s="58" t="str">
        <f>VLOOKUP(TableRBRanks31413539[[#This Row],[RK]],Rankings!A:AY,38,FALSE)</f>
        <v>Rachaad White</v>
      </c>
      <c r="R40" s="58" t="str">
        <f>IFERROR(INDEX(TableRBCalcPts[TM],MATCH(TableRBRanks31413539[[#This Row],[Player]],TableRBCalcPts[PLAYER],0)),"")</f>
        <v>WSH</v>
      </c>
      <c r="S40" s="58">
        <f>IFERROR(INDEX(TableRBCalcPts[BYE],MATCH(TableRBRanks31413539[[#This Row],[Player]],TableRBCalcPts[PLAYER],0)),"")</f>
        <v>7</v>
      </c>
      <c r="T40" s="100">
        <f>VLOOKUP(TableRBRanks31413539[[#This Row],[Player]],RB!B:O,4,FALSE)</f>
        <v>107.96061024000002</v>
      </c>
      <c r="U40" s="100">
        <f>VLOOKUP(TableRBRanks31413539[[#This Row],[Player]],RB!B:O,5,FALSE)</f>
        <v>457.75298741760014</v>
      </c>
      <c r="V40" s="100">
        <f>VLOOKUP(TableRBRanks31413539[[#This Row],[Player]],RB!B:O,6,FALSE)</f>
        <v>3.1308576969600006</v>
      </c>
      <c r="W40" s="100">
        <f>VLOOKUP(TableRBRanks31413539[[#This Row],[Player]],RB!B:O,7,FALSE)</f>
        <v>51.275703079999985</v>
      </c>
      <c r="X40" s="100">
        <f>VLOOKUP(TableRBRanks31413539[[#This Row],[Player]],RB!B:O,8,FALSE)</f>
        <v>41.430768088639994</v>
      </c>
      <c r="Y40" s="100">
        <f>VLOOKUP(TableRBRanks31413539[[#This Row],[Player]],RB!B:O,9,FALSE)</f>
        <v>283.38645372629753</v>
      </c>
      <c r="Z40" s="100">
        <f>VLOOKUP(TableRBRanks31413539[[#This Row],[Player]],RB!B:O,10,FALSE)</f>
        <v>1.7369826536675053</v>
      </c>
      <c r="AA40" s="95">
        <f>VLOOKUP(TableRBRanks31413539[[#This Row],[Player]],RB!B:O,14,FALSE)</f>
        <v>124.03637026247482</v>
      </c>
      <c r="AB40" s="190">
        <f>TableRBRanks31413539[[#This Row],[FPS]]-(TableRBRanks31413539[[#This Row],[REC]]*0.5)</f>
        <v>103.32098621815481</v>
      </c>
      <c r="AD40" s="58">
        <v>39</v>
      </c>
      <c r="AE40" s="58" t="str">
        <f>VLOOKUP(TableWRRanks32423644[[#This Row],[RK]],Rankings!A:AZ,43,FALSE)</f>
        <v>Jordan Addison</v>
      </c>
      <c r="AF40" s="58" t="str">
        <f>IFERROR(INDEX(TableWRCalcPts[TM],MATCH(TableWRRanks32423644[[#This Row],[Player]],TableWRCalcPts[PLAYER],0)),"")</f>
        <v>MIN</v>
      </c>
      <c r="AG40" s="58">
        <f>IFERROR(INDEX(TableWRCalcPts[BYE],MATCH(TableWRRanks32423644[[#This Row],[Player]],TableWRCalcPts[PLAYER],0)),"")</f>
        <v>6</v>
      </c>
      <c r="AH40" s="100">
        <f>VLOOKUP(TableWRRanks32423644[[#This Row],[Player]],WR!B:O,4,FALSE)</f>
        <v>35.867021374824645</v>
      </c>
      <c r="AI40" s="100">
        <f>VLOOKUP(TableWRRanks32423644[[#This Row],[Player]],WR!B:O,5,FALSE)</f>
        <v>0.133259616</v>
      </c>
      <c r="AJ40" s="100">
        <f>VLOOKUP(TableWRRanks32423644[[#This Row],[Player]],WR!B:O,6,FALSE)</f>
        <v>113.40315391999999</v>
      </c>
      <c r="AK40" s="100">
        <f>VLOOKUP(TableWRRanks32423644[[#This Row],[Player]],WR!B:O,7,FALSE)</f>
        <v>71.557390123519994</v>
      </c>
      <c r="AL40" s="100">
        <f>VLOOKUP(TableWRRanks32423644[[#This Row],[Player]],WR!B:O,8,FALSE)</f>
        <v>935.9706628156415</v>
      </c>
      <c r="AM40" s="100">
        <f>VLOOKUP(TableWRRanks32423644[[#This Row],[Player]],WR!B:O,9,FALSE)</f>
        <v>5.7961486000051199</v>
      </c>
      <c r="AN40" s="95">
        <f>VLOOKUP(TableWRRanks32423644[[#This Row],[Player]],WR!B:O,13,FALSE)</f>
        <v>168.53891277683735</v>
      </c>
      <c r="AO40" s="190">
        <f>TableWRRanks32423644[[#This Row],[FPS]]-(TableWRRanks32423644[[#This Row],[REC]]*0.5)</f>
        <v>132.76021771507735</v>
      </c>
      <c r="AQ40" s="58">
        <v>39</v>
      </c>
      <c r="AR40" s="58" t="str">
        <f>VLOOKUP(TableTERanks33433745[[#This Row],[RK]],Rankings!A:AZ,48,FALSE)</f>
        <v>Cole Kmet</v>
      </c>
      <c r="AS40" s="58" t="str">
        <f>IFERROR(INDEX(TableTECalcPts[TM],MATCH(TableTERanks33433745[[#This Row],[Player]],TableTECalcPts[PLAYER],0)),"")</f>
        <v>CHI</v>
      </c>
      <c r="AT40" s="58">
        <f>IFERROR(INDEX(TableTECalcPts[BYE],MATCH(TableTERanks33433745[[#This Row],[Player]],TableTECalcPts[PLAYER],0)),"")</f>
        <v>10</v>
      </c>
      <c r="AU40" s="100">
        <f>VLOOKUP(TableTERanks33433745[[#This Row],[Player]],TE!B:O,4,FALSE)</f>
        <v>34.963977440000008</v>
      </c>
      <c r="AV40" s="100">
        <f>VLOOKUP(TableTERanks33433745[[#This Row],[Player]],TE!B:O,5,FALSE)</f>
        <v>23.425864884800006</v>
      </c>
      <c r="AW40" s="100">
        <f>VLOOKUP(TableTERanks33433745[[#This Row],[Player]],TE!B:O,6,FALSE)</f>
        <v>251.82804751160006</v>
      </c>
      <c r="AX40" s="100">
        <f>VLOOKUP(TableTERanks33433745[[#This Row],[Player]],TE!B:O,7,FALSE)</f>
        <v>1.7803657312448005</v>
      </c>
      <c r="AY40" s="95">
        <f>VLOOKUP(TableTERanks33433745[[#This Row],[Player]],TE!B:O,11,FALSE)</f>
        <v>47.577931581028814</v>
      </c>
      <c r="AZ40" s="190">
        <f>TableTERanks33433745[[#This Row],[FPS]]-(TableTERanks33433745[[#This Row],[REC]]*0.5)</f>
        <v>35.864999138628811</v>
      </c>
    </row>
    <row r="41" spans="1:52" x14ac:dyDescent="0.25">
      <c r="A41" s="58">
        <v>40</v>
      </c>
      <c r="B41" s="58" t="str">
        <f>VLOOKUP(TableQBRanks30403438[[#This Row],[RK]],Rankings!A:T,3,FALSE)</f>
        <v>J.J. McCarthy</v>
      </c>
      <c r="C41" s="58" t="str">
        <f>IFERROR(INDEX(TableQBCalcPts[TM],MATCH(TableQBRanks30403438[[#This Row],[Player]],TableQBCalcPts[PLAYER],0)),"")</f>
        <v>MIN</v>
      </c>
      <c r="D41" s="58">
        <f>IFERROR(INDEX(TableQBCalcPts[BYE],MATCH(TableQBRanks30403438[[#This Row],[Player]],TableQBCalcPts[PLAYER],0)),"")</f>
        <v>6</v>
      </c>
      <c r="E41" s="100">
        <f>VLOOKUP(TableQBRanks30403438[[#This Row],[Player]],QB!B:O,4,FALSE)</f>
        <v>27.036799999999999</v>
      </c>
      <c r="F41" s="100">
        <f>VLOOKUP(TableQBRanks30403438[[#This Row],[Player]],QB!B:O,5,FALSE)</f>
        <v>16.463851816721146</v>
      </c>
      <c r="G41" s="100">
        <f>VLOOKUP(TableQBRanks30403438[[#This Row],[Player]],QB!B:O,6,FALSE)</f>
        <v>195.28242185162608</v>
      </c>
      <c r="H41" s="100">
        <f>VLOOKUP(TableQBRanks30403438[[#This Row],[Player]],QB!B:O,7,FALSE)</f>
        <v>1.1923814504958721</v>
      </c>
      <c r="I41" s="100">
        <f>VLOOKUP(TableQBRanks30403438[[#This Row],[Player]],QB!B:O,8,FALSE)</f>
        <v>0.71153415701700917</v>
      </c>
      <c r="J41" s="100">
        <f>VLOOKUP(TableQBRanks30403438[[#This Row],[Player]],QB!B:O,9,FALSE)</f>
        <v>2.2209935999999999</v>
      </c>
      <c r="K41" s="100">
        <f>VLOOKUP(TableQBRanks30403438[[#This Row],[Player]],QB!B:O,10,FALSE)</f>
        <v>10.391375895047979</v>
      </c>
      <c r="L41" s="100">
        <f>VLOOKUP(TableQBRanks30403438[[#This Row],[Player]],QB!B:O,11,FALSE)</f>
        <v>0.11993365439999999</v>
      </c>
      <c r="M41" s="95">
        <f>VLOOKUP(TableQBRanks30403438[[#This Row],[Player]],QB!B:O,13,FALSE)</f>
        <v>17.659176117600179</v>
      </c>
      <c r="N41" s="140">
        <f>IF(VLOOKUP(TableQBRanks30403438[[#This Row],[Player]],'Ranks w Proj'!$B:$N,13,FALSE)&lt;0,0,VLOOKUP(TableQBRanks30403438[[#This Row],[Player]],'Ranks w Proj'!$B:$N,13,FALSE))</f>
        <v>0</v>
      </c>
      <c r="P41" s="58">
        <v>40</v>
      </c>
      <c r="Q41" s="58" t="str">
        <f>VLOOKUP(TableRBRanks31413539[[#This Row],[RK]],Rankings!A:AY,38,FALSE)</f>
        <v>Jonathon Brooks</v>
      </c>
      <c r="R41" s="58" t="str">
        <f>IFERROR(INDEX(TableRBCalcPts[TM],MATCH(TableRBRanks31413539[[#This Row],[Player]],TableRBCalcPts[PLAYER],0)),"")</f>
        <v>CAR</v>
      </c>
      <c r="S41" s="58">
        <f>IFERROR(INDEX(TableRBCalcPts[BYE],MATCH(TableRBRanks31413539[[#This Row],[Player]],TableRBCalcPts[PLAYER],0)),"")</f>
        <v>5</v>
      </c>
      <c r="T41" s="100">
        <f>VLOOKUP(TableRBRanks31413539[[#This Row],[Player]],RB!B:O,4,FALSE)</f>
        <v>147.22299899999999</v>
      </c>
      <c r="U41" s="100">
        <f>VLOOKUP(TableRBRanks31413539[[#This Row],[Player]],RB!B:O,5,FALSE)</f>
        <v>634.53112568999984</v>
      </c>
      <c r="V41" s="100">
        <f>VLOOKUP(TableRBRanks31413539[[#This Row],[Player]],RB!B:O,6,FALSE)</f>
        <v>3.6805749749999999</v>
      </c>
      <c r="W41" s="100">
        <f>VLOOKUP(TableRBRanks31413539[[#This Row],[Player]],RB!B:O,7,FALSE)</f>
        <v>40.384574999999991</v>
      </c>
      <c r="X41" s="100">
        <f>VLOOKUP(TableRBRanks31413539[[#This Row],[Player]],RB!B:O,8,FALSE)</f>
        <v>28.551894524999991</v>
      </c>
      <c r="Y41" s="100">
        <f>VLOOKUP(TableRBRanks31413539[[#This Row],[Player]],RB!B:O,9,FALSE)</f>
        <v>210.26686729007403</v>
      </c>
      <c r="Z41" s="100">
        <f>VLOOKUP(TableRBRanks31413539[[#This Row],[Player]],RB!B:O,10,FALSE)</f>
        <v>0.91366062479999977</v>
      </c>
      <c r="AA41" s="95">
        <f>VLOOKUP(TableRBRanks31413539[[#This Row],[Player]],RB!B:O,14,FALSE)</f>
        <v>126.32116015930738</v>
      </c>
      <c r="AB41" s="190">
        <f>TableRBRanks31413539[[#This Row],[FPS]]-(TableRBRanks31413539[[#This Row],[REC]]*0.5)</f>
        <v>112.04521289680739</v>
      </c>
      <c r="AD41" s="58">
        <v>40</v>
      </c>
      <c r="AE41" s="58" t="str">
        <f>VLOOKUP(TableWRRanks32423644[[#This Row],[RK]],Rankings!A:AZ,43,FALSE)</f>
        <v>Quentin Johnston</v>
      </c>
      <c r="AF41" s="58" t="str">
        <f>IFERROR(INDEX(TableWRCalcPts[TM],MATCH(TableWRRanks32423644[[#This Row],[Player]],TableWRCalcPts[PLAYER],0)),"")</f>
        <v>LAC</v>
      </c>
      <c r="AG41" s="58">
        <f>IFERROR(INDEX(TableWRCalcPts[BYE],MATCH(TableWRRanks32423644[[#This Row],[Player]],TableWRCalcPts[PLAYER],0)),"")</f>
        <v>7</v>
      </c>
      <c r="AH41" s="100">
        <f>VLOOKUP(TableWRRanks32423644[[#This Row],[Player]],WR!B:O,4,FALSE)</f>
        <v>0</v>
      </c>
      <c r="AI41" s="100">
        <f>VLOOKUP(TableWRRanks32423644[[#This Row],[Player]],WR!B:O,5,FALSE)</f>
        <v>0</v>
      </c>
      <c r="AJ41" s="100">
        <f>VLOOKUP(TableWRRanks32423644[[#This Row],[Player]],WR!B:O,6,FALSE)</f>
        <v>108.46499663999998</v>
      </c>
      <c r="AK41" s="100">
        <f>VLOOKUP(TableWRRanks32423644[[#This Row],[Player]],WR!B:O,7,FALSE)</f>
        <v>61.233610819884383</v>
      </c>
      <c r="AL41" s="100">
        <f>VLOOKUP(TableWRRanks32423644[[#This Row],[Player]],WR!B:O,8,FALSE)</f>
        <v>879.68748673771267</v>
      </c>
      <c r="AM41" s="100">
        <f>VLOOKUP(TableWRRanks32423644[[#This Row],[Player]],WR!B:O,9,FALSE)</f>
        <v>7.6542013524855479</v>
      </c>
      <c r="AN41" s="95">
        <f>VLOOKUP(TableWRRanks32423644[[#This Row],[Player]],WR!B:O,13,FALSE)</f>
        <v>164.51076219862676</v>
      </c>
      <c r="AO41" s="190">
        <f>TableWRRanks32423644[[#This Row],[FPS]]-(TableWRRanks32423644[[#This Row],[REC]]*0.5)</f>
        <v>133.89395678868456</v>
      </c>
      <c r="AQ41" s="58">
        <v>40</v>
      </c>
      <c r="AR41" s="58" t="str">
        <f>VLOOKUP(TableTERanks33433745[[#This Row],[RK]],Rankings!A:AZ,48,FALSE)</f>
        <v>Ja'Tavion Sanders</v>
      </c>
      <c r="AS41" s="58" t="str">
        <f>IFERROR(INDEX(TableTECalcPts[TM],MATCH(TableTERanks33433745[[#This Row],[Player]],TableTECalcPts[PLAYER],0)),"")</f>
        <v>CAR</v>
      </c>
      <c r="AT41" s="58">
        <f>IFERROR(INDEX(TableTECalcPts[BYE],MATCH(TableTERanks33433745[[#This Row],[Player]],TableTECalcPts[PLAYER],0)),"")</f>
        <v>5</v>
      </c>
      <c r="AU41" s="100">
        <f>VLOOKUP(TableTERanks33433745[[#This Row],[Player]],TE!B:O,4,FALSE)</f>
        <v>43.076879999999996</v>
      </c>
      <c r="AV41" s="100">
        <f>VLOOKUP(TableTERanks33433745[[#This Row],[Player]],TE!B:O,5,FALSE)</f>
        <v>31.532276159999995</v>
      </c>
      <c r="AW41" s="100">
        <f>VLOOKUP(TableTERanks33433745[[#This Row],[Player]],TE!B:O,6,FALSE)</f>
        <v>250.18732053957442</v>
      </c>
      <c r="AX41" s="100">
        <f>VLOOKUP(TableTERanks33433745[[#This Row],[Player]],TE!B:O,7,FALSE)</f>
        <v>1.8919365695999997</v>
      </c>
      <c r="AY41" s="95">
        <f>VLOOKUP(TableTERanks33433745[[#This Row],[Player]],TE!B:O,11,FALSE)</f>
        <v>52.136489551557439</v>
      </c>
      <c r="AZ41" s="190">
        <f>TableTERanks33433745[[#This Row],[FPS]]-(TableTERanks33433745[[#This Row],[REC]]*0.5)</f>
        <v>36.370351471557441</v>
      </c>
    </row>
    <row r="42" spans="1:52" x14ac:dyDescent="0.25">
      <c r="A42" s="58">
        <v>41</v>
      </c>
      <c r="B42" s="58">
        <f>VLOOKUP(TableQBRanks30403438[[#This Row],[RK]],Rankings!A:T,3,FALSE)</f>
        <v>0</v>
      </c>
      <c r="C42" s="58" t="str">
        <f>IFERROR(INDEX(TableQBCalcPts[TM],MATCH(TableQBRanks30403438[[#This Row],[Player]],TableQBCalcPts[PLAYER],0)),"")</f>
        <v/>
      </c>
      <c r="D42" s="58" t="str">
        <f>IFERROR(INDEX(TableQBCalcPts[BYE],MATCH(TableQBRanks30403438[[#This Row],[Player]],TableQBCalcPts[PLAYER],0)),"")</f>
        <v/>
      </c>
      <c r="E42" s="100">
        <f>VLOOKUP(TableQBRanks30403438[[#This Row],[Player]],QB!B:O,4,FALSE)</f>
        <v>0</v>
      </c>
      <c r="F42" s="100">
        <f>VLOOKUP(TableQBRanks30403438[[#This Row],[Player]],QB!B:O,5,FALSE)</f>
        <v>0</v>
      </c>
      <c r="G42" s="100">
        <f>VLOOKUP(TableQBRanks30403438[[#This Row],[Player]],QB!B:O,6,FALSE)</f>
        <v>0</v>
      </c>
      <c r="H42" s="100">
        <f>VLOOKUP(TableQBRanks30403438[[#This Row],[Player]],QB!B:O,7,FALSE)</f>
        <v>0</v>
      </c>
      <c r="I42" s="100">
        <f>VLOOKUP(TableQBRanks30403438[[#This Row],[Player]],QB!B:O,8,FALSE)</f>
        <v>0</v>
      </c>
      <c r="J42" s="100">
        <f>VLOOKUP(TableQBRanks30403438[[#This Row],[Player]],QB!B:O,9,FALSE)</f>
        <v>0</v>
      </c>
      <c r="K42" s="100">
        <f>VLOOKUP(TableQBRanks30403438[[#This Row],[Player]],QB!B:O,10,FALSE)</f>
        <v>0</v>
      </c>
      <c r="L42" s="100">
        <f>VLOOKUP(TableQBRanks30403438[[#This Row],[Player]],QB!B:O,11,FALSE)</f>
        <v>0</v>
      </c>
      <c r="M42" s="95">
        <f>VLOOKUP(TableQBRanks30403438[[#This Row],[Player]],QB!B:O,13,FALSE)</f>
        <v>0</v>
      </c>
      <c r="N42" s="140" t="e">
        <f>IF(VLOOKUP(TableQBRanks30403438[[#This Row],[Player]],'Ranks w Proj'!$B:$N,13,FALSE)&lt;0,0,VLOOKUP(TableQBRanks30403438[[#This Row],[Player]],'Ranks w Proj'!$B:$N,13,FALSE))</f>
        <v>#N/A</v>
      </c>
      <c r="P42" s="58">
        <v>41</v>
      </c>
      <c r="Q42" s="58" t="str">
        <f>VLOOKUP(TableRBRanks31413539[[#This Row],[RK]],Rankings!A:AY,38,FALSE)</f>
        <v>Jacory Croskey-Merritt</v>
      </c>
      <c r="R42" s="58" t="str">
        <f>IFERROR(INDEX(TableRBCalcPts[TM],MATCH(TableRBRanks31413539[[#This Row],[Player]],TableRBCalcPts[PLAYER],0)),"")</f>
        <v>WSH</v>
      </c>
      <c r="S42" s="58">
        <f>IFERROR(INDEX(TableRBCalcPts[BYE],MATCH(TableRBRanks31413539[[#This Row],[Player]],TableRBCalcPts[PLAYER],0)),"")</f>
        <v>7</v>
      </c>
      <c r="T42" s="100">
        <f>VLOOKUP(TableRBRanks31413539[[#This Row],[Player]],RB!B:O,4,FALSE)</f>
        <v>151.44474492000003</v>
      </c>
      <c r="U42" s="100">
        <f>VLOOKUP(TableRBRanks31413539[[#This Row],[Player]],RB!B:O,5,FALSE)</f>
        <v>682.10886620784333</v>
      </c>
      <c r="V42" s="100">
        <f>VLOOKUP(TableRBRanks31413539[[#This Row],[Player]],RB!B:O,6,FALSE)</f>
        <v>5.720327142783229</v>
      </c>
      <c r="W42" s="100">
        <f>VLOOKUP(TableRBRanks31413539[[#This Row],[Player]],RB!B:O,7,FALSE)</f>
        <v>20.410716759999996</v>
      </c>
      <c r="X42" s="100">
        <f>VLOOKUP(TableRBRanks31413539[[#This Row],[Player]],RB!B:O,8,FALSE)</f>
        <v>15.165162552679996</v>
      </c>
      <c r="Y42" s="100">
        <f>VLOOKUP(TableRBRanks31413539[[#This Row],[Player]],RB!B:O,9,FALSE)</f>
        <v>108.88586712824237</v>
      </c>
      <c r="Z42" s="100">
        <f>VLOOKUP(TableRBRanks31413539[[#This Row],[Player]],RB!B:O,10,FALSE)</f>
        <v>0.45306709700952691</v>
      </c>
      <c r="AA42" s="95">
        <f>VLOOKUP(TableRBRanks31413539[[#This Row],[Player]],RB!B:O,14,FALSE)</f>
        <v>123.7224200487051</v>
      </c>
      <c r="AB42" s="190">
        <f>TableRBRanks31413539[[#This Row],[FPS]]-(TableRBRanks31413539[[#This Row],[REC]]*0.5)</f>
        <v>116.13983877236511</v>
      </c>
      <c r="AD42" s="58">
        <v>41</v>
      </c>
      <c r="AE42" s="58" t="str">
        <f>VLOOKUP(TableWRRanks32423644[[#This Row],[RK]],Rankings!A:AZ,43,FALSE)</f>
        <v>Michael Wilson</v>
      </c>
      <c r="AF42" s="58" t="str">
        <f>IFERROR(INDEX(TableWRCalcPts[TM],MATCH(TableWRRanks32423644[[#This Row],[Player]],TableWRCalcPts[PLAYER],0)),"")</f>
        <v>ARI</v>
      </c>
      <c r="AG42" s="58">
        <f>IFERROR(INDEX(TableWRCalcPts[BYE],MATCH(TableWRRanks32423644[[#This Row],[Player]],TableWRCalcPts[PLAYER],0)),"")</f>
        <v>14</v>
      </c>
      <c r="AH42" s="100">
        <f>VLOOKUP(TableWRRanks32423644[[#This Row],[Player]],WR!B:O,4,FALSE)</f>
        <v>0</v>
      </c>
      <c r="AI42" s="100">
        <f>VLOOKUP(TableWRRanks32423644[[#This Row],[Player]],WR!B:O,5,FALSE)</f>
        <v>0</v>
      </c>
      <c r="AJ42" s="100">
        <f>VLOOKUP(TableWRRanks32423644[[#This Row],[Player]],WR!B:O,6,FALSE)</f>
        <v>112.29874880000001</v>
      </c>
      <c r="AK42" s="100">
        <f>VLOOKUP(TableWRRanks32423644[[#This Row],[Player]],WR!B:O,7,FALSE)</f>
        <v>66.274717090252423</v>
      </c>
      <c r="AL42" s="100">
        <f>VLOOKUP(TableWRRanks32423644[[#This Row],[Player]],WR!B:O,8,FALSE)</f>
        <v>804.57506547566447</v>
      </c>
      <c r="AM42" s="100">
        <f>VLOOKUP(TableWRRanks32423644[[#This Row],[Player]],WR!B:O,9,FALSE)</f>
        <v>4.9706037817689319</v>
      </c>
      <c r="AN42" s="95">
        <f>VLOOKUP(TableWRRanks32423644[[#This Row],[Player]],WR!B:O,13,FALSE)</f>
        <v>143.41848778330626</v>
      </c>
      <c r="AO42" s="190">
        <f>TableWRRanks32423644[[#This Row],[FPS]]-(TableWRRanks32423644[[#This Row],[REC]]*0.5)</f>
        <v>110.28112923818006</v>
      </c>
      <c r="AQ42" s="58">
        <v>41</v>
      </c>
      <c r="AR42" s="58" t="str">
        <f>VLOOKUP(TableTERanks33433745[[#This Row],[RK]],Rankings!A:AZ,48,FALSE)</f>
        <v>Eli Raridon</v>
      </c>
      <c r="AS42" s="58" t="str">
        <f>IFERROR(INDEX(TableTECalcPts[TM],MATCH(TableTERanks33433745[[#This Row],[Player]],TableTECalcPts[PLAYER],0)),"")</f>
        <v>NE</v>
      </c>
      <c r="AT42" s="58">
        <f>IFERROR(INDEX(TableTECalcPts[BYE],MATCH(TableTERanks33433745[[#This Row],[Player]],TableTECalcPts[PLAYER],0)),"")</f>
        <v>11</v>
      </c>
      <c r="AU42" s="100">
        <f>VLOOKUP(TableTERanks33433745[[#This Row],[Player]],TE!B:O,4,FALSE)</f>
        <v>37.085826399999988</v>
      </c>
      <c r="AV42" s="100">
        <f>VLOOKUP(TableTERanks33433745[[#This Row],[Player]],TE!B:O,5,FALSE)</f>
        <v>26.850138313599992</v>
      </c>
      <c r="AW42" s="100">
        <f>VLOOKUP(TableTERanks33433745[[#This Row],[Player]],TE!B:O,6,FALSE)</f>
        <v>268.12218195686313</v>
      </c>
      <c r="AX42" s="100">
        <f>VLOOKUP(TableTERanks33433745[[#This Row],[Player]],TE!B:O,7,FALSE)</f>
        <v>1.6915587137567996</v>
      </c>
      <c r="AY42" s="95">
        <f>VLOOKUP(TableTERanks33433745[[#This Row],[Player]],TE!B:O,11,FALSE)</f>
        <v>50.386639635027102</v>
      </c>
      <c r="AZ42" s="190">
        <f>TableTERanks33433745[[#This Row],[FPS]]-(TableTERanks33433745[[#This Row],[REC]]*0.5)</f>
        <v>36.961570478227102</v>
      </c>
    </row>
    <row r="43" spans="1:52" x14ac:dyDescent="0.25">
      <c r="A43" s="58">
        <v>42</v>
      </c>
      <c r="B43" s="58">
        <f>VLOOKUP(TableQBRanks30403438[[#This Row],[RK]],Rankings!A:T,3,FALSE)</f>
        <v>0</v>
      </c>
      <c r="C43" s="58" t="str">
        <f>IFERROR(INDEX(TableQBCalcPts[TM],MATCH(TableQBRanks30403438[[#This Row],[Player]],TableQBCalcPts[PLAYER],0)),"")</f>
        <v/>
      </c>
      <c r="D43" s="58" t="str">
        <f>IFERROR(INDEX(TableQBCalcPts[BYE],MATCH(TableQBRanks30403438[[#This Row],[Player]],TableQBCalcPts[PLAYER],0)),"")</f>
        <v/>
      </c>
      <c r="E43" s="100">
        <f>VLOOKUP(TableQBRanks30403438[[#This Row],[Player]],QB!B:O,4,FALSE)</f>
        <v>0</v>
      </c>
      <c r="F43" s="100">
        <f>VLOOKUP(TableQBRanks30403438[[#This Row],[Player]],QB!B:O,5,FALSE)</f>
        <v>0</v>
      </c>
      <c r="G43" s="100">
        <f>VLOOKUP(TableQBRanks30403438[[#This Row],[Player]],QB!B:O,6,FALSE)</f>
        <v>0</v>
      </c>
      <c r="H43" s="100">
        <f>VLOOKUP(TableQBRanks30403438[[#This Row],[Player]],QB!B:O,7,FALSE)</f>
        <v>0</v>
      </c>
      <c r="I43" s="100">
        <f>VLOOKUP(TableQBRanks30403438[[#This Row],[Player]],QB!B:O,8,FALSE)</f>
        <v>0</v>
      </c>
      <c r="J43" s="100">
        <f>VLOOKUP(TableQBRanks30403438[[#This Row],[Player]],QB!B:O,9,FALSE)</f>
        <v>0</v>
      </c>
      <c r="K43" s="100">
        <f>VLOOKUP(TableQBRanks30403438[[#This Row],[Player]],QB!B:O,10,FALSE)</f>
        <v>0</v>
      </c>
      <c r="L43" s="100">
        <f>VLOOKUP(TableQBRanks30403438[[#This Row],[Player]],QB!B:O,11,FALSE)</f>
        <v>0</v>
      </c>
      <c r="M43" s="95">
        <f>VLOOKUP(TableQBRanks30403438[[#This Row],[Player]],QB!B:O,13,FALSE)</f>
        <v>0</v>
      </c>
      <c r="N43" s="140" t="e">
        <f>IF(VLOOKUP(TableQBRanks30403438[[#This Row],[Player]],'Ranks w Proj'!$B:$N,13,FALSE)&lt;0,0,VLOOKUP(TableQBRanks30403438[[#This Row],[Player]],'Ranks w Proj'!$B:$N,13,FALSE))</f>
        <v>#N/A</v>
      </c>
      <c r="P43" s="58">
        <v>42</v>
      </c>
      <c r="Q43" s="58" t="str">
        <f>VLOOKUP(TableRBRanks31413539[[#This Row],[RK]],Rankings!A:AY,38,FALSE)</f>
        <v>Chris Rodriguez</v>
      </c>
      <c r="R43" s="58" t="str">
        <f>IFERROR(INDEX(TableRBCalcPts[TM],MATCH(TableRBRanks31413539[[#This Row],[Player]],TableRBCalcPts[PLAYER],0)),"")</f>
        <v>JAX</v>
      </c>
      <c r="S43" s="58">
        <f>IFERROR(INDEX(TableRBCalcPts[BYE],MATCH(TableRBRanks31413539[[#This Row],[Player]],TableRBCalcPts[PLAYER],0)),"")</f>
        <v>7</v>
      </c>
      <c r="T43" s="100">
        <f>VLOOKUP(TableRBRanks31413539[[#This Row],[Player]],RB!B:O,4,FALSE)</f>
        <v>134.17532309999999</v>
      </c>
      <c r="U43" s="100">
        <f>VLOOKUP(TableRBRanks31413539[[#This Row],[Player]],RB!B:O,5,FALSE)</f>
        <v>554.14408440299997</v>
      </c>
      <c r="V43" s="100">
        <f>VLOOKUP(TableRBRanks31413539[[#This Row],[Player]],RB!B:O,6,FALSE)</f>
        <v>4.964486954699999</v>
      </c>
      <c r="W43" s="100">
        <f>VLOOKUP(TableRBRanks31413539[[#This Row],[Player]],RB!B:O,7,FALSE)</f>
        <v>14.551500600000001</v>
      </c>
      <c r="X43" s="100">
        <f>VLOOKUP(TableRBRanks31413539[[#This Row],[Player]],RB!B:O,8,FALSE)</f>
        <v>10.098741416399999</v>
      </c>
      <c r="Y43" s="100">
        <f>VLOOKUP(TableRBRanks31413539[[#This Row],[Player]],RB!B:O,9,FALSE)</f>
        <v>68.62928965127324</v>
      </c>
      <c r="Z43" s="100">
        <f>VLOOKUP(TableRBRanks31413539[[#This Row],[Player]],RB!B:O,10,FALSE)</f>
        <v>0.30296224249199999</v>
      </c>
      <c r="AA43" s="95">
        <f>VLOOKUP(TableRBRanks31413539[[#This Row],[Player]],RB!B:O,14,FALSE)</f>
        <v>98.931403296779322</v>
      </c>
      <c r="AB43" s="190">
        <f>TableRBRanks31413539[[#This Row],[FPS]]-(TableRBRanks31413539[[#This Row],[REC]]*0.5)</f>
        <v>93.882032588579321</v>
      </c>
      <c r="AD43" s="58">
        <v>42</v>
      </c>
      <c r="AE43" s="58" t="str">
        <f>VLOOKUP(TableWRRanks32423644[[#This Row],[RK]],Rankings!A:AZ,43,FALSE)</f>
        <v>Chris Godwin</v>
      </c>
      <c r="AF43" s="58" t="str">
        <f>IFERROR(INDEX(TableWRCalcPts[TM],MATCH(TableWRRanks32423644[[#This Row],[Player]],TableWRCalcPts[PLAYER],0)),"")</f>
        <v>TB</v>
      </c>
      <c r="AG43" s="58">
        <f>IFERROR(INDEX(TableWRCalcPts[BYE],MATCH(TableWRRanks32423644[[#This Row],[Player]],TableWRCalcPts[PLAYER],0)),"")</f>
        <v>10</v>
      </c>
      <c r="AH43" s="100">
        <f>VLOOKUP(TableWRRanks32423644[[#This Row],[Player]],WR!B:O,4,FALSE)</f>
        <v>0</v>
      </c>
      <c r="AI43" s="100">
        <f>VLOOKUP(TableWRRanks32423644[[#This Row],[Player]],WR!B:O,5,FALSE)</f>
        <v>0</v>
      </c>
      <c r="AJ43" s="100">
        <f>VLOOKUP(TableWRRanks32423644[[#This Row],[Player]],WR!B:O,6,FALSE)</f>
        <v>105.95120255999994</v>
      </c>
      <c r="AK43" s="100">
        <f>VLOOKUP(TableWRRanks32423644[[#This Row],[Player]],WR!B:O,7,FALSE)</f>
        <v>69.503988879359966</v>
      </c>
      <c r="AL43" s="100">
        <f>VLOOKUP(TableWRRanks32423644[[#This Row],[Player]],WR!B:O,8,FALSE)</f>
        <v>777.05459567124444</v>
      </c>
      <c r="AM43" s="100">
        <f>VLOOKUP(TableWRRanks32423644[[#This Row],[Player]],WR!B:O,9,FALSE)</f>
        <v>5.3518071437107171</v>
      </c>
      <c r="AN43" s="95">
        <f>VLOOKUP(TableWRRanks32423644[[#This Row],[Player]],WR!B:O,13,FALSE)</f>
        <v>144.56829686906872</v>
      </c>
      <c r="AO43" s="190">
        <f>TableWRRanks32423644[[#This Row],[FPS]]-(TableWRRanks32423644[[#This Row],[REC]]*0.5)</f>
        <v>109.81630242938874</v>
      </c>
      <c r="AQ43" s="58">
        <v>42</v>
      </c>
      <c r="AR43" s="58" t="str">
        <f>VLOOKUP(TableTERanks33433745[[#This Row],[RK]],Rankings!A:AZ,48,FALSE)</f>
        <v>Max Klare</v>
      </c>
      <c r="AS43" s="58" t="str">
        <f>IFERROR(INDEX(TableTECalcPts[TM],MATCH(TableTERanks33433745[[#This Row],[Player]],TableTECalcPts[PLAYER],0)),"")</f>
        <v>LAR</v>
      </c>
      <c r="AT43" s="58">
        <f>IFERROR(INDEX(TableTECalcPts[BYE],MATCH(TableTERanks33433745[[#This Row],[Player]],TableTECalcPts[PLAYER],0)),"")</f>
        <v>11</v>
      </c>
      <c r="AU43" s="100">
        <f>VLOOKUP(TableTERanks33433745[[#This Row],[Player]],TE!B:O,4,FALSE)</f>
        <v>26.576534726280389</v>
      </c>
      <c r="AV43" s="100">
        <f>VLOOKUP(TableTERanks33433745[[#This Row],[Player]],TE!B:O,5,FALSE)</f>
        <v>18.576997773669991</v>
      </c>
      <c r="AW43" s="100">
        <f>VLOOKUP(TableTERanks33433745[[#This Row],[Player]],TE!B:O,6,FALSE)</f>
        <v>194.5696082610699</v>
      </c>
      <c r="AX43" s="100">
        <f>VLOOKUP(TableTERanks33433745[[#This Row],[Player]],TE!B:O,7,FALSE)</f>
        <v>1.1732840699159994</v>
      </c>
      <c r="AY43" s="95">
        <f>VLOOKUP(TableTERanks33433745[[#This Row],[Player]],TE!B:O,11,FALSE)</f>
        <v>35.785164132437984</v>
      </c>
      <c r="AZ43" s="190">
        <f>TableTERanks33433745[[#This Row],[FPS]]-(TableTERanks33433745[[#This Row],[REC]]*0.5)</f>
        <v>26.496665245602991</v>
      </c>
    </row>
    <row r="44" spans="1:52" x14ac:dyDescent="0.25">
      <c r="A44" s="58">
        <v>43</v>
      </c>
      <c r="B44" s="58">
        <f>VLOOKUP(TableQBRanks30403438[[#This Row],[RK]],Rankings!A:T,3,FALSE)</f>
        <v>0</v>
      </c>
      <c r="C44" s="58" t="str">
        <f>IFERROR(INDEX(TableQBCalcPts[TM],MATCH(TableQBRanks30403438[[#This Row],[Player]],TableQBCalcPts[PLAYER],0)),"")</f>
        <v/>
      </c>
      <c r="D44" s="58" t="str">
        <f>IFERROR(INDEX(TableQBCalcPts[BYE],MATCH(TableQBRanks30403438[[#This Row],[Player]],TableQBCalcPts[PLAYER],0)),"")</f>
        <v/>
      </c>
      <c r="E44" s="100">
        <f>VLOOKUP(TableQBRanks30403438[[#This Row],[Player]],QB!B:O,4,FALSE)</f>
        <v>0</v>
      </c>
      <c r="F44" s="100">
        <f>VLOOKUP(TableQBRanks30403438[[#This Row],[Player]],QB!B:O,5,FALSE)</f>
        <v>0</v>
      </c>
      <c r="G44" s="100">
        <f>VLOOKUP(TableQBRanks30403438[[#This Row],[Player]],QB!B:O,6,FALSE)</f>
        <v>0</v>
      </c>
      <c r="H44" s="100">
        <f>VLOOKUP(TableQBRanks30403438[[#This Row],[Player]],QB!B:O,7,FALSE)</f>
        <v>0</v>
      </c>
      <c r="I44" s="100">
        <f>VLOOKUP(TableQBRanks30403438[[#This Row],[Player]],QB!B:O,8,FALSE)</f>
        <v>0</v>
      </c>
      <c r="J44" s="100">
        <f>VLOOKUP(TableQBRanks30403438[[#This Row],[Player]],QB!B:O,9,FALSE)</f>
        <v>0</v>
      </c>
      <c r="K44" s="100">
        <f>VLOOKUP(TableQBRanks30403438[[#This Row],[Player]],QB!B:O,10,FALSE)</f>
        <v>0</v>
      </c>
      <c r="L44" s="100">
        <f>VLOOKUP(TableQBRanks30403438[[#This Row],[Player]],QB!B:O,11,FALSE)</f>
        <v>0</v>
      </c>
      <c r="M44" s="95">
        <f>VLOOKUP(TableQBRanks30403438[[#This Row],[Player]],QB!B:O,13,FALSE)</f>
        <v>0</v>
      </c>
      <c r="N44" s="140" t="e">
        <f>IF(VLOOKUP(TableQBRanks30403438[[#This Row],[Player]],'Ranks w Proj'!$B:$N,13,FALSE)&lt;0,0,VLOOKUP(TableQBRanks30403438[[#This Row],[Player]],'Ranks w Proj'!$B:$N,13,FALSE))</f>
        <v>#N/A</v>
      </c>
      <c r="P44" s="58">
        <v>43</v>
      </c>
      <c r="Q44" s="58" t="str">
        <f>VLOOKUP(TableRBRanks31413539[[#This Row],[RK]],Rankings!A:AY,38,FALSE)</f>
        <v>Tyrone Tracy</v>
      </c>
      <c r="R44" s="58" t="str">
        <f>IFERROR(INDEX(TableRBCalcPts[TM],MATCH(TableRBRanks31413539[[#This Row],[Player]],TableRBCalcPts[PLAYER],0)),"")</f>
        <v>NYG</v>
      </c>
      <c r="S44" s="58">
        <f>IFERROR(INDEX(TableRBCalcPts[BYE],MATCH(TableRBRanks31413539[[#This Row],[Player]],TableRBCalcPts[PLAYER],0)),"")</f>
        <v>8</v>
      </c>
      <c r="T44" s="100">
        <f>VLOOKUP(TableRBRanks31413539[[#This Row],[Player]],RB!B:O,4,FALSE)</f>
        <v>109.42874431999999</v>
      </c>
      <c r="U44" s="100">
        <f>VLOOKUP(TableRBRanks31413539[[#This Row],[Player]],RB!B:O,5,FALSE)</f>
        <v>448.65785171199991</v>
      </c>
      <c r="V44" s="100">
        <f>VLOOKUP(TableRBRanks31413539[[#This Row],[Player]],RB!B:O,6,FALSE)</f>
        <v>3.1734335852799997</v>
      </c>
      <c r="W44" s="100">
        <f>VLOOKUP(TableRBRanks31413539[[#This Row],[Player]],RB!B:O,7,FALSE)</f>
        <v>22.2488469</v>
      </c>
      <c r="X44" s="100">
        <f>VLOOKUP(TableRBRanks31413539[[#This Row],[Player]],RB!B:O,8,FALSE)</f>
        <v>17.72104533232174</v>
      </c>
      <c r="Y44" s="100">
        <f>VLOOKUP(TableRBRanks31413539[[#This Row],[Player]],RB!B:O,9,FALSE)</f>
        <v>127.94594729936296</v>
      </c>
      <c r="Z44" s="100">
        <f>VLOOKUP(TableRBRanks31413539[[#This Row],[Player]],RB!B:O,10,FALSE)</f>
        <v>0.8103094530391306</v>
      </c>
      <c r="AA44" s="95">
        <f>VLOOKUP(TableRBRanks31413539[[#This Row],[Player]],RB!B:O,14,FALSE)</f>
        <v>90.423360797211956</v>
      </c>
      <c r="AB44" s="190">
        <f>TableRBRanks31413539[[#This Row],[FPS]]-(TableRBRanks31413539[[#This Row],[REC]]*0.5)</f>
        <v>81.56283813105108</v>
      </c>
      <c r="AD44" s="58">
        <v>43</v>
      </c>
      <c r="AE44" s="58" t="str">
        <f>VLOOKUP(TableWRRanks32423644[[#This Row],[RK]],Rankings!A:AZ,43,FALSE)</f>
        <v>Michael Pittman</v>
      </c>
      <c r="AF44" s="58" t="str">
        <f>IFERROR(INDEX(TableWRCalcPts[TM],MATCH(TableWRRanks32423644[[#This Row],[Player]],TableWRCalcPts[PLAYER],0)),"")</f>
        <v>PIT</v>
      </c>
      <c r="AG44" s="58">
        <f>IFERROR(INDEX(TableWRCalcPts[BYE],MATCH(TableWRRanks32423644[[#This Row],[Player]],TableWRCalcPts[PLAYER],0)),"")</f>
        <v>9</v>
      </c>
      <c r="AH44" s="100">
        <f>VLOOKUP(TableWRRanks32423644[[#This Row],[Player]],WR!B:O,4,FALSE)</f>
        <v>0</v>
      </c>
      <c r="AI44" s="100">
        <f>VLOOKUP(TableWRRanks32423644[[#This Row],[Player]],WR!B:O,5,FALSE)</f>
        <v>0</v>
      </c>
      <c r="AJ44" s="100">
        <f>VLOOKUP(TableWRRanks32423644[[#This Row],[Player]],WR!B:O,6,FALSE)</f>
        <v>133.48187999999999</v>
      </c>
      <c r="AK44" s="100">
        <f>VLOOKUP(TableWRRanks32423644[[#This Row],[Player]],WR!B:O,7,FALSE)</f>
        <v>85.14690356462151</v>
      </c>
      <c r="AL44" s="100">
        <f>VLOOKUP(TableWRRanks32423644[[#This Row],[Player]],WR!B:O,8,FALSE)</f>
        <v>860.83519503832338</v>
      </c>
      <c r="AM44" s="100">
        <f>VLOOKUP(TableWRRanks32423644[[#This Row],[Player]],WR!B:O,9,FALSE)</f>
        <v>5.4494018281357768</v>
      </c>
      <c r="AN44" s="95">
        <f>VLOOKUP(TableWRRanks32423644[[#This Row],[Player]],WR!B:O,13,FALSE)</f>
        <v>161.35338225495778</v>
      </c>
      <c r="AO44" s="190">
        <f>TableWRRanks32423644[[#This Row],[FPS]]-(TableWRRanks32423644[[#This Row],[REC]]*0.5)</f>
        <v>118.77993047264702</v>
      </c>
      <c r="AQ44" s="58">
        <v>43</v>
      </c>
      <c r="AR44" s="58" t="str">
        <f>VLOOKUP(TableTERanks33433745[[#This Row],[RK]],Rankings!A:AZ,48,FALSE)</f>
        <v>Elijah Arroyo</v>
      </c>
      <c r="AS44" s="58" t="str">
        <f>IFERROR(INDEX(TableTECalcPts[TM],MATCH(TableTERanks33433745[[#This Row],[Player]],TableTECalcPts[PLAYER],0)),"")</f>
        <v>SEA</v>
      </c>
      <c r="AT44" s="58">
        <f>IFERROR(INDEX(TableTECalcPts[BYE],MATCH(TableTERanks33433745[[#This Row],[Player]],TableTECalcPts[PLAYER],0)),"")</f>
        <v>11</v>
      </c>
      <c r="AU44" s="100">
        <f>VLOOKUP(TableTERanks33433745[[#This Row],[Player]],TE!B:O,4,FALSE)</f>
        <v>32.302556160000002</v>
      </c>
      <c r="AV44" s="100">
        <f>VLOOKUP(TableTERanks33433745[[#This Row],[Player]],TE!B:O,5,FALSE)</f>
        <v>19.575349032960002</v>
      </c>
      <c r="AW44" s="100">
        <f>VLOOKUP(TableTERanks33433745[[#This Row],[Player]],TE!B:O,6,FALSE)</f>
        <v>216.89486728519682</v>
      </c>
      <c r="AX44" s="100">
        <f>VLOOKUP(TableTERanks33433745[[#This Row],[Player]],TE!B:O,7,FALSE)</f>
        <v>1.6802121398522076</v>
      </c>
      <c r="AY44" s="95">
        <f>VLOOKUP(TableTERanks33433745[[#This Row],[Player]],TE!B:O,11,FALSE)</f>
        <v>41.558434084112932</v>
      </c>
      <c r="AZ44" s="190">
        <f>TableTERanks33433745[[#This Row],[FPS]]-(TableTERanks33433745[[#This Row],[REC]]*0.5)</f>
        <v>31.770759567632929</v>
      </c>
    </row>
    <row r="45" spans="1:52" x14ac:dyDescent="0.25">
      <c r="A45" s="58">
        <v>44</v>
      </c>
      <c r="B45" s="58">
        <f>VLOOKUP(TableQBRanks30403438[[#This Row],[RK]],Rankings!A:T,3,FALSE)</f>
        <v>0</v>
      </c>
      <c r="C45" s="58" t="str">
        <f>IFERROR(INDEX(TableQBCalcPts[TM],MATCH(TableQBRanks30403438[[#This Row],[Player]],TableQBCalcPts[PLAYER],0)),"")</f>
        <v/>
      </c>
      <c r="D45" s="58" t="str">
        <f>IFERROR(INDEX(TableQBCalcPts[BYE],MATCH(TableQBRanks30403438[[#This Row],[Player]],TableQBCalcPts[PLAYER],0)),"")</f>
        <v/>
      </c>
      <c r="E45" s="100">
        <f>VLOOKUP(TableQBRanks30403438[[#This Row],[Player]],QB!B:O,4,FALSE)</f>
        <v>0</v>
      </c>
      <c r="F45" s="100">
        <f>VLOOKUP(TableQBRanks30403438[[#This Row],[Player]],QB!B:O,5,FALSE)</f>
        <v>0</v>
      </c>
      <c r="G45" s="100">
        <f>VLOOKUP(TableQBRanks30403438[[#This Row],[Player]],QB!B:O,6,FALSE)</f>
        <v>0</v>
      </c>
      <c r="H45" s="100">
        <f>VLOOKUP(TableQBRanks30403438[[#This Row],[Player]],QB!B:O,7,FALSE)</f>
        <v>0</v>
      </c>
      <c r="I45" s="100">
        <f>VLOOKUP(TableQBRanks30403438[[#This Row],[Player]],QB!B:O,8,FALSE)</f>
        <v>0</v>
      </c>
      <c r="J45" s="100">
        <f>VLOOKUP(TableQBRanks30403438[[#This Row],[Player]],QB!B:O,9,FALSE)</f>
        <v>0</v>
      </c>
      <c r="K45" s="100">
        <f>VLOOKUP(TableQBRanks30403438[[#This Row],[Player]],QB!B:O,10,FALSE)</f>
        <v>0</v>
      </c>
      <c r="L45" s="100">
        <f>VLOOKUP(TableQBRanks30403438[[#This Row],[Player]],QB!B:O,11,FALSE)</f>
        <v>0</v>
      </c>
      <c r="M45" s="95">
        <f>VLOOKUP(TableQBRanks30403438[[#This Row],[Player]],QB!B:O,13,FALSE)</f>
        <v>0</v>
      </c>
      <c r="N45" s="140" t="e">
        <f>IF(VLOOKUP(TableQBRanks30403438[[#This Row],[Player]],'Ranks w Proj'!$B:$N,13,FALSE)&lt;0,0,VLOOKUP(TableQBRanks30403438[[#This Row],[Player]],'Ranks w Proj'!$B:$N,13,FALSE))</f>
        <v>#N/A</v>
      </c>
      <c r="P45" s="58">
        <v>44</v>
      </c>
      <c r="Q45" s="58" t="str">
        <f>VLOOKUP(TableRBRanks31413539[[#This Row],[RK]],Rankings!A:AY,38,FALSE)</f>
        <v>Aaron Jones</v>
      </c>
      <c r="R45" s="58" t="str">
        <f>IFERROR(INDEX(TableRBCalcPts[TM],MATCH(TableRBRanks31413539[[#This Row],[Player]],TableRBCalcPts[PLAYER],0)),"")</f>
        <v>MIN</v>
      </c>
      <c r="S45" s="58">
        <f>IFERROR(INDEX(TableRBCalcPts[BYE],MATCH(TableRBRanks31413539[[#This Row],[Player]],TableRBCalcPts[PLAYER],0)),"")</f>
        <v>6</v>
      </c>
      <c r="T45" s="100">
        <f>VLOOKUP(TableRBRanks31413539[[#This Row],[Player]],RB!B:O,4,FALSE)</f>
        <v>154.58115455999996</v>
      </c>
      <c r="U45" s="100">
        <f>VLOOKUP(TableRBRanks31413539[[#This Row],[Player]],RB!B:O,5,FALSE)</f>
        <v>643.0218554919503</v>
      </c>
      <c r="V45" s="100">
        <f>VLOOKUP(TableRBRanks31413539[[#This Row],[Player]],RB!B:O,6,FALSE)</f>
        <v>3.8645288639999991</v>
      </c>
      <c r="W45" s="100">
        <f>VLOOKUP(TableRBRanks31413539[[#This Row],[Player]],RB!B:O,7,FALSE)</f>
        <v>39.744095999999999</v>
      </c>
      <c r="X45" s="100">
        <f>VLOOKUP(TableRBRanks31413539[[#This Row],[Player]],RB!B:O,8,FALSE)</f>
        <v>30.129396994327276</v>
      </c>
      <c r="Y45" s="100">
        <f>VLOOKUP(TableRBRanks31413539[[#This Row],[Player]],RB!B:O,9,FALSE)</f>
        <v>215.69120899199999</v>
      </c>
      <c r="Z45" s="100">
        <f>VLOOKUP(TableRBRanks31413539[[#This Row],[Player]],RB!B:O,10,FALSE)</f>
        <v>1.1330680459636364</v>
      </c>
      <c r="AA45" s="95">
        <f>VLOOKUP(TableRBRanks31413539[[#This Row],[Player]],RB!B:O,14,FALSE)</f>
        <v>130.92158640534046</v>
      </c>
      <c r="AB45" s="190">
        <f>TableRBRanks31413539[[#This Row],[FPS]]-(TableRBRanks31413539[[#This Row],[REC]]*0.5)</f>
        <v>115.85688790817683</v>
      </c>
      <c r="AD45" s="58">
        <v>44</v>
      </c>
      <c r="AE45" s="58" t="str">
        <f>VLOOKUP(TableWRRanks32423644[[#This Row],[RK]],Rankings!A:AZ,43,FALSE)</f>
        <v>Romeo Doubs</v>
      </c>
      <c r="AF45" s="58" t="str">
        <f>IFERROR(INDEX(TableWRCalcPts[TM],MATCH(TableWRRanks32423644[[#This Row],[Player]],TableWRCalcPts[PLAYER],0)),"")</f>
        <v>NE</v>
      </c>
      <c r="AG45" s="58">
        <f>IFERROR(INDEX(TableWRCalcPts[BYE],MATCH(TableWRRanks32423644[[#This Row],[Player]],TableWRCalcPts[PLAYER],0)),"")</f>
        <v>11</v>
      </c>
      <c r="AH45" s="100">
        <f>VLOOKUP(TableWRRanks32423644[[#This Row],[Player]],WR!B:O,4,FALSE)</f>
        <v>0</v>
      </c>
      <c r="AI45" s="100">
        <f>VLOOKUP(TableWRRanks32423644[[#This Row],[Player]],WR!B:O,5,FALSE)</f>
        <v>0</v>
      </c>
      <c r="AJ45" s="100">
        <f>VLOOKUP(TableWRRanks32423644[[#This Row],[Player]],WR!B:O,6,FALSE)</f>
        <v>84.533868999999967</v>
      </c>
      <c r="AK45" s="100">
        <f>VLOOKUP(TableWRRanks32423644[[#This Row],[Player]],WR!B:O,7,FALSE)</f>
        <v>53.002735862999977</v>
      </c>
      <c r="AL45" s="100">
        <f>VLOOKUP(TableWRRanks32423644[[#This Row],[Player]],WR!B:O,8,FALSE)</f>
        <v>694.33583980529966</v>
      </c>
      <c r="AM45" s="100">
        <f>VLOOKUP(TableWRRanks32423644[[#This Row],[Player]],WR!B:O,9,FALSE)</f>
        <v>5.9363064166559978</v>
      </c>
      <c r="AN45" s="95">
        <f>VLOOKUP(TableWRRanks32423644[[#This Row],[Player]],WR!B:O,13,FALSE)</f>
        <v>131.55279041196593</v>
      </c>
      <c r="AO45" s="190">
        <f>TableWRRanks32423644[[#This Row],[FPS]]-(TableWRRanks32423644[[#This Row],[REC]]*0.5)</f>
        <v>105.05142248046594</v>
      </c>
      <c r="AQ45" s="58">
        <v>44</v>
      </c>
      <c r="AR45" s="58" t="str">
        <f>VLOOKUP(TableTERanks33433745[[#This Row],[RK]],Rankings!A:AZ,48,FALSE)</f>
        <v>Michael Mayer</v>
      </c>
      <c r="AS45" s="58" t="str">
        <f>IFERROR(INDEX(TableTECalcPts[TM],MATCH(TableTERanks33433745[[#This Row],[Player]],TableTECalcPts[PLAYER],0)),"")</f>
        <v>LV</v>
      </c>
      <c r="AT45" s="58">
        <f>IFERROR(INDEX(TableTECalcPts[BYE],MATCH(TableTERanks33433745[[#This Row],[Player]],TableTECalcPts[PLAYER],0)),"")</f>
        <v>13</v>
      </c>
      <c r="AU45" s="100">
        <f>VLOOKUP(TableTERanks33433745[[#This Row],[Player]],TE!B:O,4,FALSE)</f>
        <v>37.012389120000002</v>
      </c>
      <c r="AV45" s="100">
        <f>VLOOKUP(TableTERanks33433745[[#This Row],[Player]],TE!B:O,5,FALSE)</f>
        <v>25.463831894202613</v>
      </c>
      <c r="AW45" s="100">
        <f>VLOOKUP(TableTERanks33433745[[#This Row],[Player]],TE!B:O,6,FALSE)</f>
        <v>245.35985491558876</v>
      </c>
      <c r="AX45" s="100">
        <f>VLOOKUP(TableTERanks33433745[[#This Row],[Player]],TE!B:O,7,FALSE)</f>
        <v>1.5023660817579541</v>
      </c>
      <c r="AY45" s="95">
        <f>VLOOKUP(TableTERanks33433745[[#This Row],[Player]],TE!B:O,11,FALSE)</f>
        <v>46.282097929207907</v>
      </c>
      <c r="AZ45" s="190">
        <f>TableTERanks33433745[[#This Row],[FPS]]-(TableTERanks33433745[[#This Row],[REC]]*0.5)</f>
        <v>33.550181982106601</v>
      </c>
    </row>
    <row r="46" spans="1:52" x14ac:dyDescent="0.25">
      <c r="A46" s="58">
        <v>45</v>
      </c>
      <c r="B46" s="58">
        <f>VLOOKUP(TableQBRanks30403438[[#This Row],[RK]],Rankings!A:T,3,FALSE)</f>
        <v>0</v>
      </c>
      <c r="C46" s="58" t="str">
        <f>IFERROR(INDEX(TableQBCalcPts[TM],MATCH(TableQBRanks30403438[[#This Row],[Player]],TableQBCalcPts[PLAYER],0)),"")</f>
        <v/>
      </c>
      <c r="D46" s="58" t="str">
        <f>IFERROR(INDEX(TableQBCalcPts[BYE],MATCH(TableQBRanks30403438[[#This Row],[Player]],TableQBCalcPts[PLAYER],0)),"")</f>
        <v/>
      </c>
      <c r="E46" s="100">
        <f>VLOOKUP(TableQBRanks30403438[[#This Row],[Player]],QB!B:O,4,FALSE)</f>
        <v>0</v>
      </c>
      <c r="F46" s="100">
        <f>VLOOKUP(TableQBRanks30403438[[#This Row],[Player]],QB!B:O,5,FALSE)</f>
        <v>0</v>
      </c>
      <c r="G46" s="100">
        <f>VLOOKUP(TableQBRanks30403438[[#This Row],[Player]],QB!B:O,6,FALSE)</f>
        <v>0</v>
      </c>
      <c r="H46" s="100">
        <f>VLOOKUP(TableQBRanks30403438[[#This Row],[Player]],QB!B:O,7,FALSE)</f>
        <v>0</v>
      </c>
      <c r="I46" s="100">
        <f>VLOOKUP(TableQBRanks30403438[[#This Row],[Player]],QB!B:O,8,FALSE)</f>
        <v>0</v>
      </c>
      <c r="J46" s="100">
        <f>VLOOKUP(TableQBRanks30403438[[#This Row],[Player]],QB!B:O,9,FALSE)</f>
        <v>0</v>
      </c>
      <c r="K46" s="100">
        <f>VLOOKUP(TableQBRanks30403438[[#This Row],[Player]],QB!B:O,10,FALSE)</f>
        <v>0</v>
      </c>
      <c r="L46" s="100">
        <f>VLOOKUP(TableQBRanks30403438[[#This Row],[Player]],QB!B:O,11,FALSE)</f>
        <v>0</v>
      </c>
      <c r="M46" s="95">
        <f>VLOOKUP(TableQBRanks30403438[[#This Row],[Player]],QB!B:O,13,FALSE)</f>
        <v>0</v>
      </c>
      <c r="N46" s="140" t="e">
        <f>IF(VLOOKUP(TableQBRanks30403438[[#This Row],[Player]],'Ranks w Proj'!$B:$N,13,FALSE)&lt;0,0,VLOOKUP(TableQBRanks30403438[[#This Row],[Player]],'Ranks w Proj'!$B:$N,13,FALSE))</f>
        <v>#N/A</v>
      </c>
      <c r="P46" s="58">
        <v>45</v>
      </c>
      <c r="Q46" s="58" t="str">
        <f>VLOOKUP(TableRBRanks31413539[[#This Row],[RK]],Rankings!A:AY,38,FALSE)</f>
        <v>Emanuel Wilson</v>
      </c>
      <c r="R46" s="58" t="str">
        <f>IFERROR(INDEX(TableRBCalcPts[TM],MATCH(TableRBRanks31413539[[#This Row],[Player]],TableRBCalcPts[PLAYER],0)),"")</f>
        <v>SEA</v>
      </c>
      <c r="S46" s="58">
        <f>IFERROR(INDEX(TableRBCalcPts[BYE],MATCH(TableRBRanks31413539[[#This Row],[Player]],TableRBCalcPts[PLAYER],0)),"")</f>
        <v>11</v>
      </c>
      <c r="T46" s="100">
        <f>VLOOKUP(TableRBRanks31413539[[#This Row],[Player]],RB!B:O,4,FALSE)</f>
        <v>130.78117309589214</v>
      </c>
      <c r="U46" s="100">
        <f>VLOOKUP(TableRBRanks31413539[[#This Row],[Player]],RB!B:O,5,FALSE)</f>
        <v>564.97466777425404</v>
      </c>
      <c r="V46" s="100">
        <f>VLOOKUP(TableRBRanks31413539[[#This Row],[Player]],RB!B:O,6,FALSE)</f>
        <v>4.7081222314521165</v>
      </c>
      <c r="W46" s="100">
        <f>VLOOKUP(TableRBRanks31413539[[#This Row],[Player]],RB!B:O,7,FALSE)</f>
        <v>23.72218968</v>
      </c>
      <c r="X46" s="100">
        <f>VLOOKUP(TableRBRanks31413539[[#This Row],[Player]],RB!B:O,8,FALSE)</f>
        <v>18.266086053599999</v>
      </c>
      <c r="Y46" s="100">
        <f>VLOOKUP(TableRBRanks31413539[[#This Row],[Player]],RB!B:O,9,FALSE)</f>
        <v>148.68594047630401</v>
      </c>
      <c r="Z46" s="100">
        <f>VLOOKUP(TableRBRanks31413539[[#This Row],[Player]],RB!B:O,10,FALSE)</f>
        <v>0.8037077863583999</v>
      </c>
      <c r="AA46" s="95">
        <f>VLOOKUP(TableRBRanks31413539[[#This Row],[Player]],RB!B:O,14,FALSE)</f>
        <v>113.57008395871891</v>
      </c>
      <c r="AB46" s="190">
        <f>TableRBRanks31413539[[#This Row],[FPS]]-(TableRBRanks31413539[[#This Row],[REC]]*0.5)</f>
        <v>104.43704093191892</v>
      </c>
      <c r="AD46" s="58">
        <v>45</v>
      </c>
      <c r="AE46" s="58" t="str">
        <f>VLOOKUP(TableWRRanks32423644[[#This Row],[RK]],Rankings!A:AZ,43,FALSE)</f>
        <v>Jalen Coker</v>
      </c>
      <c r="AF46" s="58" t="str">
        <f>IFERROR(INDEX(TableWRCalcPts[TM],MATCH(TableWRRanks32423644[[#This Row],[Player]],TableWRCalcPts[PLAYER],0)),"")</f>
        <v>CAR</v>
      </c>
      <c r="AG46" s="58">
        <f>IFERROR(INDEX(TableWRCalcPts[BYE],MATCH(TableWRRanks32423644[[#This Row],[Player]],TableWRCalcPts[PLAYER],0)),"")</f>
        <v>5</v>
      </c>
      <c r="AH46" s="100">
        <f>VLOOKUP(TableWRRanks32423644[[#This Row],[Player]],WR!B:O,4,FALSE)</f>
        <v>0</v>
      </c>
      <c r="AI46" s="100">
        <f>VLOOKUP(TableWRRanks32423644[[#This Row],[Player]],WR!B:O,5,FALSE)</f>
        <v>0</v>
      </c>
      <c r="AJ46" s="100">
        <f>VLOOKUP(TableWRRanks32423644[[#This Row],[Player]],WR!B:O,6,FALSE)</f>
        <v>99.615284999999986</v>
      </c>
      <c r="AK46" s="100">
        <f>VLOOKUP(TableWRRanks32423644[[#This Row],[Player]],WR!B:O,7,FALSE)</f>
        <v>62.558398979999993</v>
      </c>
      <c r="AL46" s="100">
        <f>VLOOKUP(TableWRRanks32423644[[#This Row],[Player]],WR!B:O,8,FALSE)</f>
        <v>770.09389144379998</v>
      </c>
      <c r="AM46" s="100">
        <f>VLOOKUP(TableWRRanks32423644[[#This Row],[Player]],WR!B:O,9,FALSE)</f>
        <v>4.629321524519999</v>
      </c>
      <c r="AN46" s="95">
        <f>VLOOKUP(TableWRRanks32423644[[#This Row],[Player]],WR!B:O,13,FALSE)</f>
        <v>136.0645177815</v>
      </c>
      <c r="AO46" s="190">
        <f>TableWRRanks32423644[[#This Row],[FPS]]-(TableWRRanks32423644[[#This Row],[REC]]*0.5)</f>
        <v>104.7853182915</v>
      </c>
      <c r="AQ46" s="58">
        <v>45</v>
      </c>
      <c r="AR46" s="58" t="str">
        <f>VLOOKUP(TableTERanks33433745[[#This Row],[RK]],Rankings!A:AZ,48,FALSE)</f>
        <v>Tommy Tremble</v>
      </c>
      <c r="AS46" s="58" t="str">
        <f>IFERROR(INDEX(TableTECalcPts[TM],MATCH(TableTERanks33433745[[#This Row],[Player]],TableTECalcPts[PLAYER],0)),"")</f>
        <v>CAR</v>
      </c>
      <c r="AT46" s="58">
        <f>IFERROR(INDEX(TableTECalcPts[BYE],MATCH(TableTERanks33433745[[#This Row],[Player]],TableTECalcPts[PLAYER],0)),"")</f>
        <v>5</v>
      </c>
      <c r="AU46" s="100">
        <f>VLOOKUP(TableTERanks33433745[[#This Row],[Player]],TE!B:O,4,FALSE)</f>
        <v>32.846120999999997</v>
      </c>
      <c r="AV46" s="100">
        <f>VLOOKUP(TableTERanks33433745[[#This Row],[Player]],TE!B:O,5,FALSE)</f>
        <v>23.583514877999995</v>
      </c>
      <c r="AW46" s="100">
        <f>VLOOKUP(TableTERanks33433745[[#This Row],[Player]],TE!B:O,6,FALSE)</f>
        <v>189.37562447033994</v>
      </c>
      <c r="AX46" s="100">
        <f>VLOOKUP(TableTERanks33433745[[#This Row],[Player]],TE!B:O,7,FALSE)</f>
        <v>1.7215965860939995</v>
      </c>
      <c r="AY46" s="95">
        <f>VLOOKUP(TableTERanks33433745[[#This Row],[Player]],TE!B:O,11,FALSE)</f>
        <v>41.058899402597987</v>
      </c>
      <c r="AZ46" s="190">
        <f>TableTERanks33433745[[#This Row],[FPS]]-(TableTERanks33433745[[#This Row],[REC]]*0.5)</f>
        <v>29.267141963597989</v>
      </c>
    </row>
    <row r="47" spans="1:52" x14ac:dyDescent="0.25">
      <c r="A47" s="58">
        <v>46</v>
      </c>
      <c r="B47" s="58">
        <f>VLOOKUP(TableQBRanks30403438[[#This Row],[RK]],Rankings!A:T,3,FALSE)</f>
        <v>0</v>
      </c>
      <c r="C47" s="58" t="str">
        <f>IFERROR(INDEX(TableQBCalcPts[TM],MATCH(TableQBRanks30403438[[#This Row],[Player]],TableQBCalcPts[PLAYER],0)),"")</f>
        <v/>
      </c>
      <c r="D47" s="58" t="str">
        <f>IFERROR(INDEX(TableQBCalcPts[BYE],MATCH(TableQBRanks30403438[[#This Row],[Player]],TableQBCalcPts[PLAYER],0)),"")</f>
        <v/>
      </c>
      <c r="E47" s="100">
        <f>VLOOKUP(TableQBRanks30403438[[#This Row],[Player]],QB!B:O,4,FALSE)</f>
        <v>0</v>
      </c>
      <c r="F47" s="100">
        <f>VLOOKUP(TableQBRanks30403438[[#This Row],[Player]],QB!B:O,5,FALSE)</f>
        <v>0</v>
      </c>
      <c r="G47" s="100">
        <f>VLOOKUP(TableQBRanks30403438[[#This Row],[Player]],QB!B:O,6,FALSE)</f>
        <v>0</v>
      </c>
      <c r="H47" s="100">
        <f>VLOOKUP(TableQBRanks30403438[[#This Row],[Player]],QB!B:O,7,FALSE)</f>
        <v>0</v>
      </c>
      <c r="I47" s="100">
        <f>VLOOKUP(TableQBRanks30403438[[#This Row],[Player]],QB!B:O,8,FALSE)</f>
        <v>0</v>
      </c>
      <c r="J47" s="100">
        <f>VLOOKUP(TableQBRanks30403438[[#This Row],[Player]],QB!B:O,9,FALSE)</f>
        <v>0</v>
      </c>
      <c r="K47" s="100">
        <f>VLOOKUP(TableQBRanks30403438[[#This Row],[Player]],QB!B:O,10,FALSE)</f>
        <v>0</v>
      </c>
      <c r="L47" s="100">
        <f>VLOOKUP(TableQBRanks30403438[[#This Row],[Player]],QB!B:O,11,FALSE)</f>
        <v>0</v>
      </c>
      <c r="M47" s="95">
        <f>VLOOKUP(TableQBRanks30403438[[#This Row],[Player]],QB!B:O,13,FALSE)</f>
        <v>0</v>
      </c>
      <c r="N47" s="140" t="e">
        <f>IF(VLOOKUP(TableQBRanks30403438[[#This Row],[Player]],'Ranks w Proj'!$B:$N,13,FALSE)&lt;0,0,VLOOKUP(TableQBRanks30403438[[#This Row],[Player]],'Ranks w Proj'!$B:$N,13,FALSE))</f>
        <v>#N/A</v>
      </c>
      <c r="P47" s="58">
        <v>46</v>
      </c>
      <c r="Q47" s="58" t="str">
        <f>VLOOKUP(TableRBRanks31413539[[#This Row],[RK]],Rankings!A:AY,38,FALSE)</f>
        <v>Isiah Pacheco</v>
      </c>
      <c r="R47" s="58" t="str">
        <f>IFERROR(INDEX(TableRBCalcPts[TM],MATCH(TableRBRanks31413539[[#This Row],[Player]],TableRBCalcPts[PLAYER],0)),"")</f>
        <v>DET</v>
      </c>
      <c r="S47" s="58">
        <f>IFERROR(INDEX(TableRBCalcPts[BYE],MATCH(TableRBRanks31413539[[#This Row],[Player]],TableRBCalcPts[PLAYER],0)),"")</f>
        <v>6</v>
      </c>
      <c r="T47" s="100">
        <f>VLOOKUP(TableRBRanks31413539[[#This Row],[Player]],RB!B:O,4,FALSE)</f>
        <v>127.1886336</v>
      </c>
      <c r="U47" s="100">
        <f>VLOOKUP(TableRBRanks31413539[[#This Row],[Player]],RB!B:O,5,FALSE)</f>
        <v>530.376602112</v>
      </c>
      <c r="V47" s="100">
        <f>VLOOKUP(TableRBRanks31413539[[#This Row],[Player]],RB!B:O,6,FALSE)</f>
        <v>5.3419226112000002</v>
      </c>
      <c r="W47" s="100">
        <f>VLOOKUP(TableRBRanks31413539[[#This Row],[Player]],RB!B:O,7,FALSE)</f>
        <v>21.660273599999996</v>
      </c>
      <c r="X47" s="100">
        <f>VLOOKUP(TableRBRanks31413539[[#This Row],[Player]],RB!B:O,8,FALSE)</f>
        <v>14.241722457271793</v>
      </c>
      <c r="Y47" s="100">
        <f>VLOOKUP(TableRBRanks31413539[[#This Row],[Player]],RB!B:O,9,FALSE)</f>
        <v>95.731004090256391</v>
      </c>
      <c r="Z47" s="100">
        <f>VLOOKUP(TableRBRanks31413539[[#This Row],[Player]],RB!B:O,10,FALSE)</f>
        <v>0.77458619437948706</v>
      </c>
      <c r="AA47" s="95">
        <f>VLOOKUP(TableRBRanks31413539[[#This Row],[Player]],RB!B:O,14,FALSE)</f>
        <v>106.43067468233848</v>
      </c>
      <c r="AB47" s="190">
        <f>TableRBRanks31413539[[#This Row],[FPS]]-(TableRBRanks31413539[[#This Row],[REC]]*0.5)</f>
        <v>99.309813453702574</v>
      </c>
      <c r="AD47" s="58">
        <v>46</v>
      </c>
      <c r="AE47" s="58" t="str">
        <f>VLOOKUP(TableWRRanks32423644[[#This Row],[RK]],Rankings!A:AZ,43,FALSE)</f>
        <v>Wan'Dale Robinson</v>
      </c>
      <c r="AF47" s="58" t="str">
        <f>IFERROR(INDEX(TableWRCalcPts[TM],MATCH(TableWRRanks32423644[[#This Row],[Player]],TableWRCalcPts[PLAYER],0)),"")</f>
        <v>TEN</v>
      </c>
      <c r="AG47" s="58">
        <f>IFERROR(INDEX(TableWRCalcPts[BYE],MATCH(TableWRRanks32423644[[#This Row],[Player]],TableWRCalcPts[PLAYER],0)),"")</f>
        <v>9</v>
      </c>
      <c r="AH47" s="100">
        <f>VLOOKUP(TableWRRanks32423644[[#This Row],[Player]],WR!B:O,4,FALSE)</f>
        <v>23.809766399999994</v>
      </c>
      <c r="AI47" s="100">
        <f>VLOOKUP(TableWRRanks32423644[[#This Row],[Player]],WR!B:O,5,FALSE)</f>
        <v>0.12531455999999999</v>
      </c>
      <c r="AJ47" s="100">
        <f>VLOOKUP(TableWRRanks32423644[[#This Row],[Player]],WR!B:O,6,FALSE)</f>
        <v>115.34019840000001</v>
      </c>
      <c r="AK47" s="100">
        <f>VLOOKUP(TableWRRanks32423644[[#This Row],[Player]],WR!B:O,7,FALSE)</f>
        <v>76.470551539200002</v>
      </c>
      <c r="AL47" s="100">
        <f>VLOOKUP(TableWRRanks32423644[[#This Row],[Player]],WR!B:O,8,FALSE)</f>
        <v>827.4113676541441</v>
      </c>
      <c r="AM47" s="100">
        <f>VLOOKUP(TableWRRanks32423644[[#This Row],[Player]],WR!B:O,9,FALSE)</f>
        <v>4.6647036438912002</v>
      </c>
      <c r="AN47" s="95">
        <f>VLOOKUP(TableWRRanks32423644[[#This Row],[Player]],WR!B:O,13,FALSE)</f>
        <v>152.09749839836161</v>
      </c>
      <c r="AO47" s="190">
        <f>TableWRRanks32423644[[#This Row],[FPS]]-(TableWRRanks32423644[[#This Row],[REC]]*0.5)</f>
        <v>113.8622226287616</v>
      </c>
      <c r="AQ47" s="58">
        <v>46</v>
      </c>
      <c r="AR47" s="58" t="str">
        <f>VLOOKUP(TableTERanks33433745[[#This Row],[RK]],Rankings!A:AZ,48,FALSE)</f>
        <v>Erick All</v>
      </c>
      <c r="AS47" s="58" t="str">
        <f>IFERROR(INDEX(TableTECalcPts[TM],MATCH(TableTERanks33433745[[#This Row],[Player]],TableTECalcPts[PLAYER],0)),"")</f>
        <v>CIN</v>
      </c>
      <c r="AT47" s="58">
        <f>IFERROR(INDEX(TableTECalcPts[BYE],MATCH(TableTERanks33433745[[#This Row],[Player]],TableTECalcPts[PLAYER],0)),"")</f>
        <v>6</v>
      </c>
      <c r="AU47" s="100">
        <f>VLOOKUP(TableTERanks33433745[[#This Row],[Player]],TE!B:O,4,FALSE)</f>
        <v>21.512225000000001</v>
      </c>
      <c r="AV47" s="100">
        <f>VLOOKUP(TableTERanks33433745[[#This Row],[Player]],TE!B:O,5,FALSE)</f>
        <v>17.265258896052632</v>
      </c>
      <c r="AW47" s="100">
        <f>VLOOKUP(TableTERanks33433745[[#This Row],[Player]],TE!B:O,6,FALSE)</f>
        <v>164.53791727938159</v>
      </c>
      <c r="AX47" s="100">
        <f>VLOOKUP(TableTERanks33433745[[#This Row],[Player]],TE!B:O,7,FALSE)</f>
        <v>0.93597049122807019</v>
      </c>
      <c r="AY47" s="95">
        <f>VLOOKUP(TableTERanks33433745[[#This Row],[Player]],TE!B:O,11,FALSE)</f>
        <v>30.702244123332896</v>
      </c>
      <c r="AZ47" s="190">
        <f>TableTERanks33433745[[#This Row],[FPS]]-(TableTERanks33433745[[#This Row],[REC]]*0.5)</f>
        <v>22.069614675306582</v>
      </c>
    </row>
    <row r="48" spans="1:52" x14ac:dyDescent="0.25">
      <c r="A48" s="58">
        <v>47</v>
      </c>
      <c r="B48" s="58">
        <f>VLOOKUP(TableQBRanks30403438[[#This Row],[RK]],Rankings!A:T,3,FALSE)</f>
        <v>0</v>
      </c>
      <c r="C48" s="58" t="str">
        <f>IFERROR(INDEX(TableQBCalcPts[TM],MATCH(TableQBRanks30403438[[#This Row],[Player]],TableQBCalcPts[PLAYER],0)),"")</f>
        <v/>
      </c>
      <c r="D48" s="58" t="str">
        <f>IFERROR(INDEX(TableQBCalcPts[BYE],MATCH(TableQBRanks30403438[[#This Row],[Player]],TableQBCalcPts[PLAYER],0)),"")</f>
        <v/>
      </c>
      <c r="E48" s="100">
        <f>VLOOKUP(TableQBRanks30403438[[#This Row],[Player]],QB!B:O,4,FALSE)</f>
        <v>0</v>
      </c>
      <c r="F48" s="100">
        <f>VLOOKUP(TableQBRanks30403438[[#This Row],[Player]],QB!B:O,5,FALSE)</f>
        <v>0</v>
      </c>
      <c r="G48" s="100">
        <f>VLOOKUP(TableQBRanks30403438[[#This Row],[Player]],QB!B:O,6,FALSE)</f>
        <v>0</v>
      </c>
      <c r="H48" s="100">
        <f>VLOOKUP(TableQBRanks30403438[[#This Row],[Player]],QB!B:O,7,FALSE)</f>
        <v>0</v>
      </c>
      <c r="I48" s="100">
        <f>VLOOKUP(TableQBRanks30403438[[#This Row],[Player]],QB!B:O,8,FALSE)</f>
        <v>0</v>
      </c>
      <c r="J48" s="100">
        <f>VLOOKUP(TableQBRanks30403438[[#This Row],[Player]],QB!B:O,9,FALSE)</f>
        <v>0</v>
      </c>
      <c r="K48" s="100">
        <f>VLOOKUP(TableQBRanks30403438[[#This Row],[Player]],QB!B:O,10,FALSE)</f>
        <v>0</v>
      </c>
      <c r="L48" s="100">
        <f>VLOOKUP(TableQBRanks30403438[[#This Row],[Player]],QB!B:O,11,FALSE)</f>
        <v>0</v>
      </c>
      <c r="M48" s="95">
        <f>VLOOKUP(TableQBRanks30403438[[#This Row],[Player]],QB!B:O,13,FALSE)</f>
        <v>0</v>
      </c>
      <c r="N48" s="140" t="e">
        <f>IF(VLOOKUP(TableQBRanks30403438[[#This Row],[Player]],'Ranks w Proj'!$B:$N,13,FALSE)&lt;0,0,VLOOKUP(TableQBRanks30403438[[#This Row],[Player]],'Ranks w Proj'!$B:$N,13,FALSE))</f>
        <v>#N/A</v>
      </c>
      <c r="P48" s="58">
        <v>47</v>
      </c>
      <c r="Q48" s="58" t="str">
        <f>VLOOKUP(TableRBRanks31413539[[#This Row],[RK]],Rankings!A:AY,38,FALSE)</f>
        <v>Braelon Allen</v>
      </c>
      <c r="R48" s="58" t="str">
        <f>IFERROR(INDEX(TableRBCalcPts[TM],MATCH(TableRBRanks31413539[[#This Row],[Player]],TableRBCalcPts[PLAYER],0)),"")</f>
        <v>NYJ</v>
      </c>
      <c r="S48" s="58">
        <f>IFERROR(INDEX(TableRBCalcPts[BYE],MATCH(TableRBRanks31413539[[#This Row],[Player]],TableRBCalcPts[PLAYER],0)),"")</f>
        <v>13</v>
      </c>
      <c r="T48" s="100">
        <f>VLOOKUP(TableRBRanks31413539[[#This Row],[Player]],RB!B:O,4,FALSE)</f>
        <v>118.27602360000002</v>
      </c>
      <c r="U48" s="100">
        <f>VLOOKUP(TableRBRanks31413539[[#This Row],[Player]],RB!B:O,5,FALSE)</f>
        <v>507.40414124400007</v>
      </c>
      <c r="V48" s="100">
        <f>VLOOKUP(TableRBRanks31413539[[#This Row],[Player]],RB!B:O,6,FALSE)</f>
        <v>4.139660826000001</v>
      </c>
      <c r="W48" s="100">
        <f>VLOOKUP(TableRBRanks31413539[[#This Row],[Player]],RB!B:O,7,FALSE)</f>
        <v>17.421916693702357</v>
      </c>
      <c r="X48" s="100">
        <f>VLOOKUP(TableRBRanks31413539[[#This Row],[Player]],RB!B:O,8,FALSE)</f>
        <v>12.926632015944589</v>
      </c>
      <c r="Y48" s="100">
        <f>VLOOKUP(TableRBRanks31413539[[#This Row],[Player]],RB!B:O,9,FALSE)</f>
        <v>99.888236735255546</v>
      </c>
      <c r="Z48" s="100">
        <f>VLOOKUP(TableRBRanks31413539[[#This Row],[Player]],RB!B:O,10,FALSE)</f>
        <v>0.26240417736193672</v>
      </c>
      <c r="AA48" s="95">
        <f>VLOOKUP(TableRBRanks31413539[[#This Row],[Player]],RB!B:O,14,FALSE)</f>
        <v>93.604943826069501</v>
      </c>
      <c r="AB48" s="190">
        <f>TableRBRanks31413539[[#This Row],[FPS]]-(TableRBRanks31413539[[#This Row],[REC]]*0.5)</f>
        <v>87.141627818097206</v>
      </c>
      <c r="AD48" s="58">
        <v>47</v>
      </c>
      <c r="AE48" s="58" t="str">
        <f>VLOOKUP(TableWRRanks32423644[[#This Row],[RK]],Rankings!A:AZ,43,FALSE)</f>
        <v>Jayden Higgins</v>
      </c>
      <c r="AF48" s="58" t="str">
        <f>IFERROR(INDEX(TableWRCalcPts[TM],MATCH(TableWRRanks32423644[[#This Row],[Player]],TableWRCalcPts[PLAYER],0)),"")</f>
        <v>HOU</v>
      </c>
      <c r="AG48" s="58">
        <f>IFERROR(INDEX(TableWRCalcPts[BYE],MATCH(TableWRRanks32423644[[#This Row],[Player]],TableWRCalcPts[PLAYER],0)),"")</f>
        <v>8</v>
      </c>
      <c r="AH48" s="100">
        <f>VLOOKUP(TableWRRanks32423644[[#This Row],[Player]],WR!B:O,4,FALSE)</f>
        <v>0</v>
      </c>
      <c r="AI48" s="100">
        <f>VLOOKUP(TableWRRanks32423644[[#This Row],[Player]],WR!B:O,5,FALSE)</f>
        <v>0</v>
      </c>
      <c r="AJ48" s="100">
        <f>VLOOKUP(TableWRRanks32423644[[#This Row],[Player]],WR!B:O,6,FALSE)</f>
        <v>111.71266469999999</v>
      </c>
      <c r="AK48" s="100">
        <f>VLOOKUP(TableWRRanks32423644[[#This Row],[Player]],WR!B:O,7,FALSE)</f>
        <v>67.474449478799997</v>
      </c>
      <c r="AL48" s="100">
        <f>VLOOKUP(TableWRRanks32423644[[#This Row],[Player]],WR!B:O,8,FALSE)</f>
        <v>843.43061848499997</v>
      </c>
      <c r="AM48" s="100">
        <f>VLOOKUP(TableWRRanks32423644[[#This Row],[Player]],WR!B:O,9,FALSE)</f>
        <v>5.7353282056979999</v>
      </c>
      <c r="AN48" s="95">
        <f>VLOOKUP(TableWRRanks32423644[[#This Row],[Player]],WR!B:O,13,FALSE)</f>
        <v>152.492255822088</v>
      </c>
      <c r="AO48" s="190">
        <f>TableWRRanks32423644[[#This Row],[FPS]]-(TableWRRanks32423644[[#This Row],[REC]]*0.5)</f>
        <v>118.75503108268799</v>
      </c>
      <c r="AQ48" s="58">
        <v>47</v>
      </c>
      <c r="AR48" s="58" t="str">
        <f>VLOOKUP(TableTERanks33433745[[#This Row],[RK]],Rankings!A:AZ,48,FALSE)</f>
        <v>Theo Johnson</v>
      </c>
      <c r="AS48" s="58" t="str">
        <f>IFERROR(INDEX(TableTECalcPts[TM],MATCH(TableTERanks33433745[[#This Row],[Player]],TableTECalcPts[PLAYER],0)),"")</f>
        <v>NYG</v>
      </c>
      <c r="AT48" s="58">
        <f>IFERROR(INDEX(TableTECalcPts[BYE],MATCH(TableTERanks33433745[[#This Row],[Player]],TableTECalcPts[PLAYER],0)),"")</f>
        <v>8</v>
      </c>
      <c r="AU48" s="100">
        <f>VLOOKUP(TableTERanks33433745[[#This Row],[Player]],TE!B:O,4,FALSE)</f>
        <v>30.653966840000002</v>
      </c>
      <c r="AV48" s="100">
        <f>VLOOKUP(TableTERanks33433745[[#This Row],[Player]],TE!B:O,5,FALSE)</f>
        <v>20.292926048080002</v>
      </c>
      <c r="AW48" s="100">
        <f>VLOOKUP(TableTERanks33433745[[#This Row],[Player]],TE!B:O,6,FALSE)</f>
        <v>217.47903885757958</v>
      </c>
      <c r="AX48" s="100">
        <f>VLOOKUP(TableTERanks33433745[[#This Row],[Player]],TE!B:O,7,FALSE)</f>
        <v>1.521969453606</v>
      </c>
      <c r="AY48" s="95">
        <f>VLOOKUP(TableTERanks33433745[[#This Row],[Player]],TE!B:O,11,FALSE)</f>
        <v>41.026183631433959</v>
      </c>
      <c r="AZ48" s="190">
        <f>TableTERanks33433745[[#This Row],[FPS]]-(TableTERanks33433745[[#This Row],[REC]]*0.5)</f>
        <v>30.879720607393956</v>
      </c>
    </row>
    <row r="49" spans="1:52" x14ac:dyDescent="0.25">
      <c r="A49" s="58">
        <v>48</v>
      </c>
      <c r="B49" s="58">
        <f>VLOOKUP(TableQBRanks30403438[[#This Row],[RK]],Rankings!A:T,3,FALSE)</f>
        <v>0</v>
      </c>
      <c r="C49" s="58" t="str">
        <f>IFERROR(INDEX(TableQBCalcPts[TM],MATCH(TableQBRanks30403438[[#This Row],[Player]],TableQBCalcPts[PLAYER],0)),"")</f>
        <v/>
      </c>
      <c r="D49" s="58" t="str">
        <f>IFERROR(INDEX(TableQBCalcPts[BYE],MATCH(TableQBRanks30403438[[#This Row],[Player]],TableQBCalcPts[PLAYER],0)),"")</f>
        <v/>
      </c>
      <c r="E49" s="100">
        <f>VLOOKUP(TableQBRanks30403438[[#This Row],[Player]],QB!B:O,4,FALSE)</f>
        <v>0</v>
      </c>
      <c r="F49" s="100">
        <f>VLOOKUP(TableQBRanks30403438[[#This Row],[Player]],QB!B:O,5,FALSE)</f>
        <v>0</v>
      </c>
      <c r="G49" s="100">
        <f>VLOOKUP(TableQBRanks30403438[[#This Row],[Player]],QB!B:O,6,FALSE)</f>
        <v>0</v>
      </c>
      <c r="H49" s="100">
        <f>VLOOKUP(TableQBRanks30403438[[#This Row],[Player]],QB!B:O,7,FALSE)</f>
        <v>0</v>
      </c>
      <c r="I49" s="100">
        <f>VLOOKUP(TableQBRanks30403438[[#This Row],[Player]],QB!B:O,8,FALSE)</f>
        <v>0</v>
      </c>
      <c r="J49" s="100">
        <f>VLOOKUP(TableQBRanks30403438[[#This Row],[Player]],QB!B:O,9,FALSE)</f>
        <v>0</v>
      </c>
      <c r="K49" s="100">
        <f>VLOOKUP(TableQBRanks30403438[[#This Row],[Player]],QB!B:O,10,FALSE)</f>
        <v>0</v>
      </c>
      <c r="L49" s="100">
        <f>VLOOKUP(TableQBRanks30403438[[#This Row],[Player]],QB!B:O,11,FALSE)</f>
        <v>0</v>
      </c>
      <c r="M49" s="95">
        <f>VLOOKUP(TableQBRanks30403438[[#This Row],[Player]],QB!B:O,13,FALSE)</f>
        <v>0</v>
      </c>
      <c r="N49" s="140" t="e">
        <f>IF(VLOOKUP(TableQBRanks30403438[[#This Row],[Player]],'Ranks w Proj'!$B:$N,13,FALSE)&lt;0,0,VLOOKUP(TableQBRanks30403438[[#This Row],[Player]],'Ranks w Proj'!$B:$N,13,FALSE))</f>
        <v>#N/A</v>
      </c>
      <c r="P49" s="58">
        <v>48</v>
      </c>
      <c r="Q49" s="58" t="str">
        <f>VLOOKUP(TableRBRanks31413539[[#This Row],[RK]],Rankings!A:AY,38,FALSE)</f>
        <v>Tyler Allgeier</v>
      </c>
      <c r="R49" s="58" t="str">
        <f>IFERROR(INDEX(TableRBCalcPts[TM],MATCH(TableRBRanks31413539[[#This Row],[Player]],TableRBCalcPts[PLAYER],0)),"")</f>
        <v>ARI</v>
      </c>
      <c r="S49" s="58">
        <f>IFERROR(INDEX(TableRBCalcPts[BYE],MATCH(TableRBRanks31413539[[#This Row],[Player]],TableRBCalcPts[PLAYER],0)),"")</f>
        <v>14</v>
      </c>
      <c r="T49" s="100">
        <f>VLOOKUP(TableRBRanks31413539[[#This Row],[Player]],RB!B:O,4,FALSE)</f>
        <v>109.63820559999999</v>
      </c>
      <c r="U49" s="100">
        <f>VLOOKUP(TableRBRanks31413539[[#This Row],[Player]],RB!B:O,5,FALSE)</f>
        <v>451.43669207096968</v>
      </c>
      <c r="V49" s="100">
        <f>VLOOKUP(TableRBRanks31413539[[#This Row],[Player]],RB!B:O,6,FALSE)</f>
        <v>2.9602315511999997</v>
      </c>
      <c r="W49" s="100">
        <f>VLOOKUP(TableRBRanks31413539[[#This Row],[Player]],RB!B:O,7,FALSE)</f>
        <v>16.678032000000002</v>
      </c>
      <c r="X49" s="100">
        <f>VLOOKUP(TableRBRanks31413539[[#This Row],[Player]],RB!B:O,8,FALSE)</f>
        <v>13.025542992000002</v>
      </c>
      <c r="Y49" s="100">
        <f>VLOOKUP(TableRBRanks31413539[[#This Row],[Player]],RB!B:O,9,FALSE)</f>
        <v>84.666029448000018</v>
      </c>
      <c r="Z49" s="100">
        <f>VLOOKUP(TableRBRanks31413539[[#This Row],[Player]],RB!B:O,10,FALSE)</f>
        <v>0.39076628976000005</v>
      </c>
      <c r="AA49" s="95">
        <f>VLOOKUP(TableRBRanks31413539[[#This Row],[Player]],RB!B:O,14,FALSE)</f>
        <v>80.229030693656966</v>
      </c>
      <c r="AB49" s="190">
        <f>TableRBRanks31413539[[#This Row],[FPS]]-(TableRBRanks31413539[[#This Row],[REC]]*0.5)</f>
        <v>73.716259197656967</v>
      </c>
      <c r="AD49" s="58">
        <v>48</v>
      </c>
      <c r="AE49" s="58" t="str">
        <f>VLOOKUP(TableWRRanks32423644[[#This Row],[RK]],Rankings!A:AZ,43,FALSE)</f>
        <v>Jayden Reed</v>
      </c>
      <c r="AF49" s="58" t="str">
        <f>IFERROR(INDEX(TableWRCalcPts[TM],MATCH(TableWRRanks32423644[[#This Row],[Player]],TableWRCalcPts[PLAYER],0)),"")</f>
        <v>GB</v>
      </c>
      <c r="AG49" s="58">
        <f>IFERROR(INDEX(TableWRCalcPts[BYE],MATCH(TableWRRanks32423644[[#This Row],[Player]],TableWRCalcPts[PLAYER],0)),"")</f>
        <v>11</v>
      </c>
      <c r="AH49" s="100">
        <f>VLOOKUP(TableWRRanks32423644[[#This Row],[Player]],WR!B:O,4,FALSE)</f>
        <v>103.7772294035012</v>
      </c>
      <c r="AI49" s="100">
        <f>VLOOKUP(TableWRRanks32423644[[#This Row],[Player]],WR!B:O,5,FALSE)</f>
        <v>0.56593353600000007</v>
      </c>
      <c r="AJ49" s="100">
        <f>VLOOKUP(TableWRRanks32423644[[#This Row],[Player]],WR!B:O,6,FALSE)</f>
        <v>89.223970974874362</v>
      </c>
      <c r="AK49" s="100">
        <f>VLOOKUP(TableWRRanks32423644[[#This Row],[Player]],WR!B:O,7,FALSE)</f>
        <v>61.022436755073535</v>
      </c>
      <c r="AL49" s="100">
        <f>VLOOKUP(TableWRRanks32423644[[#This Row],[Player]],WR!B:O,8,FALSE)</f>
        <v>746.91462588210004</v>
      </c>
      <c r="AM49" s="100">
        <f>VLOOKUP(TableWRRanks32423644[[#This Row],[Player]],WR!B:O,9,FALSE)</f>
        <v>5.0038398139160298</v>
      </c>
      <c r="AN49" s="95">
        <f>VLOOKUP(TableWRRanks32423644[[#This Row],[Player]],WR!B:O,13,FALSE)</f>
        <v>148.99904400559308</v>
      </c>
      <c r="AO49" s="190">
        <f>TableWRRanks32423644[[#This Row],[FPS]]-(TableWRRanks32423644[[#This Row],[REC]]*0.5)</f>
        <v>118.48782562805631</v>
      </c>
      <c r="AQ49" s="58">
        <v>48</v>
      </c>
      <c r="AR49" s="58" t="str">
        <f>VLOOKUP(TableTERanks33433745[[#This Row],[RK]],Rankings!A:AZ,48,FALSE)</f>
        <v>Justin Joly</v>
      </c>
      <c r="AS49" s="58" t="str">
        <f>IFERROR(INDEX(TableTECalcPts[TM],MATCH(TableTERanks33433745[[#This Row],[Player]],TableTECalcPts[PLAYER],0)),"")</f>
        <v>DEN</v>
      </c>
      <c r="AT49" s="58">
        <f>IFERROR(INDEX(TableTECalcPts[BYE],MATCH(TableTERanks33433745[[#This Row],[Player]],TableTECalcPts[PLAYER],0)),"")</f>
        <v>10</v>
      </c>
      <c r="AU49" s="100">
        <f>VLOOKUP(TableTERanks33433745[[#This Row],[Player]],TE!B:O,4,FALSE)</f>
        <v>27.392238720000005</v>
      </c>
      <c r="AV49" s="100">
        <f>VLOOKUP(TableTERanks33433745[[#This Row],[Player]],TE!B:O,5,FALSE)</f>
        <v>20.270256652800004</v>
      </c>
      <c r="AW49" s="100">
        <f>VLOOKUP(TableTERanks33433745[[#This Row],[Player]],TE!B:O,6,FALSE)</f>
        <v>161.75627420081466</v>
      </c>
      <c r="AX49" s="100">
        <f>VLOOKUP(TableTERanks33433745[[#This Row],[Player]],TE!B:O,7,FALSE)</f>
        <v>1.0135128326400002</v>
      </c>
      <c r="AY49" s="95">
        <f>VLOOKUP(TableTERanks33433745[[#This Row],[Player]],TE!B:O,11,FALSE)</f>
        <v>32.391832742321469</v>
      </c>
      <c r="AZ49" s="190">
        <f>TableTERanks33433745[[#This Row],[FPS]]-(TableTERanks33433745[[#This Row],[REC]]*0.5)</f>
        <v>22.256704415921469</v>
      </c>
    </row>
    <row r="50" spans="1:52" x14ac:dyDescent="0.25">
      <c r="A50" s="58">
        <v>49</v>
      </c>
      <c r="B50" s="58">
        <f>VLOOKUP(TableQBRanks30403438[[#This Row],[RK]],Rankings!A:T,3,FALSE)</f>
        <v>0</v>
      </c>
      <c r="C50" s="58" t="str">
        <f>IFERROR(INDEX(TableQBCalcPts[TM],MATCH(TableQBRanks30403438[[#This Row],[Player]],TableQBCalcPts[PLAYER],0)),"")</f>
        <v/>
      </c>
      <c r="D50" s="58" t="str">
        <f>IFERROR(INDEX(TableQBCalcPts[BYE],MATCH(TableQBRanks30403438[[#This Row],[Player]],TableQBCalcPts[PLAYER],0)),"")</f>
        <v/>
      </c>
      <c r="E50" s="100">
        <f>VLOOKUP(TableQBRanks30403438[[#This Row],[Player]],QB!B:O,4,FALSE)</f>
        <v>0</v>
      </c>
      <c r="F50" s="100">
        <f>VLOOKUP(TableQBRanks30403438[[#This Row],[Player]],QB!B:O,5,FALSE)</f>
        <v>0</v>
      </c>
      <c r="G50" s="100">
        <f>VLOOKUP(TableQBRanks30403438[[#This Row],[Player]],QB!B:O,6,FALSE)</f>
        <v>0</v>
      </c>
      <c r="H50" s="100">
        <f>VLOOKUP(TableQBRanks30403438[[#This Row],[Player]],QB!B:O,7,FALSE)</f>
        <v>0</v>
      </c>
      <c r="I50" s="100">
        <f>VLOOKUP(TableQBRanks30403438[[#This Row],[Player]],QB!B:O,8,FALSE)</f>
        <v>0</v>
      </c>
      <c r="J50" s="100">
        <f>VLOOKUP(TableQBRanks30403438[[#This Row],[Player]],QB!B:O,9,FALSE)</f>
        <v>0</v>
      </c>
      <c r="K50" s="100">
        <f>VLOOKUP(TableQBRanks30403438[[#This Row],[Player]],QB!B:O,10,FALSE)</f>
        <v>0</v>
      </c>
      <c r="L50" s="100">
        <f>VLOOKUP(TableQBRanks30403438[[#This Row],[Player]],QB!B:O,11,FALSE)</f>
        <v>0</v>
      </c>
      <c r="M50" s="95">
        <f>VLOOKUP(TableQBRanks30403438[[#This Row],[Player]],QB!B:O,13,FALSE)</f>
        <v>0</v>
      </c>
      <c r="N50" s="140" t="e">
        <f>IF(VLOOKUP(TableQBRanks30403438[[#This Row],[Player]],'Ranks w Proj'!$B:$N,13,FALSE)&lt;0,0,VLOOKUP(TableQBRanks30403438[[#This Row],[Player]],'Ranks w Proj'!$B:$N,13,FALSE))</f>
        <v>#N/A</v>
      </c>
      <c r="P50" s="58">
        <v>49</v>
      </c>
      <c r="Q50" s="58" t="str">
        <f>VLOOKUP(TableRBRanks31413539[[#This Row],[RK]],Rankings!A:AY,38,FALSE)</f>
        <v>Brian Robinson</v>
      </c>
      <c r="R50" s="58" t="str">
        <f>IFERROR(INDEX(TableRBCalcPts[TM],MATCH(TableRBRanks31413539[[#This Row],[Player]],TableRBCalcPts[PLAYER],0)),"")</f>
        <v>ATL</v>
      </c>
      <c r="S50" s="58">
        <f>IFERROR(INDEX(TableRBCalcPts[BYE],MATCH(TableRBRanks31413539[[#This Row],[Player]],TableRBCalcPts[PLAYER],0)),"")</f>
        <v>11</v>
      </c>
      <c r="T50" s="100">
        <f>VLOOKUP(TableRBRanks31413539[[#This Row],[Player]],RB!B:O,4,FALSE)</f>
        <v>110.50558988000002</v>
      </c>
      <c r="U50" s="100">
        <f>VLOOKUP(TableRBRanks31413539[[#This Row],[Player]],RB!B:O,5,FALSE)</f>
        <v>471.85886878760004</v>
      </c>
      <c r="V50" s="100">
        <f>VLOOKUP(TableRBRanks31413539[[#This Row],[Player]],RB!B:O,6,FALSE)</f>
        <v>4.5307291850800011</v>
      </c>
      <c r="W50" s="100">
        <f>VLOOKUP(TableRBRanks31413539[[#This Row],[Player]],RB!B:O,7,FALSE)</f>
        <v>10.785486040000002</v>
      </c>
      <c r="X50" s="100">
        <f>VLOOKUP(TableRBRanks31413539[[#This Row],[Player]],RB!B:O,8,FALSE)</f>
        <v>8.0891145300000016</v>
      </c>
      <c r="Y50" s="100">
        <f>VLOOKUP(TableRBRanks31413539[[#This Row],[Player]],RB!B:O,9,FALSE)</f>
        <v>54.636638549268255</v>
      </c>
      <c r="Z50" s="100">
        <f>VLOOKUP(TableRBRanks31413539[[#This Row],[Player]],RB!B:O,10,FALSE)</f>
        <v>0.24267343590000004</v>
      </c>
      <c r="AA50" s="95">
        <f>VLOOKUP(TableRBRanks31413539[[#This Row],[Player]],RB!B:O,14,FALSE)</f>
        <v>85.334523724566836</v>
      </c>
      <c r="AB50" s="190">
        <f>TableRBRanks31413539[[#This Row],[FPS]]-(TableRBRanks31413539[[#This Row],[REC]]*0.5)</f>
        <v>81.289966459566841</v>
      </c>
      <c r="AD50" s="58">
        <v>49</v>
      </c>
      <c r="AE50" s="58" t="str">
        <f>VLOOKUP(TableWRRanks32423644[[#This Row],[RK]],Rankings!A:AZ,43,FALSE)</f>
        <v>Josh Downs</v>
      </c>
      <c r="AF50" s="58" t="str">
        <f>IFERROR(INDEX(TableWRCalcPts[TM],MATCH(TableWRRanks32423644[[#This Row],[Player]],TableWRCalcPts[PLAYER],0)),"")</f>
        <v>IND</v>
      </c>
      <c r="AG50" s="58">
        <f>IFERROR(INDEX(TableWRCalcPts[BYE],MATCH(TableWRRanks32423644[[#This Row],[Player]],TableWRCalcPts[PLAYER],0)),"")</f>
        <v>13</v>
      </c>
      <c r="AH50" s="100">
        <f>VLOOKUP(TableWRRanks32423644[[#This Row],[Player]],WR!B:O,4,FALSE)</f>
        <v>9.8198247133757945</v>
      </c>
      <c r="AI50" s="100">
        <f>VLOOKUP(TableWRRanks32423644[[#This Row],[Player]],WR!B:O,5,FALSE)</f>
        <v>3.5425053078556257E-2</v>
      </c>
      <c r="AJ50" s="100">
        <f>VLOOKUP(TableWRRanks32423644[[#This Row],[Player]],WR!B:O,6,FALSE)</f>
        <v>111.31686719999999</v>
      </c>
      <c r="AK50" s="100">
        <f>VLOOKUP(TableWRRanks32423644[[#This Row],[Player]],WR!B:O,7,FALSE)</f>
        <v>79.066049385931024</v>
      </c>
      <c r="AL50" s="100">
        <f>VLOOKUP(TableWRRanks32423644[[#This Row],[Player]],WR!B:O,8,FALSE)</f>
        <v>781.39030299409649</v>
      </c>
      <c r="AM50" s="100">
        <f>VLOOKUP(TableWRRanks32423644[[#This Row],[Player]],WR!B:O,9,FALSE)</f>
        <v>4.9811611113136545</v>
      </c>
      <c r="AN50" s="95">
        <f>VLOOKUP(TableWRRanks32423644[[#This Row],[Player]],WR!B:O,13,FALSE)</f>
        <v>148.75355445006602</v>
      </c>
      <c r="AO50" s="190">
        <f>TableWRRanks32423644[[#This Row],[FPS]]-(TableWRRanks32423644[[#This Row],[REC]]*0.5)</f>
        <v>109.22052975710051</v>
      </c>
      <c r="AQ50" s="58">
        <v>49</v>
      </c>
      <c r="AR50" s="58" t="str">
        <f>VLOOKUP(TableTERanks33433745[[#This Row],[RK]],Rankings!A:AZ,48,FALSE)</f>
        <v>Will Kacmarek</v>
      </c>
      <c r="AS50" s="58" t="str">
        <f>IFERROR(INDEX(TableTECalcPts[TM],MATCH(TableTERanks33433745[[#This Row],[Player]],TableTECalcPts[PLAYER],0)),"")</f>
        <v>MIA</v>
      </c>
      <c r="AT50" s="58">
        <f>IFERROR(INDEX(TableTECalcPts[BYE],MATCH(TableTERanks33433745[[#This Row],[Player]],TableTECalcPts[PLAYER],0)),"")</f>
        <v>6</v>
      </c>
      <c r="AU50" s="100">
        <f>VLOOKUP(TableTERanks33433745[[#This Row],[Player]],TE!B:O,4,FALSE)</f>
        <v>16.743200039999998</v>
      </c>
      <c r="AV50" s="100">
        <f>VLOOKUP(TableTERanks33433745[[#This Row],[Player]],TE!B:O,5,FALSE)</f>
        <v>11.54568326162553</v>
      </c>
      <c r="AW50" s="100">
        <f>VLOOKUP(TableTERanks33433745[[#This Row],[Player]],TE!B:O,6,FALSE)</f>
        <v>119.84419225567302</v>
      </c>
      <c r="AX50" s="100">
        <f>VLOOKUP(TableTERanks33433745[[#This Row],[Player]],TE!B:O,7,FALSE)</f>
        <v>0.69585214350638291</v>
      </c>
      <c r="AY50" s="95">
        <f>VLOOKUP(TableTERanks33433745[[#This Row],[Player]],TE!B:O,11,FALSE)</f>
        <v>21.932373717418365</v>
      </c>
      <c r="AZ50" s="190">
        <f>TableTERanks33433745[[#This Row],[FPS]]-(TableTERanks33433745[[#This Row],[REC]]*0.5)</f>
        <v>16.159532086605601</v>
      </c>
    </row>
    <row r="51" spans="1:52" x14ac:dyDescent="0.25">
      <c r="A51" s="58">
        <v>50</v>
      </c>
      <c r="B51" s="58">
        <f>VLOOKUP(TableQBRanks30403438[[#This Row],[RK]],Rankings!A:T,3,FALSE)</f>
        <v>0</v>
      </c>
      <c r="C51" s="58" t="str">
        <f>IFERROR(INDEX(TableQBCalcPts[TM],MATCH(TableQBRanks30403438[[#This Row],[Player]],TableQBCalcPts[PLAYER],0)),"")</f>
        <v/>
      </c>
      <c r="D51" s="58" t="str">
        <f>IFERROR(INDEX(TableQBCalcPts[BYE],MATCH(TableQBRanks30403438[[#This Row],[Player]],TableQBCalcPts[PLAYER],0)),"")</f>
        <v/>
      </c>
      <c r="E51" s="100">
        <f>VLOOKUP(TableQBRanks30403438[[#This Row],[Player]],QB!B:O,4,FALSE)</f>
        <v>0</v>
      </c>
      <c r="F51" s="100">
        <f>VLOOKUP(TableQBRanks30403438[[#This Row],[Player]],QB!B:O,5,FALSE)</f>
        <v>0</v>
      </c>
      <c r="G51" s="100">
        <f>VLOOKUP(TableQBRanks30403438[[#This Row],[Player]],QB!B:O,6,FALSE)</f>
        <v>0</v>
      </c>
      <c r="H51" s="100">
        <f>VLOOKUP(TableQBRanks30403438[[#This Row],[Player]],QB!B:O,7,FALSE)</f>
        <v>0</v>
      </c>
      <c r="I51" s="100">
        <f>VLOOKUP(TableQBRanks30403438[[#This Row],[Player]],QB!B:O,8,FALSE)</f>
        <v>0</v>
      </c>
      <c r="J51" s="100">
        <f>VLOOKUP(TableQBRanks30403438[[#This Row],[Player]],QB!B:O,9,FALSE)</f>
        <v>0</v>
      </c>
      <c r="K51" s="100">
        <f>VLOOKUP(TableQBRanks30403438[[#This Row],[Player]],QB!B:O,10,FALSE)</f>
        <v>0</v>
      </c>
      <c r="L51" s="100">
        <f>VLOOKUP(TableQBRanks30403438[[#This Row],[Player]],QB!B:O,11,FALSE)</f>
        <v>0</v>
      </c>
      <c r="M51" s="95">
        <f>VLOOKUP(TableQBRanks30403438[[#This Row],[Player]],QB!B:O,13,FALSE)</f>
        <v>0</v>
      </c>
      <c r="N51" s="140" t="e">
        <f>IF(VLOOKUP(TableQBRanks30403438[[#This Row],[Player]],'Ranks w Proj'!$B:$N,13,FALSE)&lt;0,0,VLOOKUP(TableQBRanks30403438[[#This Row],[Player]],'Ranks w Proj'!$B:$N,13,FALSE))</f>
        <v>#N/A</v>
      </c>
      <c r="P51" s="58">
        <v>50</v>
      </c>
      <c r="Q51" s="58" t="str">
        <f>VLOOKUP(TableRBRanks31413539[[#This Row],[RK]],Rankings!A:AY,38,FALSE)</f>
        <v>Keaton Mitchell</v>
      </c>
      <c r="R51" s="58" t="str">
        <f>IFERROR(INDEX(TableRBCalcPts[TM],MATCH(TableRBRanks31413539[[#This Row],[Player]],TableRBCalcPts[PLAYER],0)),"")</f>
        <v>LAC</v>
      </c>
      <c r="S51" s="58">
        <f>IFERROR(INDEX(TableRBCalcPts[BYE],MATCH(TableRBRanks31413539[[#This Row],[Player]],TableRBCalcPts[PLAYER],0)),"")</f>
        <v>7</v>
      </c>
      <c r="T51" s="100">
        <f>VLOOKUP(TableRBRanks31413539[[#This Row],[Player]],RB!B:O,4,FALSE)</f>
        <v>93.00278987999998</v>
      </c>
      <c r="U51" s="100">
        <f>VLOOKUP(TableRBRanks31413539[[#This Row],[Player]],RB!B:O,5,FALSE)</f>
        <v>408.28224757319987</v>
      </c>
      <c r="V51" s="100">
        <f>VLOOKUP(TableRBRanks31413539[[#This Row],[Player]],RB!B:O,6,FALSE)</f>
        <v>2.6970809065199997</v>
      </c>
      <c r="W51" s="100">
        <f>VLOOKUP(TableRBRanks31413539[[#This Row],[Player]],RB!B:O,7,FALSE)</f>
        <v>21.799337559999998</v>
      </c>
      <c r="X51" s="100">
        <f>VLOOKUP(TableRBRanks31413539[[#This Row],[Player]],RB!B:O,8,FALSE)</f>
        <v>14.987258291495687</v>
      </c>
      <c r="Y51" s="100">
        <f>VLOOKUP(TableRBRanks31413539[[#This Row],[Player]],RB!B:O,9,FALSE)</f>
        <v>111.65507427164287</v>
      </c>
      <c r="Z51" s="100">
        <f>VLOOKUP(TableRBRanks31413539[[#This Row],[Player]],RB!B:O,10,FALSE)</f>
        <v>0.4945795236193577</v>
      </c>
      <c r="AA51" s="95">
        <f>VLOOKUP(TableRBRanks31413539[[#This Row],[Player]],RB!B:O,14,FALSE)</f>
        <v>78.637323911068265</v>
      </c>
      <c r="AB51" s="190">
        <f>TableRBRanks31413539[[#This Row],[FPS]]-(TableRBRanks31413539[[#This Row],[REC]]*0.5)</f>
        <v>71.143694765320419</v>
      </c>
      <c r="AD51" s="58">
        <v>50</v>
      </c>
      <c r="AE51" s="58" t="str">
        <f>VLOOKUP(TableWRRanks32423644[[#This Row],[RK]],Rankings!A:AZ,43,FALSE)</f>
        <v>Xavier Worthy</v>
      </c>
      <c r="AF51" s="58" t="str">
        <f>IFERROR(INDEX(TableWRCalcPts[TM],MATCH(TableWRRanks32423644[[#This Row],[Player]],TableWRCalcPts[PLAYER],0)),"")</f>
        <v>KC</v>
      </c>
      <c r="AG51" s="58">
        <f>IFERROR(INDEX(TableWRCalcPts[BYE],MATCH(TableWRRanks32423644[[#This Row],[Player]],TableWRCalcPts[PLAYER],0)),"")</f>
        <v>5</v>
      </c>
      <c r="AH51" s="100">
        <f>VLOOKUP(TableWRRanks32423644[[#This Row],[Player]],WR!B:O,4,FALSE)</f>
        <v>54.82748582903664</v>
      </c>
      <c r="AI51" s="100">
        <f>VLOOKUP(TableWRRanks32423644[[#This Row],[Player]],WR!B:O,5,FALSE)</f>
        <v>0.42276162822252378</v>
      </c>
      <c r="AJ51" s="100">
        <f>VLOOKUP(TableWRRanks32423644[[#This Row],[Player]],WR!B:O,6,FALSE)</f>
        <v>97.774575499999997</v>
      </c>
      <c r="AK51" s="100">
        <f>VLOOKUP(TableWRRanks32423644[[#This Row],[Player]],WR!B:O,7,FALSE)</f>
        <v>57.323544316701565</v>
      </c>
      <c r="AL51" s="100">
        <f>VLOOKUP(TableWRRanks32423644[[#This Row],[Player]],WR!B:O,8,FALSE)</f>
        <v>736.86230440193879</v>
      </c>
      <c r="AM51" s="100">
        <f>VLOOKUP(TableWRRanks32423644[[#This Row],[Player]],WR!B:O,9,FALSE)</f>
        <v>5.2737660771365436</v>
      </c>
      <c r="AN51" s="95">
        <f>VLOOKUP(TableWRRanks32423644[[#This Row],[Player]],WR!B:O,13,FALSE)</f>
        <v>142.00991741360272</v>
      </c>
      <c r="AO51" s="190">
        <f>TableWRRanks32423644[[#This Row],[FPS]]-(TableWRRanks32423644[[#This Row],[REC]]*0.5)</f>
        <v>113.34814525525194</v>
      </c>
      <c r="AQ51" s="58">
        <v>50</v>
      </c>
      <c r="AR51" s="58" t="str">
        <f>VLOOKUP(TableTERanks33433745[[#This Row],[RK]],Rankings!A:AZ,48,FALSE)</f>
        <v>Luke Musgrave</v>
      </c>
      <c r="AS51" s="58" t="str">
        <f>IFERROR(INDEX(TableTECalcPts[TM],MATCH(TableTERanks33433745[[#This Row],[Player]],TableTECalcPts[PLAYER],0)),"")</f>
        <v>GB</v>
      </c>
      <c r="AT51" s="58">
        <f>IFERROR(INDEX(TableTECalcPts[BYE],MATCH(TableTERanks33433745[[#This Row],[Player]],TableTECalcPts[PLAYER],0)),"")</f>
        <v>11</v>
      </c>
      <c r="AU51" s="100">
        <f>VLOOKUP(TableTERanks33433745[[#This Row],[Player]],TE!B:O,4,FALSE)</f>
        <v>20.871104321608037</v>
      </c>
      <c r="AV51" s="100">
        <f>VLOOKUP(TableTERanks33433745[[#This Row],[Player]],TE!B:O,5,FALSE)</f>
        <v>16.279461370854268</v>
      </c>
      <c r="AW51" s="100">
        <f>VLOOKUP(TableTERanks33433745[[#This Row],[Player]],TE!B:O,6,FALSE)</f>
        <v>157.70550039039088</v>
      </c>
      <c r="AX51" s="100">
        <f>VLOOKUP(TableTERanks33433745[[#This Row],[Player]],TE!B:O,7,FALSE)</f>
        <v>0.97676768225125599</v>
      </c>
      <c r="AY51" s="95">
        <f>VLOOKUP(TableTERanks33433745[[#This Row],[Player]],TE!B:O,11,FALSE)</f>
        <v>29.770886817973757</v>
      </c>
      <c r="AZ51" s="190">
        <f>TableTERanks33433745[[#This Row],[FPS]]-(TableTERanks33433745[[#This Row],[REC]]*0.5)</f>
        <v>21.631156132546622</v>
      </c>
    </row>
    <row r="52" spans="1:52" x14ac:dyDescent="0.25">
      <c r="A52" s="58">
        <v>51</v>
      </c>
      <c r="B52" s="58">
        <f>VLOOKUP(TableQBRanks30403438[[#This Row],[RK]],Rankings!A:T,3,FALSE)</f>
        <v>0</v>
      </c>
      <c r="C52" s="58" t="str">
        <f>IFERROR(INDEX(TableQBCalcPts[TM],MATCH(TableQBRanks30403438[[#This Row],[Player]],TableQBCalcPts[PLAYER],0)),"")</f>
        <v/>
      </c>
      <c r="D52" s="58" t="str">
        <f>IFERROR(INDEX(TableQBCalcPts[BYE],MATCH(TableQBRanks30403438[[#This Row],[Player]],TableQBCalcPts[PLAYER],0)),"")</f>
        <v/>
      </c>
      <c r="E52" s="100">
        <f>VLOOKUP(TableQBRanks30403438[[#This Row],[Player]],QB!B:O,4,FALSE)</f>
        <v>0</v>
      </c>
      <c r="F52" s="100">
        <f>VLOOKUP(TableQBRanks30403438[[#This Row],[Player]],QB!B:O,5,FALSE)</f>
        <v>0</v>
      </c>
      <c r="G52" s="100">
        <f>VLOOKUP(TableQBRanks30403438[[#This Row],[Player]],QB!B:O,6,FALSE)</f>
        <v>0</v>
      </c>
      <c r="H52" s="100">
        <f>VLOOKUP(TableQBRanks30403438[[#This Row],[Player]],QB!B:O,7,FALSE)</f>
        <v>0</v>
      </c>
      <c r="I52" s="100">
        <f>VLOOKUP(TableQBRanks30403438[[#This Row],[Player]],QB!B:O,8,FALSE)</f>
        <v>0</v>
      </c>
      <c r="J52" s="100">
        <f>VLOOKUP(TableQBRanks30403438[[#This Row],[Player]],QB!B:O,9,FALSE)</f>
        <v>0</v>
      </c>
      <c r="K52" s="100">
        <f>VLOOKUP(TableQBRanks30403438[[#This Row],[Player]],QB!B:O,10,FALSE)</f>
        <v>0</v>
      </c>
      <c r="L52" s="100">
        <f>VLOOKUP(TableQBRanks30403438[[#This Row],[Player]],QB!B:O,11,FALSE)</f>
        <v>0</v>
      </c>
      <c r="M52" s="95">
        <f>VLOOKUP(TableQBRanks30403438[[#This Row],[Player]],QB!B:O,13,FALSE)</f>
        <v>0</v>
      </c>
      <c r="N52" s="140" t="e">
        <f>IF(VLOOKUP(TableQBRanks30403438[[#This Row],[Player]],'Ranks w Proj'!$B:$N,13,FALSE)&lt;0,0,VLOOKUP(TableQBRanks30403438[[#This Row],[Player]],'Ranks w Proj'!$B:$N,13,FALSE))</f>
        <v>#N/A</v>
      </c>
      <c r="P52" s="58">
        <v>51</v>
      </c>
      <c r="Q52" s="58" t="str">
        <f>VLOOKUP(TableRBRanks31413539[[#This Row],[RK]],Rankings!A:AY,38,FALSE)</f>
        <v>Tank Bigsby</v>
      </c>
      <c r="R52" s="58" t="str">
        <f>IFERROR(INDEX(TableRBCalcPts[TM],MATCH(TableRBRanks31413539[[#This Row],[Player]],TableRBCalcPts[PLAYER],0)),"")</f>
        <v>PHI</v>
      </c>
      <c r="S52" s="58">
        <f>IFERROR(INDEX(TableRBCalcPts[BYE],MATCH(TableRBRanks31413539[[#This Row],[Player]],TableRBCalcPts[PLAYER],0)),"")</f>
        <v>10</v>
      </c>
      <c r="T52" s="100">
        <f>VLOOKUP(TableRBRanks31413539[[#This Row],[Player]],RB!B:O,4,FALSE)</f>
        <v>97.007150240000016</v>
      </c>
      <c r="U52" s="100">
        <f>VLOOKUP(TableRBRanks31413539[[#This Row],[Player]],RB!B:O,5,FALSE)</f>
        <v>463.69417814720009</v>
      </c>
      <c r="V52" s="100">
        <f>VLOOKUP(TableRBRanks31413539[[#This Row],[Player]],RB!B:O,6,FALSE)</f>
        <v>3.4927472680063905</v>
      </c>
      <c r="W52" s="100">
        <f>VLOOKUP(TableRBRanks31413539[[#This Row],[Player]],RB!B:O,7,FALSE)</f>
        <v>5.2834504799999999</v>
      </c>
      <c r="X52" s="100">
        <f>VLOOKUP(TableRBRanks31413539[[#This Row],[Player]],RB!B:O,8,FALSE)</f>
        <v>3.5113420523377772</v>
      </c>
      <c r="Y52" s="100">
        <f>VLOOKUP(TableRBRanks31413539[[#This Row],[Player]],RB!B:O,9,FALSE)</f>
        <v>24.369230447271107</v>
      </c>
      <c r="Z52" s="100">
        <f>VLOOKUP(TableRBRanks31413539[[#This Row],[Player]],RB!B:O,10,FALSE)</f>
        <v>0.10534026157013331</v>
      </c>
      <c r="AA52" s="95">
        <f>VLOOKUP(TableRBRanks31413539[[#This Row],[Player]],RB!B:O,14,FALSE)</f>
        <v>72.150537063075149</v>
      </c>
      <c r="AB52" s="190">
        <f>TableRBRanks31413539[[#This Row],[FPS]]-(TableRBRanks31413539[[#This Row],[REC]]*0.5)</f>
        <v>70.394866036906265</v>
      </c>
      <c r="AD52" s="58">
        <v>51</v>
      </c>
      <c r="AE52" s="58" t="str">
        <f>VLOOKUP(TableWRRanks32423644[[#This Row],[RK]],Rankings!A:AZ,43,FALSE)</f>
        <v>Deebo Samuel</v>
      </c>
      <c r="AF52" s="58" t="str">
        <f>IFERROR(INDEX(TableWRCalcPts[TM],MATCH(TableWRRanks32423644[[#This Row],[Player]],TableWRCalcPts[PLAYER],0)),"")</f>
        <v>SF</v>
      </c>
      <c r="AG52" s="58">
        <f>IFERROR(INDEX(TableWRCalcPts[BYE],MATCH(TableWRRanks32423644[[#This Row],[Player]],TableWRCalcPts[PLAYER],0)),"")</f>
        <v>8</v>
      </c>
      <c r="AH52" s="100">
        <f>VLOOKUP(TableWRRanks32423644[[#This Row],[Player]],WR!B:O,4,FALSE)</f>
        <v>14.2321676</v>
      </c>
      <c r="AI52" s="100">
        <f>VLOOKUP(TableWRRanks32423644[[#This Row],[Player]],WR!B:O,5,FALSE)</f>
        <v>2.904524E-2</v>
      </c>
      <c r="AJ52" s="100">
        <f>VLOOKUP(TableWRRanks32423644[[#This Row],[Player]],WR!B:O,6,FALSE)</f>
        <v>99.851525760000001</v>
      </c>
      <c r="AK52" s="100">
        <f>VLOOKUP(TableWRRanks32423644[[#This Row],[Player]],WR!B:O,7,FALSE)</f>
        <v>65.003343269760009</v>
      </c>
      <c r="AL52" s="100">
        <f>VLOOKUP(TableWRRanks32423644[[#This Row],[Player]],WR!B:O,8,FALSE)</f>
        <v>900.94633771887368</v>
      </c>
      <c r="AM52" s="100">
        <f>VLOOKUP(TableWRRanks32423644[[#This Row],[Player]],WR!B:O,9,FALSE)</f>
        <v>4.4202273423436811</v>
      </c>
      <c r="AN52" s="95">
        <f>VLOOKUP(TableWRRanks32423644[[#This Row],[Player]],WR!B:O,13,FALSE)</f>
        <v>150.71515766082945</v>
      </c>
      <c r="AO52" s="190">
        <f>TableWRRanks32423644[[#This Row],[FPS]]-(TableWRRanks32423644[[#This Row],[REC]]*0.5)</f>
        <v>118.21348602594944</v>
      </c>
      <c r="AQ52" s="58">
        <v>51</v>
      </c>
      <c r="AR52" s="58">
        <f>VLOOKUP(TableTERanks33433745[[#This Row],[RK]],Rankings!A:AZ,48,FALSE)</f>
        <v>0</v>
      </c>
      <c r="AS52" s="58" t="str">
        <f>IFERROR(INDEX(TableTECalcPts[TM],MATCH(TableTERanks33433745[[#This Row],[Player]],TableTECalcPts[PLAYER],0)),"")</f>
        <v/>
      </c>
      <c r="AT52" s="58" t="str">
        <f>IFERROR(INDEX(TableTECalcPts[BYE],MATCH(TableTERanks33433745[[#This Row],[Player]],TableTECalcPts[PLAYER],0)),"")</f>
        <v/>
      </c>
      <c r="AU52" s="100">
        <f>VLOOKUP(TableTERanks33433745[[#This Row],[Player]],TE!B:O,4,FALSE)</f>
        <v>0</v>
      </c>
      <c r="AV52" s="100">
        <f>VLOOKUP(TableTERanks33433745[[#This Row],[Player]],TE!B:O,5,FALSE)</f>
        <v>0</v>
      </c>
      <c r="AW52" s="100">
        <f>VLOOKUP(TableTERanks33433745[[#This Row],[Player]],TE!B:O,6,FALSE)</f>
        <v>0</v>
      </c>
      <c r="AX52" s="100">
        <f>VLOOKUP(TableTERanks33433745[[#This Row],[Player]],TE!B:O,7,FALSE)</f>
        <v>0</v>
      </c>
      <c r="AY52" s="95">
        <f>VLOOKUP(TableTERanks33433745[[#This Row],[Player]],TE!B:O,11,FALSE)</f>
        <v>0</v>
      </c>
      <c r="AZ52" s="190">
        <f>TableTERanks33433745[[#This Row],[FPS]]-(TableTERanks33433745[[#This Row],[REC]]*0.5)</f>
        <v>0</v>
      </c>
    </row>
    <row r="53" spans="1:52" x14ac:dyDescent="0.25">
      <c r="A53" s="58">
        <v>52</v>
      </c>
      <c r="B53" s="58">
        <f>VLOOKUP(TableQBRanks30403438[[#This Row],[RK]],Rankings!A:T,3,FALSE)</f>
        <v>0</v>
      </c>
      <c r="C53" s="58" t="str">
        <f>IFERROR(INDEX(TableQBCalcPts[TM],MATCH(TableQBRanks30403438[[#This Row],[Player]],TableQBCalcPts[PLAYER],0)),"")</f>
        <v/>
      </c>
      <c r="D53" s="58" t="str">
        <f>IFERROR(INDEX(TableQBCalcPts[BYE],MATCH(TableQBRanks30403438[[#This Row],[Player]],TableQBCalcPts[PLAYER],0)),"")</f>
        <v/>
      </c>
      <c r="E53" s="100">
        <f>VLOOKUP(TableQBRanks30403438[[#This Row],[Player]],QB!B:O,4,FALSE)</f>
        <v>0</v>
      </c>
      <c r="F53" s="100">
        <f>VLOOKUP(TableQBRanks30403438[[#This Row],[Player]],QB!B:O,5,FALSE)</f>
        <v>0</v>
      </c>
      <c r="G53" s="100">
        <f>VLOOKUP(TableQBRanks30403438[[#This Row],[Player]],QB!B:O,6,FALSE)</f>
        <v>0</v>
      </c>
      <c r="H53" s="100">
        <f>VLOOKUP(TableQBRanks30403438[[#This Row],[Player]],QB!B:O,7,FALSE)</f>
        <v>0</v>
      </c>
      <c r="I53" s="100">
        <f>VLOOKUP(TableQBRanks30403438[[#This Row],[Player]],QB!B:O,8,FALSE)</f>
        <v>0</v>
      </c>
      <c r="J53" s="100">
        <f>VLOOKUP(TableQBRanks30403438[[#This Row],[Player]],QB!B:O,9,FALSE)</f>
        <v>0</v>
      </c>
      <c r="K53" s="100">
        <f>VLOOKUP(TableQBRanks30403438[[#This Row],[Player]],QB!B:O,10,FALSE)</f>
        <v>0</v>
      </c>
      <c r="L53" s="100">
        <f>VLOOKUP(TableQBRanks30403438[[#This Row],[Player]],QB!B:O,11,FALSE)</f>
        <v>0</v>
      </c>
      <c r="M53" s="95">
        <f>VLOOKUP(TableQBRanks30403438[[#This Row],[Player]],QB!B:O,13,FALSE)</f>
        <v>0</v>
      </c>
      <c r="N53" s="140" t="e">
        <f>IF(VLOOKUP(TableQBRanks30403438[[#This Row],[Player]],'Ranks w Proj'!$B:$N,13,FALSE)&lt;0,0,VLOOKUP(TableQBRanks30403438[[#This Row],[Player]],'Ranks w Proj'!$B:$N,13,FALSE))</f>
        <v>#N/A</v>
      </c>
      <c r="P53" s="58">
        <v>52</v>
      </c>
      <c r="Q53" s="58" t="str">
        <f>VLOOKUP(TableRBRanks31413539[[#This Row],[RK]],Rankings!A:AY,38,FALSE)</f>
        <v>Nicholas Singleton</v>
      </c>
      <c r="R53" s="58" t="str">
        <f>IFERROR(INDEX(TableRBCalcPts[TM],MATCH(TableRBRanks31413539[[#This Row],[Player]],TableRBCalcPts[PLAYER],0)),"")</f>
        <v>TEN</v>
      </c>
      <c r="S53" s="58">
        <f>IFERROR(INDEX(TableRBCalcPts[BYE],MATCH(TableRBRanks31413539[[#This Row],[Player]],TableRBCalcPts[PLAYER],0)),"")</f>
        <v>9</v>
      </c>
      <c r="T53" s="100">
        <f>VLOOKUP(TableRBRanks31413539[[#This Row],[Player]],RB!B:O,4,FALSE)</f>
        <v>71.053355519999997</v>
      </c>
      <c r="U53" s="100">
        <f>VLOOKUP(TableRBRanks31413539[[#This Row],[Player]],RB!B:O,5,FALSE)</f>
        <v>302.68729451519999</v>
      </c>
      <c r="V53" s="100">
        <f>VLOOKUP(TableRBRanks31413539[[#This Row],[Player]],RB!B:O,6,FALSE)</f>
        <v>2.1316006655999997</v>
      </c>
      <c r="W53" s="100">
        <f>VLOOKUP(TableRBRanks31413539[[#This Row],[Player]],RB!B:O,7,FALSE)</f>
        <v>8.2385856000000004</v>
      </c>
      <c r="X53" s="100">
        <f>VLOOKUP(TableRBRanks31413539[[#This Row],[Player]],RB!B:O,8,FALSE)</f>
        <v>6.014167488</v>
      </c>
      <c r="Y53" s="100">
        <f>VLOOKUP(TableRBRanks31413539[[#This Row],[Player]],RB!B:O,9,FALSE)</f>
        <v>37.347980100480001</v>
      </c>
      <c r="Z53" s="100">
        <f>VLOOKUP(TableRBRanks31413539[[#This Row],[Player]],RB!B:O,10,FALSE)</f>
        <v>0.18042502463999999</v>
      </c>
      <c r="AA53" s="95">
        <f>VLOOKUP(TableRBRanks31413539[[#This Row],[Player]],RB!B:O,14,FALSE)</f>
        <v>50.882765347008004</v>
      </c>
      <c r="AB53" s="190">
        <f>TableRBRanks31413539[[#This Row],[FPS]]-(TableRBRanks31413539[[#This Row],[REC]]*0.5)</f>
        <v>47.875681603008005</v>
      </c>
      <c r="AD53" s="58">
        <v>52</v>
      </c>
      <c r="AE53" s="58" t="str">
        <f>VLOOKUP(TableWRRanks32423644[[#This Row],[RK]],Rankings!A:AZ,43,FALSE)</f>
        <v>Jerry Jeudy</v>
      </c>
      <c r="AF53" s="58" t="str">
        <f>IFERROR(INDEX(TableWRCalcPts[TM],MATCH(TableWRRanks32423644[[#This Row],[Player]],TableWRCalcPts[PLAYER],0)),"")</f>
        <v>CLE</v>
      </c>
      <c r="AG53" s="58">
        <f>IFERROR(INDEX(TableWRCalcPts[BYE],MATCH(TableWRRanks32423644[[#This Row],[Player]],TableWRCalcPts[PLAYER],0)),"")</f>
        <v>11</v>
      </c>
      <c r="AH53" s="100">
        <f>VLOOKUP(TableWRRanks32423644[[#This Row],[Player]],WR!B:O,4,FALSE)</f>
        <v>0</v>
      </c>
      <c r="AI53" s="100">
        <f>VLOOKUP(TableWRRanks32423644[[#This Row],[Player]],WR!B:O,5,FALSE)</f>
        <v>0</v>
      </c>
      <c r="AJ53" s="100">
        <f>VLOOKUP(TableWRRanks32423644[[#This Row],[Player]],WR!B:O,6,FALSE)</f>
        <v>83.126735999999994</v>
      </c>
      <c r="AK53" s="100">
        <f>VLOOKUP(TableWRRanks32423644[[#This Row],[Player]],WR!B:O,7,FALSE)</f>
        <v>45.054690911999998</v>
      </c>
      <c r="AL53" s="100">
        <f>VLOOKUP(TableWRRanks32423644[[#This Row],[Player]],WR!B:O,8,FALSE)</f>
        <v>554.17269821759999</v>
      </c>
      <c r="AM53" s="100">
        <f>VLOOKUP(TableWRRanks32423644[[#This Row],[Player]],WR!B:O,9,FALSE)</f>
        <v>2.8835002183679999</v>
      </c>
      <c r="AN53" s="95">
        <f>VLOOKUP(TableWRRanks32423644[[#This Row],[Player]],WR!B:O,13,FALSE)</f>
        <v>95.245616587967987</v>
      </c>
      <c r="AO53" s="190">
        <f>TableWRRanks32423644[[#This Row],[FPS]]-(TableWRRanks32423644[[#This Row],[REC]]*0.5)</f>
        <v>72.718271131967981</v>
      </c>
      <c r="AQ53" s="58">
        <v>52</v>
      </c>
      <c r="AR53" s="58">
        <f>VLOOKUP(TableTERanks33433745[[#This Row],[RK]],Rankings!A:AZ,48,FALSE)</f>
        <v>0</v>
      </c>
      <c r="AS53" s="58" t="str">
        <f>IFERROR(INDEX(TableTECalcPts[TM],MATCH(TableTERanks33433745[[#This Row],[Player]],TableTECalcPts[PLAYER],0)),"")</f>
        <v/>
      </c>
      <c r="AT53" s="58" t="str">
        <f>IFERROR(INDEX(TableTECalcPts[BYE],MATCH(TableTERanks33433745[[#This Row],[Player]],TableTECalcPts[PLAYER],0)),"")</f>
        <v/>
      </c>
      <c r="AU53" s="100">
        <f>VLOOKUP(TableTERanks33433745[[#This Row],[Player]],TE!B:O,4,FALSE)</f>
        <v>0</v>
      </c>
      <c r="AV53" s="100">
        <f>VLOOKUP(TableTERanks33433745[[#This Row],[Player]],TE!B:O,5,FALSE)</f>
        <v>0</v>
      </c>
      <c r="AW53" s="100">
        <f>VLOOKUP(TableTERanks33433745[[#This Row],[Player]],TE!B:O,6,FALSE)</f>
        <v>0</v>
      </c>
      <c r="AX53" s="100">
        <f>VLOOKUP(TableTERanks33433745[[#This Row],[Player]],TE!B:O,7,FALSE)</f>
        <v>0</v>
      </c>
      <c r="AY53" s="95">
        <f>VLOOKUP(TableTERanks33433745[[#This Row],[Player]],TE!B:O,11,FALSE)</f>
        <v>0</v>
      </c>
      <c r="AZ53" s="190">
        <f>TableTERanks33433745[[#This Row],[FPS]]-(TableTERanks33433745[[#This Row],[REC]]*0.5)</f>
        <v>0</v>
      </c>
    </row>
    <row r="54" spans="1:52" x14ac:dyDescent="0.25">
      <c r="A54" s="58">
        <v>53</v>
      </c>
      <c r="B54" s="58">
        <f>VLOOKUP(TableQBRanks30403438[[#This Row],[RK]],Rankings!A:T,3,FALSE)</f>
        <v>0</v>
      </c>
      <c r="C54" s="58" t="str">
        <f>IFERROR(INDEX(TableQBCalcPts[TM],MATCH(TableQBRanks30403438[[#This Row],[Player]],TableQBCalcPts[PLAYER],0)),"")</f>
        <v/>
      </c>
      <c r="D54" s="58" t="str">
        <f>IFERROR(INDEX(TableQBCalcPts[BYE],MATCH(TableQBRanks30403438[[#This Row],[Player]],TableQBCalcPts[PLAYER],0)),"")</f>
        <v/>
      </c>
      <c r="E54" s="100">
        <f>VLOOKUP(TableQBRanks30403438[[#This Row],[Player]],QB!B:O,4,FALSE)</f>
        <v>0</v>
      </c>
      <c r="F54" s="100">
        <f>VLOOKUP(TableQBRanks30403438[[#This Row],[Player]],QB!B:O,5,FALSE)</f>
        <v>0</v>
      </c>
      <c r="G54" s="100">
        <f>VLOOKUP(TableQBRanks30403438[[#This Row],[Player]],QB!B:O,6,FALSE)</f>
        <v>0</v>
      </c>
      <c r="H54" s="100">
        <f>VLOOKUP(TableQBRanks30403438[[#This Row],[Player]],QB!B:O,7,FALSE)</f>
        <v>0</v>
      </c>
      <c r="I54" s="100">
        <f>VLOOKUP(TableQBRanks30403438[[#This Row],[Player]],QB!B:O,8,FALSE)</f>
        <v>0</v>
      </c>
      <c r="J54" s="100">
        <f>VLOOKUP(TableQBRanks30403438[[#This Row],[Player]],QB!B:O,9,FALSE)</f>
        <v>0</v>
      </c>
      <c r="K54" s="100">
        <f>VLOOKUP(TableQBRanks30403438[[#This Row],[Player]],QB!B:O,10,FALSE)</f>
        <v>0</v>
      </c>
      <c r="L54" s="100">
        <f>VLOOKUP(TableQBRanks30403438[[#This Row],[Player]],QB!B:O,11,FALSE)</f>
        <v>0</v>
      </c>
      <c r="M54" s="95">
        <f>VLOOKUP(TableQBRanks30403438[[#This Row],[Player]],QB!B:O,13,FALSE)</f>
        <v>0</v>
      </c>
      <c r="N54" s="140" t="e">
        <f>IF(VLOOKUP(TableQBRanks30403438[[#This Row],[Player]],'Ranks w Proj'!$B:$N,13,FALSE)&lt;0,0,VLOOKUP(TableQBRanks30403438[[#This Row],[Player]],'Ranks w Proj'!$B:$N,13,FALSE))</f>
        <v>#N/A</v>
      </c>
      <c r="P54" s="58">
        <v>53</v>
      </c>
      <c r="Q54" s="58" t="str">
        <f>VLOOKUP(TableRBRanks31413539[[#This Row],[RK]],Rankings!A:AY,38,FALSE)</f>
        <v>Mike Washington</v>
      </c>
      <c r="R54" s="58" t="str">
        <f>IFERROR(INDEX(TableRBCalcPts[TM],MATCH(TableRBRanks31413539[[#This Row],[Player]],TableRBCalcPts[PLAYER],0)),"")</f>
        <v>LV</v>
      </c>
      <c r="S54" s="58">
        <f>IFERROR(INDEX(TableRBCalcPts[BYE],MATCH(TableRBRanks31413539[[#This Row],[Player]],TableRBCalcPts[PLAYER],0)),"")</f>
        <v>13</v>
      </c>
      <c r="T54" s="100">
        <f>VLOOKUP(TableRBRanks31413539[[#This Row],[Player]],RB!B:O,4,FALSE)</f>
        <v>107.78025887999998</v>
      </c>
      <c r="U54" s="100">
        <f>VLOOKUP(TableRBRanks31413539[[#This Row],[Player]],RB!B:O,5,FALSE)</f>
        <v>439.74345623039989</v>
      </c>
      <c r="V54" s="100">
        <f>VLOOKUP(TableRBRanks31413539[[#This Row],[Player]],RB!B:O,6,FALSE)</f>
        <v>2.2652911711162633</v>
      </c>
      <c r="W54" s="100">
        <f>VLOOKUP(TableRBRanks31413539[[#This Row],[Player]],RB!B:O,7,FALSE)</f>
        <v>8.1644976000000007</v>
      </c>
      <c r="X54" s="100">
        <f>VLOOKUP(TableRBRanks31413539[[#This Row],[Player]],RB!B:O,8,FALSE)</f>
        <v>5.4457198992000011</v>
      </c>
      <c r="Y54" s="100">
        <f>VLOOKUP(TableRBRanks31413539[[#This Row],[Player]],RB!B:O,9,FALSE)</f>
        <v>35.996208533712007</v>
      </c>
      <c r="Z54" s="100">
        <f>VLOOKUP(TableRBRanks31413539[[#This Row],[Player]],RB!B:O,10,FALSE)</f>
        <v>8.8304198138479006E-2</v>
      </c>
      <c r="AA54" s="95">
        <f>VLOOKUP(TableRBRanks31413539[[#This Row],[Player]],RB!B:O,14,FALSE)</f>
        <v>64.418398641539639</v>
      </c>
      <c r="AB54" s="190">
        <f>TableRBRanks31413539[[#This Row],[FPS]]-(TableRBRanks31413539[[#This Row],[REC]]*0.5)</f>
        <v>61.695538691939639</v>
      </c>
      <c r="AD54" s="58">
        <v>53</v>
      </c>
      <c r="AE54" s="58" t="str">
        <f>VLOOKUP(TableWRRanks32423644[[#This Row],[RK]],Rankings!A:AZ,43,FALSE)</f>
        <v>Jakobi Meyers</v>
      </c>
      <c r="AF54" s="58" t="str">
        <f>IFERROR(INDEX(TableWRCalcPts[TM],MATCH(TableWRRanks32423644[[#This Row],[Player]],TableWRCalcPts[PLAYER],0)),"")</f>
        <v>JAX</v>
      </c>
      <c r="AG54" s="58">
        <f>IFERROR(INDEX(TableWRCalcPts[BYE],MATCH(TableWRRanks32423644[[#This Row],[Player]],TableWRCalcPts[PLAYER],0)),"")</f>
        <v>7</v>
      </c>
      <c r="AH54" s="100">
        <f>VLOOKUP(TableWRRanks32423644[[#This Row],[Player]],WR!B:O,4,FALSE)</f>
        <v>10.894215331920902</v>
      </c>
      <c r="AI54" s="100">
        <f>VLOOKUP(TableWRRanks32423644[[#This Row],[Player]],WR!B:O,5,FALSE)</f>
        <v>3.018206214689265E-2</v>
      </c>
      <c r="AJ54" s="100">
        <f>VLOOKUP(TableWRRanks32423644[[#This Row],[Player]],WR!B:O,6,FALSE)</f>
        <v>102.97985039999999</v>
      </c>
      <c r="AK54" s="100">
        <f>VLOOKUP(TableWRRanks32423644[[#This Row],[Player]],WR!B:O,7,FALSE)</f>
        <v>65.495184854399994</v>
      </c>
      <c r="AL54" s="100">
        <f>VLOOKUP(TableWRRanks32423644[[#This Row],[Player]],WR!B:O,8,FALSE)</f>
        <v>740.75054070326394</v>
      </c>
      <c r="AM54" s="100">
        <f>VLOOKUP(TableWRRanks32423644[[#This Row],[Player]],WR!B:O,9,FALSE)</f>
        <v>4.9121388640799992</v>
      </c>
      <c r="AN54" s="95">
        <f>VLOOKUP(TableWRRanks32423644[[#This Row],[Player]],WR!B:O,13,FALSE)</f>
        <v>137.56599358807983</v>
      </c>
      <c r="AO54" s="190">
        <f>TableWRRanks32423644[[#This Row],[FPS]]-(TableWRRanks32423644[[#This Row],[REC]]*0.5)</f>
        <v>104.81840116087983</v>
      </c>
      <c r="AQ54" s="58">
        <v>53</v>
      </c>
      <c r="AR54" s="58">
        <f>VLOOKUP(TableTERanks33433745[[#This Row],[RK]],Rankings!A:AZ,48,FALSE)</f>
        <v>0</v>
      </c>
      <c r="AS54" s="58" t="str">
        <f>IFERROR(INDEX(TableTECalcPts[TM],MATCH(TableTERanks33433745[[#This Row],[Player]],TableTECalcPts[PLAYER],0)),"")</f>
        <v/>
      </c>
      <c r="AT54" s="58" t="str">
        <f>IFERROR(INDEX(TableTECalcPts[BYE],MATCH(TableTERanks33433745[[#This Row],[Player]],TableTECalcPts[PLAYER],0)),"")</f>
        <v/>
      </c>
      <c r="AU54" s="100">
        <f>VLOOKUP(TableTERanks33433745[[#This Row],[Player]],TE!B:O,4,FALSE)</f>
        <v>0</v>
      </c>
      <c r="AV54" s="100">
        <f>VLOOKUP(TableTERanks33433745[[#This Row],[Player]],TE!B:O,5,FALSE)</f>
        <v>0</v>
      </c>
      <c r="AW54" s="100">
        <f>VLOOKUP(TableTERanks33433745[[#This Row],[Player]],TE!B:O,6,FALSE)</f>
        <v>0</v>
      </c>
      <c r="AX54" s="100">
        <f>VLOOKUP(TableTERanks33433745[[#This Row],[Player]],TE!B:O,7,FALSE)</f>
        <v>0</v>
      </c>
      <c r="AY54" s="95">
        <f>VLOOKUP(TableTERanks33433745[[#This Row],[Player]],TE!B:O,11,FALSE)</f>
        <v>0</v>
      </c>
      <c r="AZ54" s="190">
        <f>TableTERanks33433745[[#This Row],[FPS]]-(TableTERanks33433745[[#This Row],[REC]]*0.5)</f>
        <v>0</v>
      </c>
    </row>
    <row r="55" spans="1:52" x14ac:dyDescent="0.25">
      <c r="A55" s="58">
        <v>54</v>
      </c>
      <c r="B55" s="58">
        <f>VLOOKUP(TableQBRanks30403438[[#This Row],[RK]],Rankings!A:T,3,FALSE)</f>
        <v>0</v>
      </c>
      <c r="C55" s="58" t="str">
        <f>IFERROR(INDEX(TableQBCalcPts[TM],MATCH(TableQBRanks30403438[[#This Row],[Player]],TableQBCalcPts[PLAYER],0)),"")</f>
        <v/>
      </c>
      <c r="D55" s="58" t="str">
        <f>IFERROR(INDEX(TableQBCalcPts[BYE],MATCH(TableQBRanks30403438[[#This Row],[Player]],TableQBCalcPts[PLAYER],0)),"")</f>
        <v/>
      </c>
      <c r="E55" s="100">
        <f>VLOOKUP(TableQBRanks30403438[[#This Row],[Player]],QB!B:O,4,FALSE)</f>
        <v>0</v>
      </c>
      <c r="F55" s="100">
        <f>VLOOKUP(TableQBRanks30403438[[#This Row],[Player]],QB!B:O,5,FALSE)</f>
        <v>0</v>
      </c>
      <c r="G55" s="100">
        <f>VLOOKUP(TableQBRanks30403438[[#This Row],[Player]],QB!B:O,6,FALSE)</f>
        <v>0</v>
      </c>
      <c r="H55" s="100">
        <f>VLOOKUP(TableQBRanks30403438[[#This Row],[Player]],QB!B:O,7,FALSE)</f>
        <v>0</v>
      </c>
      <c r="I55" s="100">
        <f>VLOOKUP(TableQBRanks30403438[[#This Row],[Player]],QB!B:O,8,FALSE)</f>
        <v>0</v>
      </c>
      <c r="J55" s="100">
        <f>VLOOKUP(TableQBRanks30403438[[#This Row],[Player]],QB!B:O,9,FALSE)</f>
        <v>0</v>
      </c>
      <c r="K55" s="100">
        <f>VLOOKUP(TableQBRanks30403438[[#This Row],[Player]],QB!B:O,10,FALSE)</f>
        <v>0</v>
      </c>
      <c r="L55" s="100">
        <f>VLOOKUP(TableQBRanks30403438[[#This Row],[Player]],QB!B:O,11,FALSE)</f>
        <v>0</v>
      </c>
      <c r="M55" s="95">
        <f>VLOOKUP(TableQBRanks30403438[[#This Row],[Player]],QB!B:O,13,FALSE)</f>
        <v>0</v>
      </c>
      <c r="N55" s="140" t="e">
        <f>IF(VLOOKUP(TableQBRanks30403438[[#This Row],[Player]],'Ranks w Proj'!$B:$N,13,FALSE)&lt;0,0,VLOOKUP(TableQBRanks30403438[[#This Row],[Player]],'Ranks w Proj'!$B:$N,13,FALSE))</f>
        <v>#N/A</v>
      </c>
      <c r="P55" s="58">
        <v>54</v>
      </c>
      <c r="Q55" s="58" t="str">
        <f>VLOOKUP(TableRBRanks31413539[[#This Row],[RK]],Rankings!A:AY,38,FALSE)</f>
        <v>Kaytron Allen</v>
      </c>
      <c r="R55" s="58" t="str">
        <f>IFERROR(INDEX(TableRBCalcPts[TM],MATCH(TableRBRanks31413539[[#This Row],[Player]],TableRBCalcPts[PLAYER],0)),"")</f>
        <v>WSH</v>
      </c>
      <c r="S55" s="58">
        <f>IFERROR(INDEX(TableRBCalcPts[BYE],MATCH(TableRBRanks31413539[[#This Row],[Player]],TableRBCalcPts[PLAYER],0)),"")</f>
        <v>7</v>
      </c>
      <c r="T55" s="100">
        <f>VLOOKUP(TableRBRanks31413539[[#This Row],[Player]],RB!B:O,4,FALSE)</f>
        <v>87.967904640000015</v>
      </c>
      <c r="U55" s="100">
        <f>VLOOKUP(TableRBRanks31413539[[#This Row],[Player]],RB!B:O,5,FALSE)</f>
        <v>379.14166899840001</v>
      </c>
      <c r="V55" s="100">
        <f>VLOOKUP(TableRBRanks31413539[[#This Row],[Player]],RB!B:O,6,FALSE)</f>
        <v>2.9029408531200005</v>
      </c>
      <c r="W55" s="100">
        <f>VLOOKUP(TableRBRanks31413539[[#This Row],[Player]],RB!B:O,7,FALSE)</f>
        <v>7.4673353999999987</v>
      </c>
      <c r="X55" s="100">
        <f>VLOOKUP(TableRBRanks31413539[[#This Row],[Player]],RB!B:O,8,FALSE)</f>
        <v>5.4362201711999987</v>
      </c>
      <c r="Y55" s="100">
        <f>VLOOKUP(TableRBRanks31413539[[#This Row],[Player]],RB!B:O,9,FALSE)</f>
        <v>37.020659365871985</v>
      </c>
      <c r="Z55" s="100">
        <f>VLOOKUP(TableRBRanks31413539[[#This Row],[Player]],RB!B:O,10,FALSE)</f>
        <v>0.15532057631999999</v>
      </c>
      <c r="AA55" s="95">
        <f>VLOOKUP(TableRBRanks31413539[[#This Row],[Player]],RB!B:O,14,FALSE)</f>
        <v>62.6839114986672</v>
      </c>
      <c r="AB55" s="190">
        <f>TableRBRanks31413539[[#This Row],[FPS]]-(TableRBRanks31413539[[#This Row],[REC]]*0.5)</f>
        <v>59.965801413067197</v>
      </c>
      <c r="AD55" s="58">
        <v>54</v>
      </c>
      <c r="AE55" s="58" t="str">
        <f>VLOOKUP(TableWRRanks32423644[[#This Row],[RK]],Rankings!A:AZ,43,FALSE)</f>
        <v>Matthew Golden</v>
      </c>
      <c r="AF55" s="58" t="str">
        <f>IFERROR(INDEX(TableWRCalcPts[TM],MATCH(TableWRRanks32423644[[#This Row],[Player]],TableWRCalcPts[PLAYER],0)),"")</f>
        <v>GB</v>
      </c>
      <c r="AG55" s="58">
        <f>IFERROR(INDEX(TableWRCalcPts[BYE],MATCH(TableWRRanks32423644[[#This Row],[Player]],TableWRCalcPts[PLAYER],0)),"")</f>
        <v>11</v>
      </c>
      <c r="AH55" s="100">
        <f>VLOOKUP(TableWRRanks32423644[[#This Row],[Player]],WR!B:O,4,FALSE)</f>
        <v>24.99271009319855</v>
      </c>
      <c r="AI55" s="100">
        <f>VLOOKUP(TableWRRanks32423644[[#This Row],[Player]],WR!B:O,5,FALSE)</f>
        <v>0.11790281999999999</v>
      </c>
      <c r="AJ55" s="100">
        <f>VLOOKUP(TableWRRanks32423644[[#This Row],[Player]],WR!B:O,6,FALSE)</f>
        <v>85.049750110552765</v>
      </c>
      <c r="AK55" s="100">
        <f>VLOOKUP(TableWRRanks32423644[[#This Row],[Player]],WR!B:O,7,FALSE)</f>
        <v>53.587897463683738</v>
      </c>
      <c r="AL55" s="100">
        <f>VLOOKUP(TableWRRanks32423644[[#This Row],[Player]],WR!B:O,8,FALSE)</f>
        <v>676.53815153162077</v>
      </c>
      <c r="AM55" s="100">
        <f>VLOOKUP(TableWRRanks32423644[[#This Row],[Player]],WR!B:O,9,FALSE)</f>
        <v>4.0190923097762798</v>
      </c>
      <c r="AN55" s="95">
        <f>VLOOKUP(TableWRRanks32423644[[#This Row],[Player]],WR!B:O,13,FALSE)</f>
        <v>121.76900567298148</v>
      </c>
      <c r="AO55" s="190">
        <f>TableWRRanks32423644[[#This Row],[FPS]]-(TableWRRanks32423644[[#This Row],[REC]]*0.5)</f>
        <v>94.975056941139613</v>
      </c>
      <c r="AQ55" s="58">
        <v>54</v>
      </c>
      <c r="AR55" s="58">
        <f>VLOOKUP(TableTERanks33433745[[#This Row],[RK]],Rankings!A:AZ,48,FALSE)</f>
        <v>0</v>
      </c>
      <c r="AS55" s="58" t="str">
        <f>IFERROR(INDEX(TableTECalcPts[TM],MATCH(TableTERanks33433745[[#This Row],[Player]],TableTECalcPts[PLAYER],0)),"")</f>
        <v/>
      </c>
      <c r="AT55" s="58" t="str">
        <f>IFERROR(INDEX(TableTECalcPts[BYE],MATCH(TableTERanks33433745[[#This Row],[Player]],TableTECalcPts[PLAYER],0)),"")</f>
        <v/>
      </c>
      <c r="AU55" s="100">
        <f>VLOOKUP(TableTERanks33433745[[#This Row],[Player]],TE!B:O,4,FALSE)</f>
        <v>0</v>
      </c>
      <c r="AV55" s="100">
        <f>VLOOKUP(TableTERanks33433745[[#This Row],[Player]],TE!B:O,5,FALSE)</f>
        <v>0</v>
      </c>
      <c r="AW55" s="100">
        <f>VLOOKUP(TableTERanks33433745[[#This Row],[Player]],TE!B:O,6,FALSE)</f>
        <v>0</v>
      </c>
      <c r="AX55" s="100">
        <f>VLOOKUP(TableTERanks33433745[[#This Row],[Player]],TE!B:O,7,FALSE)</f>
        <v>0</v>
      </c>
      <c r="AY55" s="95">
        <f>VLOOKUP(TableTERanks33433745[[#This Row],[Player]],TE!B:O,11,FALSE)</f>
        <v>0</v>
      </c>
      <c r="AZ55" s="190">
        <f>TableTERanks33433745[[#This Row],[FPS]]-(TableTERanks33433745[[#This Row],[REC]]*0.5)</f>
        <v>0</v>
      </c>
    </row>
    <row r="56" spans="1:52" x14ac:dyDescent="0.25">
      <c r="A56" s="58">
        <v>55</v>
      </c>
      <c r="B56" s="58">
        <f>VLOOKUP(TableQBRanks30403438[[#This Row],[RK]],Rankings!A:T,3,FALSE)</f>
        <v>0</v>
      </c>
      <c r="C56" s="58" t="str">
        <f>IFERROR(INDEX(TableQBCalcPts[TM],MATCH(TableQBRanks30403438[[#This Row],[Player]],TableQBCalcPts[PLAYER],0)),"")</f>
        <v/>
      </c>
      <c r="D56" s="58" t="str">
        <f>IFERROR(INDEX(TableQBCalcPts[BYE],MATCH(TableQBRanks30403438[[#This Row],[Player]],TableQBCalcPts[PLAYER],0)),"")</f>
        <v/>
      </c>
      <c r="E56" s="100">
        <f>VLOOKUP(TableQBRanks30403438[[#This Row],[Player]],QB!B:O,4,FALSE)</f>
        <v>0</v>
      </c>
      <c r="F56" s="100">
        <f>VLOOKUP(TableQBRanks30403438[[#This Row],[Player]],QB!B:O,5,FALSE)</f>
        <v>0</v>
      </c>
      <c r="G56" s="100">
        <f>VLOOKUP(TableQBRanks30403438[[#This Row],[Player]],QB!B:O,6,FALSE)</f>
        <v>0</v>
      </c>
      <c r="H56" s="100">
        <f>VLOOKUP(TableQBRanks30403438[[#This Row],[Player]],QB!B:O,7,FALSE)</f>
        <v>0</v>
      </c>
      <c r="I56" s="100">
        <f>VLOOKUP(TableQBRanks30403438[[#This Row],[Player]],QB!B:O,8,FALSE)</f>
        <v>0</v>
      </c>
      <c r="J56" s="100">
        <f>VLOOKUP(TableQBRanks30403438[[#This Row],[Player]],QB!B:O,9,FALSE)</f>
        <v>0</v>
      </c>
      <c r="K56" s="100">
        <f>VLOOKUP(TableQBRanks30403438[[#This Row],[Player]],QB!B:O,10,FALSE)</f>
        <v>0</v>
      </c>
      <c r="L56" s="100">
        <f>VLOOKUP(TableQBRanks30403438[[#This Row],[Player]],QB!B:O,11,FALSE)</f>
        <v>0</v>
      </c>
      <c r="M56" s="95">
        <f>VLOOKUP(TableQBRanks30403438[[#This Row],[Player]],QB!B:O,13,FALSE)</f>
        <v>0</v>
      </c>
      <c r="N56" s="140" t="e">
        <f>IF(VLOOKUP(TableQBRanks30403438[[#This Row],[Player]],'Ranks w Proj'!$B:$N,13,FALSE)&lt;0,0,VLOOKUP(TableQBRanks30403438[[#This Row],[Player]],'Ranks w Proj'!$B:$N,13,FALSE))</f>
        <v>#N/A</v>
      </c>
      <c r="P56" s="58">
        <v>55</v>
      </c>
      <c r="Q56" s="58" t="str">
        <f>VLOOKUP(TableRBRanks31413539[[#This Row],[RK]],Rankings!A:AY,38,FALSE)</f>
        <v>Tyjae Spears</v>
      </c>
      <c r="R56" s="58" t="str">
        <f>IFERROR(INDEX(TableRBCalcPts[TM],MATCH(TableRBRanks31413539[[#This Row],[Player]],TableRBCalcPts[PLAYER],0)),"")</f>
        <v>TEN</v>
      </c>
      <c r="S56" s="58">
        <f>IFERROR(INDEX(TableRBCalcPts[BYE],MATCH(TableRBRanks31413539[[#This Row],[Player]],TableRBCalcPts[PLAYER],0)),"")</f>
        <v>9</v>
      </c>
      <c r="T56" s="100">
        <f>VLOOKUP(TableRBRanks31413539[[#This Row],[Player]],RB!B:O,4,FALSE)</f>
        <v>75.000764160000003</v>
      </c>
      <c r="U56" s="100">
        <f>VLOOKUP(TableRBRanks31413539[[#This Row],[Player]],RB!B:O,5,FALSE)</f>
        <v>303.00308720640004</v>
      </c>
      <c r="V56" s="100">
        <f>VLOOKUP(TableRBRanks31413539[[#This Row],[Player]],RB!B:O,6,FALSE)</f>
        <v>1.80001833984</v>
      </c>
      <c r="W56" s="100">
        <f>VLOOKUP(TableRBRanks31413539[[#This Row],[Player]],RB!B:O,7,FALSE)</f>
        <v>34.602059520000005</v>
      </c>
      <c r="X56" s="100">
        <f>VLOOKUP(TableRBRanks31413539[[#This Row],[Player]],RB!B:O,8,FALSE)</f>
        <v>25.160553700446318</v>
      </c>
      <c r="Y56" s="100">
        <f>VLOOKUP(TableRBRanks31413539[[#This Row],[Player]],RB!B:O,9,FALSE)</f>
        <v>167.82089318197694</v>
      </c>
      <c r="Z56" s="100">
        <f>VLOOKUP(TableRBRanks31413539[[#This Row],[Player]],RB!B:O,10,FALSE)</f>
        <v>0.85545882581517485</v>
      </c>
      <c r="AA56" s="95">
        <f>VLOOKUP(TableRBRanks31413539[[#This Row],[Player]],RB!B:O,14,FALSE)</f>
        <v>75.595537882991906</v>
      </c>
      <c r="AB56" s="190">
        <f>TableRBRanks31413539[[#This Row],[FPS]]-(TableRBRanks31413539[[#This Row],[REC]]*0.5)</f>
        <v>63.015261032768748</v>
      </c>
      <c r="AD56" s="58">
        <v>55</v>
      </c>
      <c r="AE56" s="58" t="str">
        <f>VLOOKUP(TableWRRanks32423644[[#This Row],[RK]],Rankings!A:AZ,43,FALSE)</f>
        <v>Rashid Shaheed</v>
      </c>
      <c r="AF56" s="58" t="str">
        <f>IFERROR(INDEX(TableWRCalcPts[TM],MATCH(TableWRRanks32423644[[#This Row],[Player]],TableWRCalcPts[PLAYER],0)),"")</f>
        <v>SEA</v>
      </c>
      <c r="AG56" s="58">
        <f>IFERROR(INDEX(TableWRCalcPts[BYE],MATCH(TableWRRanks32423644[[#This Row],[Player]],TableWRCalcPts[PLAYER],0)),"")</f>
        <v>11</v>
      </c>
      <c r="AH56" s="100">
        <f>VLOOKUP(TableWRRanks32423644[[#This Row],[Player]],WR!B:O,4,FALSE)</f>
        <v>81.255613363779929</v>
      </c>
      <c r="AI56" s="100">
        <f>VLOOKUP(TableWRRanks32423644[[#This Row],[Player]],WR!B:O,5,FALSE)</f>
        <v>0.40443284197737778</v>
      </c>
      <c r="AJ56" s="100">
        <f>VLOOKUP(TableWRRanks32423644[[#This Row],[Player]],WR!B:O,6,FALSE)</f>
        <v>78.737480640000001</v>
      </c>
      <c r="AK56" s="100">
        <f>VLOOKUP(TableWRRanks32423644[[#This Row],[Player]],WR!B:O,7,FALSE)</f>
        <v>44.4866765616</v>
      </c>
      <c r="AL56" s="100">
        <f>VLOOKUP(TableWRRanks32423644[[#This Row],[Player]],WR!B:O,8,FALSE)</f>
        <v>615.25073684692802</v>
      </c>
      <c r="AM56" s="100">
        <f>VLOOKUP(TableWRRanks32423644[[#This Row],[Player]],WR!B:O,9,FALSE)</f>
        <v>4.1817475967903999</v>
      </c>
      <c r="AN56" s="95">
        <f>VLOOKUP(TableWRRanks32423644[[#This Row],[Player]],WR!B:O,13,FALSE)</f>
        <v>119.41105593447746</v>
      </c>
      <c r="AO56" s="190">
        <f>TableWRRanks32423644[[#This Row],[FPS]]-(TableWRRanks32423644[[#This Row],[REC]]*0.5)</f>
        <v>97.167717653677457</v>
      </c>
      <c r="AQ56" s="58">
        <v>55</v>
      </c>
      <c r="AR56" s="58">
        <f>VLOOKUP(TableTERanks33433745[[#This Row],[RK]],Rankings!A:AZ,48,FALSE)</f>
        <v>0</v>
      </c>
      <c r="AS56" s="58" t="str">
        <f>IFERROR(INDEX(TableTECalcPts[TM],MATCH(TableTERanks33433745[[#This Row],[Player]],TableTECalcPts[PLAYER],0)),"")</f>
        <v/>
      </c>
      <c r="AT56" s="58" t="str">
        <f>IFERROR(INDEX(TableTECalcPts[BYE],MATCH(TableTERanks33433745[[#This Row],[Player]],TableTECalcPts[PLAYER],0)),"")</f>
        <v/>
      </c>
      <c r="AU56" s="100">
        <f>VLOOKUP(TableTERanks33433745[[#This Row],[Player]],TE!B:O,4,FALSE)</f>
        <v>0</v>
      </c>
      <c r="AV56" s="100">
        <f>VLOOKUP(TableTERanks33433745[[#This Row],[Player]],TE!B:O,5,FALSE)</f>
        <v>0</v>
      </c>
      <c r="AW56" s="100">
        <f>VLOOKUP(TableTERanks33433745[[#This Row],[Player]],TE!B:O,6,FALSE)</f>
        <v>0</v>
      </c>
      <c r="AX56" s="100">
        <f>VLOOKUP(TableTERanks33433745[[#This Row],[Player]],TE!B:O,7,FALSE)</f>
        <v>0</v>
      </c>
      <c r="AY56" s="95">
        <f>VLOOKUP(TableTERanks33433745[[#This Row],[Player]],TE!B:O,11,FALSE)</f>
        <v>0</v>
      </c>
      <c r="AZ56" s="190">
        <f>TableTERanks33433745[[#This Row],[FPS]]-(TableTERanks33433745[[#This Row],[REC]]*0.5)</f>
        <v>0</v>
      </c>
    </row>
    <row r="57" spans="1:52" x14ac:dyDescent="0.25">
      <c r="A57" s="58">
        <v>56</v>
      </c>
      <c r="B57" s="58">
        <f>VLOOKUP(TableQBRanks30403438[[#This Row],[RK]],Rankings!A:T,3,FALSE)</f>
        <v>0</v>
      </c>
      <c r="C57" s="58" t="str">
        <f>IFERROR(INDEX(TableQBCalcPts[TM],MATCH(TableQBRanks30403438[[#This Row],[Player]],TableQBCalcPts[PLAYER],0)),"")</f>
        <v/>
      </c>
      <c r="D57" s="58" t="str">
        <f>IFERROR(INDEX(TableQBCalcPts[BYE],MATCH(TableQBRanks30403438[[#This Row],[Player]],TableQBCalcPts[PLAYER],0)),"")</f>
        <v/>
      </c>
      <c r="E57" s="100">
        <f>VLOOKUP(TableQBRanks30403438[[#This Row],[Player]],QB!B:O,4,FALSE)</f>
        <v>0</v>
      </c>
      <c r="F57" s="100">
        <f>VLOOKUP(TableQBRanks30403438[[#This Row],[Player]],QB!B:O,5,FALSE)</f>
        <v>0</v>
      </c>
      <c r="G57" s="100">
        <f>VLOOKUP(TableQBRanks30403438[[#This Row],[Player]],QB!B:O,6,FALSE)</f>
        <v>0</v>
      </c>
      <c r="H57" s="100">
        <f>VLOOKUP(TableQBRanks30403438[[#This Row],[Player]],QB!B:O,7,FALSE)</f>
        <v>0</v>
      </c>
      <c r="I57" s="100">
        <f>VLOOKUP(TableQBRanks30403438[[#This Row],[Player]],QB!B:O,8,FALSE)</f>
        <v>0</v>
      </c>
      <c r="J57" s="100">
        <f>VLOOKUP(TableQBRanks30403438[[#This Row],[Player]],QB!B:O,9,FALSE)</f>
        <v>0</v>
      </c>
      <c r="K57" s="100">
        <f>VLOOKUP(TableQBRanks30403438[[#This Row],[Player]],QB!B:O,10,FALSE)</f>
        <v>0</v>
      </c>
      <c r="L57" s="100">
        <f>VLOOKUP(TableQBRanks30403438[[#This Row],[Player]],QB!B:O,11,FALSE)</f>
        <v>0</v>
      </c>
      <c r="M57" s="95">
        <f>VLOOKUP(TableQBRanks30403438[[#This Row],[Player]],QB!B:O,13,FALSE)</f>
        <v>0</v>
      </c>
      <c r="N57" s="140" t="e">
        <f>IF(VLOOKUP(TableQBRanks30403438[[#This Row],[Player]],'Ranks w Proj'!$B:$N,13,FALSE)&lt;0,0,VLOOKUP(TableQBRanks30403438[[#This Row],[Player]],'Ranks w Proj'!$B:$N,13,FALSE))</f>
        <v>#N/A</v>
      </c>
      <c r="P57" s="58">
        <v>56</v>
      </c>
      <c r="Q57" s="58" t="str">
        <f>VLOOKUP(TableRBRanks31413539[[#This Row],[RK]],Rankings!A:AY,38,FALSE)</f>
        <v>Justice Hill</v>
      </c>
      <c r="R57" s="58" t="str">
        <f>IFERROR(INDEX(TableRBCalcPts[TM],MATCH(TableRBRanks31413539[[#This Row],[Player]],TableRBCalcPts[PLAYER],0)),"")</f>
        <v>BAL</v>
      </c>
      <c r="S57" s="58">
        <f>IFERROR(INDEX(TableRBCalcPts[BYE],MATCH(TableRBRanks31413539[[#This Row],[Player]],TableRBCalcPts[PLAYER],0)),"")</f>
        <v>13</v>
      </c>
      <c r="T57" s="100">
        <f>VLOOKUP(TableRBRanks31413539[[#This Row],[Player]],RB!B:O,4,FALSE)</f>
        <v>39.288948859551994</v>
      </c>
      <c r="U57" s="100">
        <f>VLOOKUP(TableRBRanks31413539[[#This Row],[Player]],RB!B:O,5,FALSE)</f>
        <v>189.68282377937382</v>
      </c>
      <c r="V57" s="100">
        <f>VLOOKUP(TableRBRanks31413539[[#This Row],[Player]],RB!B:O,6,FALSE)</f>
        <v>1.4480090584472696</v>
      </c>
      <c r="W57" s="100">
        <f>VLOOKUP(TableRBRanks31413539[[#This Row],[Player]],RB!B:O,7,FALSE)</f>
        <v>47.936017919999991</v>
      </c>
      <c r="X57" s="100">
        <f>VLOOKUP(TableRBRanks31413539[[#This Row],[Player]],RB!B:O,8,FALSE)</f>
        <v>38.38817232966062</v>
      </c>
      <c r="Y57" s="100">
        <f>VLOOKUP(TableRBRanks31413539[[#This Row],[Player]],RB!B:O,9,FALSE)</f>
        <v>328.26147760575321</v>
      </c>
      <c r="Z57" s="100">
        <f>VLOOKUP(TableRBRanks31413539[[#This Row],[Player]],RB!B:O,10,FALSE)</f>
        <v>2.1497376504609949</v>
      </c>
      <c r="AA57" s="95">
        <f>VLOOKUP(TableRBRanks31413539[[#This Row],[Player]],RB!B:O,14,FALSE)</f>
        <v>92.574996556792598</v>
      </c>
      <c r="AB57" s="190">
        <f>TableRBRanks31413539[[#This Row],[FPS]]-(TableRBRanks31413539[[#This Row],[REC]]*0.5)</f>
        <v>73.380910391962288</v>
      </c>
      <c r="AD57" s="58">
        <v>56</v>
      </c>
      <c r="AE57" s="58" t="str">
        <f>VLOOKUP(TableWRRanks32423644[[#This Row],[RK]],Rankings!A:AZ,43,FALSE)</f>
        <v>Rashod Bateman</v>
      </c>
      <c r="AF57" s="58" t="str">
        <f>IFERROR(INDEX(TableWRCalcPts[TM],MATCH(TableWRRanks32423644[[#This Row],[Player]],TableWRCalcPts[PLAYER],0)),"")</f>
        <v>BAL</v>
      </c>
      <c r="AG57" s="58">
        <f>IFERROR(INDEX(TableWRCalcPts[BYE],MATCH(TableWRRanks32423644[[#This Row],[Player]],TableWRCalcPts[PLAYER],0)),"")</f>
        <v>13</v>
      </c>
      <c r="AH57" s="100">
        <f>VLOOKUP(TableWRRanks32423644[[#This Row],[Player]],WR!B:O,4,FALSE)</f>
        <v>0</v>
      </c>
      <c r="AI57" s="100">
        <f>VLOOKUP(TableWRRanks32423644[[#This Row],[Player]],WR!B:O,5,FALSE)</f>
        <v>0</v>
      </c>
      <c r="AJ57" s="100">
        <f>VLOOKUP(TableWRRanks32423644[[#This Row],[Player]],WR!B:O,6,FALSE)</f>
        <v>53.105588480000002</v>
      </c>
      <c r="AK57" s="100">
        <f>VLOOKUP(TableWRRanks32423644[[#This Row],[Player]],WR!B:O,7,FALSE)</f>
        <v>33.116430408093741</v>
      </c>
      <c r="AL57" s="100">
        <f>VLOOKUP(TableWRRanks32423644[[#This Row],[Player]],WR!B:O,8,FALSE)</f>
        <v>480.18824091735922</v>
      </c>
      <c r="AM57" s="100">
        <f>VLOOKUP(TableWRRanks32423644[[#This Row],[Player]],WR!B:O,9,FALSE)</f>
        <v>3.9408552185631551</v>
      </c>
      <c r="AN57" s="95">
        <f>VLOOKUP(TableWRRanks32423644[[#This Row],[Player]],WR!B:O,13,FALSE)</f>
        <v>88.222170607161729</v>
      </c>
      <c r="AO57" s="190">
        <f>TableWRRanks32423644[[#This Row],[FPS]]-(TableWRRanks32423644[[#This Row],[REC]]*0.5)</f>
        <v>71.663955403114855</v>
      </c>
      <c r="AQ57" s="58">
        <v>56</v>
      </c>
      <c r="AR57" s="58">
        <f>VLOOKUP(TableTERanks33433745[[#This Row],[RK]],Rankings!A:AZ,48,FALSE)</f>
        <v>0</v>
      </c>
      <c r="AS57" s="58" t="str">
        <f>IFERROR(INDEX(TableTECalcPts[TM],MATCH(TableTERanks33433745[[#This Row],[Player]],TableTECalcPts[PLAYER],0)),"")</f>
        <v/>
      </c>
      <c r="AT57" s="58" t="str">
        <f>IFERROR(INDEX(TableTECalcPts[BYE],MATCH(TableTERanks33433745[[#This Row],[Player]],TableTECalcPts[PLAYER],0)),"")</f>
        <v/>
      </c>
      <c r="AU57" s="100">
        <f>VLOOKUP(TableTERanks33433745[[#This Row],[Player]],TE!B:O,4,FALSE)</f>
        <v>0</v>
      </c>
      <c r="AV57" s="100">
        <f>VLOOKUP(TableTERanks33433745[[#This Row],[Player]],TE!B:O,5,FALSE)</f>
        <v>0</v>
      </c>
      <c r="AW57" s="100">
        <f>VLOOKUP(TableTERanks33433745[[#This Row],[Player]],TE!B:O,6,FALSE)</f>
        <v>0</v>
      </c>
      <c r="AX57" s="100">
        <f>VLOOKUP(TableTERanks33433745[[#This Row],[Player]],TE!B:O,7,FALSE)</f>
        <v>0</v>
      </c>
      <c r="AY57" s="95">
        <f>VLOOKUP(TableTERanks33433745[[#This Row],[Player]],TE!B:O,11,FALSE)</f>
        <v>0</v>
      </c>
      <c r="AZ57" s="190">
        <f>TableTERanks33433745[[#This Row],[FPS]]-(TableTERanks33433745[[#This Row],[REC]]*0.5)</f>
        <v>0</v>
      </c>
    </row>
    <row r="58" spans="1:52" x14ac:dyDescent="0.25">
      <c r="A58" s="58">
        <v>57</v>
      </c>
      <c r="B58" s="58">
        <f>VLOOKUP(TableQBRanks30403438[[#This Row],[RK]],Rankings!A:T,3,FALSE)</f>
        <v>0</v>
      </c>
      <c r="C58" s="58" t="str">
        <f>IFERROR(INDEX(TableQBCalcPts[TM],MATCH(TableQBRanks30403438[[#This Row],[Player]],TableQBCalcPts[PLAYER],0)),"")</f>
        <v/>
      </c>
      <c r="D58" s="58" t="str">
        <f>IFERROR(INDEX(TableQBCalcPts[BYE],MATCH(TableQBRanks30403438[[#This Row],[Player]],TableQBCalcPts[PLAYER],0)),"")</f>
        <v/>
      </c>
      <c r="E58" s="100">
        <f>VLOOKUP(TableQBRanks30403438[[#This Row],[Player]],QB!B:O,4,FALSE)</f>
        <v>0</v>
      </c>
      <c r="F58" s="100">
        <f>VLOOKUP(TableQBRanks30403438[[#This Row],[Player]],QB!B:O,5,FALSE)</f>
        <v>0</v>
      </c>
      <c r="G58" s="100">
        <f>VLOOKUP(TableQBRanks30403438[[#This Row],[Player]],QB!B:O,6,FALSE)</f>
        <v>0</v>
      </c>
      <c r="H58" s="100">
        <f>VLOOKUP(TableQBRanks30403438[[#This Row],[Player]],QB!B:O,7,FALSE)</f>
        <v>0</v>
      </c>
      <c r="I58" s="100">
        <f>VLOOKUP(TableQBRanks30403438[[#This Row],[Player]],QB!B:O,8,FALSE)</f>
        <v>0</v>
      </c>
      <c r="J58" s="100">
        <f>VLOOKUP(TableQBRanks30403438[[#This Row],[Player]],QB!B:O,9,FALSE)</f>
        <v>0</v>
      </c>
      <c r="K58" s="100">
        <f>VLOOKUP(TableQBRanks30403438[[#This Row],[Player]],QB!B:O,10,FALSE)</f>
        <v>0</v>
      </c>
      <c r="L58" s="100">
        <f>VLOOKUP(TableQBRanks30403438[[#This Row],[Player]],QB!B:O,11,FALSE)</f>
        <v>0</v>
      </c>
      <c r="M58" s="95">
        <f>VLOOKUP(TableQBRanks30403438[[#This Row],[Player]],QB!B:O,13,FALSE)</f>
        <v>0</v>
      </c>
      <c r="N58" s="140" t="e">
        <f>IF(VLOOKUP(TableQBRanks30403438[[#This Row],[Player]],'Ranks w Proj'!$B:$N,13,FALSE)&lt;0,0,VLOOKUP(TableQBRanks30403438[[#This Row],[Player]],'Ranks w Proj'!$B:$N,13,FALSE))</f>
        <v>#N/A</v>
      </c>
      <c r="P58" s="58">
        <v>57</v>
      </c>
      <c r="Q58" s="58" t="str">
        <f>VLOOKUP(TableRBRanks31413539[[#This Row],[RK]],Rankings!A:AY,38,FALSE)</f>
        <v>Woody Marks</v>
      </c>
      <c r="R58" s="58" t="str">
        <f>IFERROR(INDEX(TableRBCalcPts[TM],MATCH(TableRBRanks31413539[[#This Row],[Player]],TableRBCalcPts[PLAYER],0)),"")</f>
        <v>HOU</v>
      </c>
      <c r="S58" s="58">
        <f>IFERROR(INDEX(TableRBCalcPts[BYE],MATCH(TableRBRanks31413539[[#This Row],[Player]],TableRBCalcPts[PLAYER],0)),"")</f>
        <v>8</v>
      </c>
      <c r="T58" s="100">
        <f>VLOOKUP(TableRBRanks31413539[[#This Row],[Player]],RB!B:O,4,FALSE)</f>
        <v>111.99860224000001</v>
      </c>
      <c r="U58" s="100">
        <f>VLOOKUP(TableRBRanks31413539[[#This Row],[Player]],RB!B:O,5,FALSE)</f>
        <v>434.55457669120005</v>
      </c>
      <c r="V58" s="100">
        <f>VLOOKUP(TableRBRanks31413539[[#This Row],[Player]],RB!B:O,6,FALSE)</f>
        <v>3.2479594649600005</v>
      </c>
      <c r="W58" s="100">
        <f>VLOOKUP(TableRBRanks31413539[[#This Row],[Player]],RB!B:O,7,FALSE)</f>
        <v>32.081585759999996</v>
      </c>
      <c r="X58" s="100">
        <f>VLOOKUP(TableRBRanks31413539[[#This Row],[Player]],RB!B:O,8,FALSE)</f>
        <v>22.427235116159999</v>
      </c>
      <c r="Y58" s="100">
        <f>VLOOKUP(TableRBRanks31413539[[#This Row],[Player]],RB!B:O,9,FALSE)</f>
        <v>165.96153985958401</v>
      </c>
      <c r="Z58" s="100">
        <f>VLOOKUP(TableRBRanks31413539[[#This Row],[Player]],RB!B:O,10,FALSE)</f>
        <v>0.71767152371711995</v>
      </c>
      <c r="AA58" s="95">
        <f>VLOOKUP(TableRBRanks31413539[[#This Row],[Player]],RB!B:O,14,FALSE)</f>
        <v>95.059015145221139</v>
      </c>
      <c r="AB58" s="190">
        <f>TableRBRanks31413539[[#This Row],[FPS]]-(TableRBRanks31413539[[#This Row],[REC]]*0.5)</f>
        <v>83.845397587141136</v>
      </c>
      <c r="AD58" s="58">
        <v>57</v>
      </c>
      <c r="AE58" s="58" t="str">
        <f>VLOOKUP(TableWRRanks32423644[[#This Row],[RK]],Rankings!A:AZ,43,FALSE)</f>
        <v>Adonai Mitchell</v>
      </c>
      <c r="AF58" s="58" t="str">
        <f>IFERROR(INDEX(TableWRCalcPts[TM],MATCH(TableWRRanks32423644[[#This Row],[Player]],TableWRCalcPts[PLAYER],0)),"")</f>
        <v>NYJ</v>
      </c>
      <c r="AG58" s="58">
        <f>IFERROR(INDEX(TableWRCalcPts[BYE],MATCH(TableWRRanks32423644[[#This Row],[Player]],TableWRCalcPts[PLAYER],0)),"")</f>
        <v>13</v>
      </c>
      <c r="AH58" s="100">
        <f>VLOOKUP(TableWRRanks32423644[[#This Row],[Player]],WR!B:O,4,FALSE)</f>
        <v>0</v>
      </c>
      <c r="AI58" s="100">
        <f>VLOOKUP(TableWRRanks32423644[[#This Row],[Player]],WR!B:O,5,FALSE)</f>
        <v>0</v>
      </c>
      <c r="AJ58" s="100">
        <f>VLOOKUP(TableWRRanks32423644[[#This Row],[Player]],WR!B:O,6,FALSE)</f>
        <v>73.621647963709975</v>
      </c>
      <c r="AK58" s="100">
        <f>VLOOKUP(TableWRRanks32423644[[#This Row],[Player]],WR!B:O,7,FALSE)</f>
        <v>46.052929941825305</v>
      </c>
      <c r="AL58" s="100">
        <f>VLOOKUP(TableWRRanks32423644[[#This Row],[Player]],WR!B:O,8,FALSE)</f>
        <v>592.50297024416</v>
      </c>
      <c r="AM58" s="100">
        <f>VLOOKUP(TableWRRanks32423644[[#This Row],[Player]],WR!B:O,9,FALSE)</f>
        <v>3.2697580258695962</v>
      </c>
      <c r="AN58" s="95">
        <f>VLOOKUP(TableWRRanks32423644[[#This Row],[Player]],WR!B:O,13,FALSE)</f>
        <v>101.89531015054624</v>
      </c>
      <c r="AO58" s="190">
        <f>TableWRRanks32423644[[#This Row],[FPS]]-(TableWRRanks32423644[[#This Row],[REC]]*0.5)</f>
        <v>78.868845179633581</v>
      </c>
      <c r="AQ58" s="58">
        <v>57</v>
      </c>
      <c r="AR58" s="58">
        <f>VLOOKUP(TableTERanks33433745[[#This Row],[RK]],Rankings!A:AZ,48,FALSE)</f>
        <v>0</v>
      </c>
      <c r="AS58" s="58" t="str">
        <f>IFERROR(INDEX(TableTECalcPts[TM],MATCH(TableTERanks33433745[[#This Row],[Player]],TableTECalcPts[PLAYER],0)),"")</f>
        <v/>
      </c>
      <c r="AT58" s="58" t="str">
        <f>IFERROR(INDEX(TableTECalcPts[BYE],MATCH(TableTERanks33433745[[#This Row],[Player]],TableTECalcPts[PLAYER],0)),"")</f>
        <v/>
      </c>
      <c r="AU58" s="100">
        <f>VLOOKUP(TableTERanks33433745[[#This Row],[Player]],TE!B:O,4,FALSE)</f>
        <v>0</v>
      </c>
      <c r="AV58" s="100">
        <f>VLOOKUP(TableTERanks33433745[[#This Row],[Player]],TE!B:O,5,FALSE)</f>
        <v>0</v>
      </c>
      <c r="AW58" s="100">
        <f>VLOOKUP(TableTERanks33433745[[#This Row],[Player]],TE!B:O,6,FALSE)</f>
        <v>0</v>
      </c>
      <c r="AX58" s="100">
        <f>VLOOKUP(TableTERanks33433745[[#This Row],[Player]],TE!B:O,7,FALSE)</f>
        <v>0</v>
      </c>
      <c r="AY58" s="95">
        <f>VLOOKUP(TableTERanks33433745[[#This Row],[Player]],TE!B:O,11,FALSE)</f>
        <v>0</v>
      </c>
      <c r="AZ58" s="190">
        <f>TableTERanks33433745[[#This Row],[FPS]]-(TableTERanks33433745[[#This Row],[REC]]*0.5)</f>
        <v>0</v>
      </c>
    </row>
    <row r="59" spans="1:52" x14ac:dyDescent="0.25">
      <c r="A59" s="58">
        <v>58</v>
      </c>
      <c r="B59" s="58">
        <f>VLOOKUP(TableQBRanks30403438[[#This Row],[RK]],Rankings!A:T,3,FALSE)</f>
        <v>0</v>
      </c>
      <c r="C59" s="58" t="str">
        <f>IFERROR(INDEX(TableQBCalcPts[TM],MATCH(TableQBRanks30403438[[#This Row],[Player]],TableQBCalcPts[PLAYER],0)),"")</f>
        <v/>
      </c>
      <c r="D59" s="58" t="str">
        <f>IFERROR(INDEX(TableQBCalcPts[BYE],MATCH(TableQBRanks30403438[[#This Row],[Player]],TableQBCalcPts[PLAYER],0)),"")</f>
        <v/>
      </c>
      <c r="E59" s="100">
        <f>VLOOKUP(TableQBRanks30403438[[#This Row],[Player]],QB!B:O,4,FALSE)</f>
        <v>0</v>
      </c>
      <c r="F59" s="100">
        <f>VLOOKUP(TableQBRanks30403438[[#This Row],[Player]],QB!B:O,5,FALSE)</f>
        <v>0</v>
      </c>
      <c r="G59" s="100">
        <f>VLOOKUP(TableQBRanks30403438[[#This Row],[Player]],QB!B:O,6,FALSE)</f>
        <v>0</v>
      </c>
      <c r="H59" s="100">
        <f>VLOOKUP(TableQBRanks30403438[[#This Row],[Player]],QB!B:O,7,FALSE)</f>
        <v>0</v>
      </c>
      <c r="I59" s="100">
        <f>VLOOKUP(TableQBRanks30403438[[#This Row],[Player]],QB!B:O,8,FALSE)</f>
        <v>0</v>
      </c>
      <c r="J59" s="100">
        <f>VLOOKUP(TableQBRanks30403438[[#This Row],[Player]],QB!B:O,9,FALSE)</f>
        <v>0</v>
      </c>
      <c r="K59" s="100">
        <f>VLOOKUP(TableQBRanks30403438[[#This Row],[Player]],QB!B:O,10,FALSE)</f>
        <v>0</v>
      </c>
      <c r="L59" s="100">
        <f>VLOOKUP(TableQBRanks30403438[[#This Row],[Player]],QB!B:O,11,FALSE)</f>
        <v>0</v>
      </c>
      <c r="M59" s="95">
        <f>VLOOKUP(TableQBRanks30403438[[#This Row],[Player]],QB!B:O,13,FALSE)</f>
        <v>0</v>
      </c>
      <c r="N59" s="140" t="e">
        <f>IF(VLOOKUP(TableQBRanks30403438[[#This Row],[Player]],'Ranks w Proj'!$B:$N,13,FALSE)&lt;0,0,VLOOKUP(TableQBRanks30403438[[#This Row],[Player]],'Ranks w Proj'!$B:$N,13,FALSE))</f>
        <v>#N/A</v>
      </c>
      <c r="P59" s="58">
        <v>58</v>
      </c>
      <c r="Q59" s="58" t="str">
        <f>VLOOKUP(TableRBRanks31413539[[#This Row],[RK]],Rankings!A:AY,38,FALSE)</f>
        <v>MarShawn Lloyd</v>
      </c>
      <c r="R59" s="58" t="str">
        <f>IFERROR(INDEX(TableRBCalcPts[TM],MATCH(TableRBRanks31413539[[#This Row],[Player]],TableRBCalcPts[PLAYER],0)),"")</f>
        <v>GB</v>
      </c>
      <c r="S59" s="58">
        <f>IFERROR(INDEX(TableRBCalcPts[BYE],MATCH(TableRBRanks31413539[[#This Row],[Player]],TableRBCalcPts[PLAYER],0)),"")</f>
        <v>11</v>
      </c>
      <c r="T59" s="100">
        <f>VLOOKUP(TableRBRanks31413539[[#This Row],[Player]],RB!B:O,4,FALSE)</f>
        <v>101.3964252</v>
      </c>
      <c r="U59" s="100">
        <f>VLOOKUP(TableRBRanks31413539[[#This Row],[Player]],RB!B:O,5,FALSE)</f>
        <v>415.49452903946116</v>
      </c>
      <c r="V59" s="100">
        <f>VLOOKUP(TableRBRanks31413539[[#This Row],[Player]],RB!B:O,6,FALSE)</f>
        <v>3.2446856064</v>
      </c>
      <c r="W59" s="100">
        <f>VLOOKUP(TableRBRanks31413539[[#This Row],[Player]],RB!B:O,7,FALSE)</f>
        <v>10.95732976884422</v>
      </c>
      <c r="X59" s="100">
        <f>VLOOKUP(TableRBRanks31413539[[#This Row],[Player]],RB!B:O,8,FALSE)</f>
        <v>7.0160391250452259</v>
      </c>
      <c r="Y59" s="100">
        <f>VLOOKUP(TableRBRanks31413539[[#This Row],[Player]],RB!B:O,9,FALSE)</f>
        <v>49.793454542613063</v>
      </c>
      <c r="Z59" s="100">
        <f>VLOOKUP(TableRBRanks31413539[[#This Row],[Player]],RB!B:O,10,FALSE)</f>
        <v>0.26660948675171858</v>
      </c>
      <c r="AA59" s="95">
        <f>VLOOKUP(TableRBRanks31413539[[#This Row],[Player]],RB!B:O,14,FALSE)</f>
        <v>71.104588479640356</v>
      </c>
      <c r="AB59" s="190">
        <f>TableRBRanks31413539[[#This Row],[FPS]]-(TableRBRanks31413539[[#This Row],[REC]]*0.5)</f>
        <v>67.596568917117736</v>
      </c>
      <c r="AD59" s="58">
        <v>58</v>
      </c>
      <c r="AE59" s="58" t="str">
        <f>VLOOKUP(TableWRRanks32423644[[#This Row],[RK]],Rankings!A:AZ,43,FALSE)</f>
        <v>Jalen McMillan</v>
      </c>
      <c r="AF59" s="58" t="str">
        <f>IFERROR(INDEX(TableWRCalcPts[TM],MATCH(TableWRRanks32423644[[#This Row],[Player]],TableWRCalcPts[PLAYER],0)),"")</f>
        <v>TB</v>
      </c>
      <c r="AG59" s="58">
        <f>IFERROR(INDEX(TableWRCalcPts[BYE],MATCH(TableWRRanks32423644[[#This Row],[Player]],TableWRCalcPts[PLAYER],0)),"")</f>
        <v>10</v>
      </c>
      <c r="AH59" s="100">
        <f>VLOOKUP(TableWRRanks32423644[[#This Row],[Player]],WR!B:O,4,FALSE)</f>
        <v>29.607464774999997</v>
      </c>
      <c r="AI59" s="100">
        <f>VLOOKUP(TableWRRanks32423644[[#This Row],[Player]],WR!B:O,5,FALSE)</f>
        <v>5.8053852499999996E-2</v>
      </c>
      <c r="AJ59" s="100">
        <f>VLOOKUP(TableWRRanks32423644[[#This Row],[Player]],WR!B:O,6,FALSE)</f>
        <v>72.289622579999971</v>
      </c>
      <c r="AK59" s="100">
        <f>VLOOKUP(TableWRRanks32423644[[#This Row],[Player]],WR!B:O,7,FALSE)</f>
        <v>44.747276377019979</v>
      </c>
      <c r="AL59" s="100">
        <f>VLOOKUP(TableWRRanks32423644[[#This Row],[Player]],WR!B:O,8,FALSE)</f>
        <v>587.97921159404257</v>
      </c>
      <c r="AM59" s="100">
        <f>VLOOKUP(TableWRRanks32423644[[#This Row],[Player]],WR!B:O,9,FALSE)</f>
        <v>3.9377603211777581</v>
      </c>
      <c r="AN59" s="95">
        <f>VLOOKUP(TableWRRanks32423644[[#This Row],[Player]],WR!B:O,13,FALSE)</f>
        <v>108.1071908674808</v>
      </c>
      <c r="AO59" s="190">
        <f>TableWRRanks32423644[[#This Row],[FPS]]-(TableWRRanks32423644[[#This Row],[REC]]*0.5)</f>
        <v>85.73355267897081</v>
      </c>
      <c r="AQ59" s="58">
        <v>58</v>
      </c>
      <c r="AR59" s="58">
        <f>VLOOKUP(TableTERanks33433745[[#This Row],[RK]],Rankings!A:AZ,48,FALSE)</f>
        <v>0</v>
      </c>
      <c r="AS59" s="58" t="str">
        <f>IFERROR(INDEX(TableTECalcPts[TM],MATCH(TableTERanks33433745[[#This Row],[Player]],TableTECalcPts[PLAYER],0)),"")</f>
        <v/>
      </c>
      <c r="AT59" s="58" t="str">
        <f>IFERROR(INDEX(TableTECalcPts[BYE],MATCH(TableTERanks33433745[[#This Row],[Player]],TableTECalcPts[PLAYER],0)),"")</f>
        <v/>
      </c>
      <c r="AU59" s="100">
        <f>VLOOKUP(TableTERanks33433745[[#This Row],[Player]],TE!B:O,4,FALSE)</f>
        <v>0</v>
      </c>
      <c r="AV59" s="100">
        <f>VLOOKUP(TableTERanks33433745[[#This Row],[Player]],TE!B:O,5,FALSE)</f>
        <v>0</v>
      </c>
      <c r="AW59" s="100">
        <f>VLOOKUP(TableTERanks33433745[[#This Row],[Player]],TE!B:O,6,FALSE)</f>
        <v>0</v>
      </c>
      <c r="AX59" s="100">
        <f>VLOOKUP(TableTERanks33433745[[#This Row],[Player]],TE!B:O,7,FALSE)</f>
        <v>0</v>
      </c>
      <c r="AY59" s="95">
        <f>VLOOKUP(TableTERanks33433745[[#This Row],[Player]],TE!B:O,11,FALSE)</f>
        <v>0</v>
      </c>
      <c r="AZ59" s="190">
        <f>TableTERanks33433745[[#This Row],[FPS]]-(TableTERanks33433745[[#This Row],[REC]]*0.5)</f>
        <v>0</v>
      </c>
    </row>
    <row r="60" spans="1:52" x14ac:dyDescent="0.25">
      <c r="A60" s="58">
        <v>59</v>
      </c>
      <c r="B60" s="58">
        <f>VLOOKUP(TableQBRanks30403438[[#This Row],[RK]],Rankings!A:T,3,FALSE)</f>
        <v>0</v>
      </c>
      <c r="C60" s="58" t="str">
        <f>IFERROR(INDEX(TableQBCalcPts[TM],MATCH(TableQBRanks30403438[[#This Row],[Player]],TableQBCalcPts[PLAYER],0)),"")</f>
        <v/>
      </c>
      <c r="D60" s="58" t="str">
        <f>IFERROR(INDEX(TableQBCalcPts[BYE],MATCH(TableQBRanks30403438[[#This Row],[Player]],TableQBCalcPts[PLAYER],0)),"")</f>
        <v/>
      </c>
      <c r="E60" s="100">
        <f>VLOOKUP(TableQBRanks30403438[[#This Row],[Player]],QB!B:O,4,FALSE)</f>
        <v>0</v>
      </c>
      <c r="F60" s="100">
        <f>VLOOKUP(TableQBRanks30403438[[#This Row],[Player]],QB!B:O,5,FALSE)</f>
        <v>0</v>
      </c>
      <c r="G60" s="100">
        <f>VLOOKUP(TableQBRanks30403438[[#This Row],[Player]],QB!B:O,6,FALSE)</f>
        <v>0</v>
      </c>
      <c r="H60" s="100">
        <f>VLOOKUP(TableQBRanks30403438[[#This Row],[Player]],QB!B:O,7,FALSE)</f>
        <v>0</v>
      </c>
      <c r="I60" s="100">
        <f>VLOOKUP(TableQBRanks30403438[[#This Row],[Player]],QB!B:O,8,FALSE)</f>
        <v>0</v>
      </c>
      <c r="J60" s="100">
        <f>VLOOKUP(TableQBRanks30403438[[#This Row],[Player]],QB!B:O,9,FALSE)</f>
        <v>0</v>
      </c>
      <c r="K60" s="100">
        <f>VLOOKUP(TableQBRanks30403438[[#This Row],[Player]],QB!B:O,10,FALSE)</f>
        <v>0</v>
      </c>
      <c r="L60" s="100">
        <f>VLOOKUP(TableQBRanks30403438[[#This Row],[Player]],QB!B:O,11,FALSE)</f>
        <v>0</v>
      </c>
      <c r="M60" s="95">
        <f>VLOOKUP(TableQBRanks30403438[[#This Row],[Player]],QB!B:O,13,FALSE)</f>
        <v>0</v>
      </c>
      <c r="N60" s="140" t="e">
        <f>IF(VLOOKUP(TableQBRanks30403438[[#This Row],[Player]],'Ranks w Proj'!$B:$N,13,FALSE)&lt;0,0,VLOOKUP(TableQBRanks30403438[[#This Row],[Player]],'Ranks w Proj'!$B:$N,13,FALSE))</f>
        <v>#N/A</v>
      </c>
      <c r="P60" s="58">
        <v>59</v>
      </c>
      <c r="Q60" s="58" t="str">
        <f>VLOOKUP(TableRBRanks31413539[[#This Row],[RK]],Rankings!A:AY,38,FALSE)</f>
        <v>Ty Johnson</v>
      </c>
      <c r="R60" s="58" t="str">
        <f>IFERROR(INDEX(TableRBCalcPts[TM],MATCH(TableRBRanks31413539[[#This Row],[Player]],TableRBCalcPts[PLAYER],0)),"")</f>
        <v>BUF</v>
      </c>
      <c r="S60" s="58">
        <f>IFERROR(INDEX(TableRBCalcPts[BYE],MATCH(TableRBRanks31413539[[#This Row],[Player]],TableRBCalcPts[PLAYER],0)),"")</f>
        <v>7</v>
      </c>
      <c r="T60" s="100">
        <f>VLOOKUP(TableRBRanks31413539[[#This Row],[Player]],RB!B:O,4,FALSE)</f>
        <v>58.341301199999997</v>
      </c>
      <c r="U60" s="100">
        <f>VLOOKUP(TableRBRanks31413539[[#This Row],[Player]],RB!B:O,5,FALSE)</f>
        <v>244.64132636834495</v>
      </c>
      <c r="V60" s="100">
        <f>VLOOKUP(TableRBRanks31413539[[#This Row],[Player]],RB!B:O,6,FALSE)</f>
        <v>2.0585638140148612</v>
      </c>
      <c r="W60" s="100">
        <f>VLOOKUP(TableRBRanks31413539[[#This Row],[Player]],RB!B:O,7,FALSE)</f>
        <v>28.091601999999988</v>
      </c>
      <c r="X60" s="100">
        <f>VLOOKUP(TableRBRanks31413539[[#This Row],[Player]],RB!B:O,8,FALSE)</f>
        <v>22.330148199333323</v>
      </c>
      <c r="Y60" s="100">
        <f>VLOOKUP(TableRBRanks31413539[[#This Row],[Player]],RB!B:O,9,FALSE)</f>
        <v>195.16549526217324</v>
      </c>
      <c r="Z60" s="100">
        <f>VLOOKUP(TableRBRanks31413539[[#This Row],[Player]],RB!B:O,10,FALSE)</f>
        <v>1.4610977278333328</v>
      </c>
      <c r="AA60" s="95">
        <f>VLOOKUP(TableRBRanks31413539[[#This Row],[Player]],RB!B:O,14,FALSE)</f>
        <v>76.263725513807657</v>
      </c>
      <c r="AB60" s="190">
        <f>TableRBRanks31413539[[#This Row],[FPS]]-(TableRBRanks31413539[[#This Row],[REC]]*0.5)</f>
        <v>65.098651414140988</v>
      </c>
      <c r="AD60" s="58">
        <v>59</v>
      </c>
      <c r="AE60" s="58" t="str">
        <f>VLOOKUP(TableWRRanks32423644[[#This Row],[RK]],Rankings!A:AZ,43,FALSE)</f>
        <v>Tyquan Thornton</v>
      </c>
      <c r="AF60" s="58" t="str">
        <f>IFERROR(INDEX(TableWRCalcPts[TM],MATCH(TableWRRanks32423644[[#This Row],[Player]],TableWRCalcPts[PLAYER],0)),"")</f>
        <v>KC</v>
      </c>
      <c r="AG60" s="58">
        <f>IFERROR(INDEX(TableWRCalcPts[BYE],MATCH(TableWRRanks32423644[[#This Row],[Player]],TableWRCalcPts[PLAYER],0)),"")</f>
        <v>5</v>
      </c>
      <c r="AH60" s="100">
        <f>VLOOKUP(TableWRRanks32423644[[#This Row],[Player]],WR!B:O,4,FALSE)</f>
        <v>0</v>
      </c>
      <c r="AI60" s="100">
        <f>VLOOKUP(TableWRRanks32423644[[#This Row],[Player]],WR!B:O,5,FALSE)</f>
        <v>0</v>
      </c>
      <c r="AJ60" s="100">
        <f>VLOOKUP(TableWRRanks32423644[[#This Row],[Player]],WR!B:O,6,FALSE)</f>
        <v>63.231462000000001</v>
      </c>
      <c r="AK60" s="100">
        <f>VLOOKUP(TableWRRanks32423644[[#This Row],[Player]],WR!B:O,7,FALSE)</f>
        <v>35.599313105999997</v>
      </c>
      <c r="AL60" s="100">
        <f>VLOOKUP(TableWRRanks32423644[[#This Row],[Player]],WR!B:O,8,FALSE)</f>
        <v>594.29453017048206</v>
      </c>
      <c r="AM60" s="100">
        <f>VLOOKUP(TableWRRanks32423644[[#This Row],[Player]],WR!B:O,9,FALSE)</f>
        <v>4.6991093299919999</v>
      </c>
      <c r="AN60" s="95">
        <f>VLOOKUP(TableWRRanks32423644[[#This Row],[Player]],WR!B:O,13,FALSE)</f>
        <v>105.42376555000021</v>
      </c>
      <c r="AO60" s="190">
        <f>TableWRRanks32423644[[#This Row],[FPS]]-(TableWRRanks32423644[[#This Row],[REC]]*0.5)</f>
        <v>87.624108997000207</v>
      </c>
      <c r="AQ60" s="58">
        <v>59</v>
      </c>
      <c r="AR60" s="58">
        <f>VLOOKUP(TableTERanks33433745[[#This Row],[RK]],Rankings!A:AZ,48,FALSE)</f>
        <v>0</v>
      </c>
      <c r="AS60" s="58" t="str">
        <f>IFERROR(INDEX(TableTECalcPts[TM],MATCH(TableTERanks33433745[[#This Row],[Player]],TableTECalcPts[PLAYER],0)),"")</f>
        <v/>
      </c>
      <c r="AT60" s="58" t="str">
        <f>IFERROR(INDEX(TableTECalcPts[BYE],MATCH(TableTERanks33433745[[#This Row],[Player]],TableTECalcPts[PLAYER],0)),"")</f>
        <v/>
      </c>
      <c r="AU60" s="100">
        <f>VLOOKUP(TableTERanks33433745[[#This Row],[Player]],TE!B:O,4,FALSE)</f>
        <v>0</v>
      </c>
      <c r="AV60" s="100">
        <f>VLOOKUP(TableTERanks33433745[[#This Row],[Player]],TE!B:O,5,FALSE)</f>
        <v>0</v>
      </c>
      <c r="AW60" s="100">
        <f>VLOOKUP(TableTERanks33433745[[#This Row],[Player]],TE!B:O,6,FALSE)</f>
        <v>0</v>
      </c>
      <c r="AX60" s="100">
        <f>VLOOKUP(TableTERanks33433745[[#This Row],[Player]],TE!B:O,7,FALSE)</f>
        <v>0</v>
      </c>
      <c r="AY60" s="95">
        <f>VLOOKUP(TableTERanks33433745[[#This Row],[Player]],TE!B:O,11,FALSE)</f>
        <v>0</v>
      </c>
      <c r="AZ60" s="190">
        <f>TableTERanks33433745[[#This Row],[FPS]]-(TableTERanks33433745[[#This Row],[REC]]*0.5)</f>
        <v>0</v>
      </c>
    </row>
    <row r="61" spans="1:52" x14ac:dyDescent="0.25">
      <c r="A61" s="58">
        <v>60</v>
      </c>
      <c r="B61" s="58">
        <f>VLOOKUP(TableQBRanks30403438[[#This Row],[RK]],Rankings!A:T,3,FALSE)</f>
        <v>0</v>
      </c>
      <c r="C61" s="58" t="str">
        <f>IFERROR(INDEX(TableQBCalcPts[TM],MATCH(TableQBRanks30403438[[#This Row],[Player]],TableQBCalcPts[PLAYER],0)),"")</f>
        <v/>
      </c>
      <c r="D61" s="58" t="str">
        <f>IFERROR(INDEX(TableQBCalcPts[BYE],MATCH(TableQBRanks30403438[[#This Row],[Player]],TableQBCalcPts[PLAYER],0)),"")</f>
        <v/>
      </c>
      <c r="E61" s="100">
        <f>VLOOKUP(TableQBRanks30403438[[#This Row],[Player]],QB!B:O,4,FALSE)</f>
        <v>0</v>
      </c>
      <c r="F61" s="100">
        <f>VLOOKUP(TableQBRanks30403438[[#This Row],[Player]],QB!B:O,5,FALSE)</f>
        <v>0</v>
      </c>
      <c r="G61" s="100">
        <f>VLOOKUP(TableQBRanks30403438[[#This Row],[Player]],QB!B:O,6,FALSE)</f>
        <v>0</v>
      </c>
      <c r="H61" s="100">
        <f>VLOOKUP(TableQBRanks30403438[[#This Row],[Player]],QB!B:O,7,FALSE)</f>
        <v>0</v>
      </c>
      <c r="I61" s="100">
        <f>VLOOKUP(TableQBRanks30403438[[#This Row],[Player]],QB!B:O,8,FALSE)</f>
        <v>0</v>
      </c>
      <c r="J61" s="100">
        <f>VLOOKUP(TableQBRanks30403438[[#This Row],[Player]],QB!B:O,9,FALSE)</f>
        <v>0</v>
      </c>
      <c r="K61" s="100">
        <f>VLOOKUP(TableQBRanks30403438[[#This Row],[Player]],QB!B:O,10,FALSE)</f>
        <v>0</v>
      </c>
      <c r="L61" s="100">
        <f>VLOOKUP(TableQBRanks30403438[[#This Row],[Player]],QB!B:O,11,FALSE)</f>
        <v>0</v>
      </c>
      <c r="M61" s="95">
        <f>VLOOKUP(TableQBRanks30403438[[#This Row],[Player]],QB!B:O,13,FALSE)</f>
        <v>0</v>
      </c>
      <c r="N61" s="140" t="e">
        <f>IF(VLOOKUP(TableQBRanks30403438[[#This Row],[Player]],'Ranks w Proj'!$B:$N,13,FALSE)&lt;0,0,VLOOKUP(TableQBRanks30403438[[#This Row],[Player]],'Ranks w Proj'!$B:$N,13,FALSE))</f>
        <v>#N/A</v>
      </c>
      <c r="P61" s="58">
        <v>60</v>
      </c>
      <c r="Q61" s="58" t="str">
        <f>VLOOKUP(TableRBRanks31413539[[#This Row],[RK]],Rankings!A:AY,38,FALSE)</f>
        <v>Dylan Sampson</v>
      </c>
      <c r="R61" s="58" t="str">
        <f>IFERROR(INDEX(TableRBCalcPts[TM],MATCH(TableRBRanks31413539[[#This Row],[Player]],TableRBCalcPts[PLAYER],0)),"")</f>
        <v>CLE</v>
      </c>
      <c r="S61" s="58">
        <f>IFERROR(INDEX(TableRBCalcPts[BYE],MATCH(TableRBRanks31413539[[#This Row],[Player]],TableRBCalcPts[PLAYER],0)),"")</f>
        <v>11</v>
      </c>
      <c r="T61" s="100">
        <f>VLOOKUP(TableRBRanks31413539[[#This Row],[Player]],RB!B:O,4,FALSE)</f>
        <v>99.950004000000007</v>
      </c>
      <c r="U61" s="100">
        <f>VLOOKUP(TableRBRanks31413539[[#This Row],[Player]],RB!B:O,5,FALSE)</f>
        <v>376.81151508000005</v>
      </c>
      <c r="V61" s="100">
        <f>VLOOKUP(TableRBRanks31413539[[#This Row],[Player]],RB!B:O,6,FALSE)</f>
        <v>1.5263641160310031</v>
      </c>
      <c r="W61" s="100">
        <f>VLOOKUP(TableRBRanks31413539[[#This Row],[Player]],RB!B:O,7,FALSE)</f>
        <v>38.099753999999997</v>
      </c>
      <c r="X61" s="100">
        <f>VLOOKUP(TableRBRanks31413539[[#This Row],[Player]],RB!B:O,8,FALSE)</f>
        <v>28.612915253999997</v>
      </c>
      <c r="Y61" s="100">
        <f>VLOOKUP(TableRBRanks31413539[[#This Row],[Player]],RB!B:O,9,FALSE)</f>
        <v>220.70434522354418</v>
      </c>
      <c r="Z61" s="100">
        <f>VLOOKUP(TableRBRanks31413539[[#This Row],[Player]],RB!B:O,10,FALSE)</f>
        <v>1.3161941016839998</v>
      </c>
      <c r="AA61" s="95">
        <f>VLOOKUP(TableRBRanks31413539[[#This Row],[Player]],RB!B:O,14,FALSE)</f>
        <v>91.113392963644444</v>
      </c>
      <c r="AB61" s="190">
        <f>TableRBRanks31413539[[#This Row],[FPS]]-(TableRBRanks31413539[[#This Row],[REC]]*0.5)</f>
        <v>76.806935336644443</v>
      </c>
      <c r="AD61" s="58">
        <v>60</v>
      </c>
      <c r="AE61" s="58" t="str">
        <f>VLOOKUP(TableWRRanks32423644[[#This Row],[RK]],Rankings!A:AZ,43,FALSE)</f>
        <v>Denzel Boston</v>
      </c>
      <c r="AF61" s="58" t="str">
        <f>IFERROR(INDEX(TableWRCalcPts[TM],MATCH(TableWRRanks32423644[[#This Row],[Player]],TableWRCalcPts[PLAYER],0)),"")</f>
        <v>CLE</v>
      </c>
      <c r="AG61" s="58">
        <f>IFERROR(INDEX(TableWRCalcPts[BYE],MATCH(TableWRRanks32423644[[#This Row],[Player]],TableWRCalcPts[PLAYER],0)),"")</f>
        <v>11</v>
      </c>
      <c r="AH61" s="100">
        <f>VLOOKUP(TableWRRanks32423644[[#This Row],[Player]],WR!B:O,4,FALSE)</f>
        <v>0</v>
      </c>
      <c r="AI61" s="100">
        <f>VLOOKUP(TableWRRanks32423644[[#This Row],[Player]],WR!B:O,5,FALSE)</f>
        <v>0</v>
      </c>
      <c r="AJ61" s="100">
        <f>VLOOKUP(TableWRRanks32423644[[#This Row],[Player]],WR!B:O,6,FALSE)</f>
        <v>84.116339999999994</v>
      </c>
      <c r="AK61" s="100">
        <f>VLOOKUP(TableWRRanks32423644[[#This Row],[Player]],WR!B:O,7,FALSE)</f>
        <v>44.413427519999999</v>
      </c>
      <c r="AL61" s="100">
        <f>VLOOKUP(TableWRRanks32423644[[#This Row],[Player]],WR!B:O,8,FALSE)</f>
        <v>597.80473441920003</v>
      </c>
      <c r="AM61" s="100">
        <f>VLOOKUP(TableWRRanks32423644[[#This Row],[Player]],WR!B:O,9,FALSE)</f>
        <v>3.02011307136</v>
      </c>
      <c r="AN61" s="95">
        <f>VLOOKUP(TableWRRanks32423644[[#This Row],[Player]],WR!B:O,13,FALSE)</f>
        <v>100.10786563008</v>
      </c>
      <c r="AO61" s="190">
        <f>TableWRRanks32423644[[#This Row],[FPS]]-(TableWRRanks32423644[[#This Row],[REC]]*0.5)</f>
        <v>77.90115187008</v>
      </c>
      <c r="AQ61" s="58">
        <v>60</v>
      </c>
      <c r="AR61" s="58">
        <f>VLOOKUP(TableTERanks33433745[[#This Row],[RK]],Rankings!A:AZ,48,FALSE)</f>
        <v>0</v>
      </c>
      <c r="AS61" s="58" t="str">
        <f>IFERROR(INDEX(TableTECalcPts[TM],MATCH(TableTERanks33433745[[#This Row],[Player]],TableTECalcPts[PLAYER],0)),"")</f>
        <v/>
      </c>
      <c r="AT61" s="58" t="str">
        <f>IFERROR(INDEX(TableTECalcPts[BYE],MATCH(TableTERanks33433745[[#This Row],[Player]],TableTECalcPts[PLAYER],0)),"")</f>
        <v/>
      </c>
      <c r="AU61" s="100">
        <f>VLOOKUP(TableTERanks33433745[[#This Row],[Player]],TE!B:O,4,FALSE)</f>
        <v>0</v>
      </c>
      <c r="AV61" s="100">
        <f>VLOOKUP(TableTERanks33433745[[#This Row],[Player]],TE!B:O,5,FALSE)</f>
        <v>0</v>
      </c>
      <c r="AW61" s="100">
        <f>VLOOKUP(TableTERanks33433745[[#This Row],[Player]],TE!B:O,6,FALSE)</f>
        <v>0</v>
      </c>
      <c r="AX61" s="100">
        <f>VLOOKUP(TableTERanks33433745[[#This Row],[Player]],TE!B:O,7,FALSE)</f>
        <v>0</v>
      </c>
      <c r="AY61" s="95">
        <f>VLOOKUP(TableTERanks33433745[[#This Row],[Player]],TE!B:O,11,FALSE)</f>
        <v>0</v>
      </c>
      <c r="AZ61" s="190">
        <f>TableTERanks33433745[[#This Row],[FPS]]-(TableTERanks33433745[[#This Row],[REC]]*0.5)</f>
        <v>0</v>
      </c>
    </row>
    <row r="62" spans="1:52" x14ac:dyDescent="0.25">
      <c r="A62" s="58">
        <v>61</v>
      </c>
      <c r="B62" s="58">
        <f>VLOOKUP(TableQBRanks30403438[[#This Row],[RK]],Rankings!A:T,3,FALSE)</f>
        <v>0</v>
      </c>
      <c r="C62" s="58" t="str">
        <f>IFERROR(INDEX(TableQBCalcPts[TM],MATCH(TableQBRanks30403438[[#This Row],[Player]],TableQBCalcPts[PLAYER],0)),"")</f>
        <v/>
      </c>
      <c r="D62" s="58" t="str">
        <f>IFERROR(INDEX(TableQBCalcPts[BYE],MATCH(TableQBRanks30403438[[#This Row],[Player]],TableQBCalcPts[PLAYER],0)),"")</f>
        <v/>
      </c>
      <c r="E62" s="100">
        <f>VLOOKUP(TableQBRanks30403438[[#This Row],[Player]],QB!B:O,4,FALSE)</f>
        <v>0</v>
      </c>
      <c r="F62" s="100">
        <f>VLOOKUP(TableQBRanks30403438[[#This Row],[Player]],QB!B:O,5,FALSE)</f>
        <v>0</v>
      </c>
      <c r="G62" s="100">
        <f>VLOOKUP(TableQBRanks30403438[[#This Row],[Player]],QB!B:O,6,FALSE)</f>
        <v>0</v>
      </c>
      <c r="H62" s="100">
        <f>VLOOKUP(TableQBRanks30403438[[#This Row],[Player]],QB!B:O,7,FALSE)</f>
        <v>0</v>
      </c>
      <c r="I62" s="100">
        <f>VLOOKUP(TableQBRanks30403438[[#This Row],[Player]],QB!B:O,8,FALSE)</f>
        <v>0</v>
      </c>
      <c r="J62" s="100">
        <f>VLOOKUP(TableQBRanks30403438[[#This Row],[Player]],QB!B:O,9,FALSE)</f>
        <v>0</v>
      </c>
      <c r="K62" s="100">
        <f>VLOOKUP(TableQBRanks30403438[[#This Row],[Player]],QB!B:O,10,FALSE)</f>
        <v>0</v>
      </c>
      <c r="L62" s="100">
        <f>VLOOKUP(TableQBRanks30403438[[#This Row],[Player]],QB!B:O,11,FALSE)</f>
        <v>0</v>
      </c>
      <c r="M62" s="95">
        <f>VLOOKUP(TableQBRanks30403438[[#This Row],[Player]],QB!B:O,13,FALSE)</f>
        <v>0</v>
      </c>
      <c r="N62" s="140" t="e">
        <f>IF(VLOOKUP(TableQBRanks30403438[[#This Row],[Player]],'Ranks w Proj'!$B:$N,13,FALSE)&lt;0,0,VLOOKUP(TableQBRanks30403438[[#This Row],[Player]],'Ranks w Proj'!$B:$N,13,FALSE))</f>
        <v>#N/A</v>
      </c>
      <c r="P62" s="58">
        <v>61</v>
      </c>
      <c r="Q62" s="58" t="str">
        <f>VLOOKUP(TableRBRanks31413539[[#This Row],[RK]],Rankings!A:AY,38,FALSE)</f>
        <v>Jonah Coleman</v>
      </c>
      <c r="R62" s="58" t="str">
        <f>IFERROR(INDEX(TableRBCalcPts[TM],MATCH(TableRBRanks31413539[[#This Row],[Player]],TableRBCalcPts[PLAYER],0)),"")</f>
        <v>DEN</v>
      </c>
      <c r="S62" s="58">
        <f>IFERROR(INDEX(TableRBCalcPts[BYE],MATCH(TableRBRanks31413539[[#This Row],[Player]],TableRBCalcPts[PLAYER],0)),"")</f>
        <v>10</v>
      </c>
      <c r="T62" s="100">
        <f>VLOOKUP(TableRBRanks31413539[[#This Row],[Player]],RB!B:O,4,FALSE)</f>
        <v>55.374476639999997</v>
      </c>
      <c r="U62" s="100">
        <f>VLOOKUP(TableRBRanks31413539[[#This Row],[Player]],RB!B:O,5,FALSE)</f>
        <v>240.87897338399998</v>
      </c>
      <c r="V62" s="100">
        <f>VLOOKUP(TableRBRanks31413539[[#This Row],[Player]],RB!B:O,6,FALSE)</f>
        <v>2.32572801888</v>
      </c>
      <c r="W62" s="100">
        <f>VLOOKUP(TableRBRanks31413539[[#This Row],[Player]],RB!B:O,7,FALSE)</f>
        <v>9.7014178800000028</v>
      </c>
      <c r="X62" s="100">
        <f>VLOOKUP(TableRBRanks31413539[[#This Row],[Player]],RB!B:O,8,FALSE)</f>
        <v>7.2566605742400023</v>
      </c>
      <c r="Y62" s="100">
        <f>VLOOKUP(TableRBRanks31413539[[#This Row],[Player]],RB!B:O,9,FALSE)</f>
        <v>50.562817902940751</v>
      </c>
      <c r="Z62" s="100">
        <f>VLOOKUP(TableRBRanks31413539[[#This Row],[Player]],RB!B:O,10,FALSE)</f>
        <v>0.14307076282588149</v>
      </c>
      <c r="AA62" s="95">
        <f>VLOOKUP(TableRBRanks31413539[[#This Row],[Player]],RB!B:O,14,FALSE)</f>
        <v>47.585302106049355</v>
      </c>
      <c r="AB62" s="190">
        <f>TableRBRanks31413539[[#This Row],[FPS]]-(TableRBRanks31413539[[#This Row],[REC]]*0.5)</f>
        <v>43.956971818929354</v>
      </c>
      <c r="AD62" s="58">
        <v>61</v>
      </c>
      <c r="AE62" s="58" t="str">
        <f>VLOOKUP(TableWRRanks32423644[[#This Row],[RK]],Rankings!A:AZ,43,FALSE)</f>
        <v>Jalen Nailor</v>
      </c>
      <c r="AF62" s="58" t="str">
        <f>IFERROR(INDEX(TableWRCalcPts[TM],MATCH(TableWRRanks32423644[[#This Row],[Player]],TableWRCalcPts[PLAYER],0)),"")</f>
        <v>LV</v>
      </c>
      <c r="AG62" s="58">
        <f>IFERROR(INDEX(TableWRCalcPts[BYE],MATCH(TableWRRanks32423644[[#This Row],[Player]],TableWRCalcPts[PLAYER],0)),"")</f>
        <v>13</v>
      </c>
      <c r="AH62" s="100">
        <f>VLOOKUP(TableWRRanks32423644[[#This Row],[Player]],WR!B:O,4,FALSE)</f>
        <v>0</v>
      </c>
      <c r="AI62" s="100">
        <f>VLOOKUP(TableWRRanks32423644[[#This Row],[Player]],WR!B:O,5,FALSE)</f>
        <v>0</v>
      </c>
      <c r="AJ62" s="100">
        <f>VLOOKUP(TableWRRanks32423644[[#This Row],[Player]],WR!B:O,6,FALSE)</f>
        <v>78.379176959999995</v>
      </c>
      <c r="AK62" s="100">
        <f>VLOOKUP(TableWRRanks32423644[[#This Row],[Player]],WR!B:O,7,FALSE)</f>
        <v>47.654539591679999</v>
      </c>
      <c r="AL62" s="100">
        <f>VLOOKUP(TableWRRanks32423644[[#This Row],[Player]],WR!B:O,8,FALSE)</f>
        <v>608.07192518983675</v>
      </c>
      <c r="AM62" s="100">
        <f>VLOOKUP(TableWRRanks32423644[[#This Row],[Player]],WR!B:O,9,FALSE)</f>
        <v>3.0975450734591998</v>
      </c>
      <c r="AN62" s="95">
        <f>VLOOKUP(TableWRRanks32423644[[#This Row],[Player]],WR!B:O,13,FALSE)</f>
        <v>103.21973275557887</v>
      </c>
      <c r="AO62" s="190">
        <f>TableWRRanks32423644[[#This Row],[FPS]]-(TableWRRanks32423644[[#This Row],[REC]]*0.5)</f>
        <v>79.392462959738879</v>
      </c>
      <c r="AQ62" s="58">
        <v>61</v>
      </c>
      <c r="AR62" s="58">
        <f>VLOOKUP(TableTERanks33433745[[#This Row],[RK]],Rankings!A:AZ,48,FALSE)</f>
        <v>0</v>
      </c>
      <c r="AS62" s="58" t="str">
        <f>IFERROR(INDEX(TableTECalcPts[TM],MATCH(TableTERanks33433745[[#This Row],[Player]],TableTECalcPts[PLAYER],0)),"")</f>
        <v/>
      </c>
      <c r="AT62" s="58" t="str">
        <f>IFERROR(INDEX(TableTECalcPts[BYE],MATCH(TableTERanks33433745[[#This Row],[Player]],TableTECalcPts[PLAYER],0)),"")</f>
        <v/>
      </c>
      <c r="AU62" s="100">
        <f>VLOOKUP(TableTERanks33433745[[#This Row],[Player]],TE!B:O,4,FALSE)</f>
        <v>0</v>
      </c>
      <c r="AV62" s="100">
        <f>VLOOKUP(TableTERanks33433745[[#This Row],[Player]],TE!B:O,5,FALSE)</f>
        <v>0</v>
      </c>
      <c r="AW62" s="100">
        <f>VLOOKUP(TableTERanks33433745[[#This Row],[Player]],TE!B:O,6,FALSE)</f>
        <v>0</v>
      </c>
      <c r="AX62" s="100">
        <f>VLOOKUP(TableTERanks33433745[[#This Row],[Player]],TE!B:O,7,FALSE)</f>
        <v>0</v>
      </c>
      <c r="AY62" s="95">
        <f>VLOOKUP(TableTERanks33433745[[#This Row],[Player]],TE!B:O,11,FALSE)</f>
        <v>0</v>
      </c>
      <c r="AZ62" s="190">
        <f>TableTERanks33433745[[#This Row],[FPS]]-(TableTERanks33433745[[#This Row],[REC]]*0.5)</f>
        <v>0</v>
      </c>
    </row>
    <row r="63" spans="1:52" x14ac:dyDescent="0.25">
      <c r="A63" s="58">
        <v>62</v>
      </c>
      <c r="B63" s="58">
        <f>VLOOKUP(TableQBRanks30403438[[#This Row],[RK]],Rankings!A:T,3,FALSE)</f>
        <v>0</v>
      </c>
      <c r="C63" s="58" t="str">
        <f>IFERROR(INDEX(TableQBCalcPts[TM],MATCH(TableQBRanks30403438[[#This Row],[Player]],TableQBCalcPts[PLAYER],0)),"")</f>
        <v/>
      </c>
      <c r="D63" s="58" t="str">
        <f>IFERROR(INDEX(TableQBCalcPts[BYE],MATCH(TableQBRanks30403438[[#This Row],[Player]],TableQBCalcPts[PLAYER],0)),"")</f>
        <v/>
      </c>
      <c r="E63" s="100">
        <f>VLOOKUP(TableQBRanks30403438[[#This Row],[Player]],QB!B:O,4,FALSE)</f>
        <v>0</v>
      </c>
      <c r="F63" s="100">
        <f>VLOOKUP(TableQBRanks30403438[[#This Row],[Player]],QB!B:O,5,FALSE)</f>
        <v>0</v>
      </c>
      <c r="G63" s="100">
        <f>VLOOKUP(TableQBRanks30403438[[#This Row],[Player]],QB!B:O,6,FALSE)</f>
        <v>0</v>
      </c>
      <c r="H63" s="100">
        <f>VLOOKUP(TableQBRanks30403438[[#This Row],[Player]],QB!B:O,7,FALSE)</f>
        <v>0</v>
      </c>
      <c r="I63" s="100">
        <f>VLOOKUP(TableQBRanks30403438[[#This Row],[Player]],QB!B:O,8,FALSE)</f>
        <v>0</v>
      </c>
      <c r="J63" s="100">
        <f>VLOOKUP(TableQBRanks30403438[[#This Row],[Player]],QB!B:O,9,FALSE)</f>
        <v>0</v>
      </c>
      <c r="K63" s="100">
        <f>VLOOKUP(TableQBRanks30403438[[#This Row],[Player]],QB!B:O,10,FALSE)</f>
        <v>0</v>
      </c>
      <c r="L63" s="100">
        <f>VLOOKUP(TableQBRanks30403438[[#This Row],[Player]],QB!B:O,11,FALSE)</f>
        <v>0</v>
      </c>
      <c r="M63" s="95">
        <f>VLOOKUP(TableQBRanks30403438[[#This Row],[Player]],QB!B:O,13,FALSE)</f>
        <v>0</v>
      </c>
      <c r="N63" s="140" t="e">
        <f>IF(VLOOKUP(TableQBRanks30403438[[#This Row],[Player]],'Ranks w Proj'!$B:$N,13,FALSE)&lt;0,0,VLOOKUP(TableQBRanks30403438[[#This Row],[Player]],'Ranks w Proj'!$B:$N,13,FALSE))</f>
        <v>#N/A</v>
      </c>
      <c r="P63" s="58">
        <v>62</v>
      </c>
      <c r="Q63" s="58" t="str">
        <f>VLOOKUP(TableRBRanks31413539[[#This Row],[RK]],Rankings!A:AY,38,FALSE)</f>
        <v>Emari Demercado</v>
      </c>
      <c r="R63" s="58" t="str">
        <f>IFERROR(INDEX(TableRBCalcPts[TM],MATCH(TableRBRanks31413539[[#This Row],[Player]],TableRBCalcPts[PLAYER],0)),"")</f>
        <v>KC</v>
      </c>
      <c r="S63" s="58">
        <f>IFERROR(INDEX(TableRBCalcPts[BYE],MATCH(TableRBRanks31413539[[#This Row],[Player]],TableRBCalcPts[PLAYER],0)),"")</f>
        <v>5</v>
      </c>
      <c r="T63" s="100">
        <f>VLOOKUP(TableRBRanks31413539[[#This Row],[Player]],RB!B:O,4,FALSE)</f>
        <v>42.841606500000012</v>
      </c>
      <c r="U63" s="100">
        <f>VLOOKUP(TableRBRanks31413539[[#This Row],[Player]],RB!B:O,5,FALSE)</f>
        <v>170.08117780500007</v>
      </c>
      <c r="V63" s="100">
        <f>VLOOKUP(TableRBRanks31413539[[#This Row],[Player]],RB!B:O,6,FALSE)</f>
        <v>1.3709314080000004</v>
      </c>
      <c r="W63" s="100">
        <f>VLOOKUP(TableRBRanks31413539[[#This Row],[Player]],RB!B:O,7,FALSE)</f>
        <v>28.102871999999998</v>
      </c>
      <c r="X63" s="100">
        <f>VLOOKUP(TableRBRanks31413539[[#This Row],[Player]],RB!B:O,8,FALSE)</f>
        <v>20.571302304</v>
      </c>
      <c r="Y63" s="100">
        <f>VLOOKUP(TableRBRanks31413539[[#This Row],[Player]],RB!B:O,9,FALSE)</f>
        <v>144.41054217407998</v>
      </c>
      <c r="Z63" s="100">
        <f>VLOOKUP(TableRBRanks31413539[[#This Row],[Player]],RB!B:O,10,FALSE)</f>
        <v>0.82285209215999999</v>
      </c>
      <c r="AA63" s="95">
        <f>VLOOKUP(TableRBRanks31413539[[#This Row],[Player]],RB!B:O,14,FALSE)</f>
        <v>54.897524150868009</v>
      </c>
      <c r="AB63" s="190">
        <f>TableRBRanks31413539[[#This Row],[FPS]]-(TableRBRanks31413539[[#This Row],[REC]]*0.5)</f>
        <v>44.611872998868009</v>
      </c>
      <c r="AD63" s="58">
        <v>62</v>
      </c>
      <c r="AE63" s="58" t="str">
        <f>VLOOKUP(TableWRRanks32423644[[#This Row],[RK]],Rankings!A:AZ,43,FALSE)</f>
        <v>Antonio Williams</v>
      </c>
      <c r="AF63" s="58" t="str">
        <f>IFERROR(INDEX(TableWRCalcPts[TM],MATCH(TableWRRanks32423644[[#This Row],[Player]],TableWRCalcPts[PLAYER],0)),"")</f>
        <v>WSH</v>
      </c>
      <c r="AG63" s="58">
        <f>IFERROR(INDEX(TableWRCalcPts[BYE],MATCH(TableWRRanks32423644[[#This Row],[Player]],TableWRCalcPts[PLAYER],0)),"")</f>
        <v>7</v>
      </c>
      <c r="AH63" s="100">
        <f>VLOOKUP(TableWRRanks32423644[[#This Row],[Player]],WR!B:O,4,FALSE)</f>
        <v>0</v>
      </c>
      <c r="AI63" s="100">
        <f>VLOOKUP(TableWRRanks32423644[[#This Row],[Player]],WR!B:O,5,FALSE)</f>
        <v>0</v>
      </c>
      <c r="AJ63" s="100">
        <f>VLOOKUP(TableWRRanks32423644[[#This Row],[Player]],WR!B:O,6,FALSE)</f>
        <v>71.686419839999985</v>
      </c>
      <c r="AK63" s="100">
        <f>VLOOKUP(TableWRRanks32423644[[#This Row],[Player]],WR!B:O,7,FALSE)</f>
        <v>49.320256849919986</v>
      </c>
      <c r="AL63" s="100">
        <f>VLOOKUP(TableWRRanks32423644[[#This Row],[Player]],WR!B:O,8,FALSE)</f>
        <v>574.5809923015679</v>
      </c>
      <c r="AM63" s="100">
        <f>VLOOKUP(TableWRRanks32423644[[#This Row],[Player]],WR!B:O,9,FALSE)</f>
        <v>3.6003787500441589</v>
      </c>
      <c r="AN63" s="95">
        <f>VLOOKUP(TableWRRanks32423644[[#This Row],[Player]],WR!B:O,13,FALSE)</f>
        <v>103.72050015538173</v>
      </c>
      <c r="AO63" s="190">
        <f>TableWRRanks32423644[[#This Row],[FPS]]-(TableWRRanks32423644[[#This Row],[REC]]*0.5)</f>
        <v>79.060371730421735</v>
      </c>
      <c r="AQ63" s="58">
        <v>62</v>
      </c>
      <c r="AR63" s="58">
        <f>VLOOKUP(TableTERanks33433745[[#This Row],[RK]],Rankings!A:AZ,48,FALSE)</f>
        <v>0</v>
      </c>
      <c r="AS63" s="58" t="str">
        <f>IFERROR(INDEX(TableTECalcPts[TM],MATCH(TableTERanks33433745[[#This Row],[Player]],TableTECalcPts[PLAYER],0)),"")</f>
        <v/>
      </c>
      <c r="AT63" s="58" t="str">
        <f>IFERROR(INDEX(TableTECalcPts[BYE],MATCH(TableTERanks33433745[[#This Row],[Player]],TableTECalcPts[PLAYER],0)),"")</f>
        <v/>
      </c>
      <c r="AU63" s="100">
        <f>VLOOKUP(TableTERanks33433745[[#This Row],[Player]],TE!B:O,4,FALSE)</f>
        <v>0</v>
      </c>
      <c r="AV63" s="100">
        <f>VLOOKUP(TableTERanks33433745[[#This Row],[Player]],TE!B:O,5,FALSE)</f>
        <v>0</v>
      </c>
      <c r="AW63" s="100">
        <f>VLOOKUP(TableTERanks33433745[[#This Row],[Player]],TE!B:O,6,FALSE)</f>
        <v>0</v>
      </c>
      <c r="AX63" s="100">
        <f>VLOOKUP(TableTERanks33433745[[#This Row],[Player]],TE!B:O,7,FALSE)</f>
        <v>0</v>
      </c>
      <c r="AY63" s="95">
        <f>VLOOKUP(TableTERanks33433745[[#This Row],[Player]],TE!B:O,11,FALSE)</f>
        <v>0</v>
      </c>
      <c r="AZ63" s="190">
        <f>TableTERanks33433745[[#This Row],[FPS]]-(TableTERanks33433745[[#This Row],[REC]]*0.5)</f>
        <v>0</v>
      </c>
    </row>
    <row r="64" spans="1:52" x14ac:dyDescent="0.25">
      <c r="A64" s="58">
        <v>63</v>
      </c>
      <c r="B64" s="58">
        <f>VLOOKUP(TableQBRanks30403438[[#This Row],[RK]],Rankings!A:T,3,FALSE)</f>
        <v>0</v>
      </c>
      <c r="C64" s="58" t="str">
        <f>IFERROR(INDEX(TableQBCalcPts[TM],MATCH(TableQBRanks30403438[[#This Row],[Player]],TableQBCalcPts[PLAYER],0)),"")</f>
        <v/>
      </c>
      <c r="D64" s="58" t="str">
        <f>IFERROR(INDEX(TableQBCalcPts[BYE],MATCH(TableQBRanks30403438[[#This Row],[Player]],TableQBCalcPts[PLAYER],0)),"")</f>
        <v/>
      </c>
      <c r="E64" s="100">
        <f>VLOOKUP(TableQBRanks30403438[[#This Row],[Player]],QB!B:O,4,FALSE)</f>
        <v>0</v>
      </c>
      <c r="F64" s="100">
        <f>VLOOKUP(TableQBRanks30403438[[#This Row],[Player]],QB!B:O,5,FALSE)</f>
        <v>0</v>
      </c>
      <c r="G64" s="100">
        <f>VLOOKUP(TableQBRanks30403438[[#This Row],[Player]],QB!B:O,6,FALSE)</f>
        <v>0</v>
      </c>
      <c r="H64" s="100">
        <f>VLOOKUP(TableQBRanks30403438[[#This Row],[Player]],QB!B:O,7,FALSE)</f>
        <v>0</v>
      </c>
      <c r="I64" s="100">
        <f>VLOOKUP(TableQBRanks30403438[[#This Row],[Player]],QB!B:O,8,FALSE)</f>
        <v>0</v>
      </c>
      <c r="J64" s="100">
        <f>VLOOKUP(TableQBRanks30403438[[#This Row],[Player]],QB!B:O,9,FALSE)</f>
        <v>0</v>
      </c>
      <c r="K64" s="100">
        <f>VLOOKUP(TableQBRanks30403438[[#This Row],[Player]],QB!B:O,10,FALSE)</f>
        <v>0</v>
      </c>
      <c r="L64" s="100">
        <f>VLOOKUP(TableQBRanks30403438[[#This Row],[Player]],QB!B:O,11,FALSE)</f>
        <v>0</v>
      </c>
      <c r="M64" s="95">
        <f>VLOOKUP(TableQBRanks30403438[[#This Row],[Player]],QB!B:O,13,FALSE)</f>
        <v>0</v>
      </c>
      <c r="N64" s="140" t="e">
        <f>IF(VLOOKUP(TableQBRanks30403438[[#This Row],[Player]],'Ranks w Proj'!$B:$N,13,FALSE)&lt;0,0,VLOOKUP(TableQBRanks30403438[[#This Row],[Player]],'Ranks w Proj'!$B:$N,13,FALSE))</f>
        <v>#N/A</v>
      </c>
      <c r="P64" s="58">
        <v>63</v>
      </c>
      <c r="Q64" s="58" t="str">
        <f>VLOOKUP(TableRBRanks31413539[[#This Row],[RK]],Rankings!A:AY,38,FALSE)</f>
        <v>Ollie Gordon</v>
      </c>
      <c r="R64" s="58" t="str">
        <f>IFERROR(INDEX(TableRBCalcPts[TM],MATCH(TableRBRanks31413539[[#This Row],[Player]],TableRBCalcPts[PLAYER],0)),"")</f>
        <v>MIA</v>
      </c>
      <c r="S64" s="58">
        <f>IFERROR(INDEX(TableRBCalcPts[BYE],MATCH(TableRBRanks31413539[[#This Row],[Player]],TableRBCalcPts[PLAYER],0)),"")</f>
        <v>6</v>
      </c>
      <c r="T64" s="100">
        <f>VLOOKUP(TableRBRanks31413539[[#This Row],[Player]],RB!B:O,4,FALSE)</f>
        <v>82.265393940974334</v>
      </c>
      <c r="U64" s="100">
        <f>VLOOKUP(TableRBRanks31413539[[#This Row],[Player]],RB!B:O,5,FALSE)</f>
        <v>322.48034424861936</v>
      </c>
      <c r="V64" s="100">
        <f>VLOOKUP(TableRBRanks31413539[[#This Row],[Player]],RB!B:O,6,FALSE)</f>
        <v>1.8098386667014352</v>
      </c>
      <c r="W64" s="100">
        <f>VLOOKUP(TableRBRanks31413539[[#This Row],[Player]],RB!B:O,7,FALSE)</f>
        <v>4.9244705999999994</v>
      </c>
      <c r="X64" s="100">
        <f>VLOOKUP(TableRBRanks31413539[[#This Row],[Player]],RB!B:O,8,FALSE)</f>
        <v>3.6933529499999995</v>
      </c>
      <c r="Y64" s="100">
        <f>VLOOKUP(TableRBRanks31413539[[#This Row],[Player]],RB!B:O,9,FALSE)</f>
        <v>23.637458879999997</v>
      </c>
      <c r="Z64" s="100">
        <f>VLOOKUP(TableRBRanks31413539[[#This Row],[Player]],RB!B:O,10,FALSE)</f>
        <v>0.12795832822847683</v>
      </c>
      <c r="AA64" s="95">
        <f>VLOOKUP(TableRBRanks31413539[[#This Row],[Player]],RB!B:O,14,FALSE)</f>
        <v>48.085238757441402</v>
      </c>
      <c r="AB64" s="190">
        <f>TableRBRanks31413539[[#This Row],[FPS]]-(TableRBRanks31413539[[#This Row],[REC]]*0.5)</f>
        <v>46.2385622824414</v>
      </c>
      <c r="AD64" s="58">
        <v>63</v>
      </c>
      <c r="AE64" s="58" t="str">
        <f>VLOOKUP(TableWRRanks32423644[[#This Row],[RK]],Rankings!A:AZ,43,FALSE)</f>
        <v>Caleb Douglas</v>
      </c>
      <c r="AF64" s="58" t="str">
        <f>IFERROR(INDEX(TableWRCalcPts[TM],MATCH(TableWRRanks32423644[[#This Row],[Player]],TableWRCalcPts[PLAYER],0)),"")</f>
        <v>MIA</v>
      </c>
      <c r="AG64" s="58">
        <f>IFERROR(INDEX(TableWRCalcPts[BYE],MATCH(TableWRRanks32423644[[#This Row],[Player]],TableWRCalcPts[PLAYER],0)),"")</f>
        <v>6</v>
      </c>
      <c r="AH64" s="100">
        <f>VLOOKUP(TableWRRanks32423644[[#This Row],[Player]],WR!B:O,4,FALSE)</f>
        <v>0</v>
      </c>
      <c r="AI64" s="100">
        <f>VLOOKUP(TableWRRanks32423644[[#This Row],[Player]],WR!B:O,5,FALSE)</f>
        <v>0</v>
      </c>
      <c r="AJ64" s="100">
        <f>VLOOKUP(TableWRRanks32423644[[#This Row],[Player]],WR!B:O,6,FALSE)</f>
        <v>73.37461193999998</v>
      </c>
      <c r="AK64" s="100">
        <f>VLOOKUP(TableWRRanks32423644[[#This Row],[Player]],WR!B:O,7,FALSE)</f>
        <v>41.530030358039987</v>
      </c>
      <c r="AL64" s="100">
        <f>VLOOKUP(TableWRRanks32423644[[#This Row],[Player]],WR!B:O,8,FALSE)</f>
        <v>583.08162622688133</v>
      </c>
      <c r="AM64" s="100">
        <f>VLOOKUP(TableWRRanks32423644[[#This Row],[Player]],WR!B:O,9,FALSE)</f>
        <v>2.7409820036306392</v>
      </c>
      <c r="AN64" s="95">
        <f>VLOOKUP(TableWRRanks32423644[[#This Row],[Player]],WR!B:O,13,FALSE)</f>
        <v>95.519069823491961</v>
      </c>
      <c r="AO64" s="190">
        <f>TableWRRanks32423644[[#This Row],[FPS]]-(TableWRRanks32423644[[#This Row],[REC]]*0.5)</f>
        <v>74.754054644471964</v>
      </c>
      <c r="AQ64" s="58">
        <v>63</v>
      </c>
      <c r="AR64" s="58">
        <f>VLOOKUP(TableTERanks33433745[[#This Row],[RK]],Rankings!A:AZ,48,FALSE)</f>
        <v>0</v>
      </c>
      <c r="AS64" s="58" t="str">
        <f>IFERROR(INDEX(TableTECalcPts[TM],MATCH(TableTERanks33433745[[#This Row],[Player]],TableTECalcPts[PLAYER],0)),"")</f>
        <v/>
      </c>
      <c r="AT64" s="58" t="str">
        <f>IFERROR(INDEX(TableTECalcPts[BYE],MATCH(TableTERanks33433745[[#This Row],[Player]],TableTECalcPts[PLAYER],0)),"")</f>
        <v/>
      </c>
      <c r="AU64" s="100">
        <f>VLOOKUP(TableTERanks33433745[[#This Row],[Player]],TE!B:O,4,FALSE)</f>
        <v>0</v>
      </c>
      <c r="AV64" s="100">
        <f>VLOOKUP(TableTERanks33433745[[#This Row],[Player]],TE!B:O,5,FALSE)</f>
        <v>0</v>
      </c>
      <c r="AW64" s="100">
        <f>VLOOKUP(TableTERanks33433745[[#This Row],[Player]],TE!B:O,6,FALSE)</f>
        <v>0</v>
      </c>
      <c r="AX64" s="100">
        <f>VLOOKUP(TableTERanks33433745[[#This Row],[Player]],TE!B:O,7,FALSE)</f>
        <v>0</v>
      </c>
      <c r="AY64" s="95">
        <f>VLOOKUP(TableTERanks33433745[[#This Row],[Player]],TE!B:O,11,FALSE)</f>
        <v>0</v>
      </c>
      <c r="AZ64" s="190">
        <f>TableTERanks33433745[[#This Row],[FPS]]-(TableTERanks33433745[[#This Row],[REC]]*0.5)</f>
        <v>0</v>
      </c>
    </row>
    <row r="65" spans="1:52" x14ac:dyDescent="0.25">
      <c r="A65" s="58">
        <v>64</v>
      </c>
      <c r="B65" s="58">
        <f>VLOOKUP(TableQBRanks30403438[[#This Row],[RK]],Rankings!A:T,3,FALSE)</f>
        <v>0</v>
      </c>
      <c r="C65" s="58" t="str">
        <f>IFERROR(INDEX(TableQBCalcPts[TM],MATCH(TableQBRanks30403438[[#This Row],[Player]],TableQBCalcPts[PLAYER],0)),"")</f>
        <v/>
      </c>
      <c r="D65" s="58" t="str">
        <f>IFERROR(INDEX(TableQBCalcPts[BYE],MATCH(TableQBRanks30403438[[#This Row],[Player]],TableQBCalcPts[PLAYER],0)),"")</f>
        <v/>
      </c>
      <c r="E65" s="100">
        <f>VLOOKUP(TableQBRanks30403438[[#This Row],[Player]],QB!B:O,4,FALSE)</f>
        <v>0</v>
      </c>
      <c r="F65" s="100">
        <f>VLOOKUP(TableQBRanks30403438[[#This Row],[Player]],QB!B:O,5,FALSE)</f>
        <v>0</v>
      </c>
      <c r="G65" s="100">
        <f>VLOOKUP(TableQBRanks30403438[[#This Row],[Player]],QB!B:O,6,FALSE)</f>
        <v>0</v>
      </c>
      <c r="H65" s="100">
        <f>VLOOKUP(TableQBRanks30403438[[#This Row],[Player]],QB!B:O,7,FALSE)</f>
        <v>0</v>
      </c>
      <c r="I65" s="100">
        <f>VLOOKUP(TableQBRanks30403438[[#This Row],[Player]],QB!B:O,8,FALSE)</f>
        <v>0</v>
      </c>
      <c r="J65" s="100">
        <f>VLOOKUP(TableQBRanks30403438[[#This Row],[Player]],QB!B:O,9,FALSE)</f>
        <v>0</v>
      </c>
      <c r="K65" s="100">
        <f>VLOOKUP(TableQBRanks30403438[[#This Row],[Player]],QB!B:O,10,FALSE)</f>
        <v>0</v>
      </c>
      <c r="L65" s="100">
        <f>VLOOKUP(TableQBRanks30403438[[#This Row],[Player]],QB!B:O,11,FALSE)</f>
        <v>0</v>
      </c>
      <c r="M65" s="95">
        <f>VLOOKUP(TableQBRanks30403438[[#This Row],[Player]],QB!B:O,13,FALSE)</f>
        <v>0</v>
      </c>
      <c r="N65" s="140" t="e">
        <f>IF(VLOOKUP(TableQBRanks30403438[[#This Row],[Player]],'Ranks w Proj'!$B:$N,13,FALSE)&lt;0,0,VLOOKUP(TableQBRanks30403438[[#This Row],[Player]],'Ranks w Proj'!$B:$N,13,FALSE))</f>
        <v>#N/A</v>
      </c>
      <c r="P65" s="58">
        <v>64</v>
      </c>
      <c r="Q65" s="58" t="str">
        <f>VLOOKUP(TableRBRanks31413539[[#This Row],[RK]],Rankings!A:AY,38,FALSE)</f>
        <v>Kimani Vidal</v>
      </c>
      <c r="R65" s="58" t="str">
        <f>IFERROR(INDEX(TableRBCalcPts[TM],MATCH(TableRBRanks31413539[[#This Row],[Player]],TableRBCalcPts[PLAYER],0)),"")</f>
        <v>LAC</v>
      </c>
      <c r="S65" s="58">
        <f>IFERROR(INDEX(TableRBCalcPts[BYE],MATCH(TableRBRanks31413539[[#This Row],[Player]],TableRBCalcPts[PLAYER],0)),"")</f>
        <v>7</v>
      </c>
      <c r="T65" s="100">
        <f>VLOOKUP(TableRBRanks31413539[[#This Row],[Player]],RB!B:O,4,FALSE)</f>
        <v>36.392396040000001</v>
      </c>
      <c r="U65" s="100">
        <f>VLOOKUP(TableRBRanks31413539[[#This Row],[Player]],RB!B:O,5,FALSE)</f>
        <v>153.2119873284</v>
      </c>
      <c r="V65" s="100">
        <f>VLOOKUP(TableRBRanks31413539[[#This Row],[Player]],RB!B:O,6,FALSE)</f>
        <v>0.83702510892000004</v>
      </c>
      <c r="W65" s="100">
        <f>VLOOKUP(TableRBRanks31413539[[#This Row],[Player]],RB!B:O,7,FALSE)</f>
        <v>11.697205519999997</v>
      </c>
      <c r="X65" s="100">
        <f>VLOOKUP(TableRBRanks31413539[[#This Row],[Player]],RB!B:O,8,FALSE)</f>
        <v>8.7729041399999979</v>
      </c>
      <c r="Y65" s="100">
        <f>VLOOKUP(TableRBRanks31413539[[#This Row],[Player]],RB!B:O,9,FALSE)</f>
        <v>69.393671747399978</v>
      </c>
      <c r="Z65" s="100">
        <f>VLOOKUP(TableRBRanks31413539[[#This Row],[Player]],RB!B:O,10,FALSE)</f>
        <v>0.30705164489999998</v>
      </c>
      <c r="AA65" s="95">
        <f>VLOOKUP(TableRBRanks31413539[[#This Row],[Player]],RB!B:O,14,FALSE)</f>
        <v>33.511478500499997</v>
      </c>
      <c r="AB65" s="190">
        <f>TableRBRanks31413539[[#This Row],[FPS]]-(TableRBRanks31413539[[#This Row],[REC]]*0.5)</f>
        <v>29.1250264305</v>
      </c>
      <c r="AD65" s="58">
        <v>64</v>
      </c>
      <c r="AE65" s="58" t="str">
        <f>VLOOKUP(TableWRRanks32423644[[#This Row],[RK]],Rankings!A:AZ,43,FALSE)</f>
        <v>Khalil Shakir</v>
      </c>
      <c r="AF65" s="58" t="str">
        <f>IFERROR(INDEX(TableWRCalcPts[TM],MATCH(TableWRRanks32423644[[#This Row],[Player]],TableWRCalcPts[PLAYER],0)),"")</f>
        <v>BUF</v>
      </c>
      <c r="AG65" s="58">
        <f>IFERROR(INDEX(TableWRCalcPts[BYE],MATCH(TableWRRanks32423644[[#This Row],[Player]],TableWRCalcPts[PLAYER],0)),"")</f>
        <v>7</v>
      </c>
      <c r="AH65" s="100">
        <f>VLOOKUP(TableWRRanks32423644[[#This Row],[Player]],WR!B:O,4,FALSE)</f>
        <v>0</v>
      </c>
      <c r="AI65" s="100">
        <f>VLOOKUP(TableWRRanks32423644[[#This Row],[Player]],WR!B:O,5,FALSE)</f>
        <v>0</v>
      </c>
      <c r="AJ65" s="100">
        <f>VLOOKUP(TableWRRanks32423644[[#This Row],[Player]],WR!B:O,6,FALSE)</f>
        <v>90.403882799999963</v>
      </c>
      <c r="AK65" s="100">
        <f>VLOOKUP(TableWRRanks32423644[[#This Row],[Player]],WR!B:O,7,FALSE)</f>
        <v>64.457968436399966</v>
      </c>
      <c r="AL65" s="100">
        <f>VLOOKUP(TableWRRanks32423644[[#This Row],[Player]],WR!B:O,8,FALSE)</f>
        <v>705.95057284349139</v>
      </c>
      <c r="AM65" s="100">
        <f>VLOOKUP(TableWRRanks32423644[[#This Row],[Player]],WR!B:O,9,FALSE)</f>
        <v>3.7385621693111983</v>
      </c>
      <c r="AN65" s="95">
        <f>VLOOKUP(TableWRRanks32423644[[#This Row],[Player]],WR!B:O,13,FALSE)</f>
        <v>125.25541451841632</v>
      </c>
      <c r="AO65" s="190">
        <f>TableWRRanks32423644[[#This Row],[FPS]]-(TableWRRanks32423644[[#This Row],[REC]]*0.5)</f>
        <v>93.026430300216333</v>
      </c>
      <c r="AQ65" s="58">
        <v>64</v>
      </c>
      <c r="AR65" s="58">
        <f>VLOOKUP(TableTERanks33433745[[#This Row],[RK]],Rankings!A:AZ,48,FALSE)</f>
        <v>0</v>
      </c>
      <c r="AS65" s="58" t="str">
        <f>IFERROR(INDEX(TableTECalcPts[TM],MATCH(TableTERanks33433745[[#This Row],[Player]],TableTECalcPts[PLAYER],0)),"")</f>
        <v/>
      </c>
      <c r="AT65" s="58" t="str">
        <f>IFERROR(INDEX(TableTECalcPts[BYE],MATCH(TableTERanks33433745[[#This Row],[Player]],TableTECalcPts[PLAYER],0)),"")</f>
        <v/>
      </c>
      <c r="AU65" s="100">
        <f>VLOOKUP(TableTERanks33433745[[#This Row],[Player]],TE!B:O,4,FALSE)</f>
        <v>0</v>
      </c>
      <c r="AV65" s="100">
        <f>VLOOKUP(TableTERanks33433745[[#This Row],[Player]],TE!B:O,5,FALSE)</f>
        <v>0</v>
      </c>
      <c r="AW65" s="100">
        <f>VLOOKUP(TableTERanks33433745[[#This Row],[Player]],TE!B:O,6,FALSE)</f>
        <v>0</v>
      </c>
      <c r="AX65" s="100">
        <f>VLOOKUP(TableTERanks33433745[[#This Row],[Player]],TE!B:O,7,FALSE)</f>
        <v>0</v>
      </c>
      <c r="AY65" s="95">
        <f>VLOOKUP(TableTERanks33433745[[#This Row],[Player]],TE!B:O,11,FALSE)</f>
        <v>0</v>
      </c>
      <c r="AZ65" s="190">
        <f>TableTERanks33433745[[#This Row],[FPS]]-(TableTERanks33433745[[#This Row],[REC]]*0.5)</f>
        <v>0</v>
      </c>
    </row>
    <row r="66" spans="1:52" x14ac:dyDescent="0.25">
      <c r="A66" s="58">
        <v>65</v>
      </c>
      <c r="B66" s="58">
        <f>VLOOKUP(TableQBRanks30403438[[#This Row],[RK]],Rankings!A:T,3,FALSE)</f>
        <v>0</v>
      </c>
      <c r="C66" s="58" t="str">
        <f>IFERROR(INDEX(TableQBCalcPts[TM],MATCH(TableQBRanks30403438[[#This Row],[Player]],TableQBCalcPts[PLAYER],0)),"")</f>
        <v/>
      </c>
      <c r="D66" s="58" t="str">
        <f>IFERROR(INDEX(TableQBCalcPts[BYE],MATCH(TableQBRanks30403438[[#This Row],[Player]],TableQBCalcPts[PLAYER],0)),"")</f>
        <v/>
      </c>
      <c r="E66" s="100">
        <f>VLOOKUP(TableQBRanks30403438[[#This Row],[Player]],QB!B:O,4,FALSE)</f>
        <v>0</v>
      </c>
      <c r="F66" s="100">
        <f>VLOOKUP(TableQBRanks30403438[[#This Row],[Player]],QB!B:O,5,FALSE)</f>
        <v>0</v>
      </c>
      <c r="G66" s="100">
        <f>VLOOKUP(TableQBRanks30403438[[#This Row],[Player]],QB!B:O,6,FALSE)</f>
        <v>0</v>
      </c>
      <c r="H66" s="100">
        <f>VLOOKUP(TableQBRanks30403438[[#This Row],[Player]],QB!B:O,7,FALSE)</f>
        <v>0</v>
      </c>
      <c r="I66" s="100">
        <f>VLOOKUP(TableQBRanks30403438[[#This Row],[Player]],QB!B:O,8,FALSE)</f>
        <v>0</v>
      </c>
      <c r="J66" s="100">
        <f>VLOOKUP(TableQBRanks30403438[[#This Row],[Player]],QB!B:O,9,FALSE)</f>
        <v>0</v>
      </c>
      <c r="K66" s="100">
        <f>VLOOKUP(TableQBRanks30403438[[#This Row],[Player]],QB!B:O,10,FALSE)</f>
        <v>0</v>
      </c>
      <c r="L66" s="100">
        <f>VLOOKUP(TableQBRanks30403438[[#This Row],[Player]],QB!B:O,11,FALSE)</f>
        <v>0</v>
      </c>
      <c r="M66" s="95">
        <f>VLOOKUP(TableQBRanks30403438[[#This Row],[Player]],QB!B:O,13,FALSE)</f>
        <v>0</v>
      </c>
      <c r="N66" s="140" t="e">
        <f>IF(VLOOKUP(TableQBRanks30403438[[#This Row],[Player]],'Ranks w Proj'!$B:$N,13,FALSE)&lt;0,0,VLOOKUP(TableQBRanks30403438[[#This Row],[Player]],'Ranks w Proj'!$B:$N,13,FALSE))</f>
        <v>#N/A</v>
      </c>
      <c r="P66" s="58">
        <v>65</v>
      </c>
      <c r="Q66" s="58" t="str">
        <f>VLOOKUP(TableRBRanks31413539[[#This Row],[RK]],Rankings!A:AY,38,FALSE)</f>
        <v>Samaje Perine</v>
      </c>
      <c r="R66" s="58" t="str">
        <f>IFERROR(INDEX(TableRBCalcPts[TM],MATCH(TableRBRanks31413539[[#This Row],[Player]],TableRBCalcPts[PLAYER],0)),"")</f>
        <v>CIN</v>
      </c>
      <c r="S66" s="58">
        <f>IFERROR(INDEX(TableRBCalcPts[BYE],MATCH(TableRBRanks31413539[[#This Row],[Player]],TableRBCalcPts[PLAYER],0)),"")</f>
        <v>6</v>
      </c>
      <c r="T66" s="100">
        <f>VLOOKUP(TableRBRanks31413539[[#This Row],[Player]],RB!B:O,4,FALSE)</f>
        <v>86.934697499999999</v>
      </c>
      <c r="U66" s="100">
        <f>VLOOKUP(TableRBRanks31413539[[#This Row],[Player]],RB!B:O,5,FALSE)</f>
        <v>376.42724017500001</v>
      </c>
      <c r="V66" s="100">
        <f>VLOOKUP(TableRBRanks31413539[[#This Row],[Player]],RB!B:O,6,FALSE)</f>
        <v>2.640391754401255</v>
      </c>
      <c r="W66" s="100">
        <f>VLOOKUP(TableRBRanks31413539[[#This Row],[Player]],RB!B:O,7,FALSE)</f>
        <v>26.573925000000003</v>
      </c>
      <c r="X66" s="100">
        <f>VLOOKUP(TableRBRanks31413539[[#This Row],[Player]],RB!B:O,8,FALSE)</f>
        <v>22.322097000000003</v>
      </c>
      <c r="Y66" s="100">
        <f>VLOOKUP(TableRBRanks31413539[[#This Row],[Player]],RB!B:O,9,FALSE)</f>
        <v>149.47821969471161</v>
      </c>
      <c r="Z66" s="100">
        <f>VLOOKUP(TableRBRanks31413539[[#This Row],[Player]],RB!B:O,10,FALSE)</f>
        <v>1.0029674114089127</v>
      </c>
      <c r="AA66" s="95">
        <f>VLOOKUP(TableRBRanks31413539[[#This Row],[Player]],RB!B:O,14,FALSE)</f>
        <v>85.611749481832177</v>
      </c>
      <c r="AB66" s="190">
        <f>TableRBRanks31413539[[#This Row],[FPS]]-(TableRBRanks31413539[[#This Row],[REC]]*0.5)</f>
        <v>74.450700981832171</v>
      </c>
      <c r="AD66" s="58">
        <v>65</v>
      </c>
      <c r="AE66" s="58" t="str">
        <f>VLOOKUP(TableWRRanks32423644[[#This Row],[RK]],Rankings!A:AZ,43,FALSE)</f>
        <v>Stefon Diggs</v>
      </c>
      <c r="AF66" s="58" t="str">
        <f>IFERROR(INDEX(TableWRCalcPts[TM],MATCH(TableWRRanks32423644[[#This Row],[Player]],TableWRCalcPts[PLAYER],0)),"")</f>
        <v/>
      </c>
      <c r="AG66" s="58" t="str">
        <f>IFERROR(INDEX(TableWRCalcPts[BYE],MATCH(TableWRRanks32423644[[#This Row],[Player]],TableWRCalcPts[PLAYER],0)),"")</f>
        <v/>
      </c>
      <c r="AH66" s="100" t="e">
        <f>VLOOKUP(TableWRRanks32423644[[#This Row],[Player]],WR!B:O,4,FALSE)</f>
        <v>#N/A</v>
      </c>
      <c r="AI66" s="100" t="e">
        <f>VLOOKUP(TableWRRanks32423644[[#This Row],[Player]],WR!B:O,5,FALSE)</f>
        <v>#N/A</v>
      </c>
      <c r="AJ66" s="100" t="e">
        <f>VLOOKUP(TableWRRanks32423644[[#This Row],[Player]],WR!B:O,6,FALSE)</f>
        <v>#N/A</v>
      </c>
      <c r="AK66" s="100" t="e">
        <f>VLOOKUP(TableWRRanks32423644[[#This Row],[Player]],WR!B:O,7,FALSE)</f>
        <v>#N/A</v>
      </c>
      <c r="AL66" s="100" t="e">
        <f>VLOOKUP(TableWRRanks32423644[[#This Row],[Player]],WR!B:O,8,FALSE)</f>
        <v>#N/A</v>
      </c>
      <c r="AM66" s="100" t="e">
        <f>VLOOKUP(TableWRRanks32423644[[#This Row],[Player]],WR!B:O,9,FALSE)</f>
        <v>#N/A</v>
      </c>
      <c r="AN66" s="95" t="e">
        <f>VLOOKUP(TableWRRanks32423644[[#This Row],[Player]],WR!B:O,13,FALSE)</f>
        <v>#N/A</v>
      </c>
      <c r="AO66" s="190" t="e">
        <f>TableWRRanks32423644[[#This Row],[FPS]]-(TableWRRanks32423644[[#This Row],[REC]]*0.5)</f>
        <v>#N/A</v>
      </c>
      <c r="AQ66" s="58">
        <v>65</v>
      </c>
      <c r="AR66" s="58">
        <f>VLOOKUP(TableTERanks33433745[[#This Row],[RK]],Rankings!A:AZ,48,FALSE)</f>
        <v>0</v>
      </c>
      <c r="AS66" s="58" t="str">
        <f>IFERROR(INDEX(TableTECalcPts[TM],MATCH(TableTERanks33433745[[#This Row],[Player]],TableTECalcPts[PLAYER],0)),"")</f>
        <v/>
      </c>
      <c r="AT66" s="58" t="str">
        <f>IFERROR(INDEX(TableTECalcPts[BYE],MATCH(TableTERanks33433745[[#This Row],[Player]],TableTECalcPts[PLAYER],0)),"")</f>
        <v/>
      </c>
      <c r="AU66" s="100">
        <f>VLOOKUP(TableTERanks33433745[[#This Row],[Player]],TE!B:O,4,FALSE)</f>
        <v>0</v>
      </c>
      <c r="AV66" s="100">
        <f>VLOOKUP(TableTERanks33433745[[#This Row],[Player]],TE!B:O,5,FALSE)</f>
        <v>0</v>
      </c>
      <c r="AW66" s="100">
        <f>VLOOKUP(TableTERanks33433745[[#This Row],[Player]],TE!B:O,6,FALSE)</f>
        <v>0</v>
      </c>
      <c r="AX66" s="100">
        <f>VLOOKUP(TableTERanks33433745[[#This Row],[Player]],TE!B:O,7,FALSE)</f>
        <v>0</v>
      </c>
      <c r="AY66" s="95">
        <f>VLOOKUP(TableTERanks33433745[[#This Row],[Player]],TE!B:O,11,FALSE)</f>
        <v>0</v>
      </c>
      <c r="AZ66" s="190">
        <f>TableTERanks33433745[[#This Row],[FPS]]-(TableTERanks33433745[[#This Row],[REC]]*0.5)</f>
        <v>0</v>
      </c>
    </row>
    <row r="67" spans="1:52" x14ac:dyDescent="0.25">
      <c r="A67" s="58">
        <v>66</v>
      </c>
      <c r="B67" s="58">
        <f>VLOOKUP(TableQBRanks30403438[[#This Row],[RK]],Rankings!A:T,3,FALSE)</f>
        <v>0</v>
      </c>
      <c r="C67" s="58" t="str">
        <f>IFERROR(INDEX(TableQBCalcPts[TM],MATCH(TableQBRanks30403438[[#This Row],[Player]],TableQBCalcPts[PLAYER],0)),"")</f>
        <v/>
      </c>
      <c r="D67" s="58" t="str">
        <f>IFERROR(INDEX(TableQBCalcPts[BYE],MATCH(TableQBRanks30403438[[#This Row],[Player]],TableQBCalcPts[PLAYER],0)),"")</f>
        <v/>
      </c>
      <c r="E67" s="100">
        <f>VLOOKUP(TableQBRanks30403438[[#This Row],[Player]],QB!B:O,4,FALSE)</f>
        <v>0</v>
      </c>
      <c r="F67" s="100">
        <f>VLOOKUP(TableQBRanks30403438[[#This Row],[Player]],QB!B:O,5,FALSE)</f>
        <v>0</v>
      </c>
      <c r="G67" s="100">
        <f>VLOOKUP(TableQBRanks30403438[[#This Row],[Player]],QB!B:O,6,FALSE)</f>
        <v>0</v>
      </c>
      <c r="H67" s="100">
        <f>VLOOKUP(TableQBRanks30403438[[#This Row],[Player]],QB!B:O,7,FALSE)</f>
        <v>0</v>
      </c>
      <c r="I67" s="100">
        <f>VLOOKUP(TableQBRanks30403438[[#This Row],[Player]],QB!B:O,8,FALSE)</f>
        <v>0</v>
      </c>
      <c r="J67" s="100">
        <f>VLOOKUP(TableQBRanks30403438[[#This Row],[Player]],QB!B:O,9,FALSE)</f>
        <v>0</v>
      </c>
      <c r="K67" s="100">
        <f>VLOOKUP(TableQBRanks30403438[[#This Row],[Player]],QB!B:O,10,FALSE)</f>
        <v>0</v>
      </c>
      <c r="L67" s="100">
        <f>VLOOKUP(TableQBRanks30403438[[#This Row],[Player]],QB!B:O,11,FALSE)</f>
        <v>0</v>
      </c>
      <c r="M67" s="95">
        <f>VLOOKUP(TableQBRanks30403438[[#This Row],[Player]],QB!B:O,13,FALSE)</f>
        <v>0</v>
      </c>
      <c r="N67" s="140" t="e">
        <f>IF(VLOOKUP(TableQBRanks30403438[[#This Row],[Player]],'Ranks w Proj'!$B:$N,13,FALSE)&lt;0,0,VLOOKUP(TableQBRanks30403438[[#This Row],[Player]],'Ranks w Proj'!$B:$N,13,FALSE))</f>
        <v>#N/A</v>
      </c>
      <c r="P67" s="58">
        <v>66</v>
      </c>
      <c r="Q67" s="58" t="str">
        <f>VLOOKUP(TableRBRanks31413539[[#This Row],[RK]],Rankings!A:AY,38,FALSE)</f>
        <v>Jaydon Blue</v>
      </c>
      <c r="R67" s="58" t="str">
        <f>IFERROR(INDEX(TableRBCalcPts[TM],MATCH(TableRBRanks31413539[[#This Row],[Player]],TableRBCalcPts[PLAYER],0)),"")</f>
        <v>DAL</v>
      </c>
      <c r="S67" s="58">
        <f>IFERROR(INDEX(TableRBCalcPts[BYE],MATCH(TableRBRanks31413539[[#This Row],[Player]],TableRBCalcPts[PLAYER],0)),"")</f>
        <v>14</v>
      </c>
      <c r="T67" s="100">
        <f>VLOOKUP(TableRBRanks31413539[[#This Row],[Player]],RB!B:O,4,FALSE)</f>
        <v>49.580674500000008</v>
      </c>
      <c r="U67" s="100">
        <f>VLOOKUP(TableRBRanks31413539[[#This Row],[Player]],RB!B:O,5,FALSE)</f>
        <v>203.77657219500006</v>
      </c>
      <c r="V67" s="100">
        <f>VLOOKUP(TableRBRanks31413539[[#This Row],[Player]],RB!B:O,6,FALSE)</f>
        <v>1.4378395605000003</v>
      </c>
      <c r="W67" s="100">
        <f>VLOOKUP(TableRBRanks31413539[[#This Row],[Player]],RB!B:O,7,FALSE)</f>
        <v>19.891202099999997</v>
      </c>
      <c r="X67" s="100">
        <f>VLOOKUP(TableRBRanks31413539[[#This Row],[Player]],RB!B:O,8,FALSE)</f>
        <v>13.289416813547367</v>
      </c>
      <c r="Y67" s="100">
        <f>VLOOKUP(TableRBRanks31413539[[#This Row],[Player]],RB!B:O,9,FALSE)</f>
        <v>87.045680128735256</v>
      </c>
      <c r="Z67" s="100">
        <f>VLOOKUP(TableRBRanks31413539[[#This Row],[Player]],RB!B:O,10,FALSE)</f>
        <v>0.3189460035251368</v>
      </c>
      <c r="AA67" s="95">
        <f>VLOOKUP(TableRBRanks31413539[[#This Row],[Player]],RB!B:O,14,FALSE)</f>
        <v>46.267647023298039</v>
      </c>
      <c r="AB67" s="190">
        <f>TableRBRanks31413539[[#This Row],[FPS]]-(TableRBRanks31413539[[#This Row],[REC]]*0.5)</f>
        <v>39.622938616524358</v>
      </c>
      <c r="AD67" s="58">
        <v>66</v>
      </c>
      <c r="AE67" s="58" t="str">
        <f>VLOOKUP(TableWRRanks32423644[[#This Row],[RK]],Rankings!A:AZ,43,FALSE)</f>
        <v>Jack Bech</v>
      </c>
      <c r="AF67" s="58" t="str">
        <f>IFERROR(INDEX(TableWRCalcPts[TM],MATCH(TableWRRanks32423644[[#This Row],[Player]],TableWRCalcPts[PLAYER],0)),"")</f>
        <v>LV</v>
      </c>
      <c r="AG67" s="58">
        <f>IFERROR(INDEX(TableWRCalcPts[BYE],MATCH(TableWRRanks32423644[[#This Row],[Player]],TableWRCalcPts[PLAYER],0)),"")</f>
        <v>13</v>
      </c>
      <c r="AH67" s="100">
        <f>VLOOKUP(TableWRRanks32423644[[#This Row],[Player]],WR!B:O,4,FALSE)</f>
        <v>0</v>
      </c>
      <c r="AI67" s="100">
        <f>VLOOKUP(TableWRRanks32423644[[#This Row],[Player]],WR!B:O,5,FALSE)</f>
        <v>0</v>
      </c>
      <c r="AJ67" s="100">
        <f>VLOOKUP(TableWRRanks32423644[[#This Row],[Player]],WR!B:O,6,FALSE)</f>
        <v>81.100676159999992</v>
      </c>
      <c r="AK67" s="100">
        <f>VLOOKUP(TableWRRanks32423644[[#This Row],[Player]],WR!B:O,7,FALSE)</f>
        <v>51.661130713919995</v>
      </c>
      <c r="AL67" s="100">
        <f>VLOOKUP(TableWRRanks32423644[[#This Row],[Player]],WR!B:O,8,FALSE)</f>
        <v>568.78904916025908</v>
      </c>
      <c r="AM67" s="100">
        <f>VLOOKUP(TableWRRanks32423644[[#This Row],[Player]],WR!B:O,9,FALSE)</f>
        <v>3.0996678428351996</v>
      </c>
      <c r="AN67" s="95">
        <f>VLOOKUP(TableWRRanks32423644[[#This Row],[Player]],WR!B:O,13,FALSE)</f>
        <v>101.30747732999711</v>
      </c>
      <c r="AO67" s="190">
        <f>TableWRRanks32423644[[#This Row],[FPS]]-(TableWRRanks32423644[[#This Row],[REC]]*0.5)</f>
        <v>75.476911973037119</v>
      </c>
      <c r="AQ67" s="58">
        <v>66</v>
      </c>
      <c r="AR67" s="58">
        <f>VLOOKUP(TableTERanks33433745[[#This Row],[RK]],Rankings!A:AZ,48,FALSE)</f>
        <v>0</v>
      </c>
      <c r="AS67" s="58" t="str">
        <f>IFERROR(INDEX(TableTECalcPts[TM],MATCH(TableTERanks33433745[[#This Row],[Player]],TableTECalcPts[PLAYER],0)),"")</f>
        <v/>
      </c>
      <c r="AT67" s="58" t="str">
        <f>IFERROR(INDEX(TableTECalcPts[BYE],MATCH(TableTERanks33433745[[#This Row],[Player]],TableTECalcPts[PLAYER],0)),"")</f>
        <v/>
      </c>
      <c r="AU67" s="100">
        <f>VLOOKUP(TableTERanks33433745[[#This Row],[Player]],TE!B:O,4,FALSE)</f>
        <v>0</v>
      </c>
      <c r="AV67" s="100">
        <f>VLOOKUP(TableTERanks33433745[[#This Row],[Player]],TE!B:O,5,FALSE)</f>
        <v>0</v>
      </c>
      <c r="AW67" s="100">
        <f>VLOOKUP(TableTERanks33433745[[#This Row],[Player]],TE!B:O,6,FALSE)</f>
        <v>0</v>
      </c>
      <c r="AX67" s="100">
        <f>VLOOKUP(TableTERanks33433745[[#This Row],[Player]],TE!B:O,7,FALSE)</f>
        <v>0</v>
      </c>
      <c r="AY67" s="95">
        <f>VLOOKUP(TableTERanks33433745[[#This Row],[Player]],TE!B:O,11,FALSE)</f>
        <v>0</v>
      </c>
      <c r="AZ67" s="190">
        <f>TableTERanks33433745[[#This Row],[FPS]]-(TableTERanks33433745[[#This Row],[REC]]*0.5)</f>
        <v>0</v>
      </c>
    </row>
    <row r="68" spans="1:52" x14ac:dyDescent="0.25">
      <c r="A68" s="58">
        <v>67</v>
      </c>
      <c r="B68" s="58">
        <f>VLOOKUP(TableQBRanks30403438[[#This Row],[RK]],Rankings!A:T,3,FALSE)</f>
        <v>0</v>
      </c>
      <c r="C68" s="58" t="str">
        <f>IFERROR(INDEX(TableQBCalcPts[TM],MATCH(TableQBRanks30403438[[#This Row],[Player]],TableQBCalcPts[PLAYER],0)),"")</f>
        <v/>
      </c>
      <c r="D68" s="58" t="str">
        <f>IFERROR(INDEX(TableQBCalcPts[BYE],MATCH(TableQBRanks30403438[[#This Row],[Player]],TableQBCalcPts[PLAYER],0)),"")</f>
        <v/>
      </c>
      <c r="E68" s="100">
        <f>VLOOKUP(TableQBRanks30403438[[#This Row],[Player]],QB!B:O,4,FALSE)</f>
        <v>0</v>
      </c>
      <c r="F68" s="100">
        <f>VLOOKUP(TableQBRanks30403438[[#This Row],[Player]],QB!B:O,5,FALSE)</f>
        <v>0</v>
      </c>
      <c r="G68" s="100">
        <f>VLOOKUP(TableQBRanks30403438[[#This Row],[Player]],QB!B:O,6,FALSE)</f>
        <v>0</v>
      </c>
      <c r="H68" s="100">
        <f>VLOOKUP(TableQBRanks30403438[[#This Row],[Player]],QB!B:O,7,FALSE)</f>
        <v>0</v>
      </c>
      <c r="I68" s="100">
        <f>VLOOKUP(TableQBRanks30403438[[#This Row],[Player]],QB!B:O,8,FALSE)</f>
        <v>0</v>
      </c>
      <c r="J68" s="100">
        <f>VLOOKUP(TableQBRanks30403438[[#This Row],[Player]],QB!B:O,9,FALSE)</f>
        <v>0</v>
      </c>
      <c r="K68" s="100">
        <f>VLOOKUP(TableQBRanks30403438[[#This Row],[Player]],QB!B:O,10,FALSE)</f>
        <v>0</v>
      </c>
      <c r="L68" s="100">
        <f>VLOOKUP(TableQBRanks30403438[[#This Row],[Player]],QB!B:O,11,FALSE)</f>
        <v>0</v>
      </c>
      <c r="M68" s="95">
        <f>VLOOKUP(TableQBRanks30403438[[#This Row],[Player]],QB!B:O,13,FALSE)</f>
        <v>0</v>
      </c>
      <c r="N68" s="140" t="e">
        <f>IF(VLOOKUP(TableQBRanks30403438[[#This Row],[Player]],'Ranks w Proj'!$B:$N,13,FALSE)&lt;0,0,VLOOKUP(TableQBRanks30403438[[#This Row],[Player]],'Ranks w Proj'!$B:$N,13,FALSE))</f>
        <v>#N/A</v>
      </c>
      <c r="P68" s="58">
        <v>67</v>
      </c>
      <c r="Q68" s="58" t="str">
        <f>VLOOKUP(TableRBRanks31413539[[#This Row],[RK]],Rankings!A:AY,38,FALSE)</f>
        <v>Kaelon Black</v>
      </c>
      <c r="R68" s="58" t="str">
        <f>IFERROR(INDEX(TableRBCalcPts[TM],MATCH(TableRBRanks31413539[[#This Row],[Player]],TableRBCalcPts[PLAYER],0)),"")</f>
        <v>SF</v>
      </c>
      <c r="S68" s="58">
        <f>IFERROR(INDEX(TableRBCalcPts[BYE],MATCH(TableRBRanks31413539[[#This Row],[Player]],TableRBCalcPts[PLAYER],0)),"")</f>
        <v>8</v>
      </c>
      <c r="T68" s="100">
        <f>VLOOKUP(TableRBRanks31413539[[#This Row],[Player]],RB!B:O,4,FALSE)</f>
        <v>67.384956799999983</v>
      </c>
      <c r="U68" s="100">
        <f>VLOOKUP(TableRBRanks31413539[[#This Row],[Player]],RB!B:O,5,FALSE)</f>
        <v>274.25677417599996</v>
      </c>
      <c r="V68" s="100">
        <f>VLOOKUP(TableRBRanks31413539[[#This Row],[Player]],RB!B:O,6,FALSE)</f>
        <v>1.8222914794566203</v>
      </c>
      <c r="W68" s="100">
        <f>VLOOKUP(TableRBRanks31413539[[#This Row],[Player]],RB!B:O,7,FALSE)</f>
        <v>5.3683616000000001</v>
      </c>
      <c r="X68" s="100">
        <f>VLOOKUP(TableRBRanks31413539[[#This Row],[Player]],RB!B:O,8,FALSE)</f>
        <v>3.9618508607999998</v>
      </c>
      <c r="Y68" s="100">
        <f>VLOOKUP(TableRBRanks31413539[[#This Row],[Player]],RB!B:O,9,FALSE)</f>
        <v>27.970667077247999</v>
      </c>
      <c r="Z68" s="100">
        <f>VLOOKUP(TableRBRanks31413539[[#This Row],[Player]],RB!B:O,10,FALSE)</f>
        <v>0.10531314530767501</v>
      </c>
      <c r="AA68" s="95">
        <f>VLOOKUP(TableRBRanks31413539[[#This Row],[Player]],RB!B:O,14,FALSE)</f>
        <v>43.76929730431057</v>
      </c>
      <c r="AB68" s="190">
        <f>TableRBRanks31413539[[#This Row],[FPS]]-(TableRBRanks31413539[[#This Row],[REC]]*0.5)</f>
        <v>41.78837187391057</v>
      </c>
      <c r="AD68" s="58">
        <v>67</v>
      </c>
      <c r="AE68" s="58" t="str">
        <f>VLOOKUP(TableWRRanks32423644[[#This Row],[RK]],Rankings!A:AZ,43,FALSE)</f>
        <v>KC Concepcion</v>
      </c>
      <c r="AF68" s="58" t="str">
        <f>IFERROR(INDEX(TableWRCalcPts[TM],MATCH(TableWRRanks32423644[[#This Row],[Player]],TableWRCalcPts[PLAYER],0)),"")</f>
        <v>CLE</v>
      </c>
      <c r="AG68" s="58">
        <f>IFERROR(INDEX(TableWRCalcPts[BYE],MATCH(TableWRRanks32423644[[#This Row],[Player]],TableWRCalcPts[PLAYER],0)),"")</f>
        <v>11</v>
      </c>
      <c r="AH68" s="100">
        <f>VLOOKUP(TableWRRanks32423644[[#This Row],[Player]],WR!B:O,4,FALSE)</f>
        <v>27.958043076923079</v>
      </c>
      <c r="AI68" s="100">
        <f>VLOOKUP(TableWRRanks32423644[[#This Row],[Player]],WR!B:O,5,FALSE)</f>
        <v>7.7661230769230774E-2</v>
      </c>
      <c r="AJ68" s="100">
        <f>VLOOKUP(TableWRRanks32423644[[#This Row],[Player]],WR!B:O,6,FALSE)</f>
        <v>80.157924000000008</v>
      </c>
      <c r="AK68" s="100">
        <f>VLOOKUP(TableWRRanks32423644[[#This Row],[Player]],WR!B:O,7,FALSE)</f>
        <v>44.167016124000007</v>
      </c>
      <c r="AL68" s="100">
        <f>VLOOKUP(TableWRRanks32423644[[#This Row],[Player]],WR!B:O,8,FALSE)</f>
        <v>571.46108318056611</v>
      </c>
      <c r="AM68" s="100">
        <f>VLOOKUP(TableWRRanks32423644[[#This Row],[Player]],WR!B:O,9,FALSE)</f>
        <v>2.9150230641840005</v>
      </c>
      <c r="AN68" s="95">
        <f>VLOOKUP(TableWRRanks32423644[[#This Row],[Player]],WR!B:O,13,FALSE)</f>
        <v>99.98152645746832</v>
      </c>
      <c r="AO68" s="190">
        <f>TableWRRanks32423644[[#This Row],[FPS]]-(TableWRRanks32423644[[#This Row],[REC]]*0.5)</f>
        <v>77.898018395468313</v>
      </c>
      <c r="AQ68" s="58">
        <v>67</v>
      </c>
      <c r="AR68" s="58">
        <f>VLOOKUP(TableTERanks33433745[[#This Row],[RK]],Rankings!A:AZ,48,FALSE)</f>
        <v>0</v>
      </c>
      <c r="AS68" s="58" t="str">
        <f>IFERROR(INDEX(TableTECalcPts[TM],MATCH(TableTERanks33433745[[#This Row],[Player]],TableTECalcPts[PLAYER],0)),"")</f>
        <v/>
      </c>
      <c r="AT68" s="58" t="str">
        <f>IFERROR(INDEX(TableTECalcPts[BYE],MATCH(TableTERanks33433745[[#This Row],[Player]],TableTECalcPts[PLAYER],0)),"")</f>
        <v/>
      </c>
      <c r="AU68" s="100">
        <f>VLOOKUP(TableTERanks33433745[[#This Row],[Player]],TE!B:O,4,FALSE)</f>
        <v>0</v>
      </c>
      <c r="AV68" s="100">
        <f>VLOOKUP(TableTERanks33433745[[#This Row],[Player]],TE!B:O,5,FALSE)</f>
        <v>0</v>
      </c>
      <c r="AW68" s="100">
        <f>VLOOKUP(TableTERanks33433745[[#This Row],[Player]],TE!B:O,6,FALSE)</f>
        <v>0</v>
      </c>
      <c r="AX68" s="100">
        <f>VLOOKUP(TableTERanks33433745[[#This Row],[Player]],TE!B:O,7,FALSE)</f>
        <v>0</v>
      </c>
      <c r="AY68" s="95">
        <f>VLOOKUP(TableTERanks33433745[[#This Row],[Player]],TE!B:O,11,FALSE)</f>
        <v>0</v>
      </c>
      <c r="AZ68" s="190">
        <f>TableTERanks33433745[[#This Row],[FPS]]-(TableTERanks33433745[[#This Row],[REC]]*0.5)</f>
        <v>0</v>
      </c>
    </row>
    <row r="69" spans="1:52" x14ac:dyDescent="0.25">
      <c r="A69" s="58">
        <v>68</v>
      </c>
      <c r="B69" s="58">
        <f>VLOOKUP(TableQBRanks30403438[[#This Row],[RK]],Rankings!A:T,3,FALSE)</f>
        <v>0</v>
      </c>
      <c r="C69" s="58" t="str">
        <f>IFERROR(INDEX(TableQBCalcPts[TM],MATCH(TableQBRanks30403438[[#This Row],[Player]],TableQBCalcPts[PLAYER],0)),"")</f>
        <v/>
      </c>
      <c r="D69" s="58" t="str">
        <f>IFERROR(INDEX(TableQBCalcPts[BYE],MATCH(TableQBRanks30403438[[#This Row],[Player]],TableQBCalcPts[PLAYER],0)),"")</f>
        <v/>
      </c>
      <c r="E69" s="100">
        <f>VLOOKUP(TableQBRanks30403438[[#This Row],[Player]],QB!B:O,4,FALSE)</f>
        <v>0</v>
      </c>
      <c r="F69" s="100">
        <f>VLOOKUP(TableQBRanks30403438[[#This Row],[Player]],QB!B:O,5,FALSE)</f>
        <v>0</v>
      </c>
      <c r="G69" s="100">
        <f>VLOOKUP(TableQBRanks30403438[[#This Row],[Player]],QB!B:O,6,FALSE)</f>
        <v>0</v>
      </c>
      <c r="H69" s="100">
        <f>VLOOKUP(TableQBRanks30403438[[#This Row],[Player]],QB!B:O,7,FALSE)</f>
        <v>0</v>
      </c>
      <c r="I69" s="100">
        <f>VLOOKUP(TableQBRanks30403438[[#This Row],[Player]],QB!B:O,8,FALSE)</f>
        <v>0</v>
      </c>
      <c r="J69" s="100">
        <f>VLOOKUP(TableQBRanks30403438[[#This Row],[Player]],QB!B:O,9,FALSE)</f>
        <v>0</v>
      </c>
      <c r="K69" s="100">
        <f>VLOOKUP(TableQBRanks30403438[[#This Row],[Player]],QB!B:O,10,FALSE)</f>
        <v>0</v>
      </c>
      <c r="L69" s="100">
        <f>VLOOKUP(TableQBRanks30403438[[#This Row],[Player]],QB!B:O,11,FALSE)</f>
        <v>0</v>
      </c>
      <c r="M69" s="95">
        <f>VLOOKUP(TableQBRanks30403438[[#This Row],[Player]],QB!B:O,13,FALSE)</f>
        <v>0</v>
      </c>
      <c r="N69" s="140" t="e">
        <f>IF(VLOOKUP(TableQBRanks30403438[[#This Row],[Player]],'Ranks w Proj'!$B:$N,13,FALSE)&lt;0,0,VLOOKUP(TableQBRanks30403438[[#This Row],[Player]],'Ranks w Proj'!$B:$N,13,FALSE))</f>
        <v>#N/A</v>
      </c>
      <c r="P69" s="58">
        <v>68</v>
      </c>
      <c r="Q69" s="58" t="str">
        <f>VLOOKUP(TableRBRanks31413539[[#This Row],[RK]],Rankings!A:AY,38,FALSE)</f>
        <v>Demond Claiborne</v>
      </c>
      <c r="R69" s="58" t="str">
        <f>IFERROR(INDEX(TableRBCalcPts[TM],MATCH(TableRBRanks31413539[[#This Row],[Player]],TableRBCalcPts[PLAYER],0)),"")</f>
        <v>MIN</v>
      </c>
      <c r="S69" s="58">
        <f>IFERROR(INDEX(TableRBCalcPts[BYE],MATCH(TableRBRanks31413539[[#This Row],[Player]],TableRBCalcPts[PLAYER],0)),"")</f>
        <v>6</v>
      </c>
      <c r="T69" s="100">
        <f>VLOOKUP(TableRBRanks31413539[[#This Row],[Player]],RB!B:O,4,FALSE)</f>
        <v>30.20551296</v>
      </c>
      <c r="U69" s="100">
        <f>VLOOKUP(TableRBRanks31413539[[#This Row],[Player]],RB!B:O,5,FALSE)</f>
        <v>129.05991901090908</v>
      </c>
      <c r="V69" s="100">
        <f>VLOOKUP(TableRBRanks31413539[[#This Row],[Player]],RB!B:O,6,FALSE)</f>
        <v>0.99678192768000007</v>
      </c>
      <c r="W69" s="100">
        <f>VLOOKUP(TableRBRanks31413539[[#This Row],[Player]],RB!B:O,7,FALSE)</f>
        <v>21.726772480000001</v>
      </c>
      <c r="X69" s="100">
        <f>VLOOKUP(TableRBRanks31413539[[#This Row],[Player]],RB!B:O,8,FALSE)</f>
        <v>17.012062851840003</v>
      </c>
      <c r="Y69" s="100">
        <f>VLOOKUP(TableRBRanks31413539[[#This Row],[Player]],RB!B:O,9,FALSE)</f>
        <v>112.27961482214401</v>
      </c>
      <c r="Z69" s="100">
        <f>VLOOKUP(TableRBRanks31413539[[#This Row],[Player]],RB!B:O,10,FALSE)</f>
        <v>0.51036188555520012</v>
      </c>
      <c r="AA69" s="95">
        <f>VLOOKUP(TableRBRanks31413539[[#This Row],[Player]],RB!B:O,14,FALSE)</f>
        <v>41.682847688636514</v>
      </c>
      <c r="AB69" s="190">
        <f>TableRBRanks31413539[[#This Row],[FPS]]-(TableRBRanks31413539[[#This Row],[REC]]*0.5)</f>
        <v>33.176816262716514</v>
      </c>
      <c r="AD69" s="58">
        <v>68</v>
      </c>
      <c r="AE69" s="58" t="str">
        <f>VLOOKUP(TableWRRanks32423644[[#This Row],[RK]],Rankings!A:AZ,43,FALSE)</f>
        <v>Isaac TeSlaa</v>
      </c>
      <c r="AF69" s="58" t="str">
        <f>IFERROR(INDEX(TableWRCalcPts[TM],MATCH(TableWRRanks32423644[[#This Row],[Player]],TableWRCalcPts[PLAYER],0)),"")</f>
        <v>DET</v>
      </c>
      <c r="AG69" s="58">
        <f>IFERROR(INDEX(TableWRCalcPts[BYE],MATCH(TableWRRanks32423644[[#This Row],[Player]],TableWRCalcPts[PLAYER],0)),"")</f>
        <v>6</v>
      </c>
      <c r="AH69" s="100">
        <f>VLOOKUP(TableWRRanks32423644[[#This Row],[Player]],WR!B:O,4,FALSE)</f>
        <v>0</v>
      </c>
      <c r="AI69" s="100">
        <f>VLOOKUP(TableWRRanks32423644[[#This Row],[Player]],WR!B:O,5,FALSE)</f>
        <v>0</v>
      </c>
      <c r="AJ69" s="100">
        <f>VLOOKUP(TableWRRanks32423644[[#This Row],[Player]],WR!B:O,6,FALSE)</f>
        <v>48.589262399999996</v>
      </c>
      <c r="AK69" s="100">
        <f>VLOOKUP(TableWRRanks32423644[[#This Row],[Player]],WR!B:O,7,FALSE)</f>
        <v>32.726917171199993</v>
      </c>
      <c r="AL69" s="100">
        <f>VLOOKUP(TableWRRanks32423644[[#This Row],[Player]],WR!B:O,8,FALSE)</f>
        <v>451.63145696255992</v>
      </c>
      <c r="AM69" s="100">
        <f>VLOOKUP(TableWRRanks32423644[[#This Row],[Player]],WR!B:O,9,FALSE)</f>
        <v>4.5490414867967992</v>
      </c>
      <c r="AN69" s="95">
        <f>VLOOKUP(TableWRRanks32423644[[#This Row],[Player]],WR!B:O,13,FALSE)</f>
        <v>88.820853202636783</v>
      </c>
      <c r="AO69" s="190">
        <f>TableWRRanks32423644[[#This Row],[FPS]]-(TableWRRanks32423644[[#This Row],[REC]]*0.5)</f>
        <v>72.457394617036783</v>
      </c>
      <c r="AQ69" s="58">
        <v>68</v>
      </c>
      <c r="AR69" s="58">
        <f>VLOOKUP(TableTERanks33433745[[#This Row],[RK]],Rankings!A:AZ,48,FALSE)</f>
        <v>0</v>
      </c>
      <c r="AS69" s="58" t="str">
        <f>IFERROR(INDEX(TableTECalcPts[TM],MATCH(TableTERanks33433745[[#This Row],[Player]],TableTECalcPts[PLAYER],0)),"")</f>
        <v/>
      </c>
      <c r="AT69" s="58" t="str">
        <f>IFERROR(INDEX(TableTECalcPts[BYE],MATCH(TableTERanks33433745[[#This Row],[Player]],TableTECalcPts[PLAYER],0)),"")</f>
        <v/>
      </c>
      <c r="AU69" s="100">
        <f>VLOOKUP(TableTERanks33433745[[#This Row],[Player]],TE!B:O,4,FALSE)</f>
        <v>0</v>
      </c>
      <c r="AV69" s="100">
        <f>VLOOKUP(TableTERanks33433745[[#This Row],[Player]],TE!B:O,5,FALSE)</f>
        <v>0</v>
      </c>
      <c r="AW69" s="100">
        <f>VLOOKUP(TableTERanks33433745[[#This Row],[Player]],TE!B:O,6,FALSE)</f>
        <v>0</v>
      </c>
      <c r="AX69" s="100">
        <f>VLOOKUP(TableTERanks33433745[[#This Row],[Player]],TE!B:O,7,FALSE)</f>
        <v>0</v>
      </c>
      <c r="AY69" s="95">
        <f>VLOOKUP(TableTERanks33433745[[#This Row],[Player]],TE!B:O,11,FALSE)</f>
        <v>0</v>
      </c>
      <c r="AZ69" s="190">
        <f>TableTERanks33433745[[#This Row],[FPS]]-(TableTERanks33433745[[#This Row],[REC]]*0.5)</f>
        <v>0</v>
      </c>
    </row>
    <row r="70" spans="1:52" x14ac:dyDescent="0.25">
      <c r="A70" s="58">
        <v>69</v>
      </c>
      <c r="B70" s="58">
        <f>VLOOKUP(TableQBRanks30403438[[#This Row],[RK]],Rankings!A:T,3,FALSE)</f>
        <v>0</v>
      </c>
      <c r="C70" s="58" t="str">
        <f>IFERROR(INDEX(TableQBCalcPts[TM],MATCH(TableQBRanks30403438[[#This Row],[Player]],TableQBCalcPts[PLAYER],0)),"")</f>
        <v/>
      </c>
      <c r="D70" s="58" t="str">
        <f>IFERROR(INDEX(TableQBCalcPts[BYE],MATCH(TableQBRanks30403438[[#This Row],[Player]],TableQBCalcPts[PLAYER],0)),"")</f>
        <v/>
      </c>
      <c r="E70" s="100">
        <f>VLOOKUP(TableQBRanks30403438[[#This Row],[Player]],QB!B:O,4,FALSE)</f>
        <v>0</v>
      </c>
      <c r="F70" s="100">
        <f>VLOOKUP(TableQBRanks30403438[[#This Row],[Player]],QB!B:O,5,FALSE)</f>
        <v>0</v>
      </c>
      <c r="G70" s="100">
        <f>VLOOKUP(TableQBRanks30403438[[#This Row],[Player]],QB!B:O,6,FALSE)</f>
        <v>0</v>
      </c>
      <c r="H70" s="100">
        <f>VLOOKUP(TableQBRanks30403438[[#This Row],[Player]],QB!B:O,7,FALSE)</f>
        <v>0</v>
      </c>
      <c r="I70" s="100">
        <f>VLOOKUP(TableQBRanks30403438[[#This Row],[Player]],QB!B:O,8,FALSE)</f>
        <v>0</v>
      </c>
      <c r="J70" s="100">
        <f>VLOOKUP(TableQBRanks30403438[[#This Row],[Player]],QB!B:O,9,FALSE)</f>
        <v>0</v>
      </c>
      <c r="K70" s="100">
        <f>VLOOKUP(TableQBRanks30403438[[#This Row],[Player]],QB!B:O,10,FALSE)</f>
        <v>0</v>
      </c>
      <c r="L70" s="100">
        <f>VLOOKUP(TableQBRanks30403438[[#This Row],[Player]],QB!B:O,11,FALSE)</f>
        <v>0</v>
      </c>
      <c r="M70" s="95">
        <f>VLOOKUP(TableQBRanks30403438[[#This Row],[Player]],QB!B:O,13,FALSE)</f>
        <v>0</v>
      </c>
      <c r="N70" s="140" t="e">
        <f>IF(VLOOKUP(TableQBRanks30403438[[#This Row],[Player]],'Ranks w Proj'!$B:$N,13,FALSE)&lt;0,0,VLOOKUP(TableQBRanks30403438[[#This Row],[Player]],'Ranks w Proj'!$B:$N,13,FALSE))</f>
        <v>#N/A</v>
      </c>
      <c r="P70" s="58">
        <v>69</v>
      </c>
      <c r="Q70" s="58" t="str">
        <f>VLOOKUP(TableRBRanks31413539[[#This Row],[RK]],Rankings!A:AY,38,FALSE)</f>
        <v>Chris Brooks</v>
      </c>
      <c r="R70" s="58" t="str">
        <f>IFERROR(INDEX(TableRBCalcPts[TM],MATCH(TableRBRanks31413539[[#This Row],[Player]],TableRBCalcPts[PLAYER],0)),"")</f>
        <v>GB</v>
      </c>
      <c r="S70" s="58">
        <f>IFERROR(INDEX(TableRBCalcPts[BYE],MATCH(TableRBRanks31413539[[#This Row],[Player]],TableRBCalcPts[PLAYER],0)),"")</f>
        <v>11</v>
      </c>
      <c r="T70" s="100">
        <f>VLOOKUP(TableRBRanks31413539[[#This Row],[Player]],RB!B:O,4,FALSE)</f>
        <v>41.973403919999996</v>
      </c>
      <c r="U70" s="100">
        <f>VLOOKUP(TableRBRanks31413539[[#This Row],[Player]],RB!B:O,5,FALSE)</f>
        <v>173.76610074907819</v>
      </c>
      <c r="V70" s="100">
        <f>VLOOKUP(TableRBRanks31413539[[#This Row],[Player]],RB!B:O,6,FALSE)</f>
        <v>1.1752553097599998</v>
      </c>
      <c r="W70" s="100">
        <f>VLOOKUP(TableRBRanks31413539[[#This Row],[Player]],RB!B:O,7,FALSE)</f>
        <v>12.000884984924623</v>
      </c>
      <c r="X70" s="100">
        <f>VLOOKUP(TableRBRanks31413539[[#This Row],[Player]],RB!B:O,8,FALSE)</f>
        <v>10.15849271057235</v>
      </c>
      <c r="Y70" s="100">
        <f>VLOOKUP(TableRBRanks31413539[[#This Row],[Player]],RB!B:O,9,FALSE)</f>
        <v>67.242907432196887</v>
      </c>
      <c r="Z70" s="100">
        <f>VLOOKUP(TableRBRanks31413539[[#This Row],[Player]],RB!B:O,10,FALSE)</f>
        <v>0.30238127295348538</v>
      </c>
      <c r="AA70" s="95">
        <f>VLOOKUP(TableRBRanks31413539[[#This Row],[Player]],RB!B:O,14,FALSE)</f>
        <v>38.045966669694593</v>
      </c>
      <c r="AB70" s="190">
        <f>TableRBRanks31413539[[#This Row],[FPS]]-(TableRBRanks31413539[[#This Row],[REC]]*0.5)</f>
        <v>32.96672031440842</v>
      </c>
      <c r="AD70" s="58">
        <v>69</v>
      </c>
      <c r="AE70" s="58" t="str">
        <f>VLOOKUP(TableWRRanks32423644[[#This Row],[RK]],Rankings!A:AZ,43,FALSE)</f>
        <v>Tre Tucker</v>
      </c>
      <c r="AF70" s="58" t="str">
        <f>IFERROR(INDEX(TableWRCalcPts[TM],MATCH(TableWRRanks32423644[[#This Row],[Player]],TableWRCalcPts[PLAYER],0)),"")</f>
        <v>LV</v>
      </c>
      <c r="AG70" s="58">
        <f>IFERROR(INDEX(TableWRCalcPts[BYE],MATCH(TableWRRanks32423644[[#This Row],[Player]],TableWRCalcPts[PLAYER],0)),"")</f>
        <v>13</v>
      </c>
      <c r="AH70" s="100">
        <f>VLOOKUP(TableWRRanks32423644[[#This Row],[Player]],WR!B:O,4,FALSE)</f>
        <v>67.796032603549392</v>
      </c>
      <c r="AI70" s="100">
        <f>VLOOKUP(TableWRRanks32423644[[#This Row],[Player]],WR!B:O,5,FALSE)</f>
        <v>0.10898982799104459</v>
      </c>
      <c r="AJ70" s="100">
        <f>VLOOKUP(TableWRRanks32423644[[#This Row],[Player]],WR!B:O,6,FALSE)</f>
        <v>70.758979200000013</v>
      </c>
      <c r="AK70" s="100">
        <f>VLOOKUP(TableWRRanks32423644[[#This Row],[Player]],WR!B:O,7,FALSE)</f>
        <v>40.615654060800004</v>
      </c>
      <c r="AL70" s="100">
        <f>VLOOKUP(TableWRRanks32423644[[#This Row],[Player]],WR!B:O,8,FALSE)</f>
        <v>482.92012678291206</v>
      </c>
      <c r="AM70" s="100">
        <f>VLOOKUP(TableWRRanks32423644[[#This Row],[Player]],WR!B:O,9,FALSE)</f>
        <v>2.7212488220736004</v>
      </c>
      <c r="AN70" s="95">
        <f>VLOOKUP(TableWRRanks32423644[[#This Row],[Player]],WR!B:O,13,FALSE)</f>
        <v>92.360874869434014</v>
      </c>
      <c r="AO70" s="190">
        <f>TableWRRanks32423644[[#This Row],[FPS]]-(TableWRRanks32423644[[#This Row],[REC]]*0.5)</f>
        <v>72.053047839034008</v>
      </c>
      <c r="AQ70" s="58">
        <v>69</v>
      </c>
      <c r="AR70" s="58">
        <f>VLOOKUP(TableTERanks33433745[[#This Row],[RK]],Rankings!A:AZ,48,FALSE)</f>
        <v>0</v>
      </c>
      <c r="AS70" s="58" t="str">
        <f>IFERROR(INDEX(TableTECalcPts[TM],MATCH(TableTERanks33433745[[#This Row],[Player]],TableTECalcPts[PLAYER],0)),"")</f>
        <v/>
      </c>
      <c r="AT70" s="58" t="str">
        <f>IFERROR(INDEX(TableTECalcPts[BYE],MATCH(TableTERanks33433745[[#This Row],[Player]],TableTECalcPts[PLAYER],0)),"")</f>
        <v/>
      </c>
      <c r="AU70" s="100">
        <f>VLOOKUP(TableTERanks33433745[[#This Row],[Player]],TE!B:O,4,FALSE)</f>
        <v>0</v>
      </c>
      <c r="AV70" s="100">
        <f>VLOOKUP(TableTERanks33433745[[#This Row],[Player]],TE!B:O,5,FALSE)</f>
        <v>0</v>
      </c>
      <c r="AW70" s="100">
        <f>VLOOKUP(TableTERanks33433745[[#This Row],[Player]],TE!B:O,6,FALSE)</f>
        <v>0</v>
      </c>
      <c r="AX70" s="100">
        <f>VLOOKUP(TableTERanks33433745[[#This Row],[Player]],TE!B:O,7,FALSE)</f>
        <v>0</v>
      </c>
      <c r="AY70" s="95">
        <f>VLOOKUP(TableTERanks33433745[[#This Row],[Player]],TE!B:O,11,FALSE)</f>
        <v>0</v>
      </c>
      <c r="AZ70" s="190">
        <f>TableTERanks33433745[[#This Row],[FPS]]-(TableTERanks33433745[[#This Row],[REC]]*0.5)</f>
        <v>0</v>
      </c>
    </row>
    <row r="71" spans="1:52" x14ac:dyDescent="0.25">
      <c r="A71" s="58">
        <v>70</v>
      </c>
      <c r="B71" s="58">
        <f>VLOOKUP(TableQBRanks30403438[[#This Row],[RK]],Rankings!A:T,3,FALSE)</f>
        <v>0</v>
      </c>
      <c r="C71" s="58" t="str">
        <f>IFERROR(INDEX(TableQBCalcPts[TM],MATCH(TableQBRanks30403438[[#This Row],[Player]],TableQBCalcPts[PLAYER],0)),"")</f>
        <v/>
      </c>
      <c r="D71" s="58" t="str">
        <f>IFERROR(INDEX(TableQBCalcPts[BYE],MATCH(TableQBRanks30403438[[#This Row],[Player]],TableQBCalcPts[PLAYER],0)),"")</f>
        <v/>
      </c>
      <c r="E71" s="100">
        <f>VLOOKUP(TableQBRanks30403438[[#This Row],[Player]],QB!B:O,4,FALSE)</f>
        <v>0</v>
      </c>
      <c r="F71" s="100">
        <f>VLOOKUP(TableQBRanks30403438[[#This Row],[Player]],QB!B:O,5,FALSE)</f>
        <v>0</v>
      </c>
      <c r="G71" s="100">
        <f>VLOOKUP(TableQBRanks30403438[[#This Row],[Player]],QB!B:O,6,FALSE)</f>
        <v>0</v>
      </c>
      <c r="H71" s="100">
        <f>VLOOKUP(TableQBRanks30403438[[#This Row],[Player]],QB!B:O,7,FALSE)</f>
        <v>0</v>
      </c>
      <c r="I71" s="100">
        <f>VLOOKUP(TableQBRanks30403438[[#This Row],[Player]],QB!B:O,8,FALSE)</f>
        <v>0</v>
      </c>
      <c r="J71" s="100">
        <f>VLOOKUP(TableQBRanks30403438[[#This Row],[Player]],QB!B:O,9,FALSE)</f>
        <v>0</v>
      </c>
      <c r="K71" s="100">
        <f>VLOOKUP(TableQBRanks30403438[[#This Row],[Player]],QB!B:O,10,FALSE)</f>
        <v>0</v>
      </c>
      <c r="L71" s="100">
        <f>VLOOKUP(TableQBRanks30403438[[#This Row],[Player]],QB!B:O,11,FALSE)</f>
        <v>0</v>
      </c>
      <c r="M71" s="95">
        <f>VLOOKUP(TableQBRanks30403438[[#This Row],[Player]],QB!B:O,13,FALSE)</f>
        <v>0</v>
      </c>
      <c r="N71" s="140" t="e">
        <f>IF(VLOOKUP(TableQBRanks30403438[[#This Row],[Player]],'Ranks w Proj'!$B:$N,13,FALSE)&lt;0,0,VLOOKUP(TableQBRanks30403438[[#This Row],[Player]],'Ranks w Proj'!$B:$N,13,FALSE))</f>
        <v>#N/A</v>
      </c>
      <c r="P71" s="58">
        <v>70</v>
      </c>
      <c r="Q71" s="58" t="str">
        <f>VLOOKUP(TableRBRanks31413539[[#This Row],[RK]],Rankings!A:AY,38,FALSE)</f>
        <v>Ray Davis</v>
      </c>
      <c r="R71" s="58" t="str">
        <f>IFERROR(INDEX(TableRBCalcPts[TM],MATCH(TableRBRanks31413539[[#This Row],[Player]],TableRBCalcPts[PLAYER],0)),"")</f>
        <v>BUF</v>
      </c>
      <c r="S71" s="58">
        <f>IFERROR(INDEX(TableRBCalcPts[BYE],MATCH(TableRBRanks31413539[[#This Row],[Player]],TableRBCalcPts[PLAYER],0)),"")</f>
        <v>7</v>
      </c>
      <c r="T71" s="100">
        <f>VLOOKUP(TableRBRanks31413539[[#This Row],[Player]],RB!B:O,4,FALSE)</f>
        <v>54.352152400000001</v>
      </c>
      <c r="U71" s="100">
        <f>VLOOKUP(TableRBRanks31413539[[#This Row],[Player]],RB!B:O,5,FALSE)</f>
        <v>247.26168301074537</v>
      </c>
      <c r="V71" s="100">
        <f>VLOOKUP(TableRBRanks31413539[[#This Row],[Player]],RB!B:O,6,FALSE)</f>
        <v>1.6305645719999999</v>
      </c>
      <c r="W71" s="100">
        <f>VLOOKUP(TableRBRanks31413539[[#This Row],[Player]],RB!B:O,7,FALSE)</f>
        <v>10.725884399999998</v>
      </c>
      <c r="X71" s="100">
        <f>VLOOKUP(TableRBRanks31413539[[#This Row],[Player]],RB!B:O,8,FALSE)</f>
        <v>8.3018345255999986</v>
      </c>
      <c r="Y71" s="100">
        <f>VLOOKUP(TableRBRanks31413539[[#This Row],[Player]],RB!B:O,9,FALSE)</f>
        <v>67.659951383639992</v>
      </c>
      <c r="Z71" s="100">
        <f>VLOOKUP(TableRBRanks31413539[[#This Row],[Player]],RB!B:O,10,FALSE)</f>
        <v>0.5562229132151999</v>
      </c>
      <c r="AA71" s="95">
        <f>VLOOKUP(TableRBRanks31413539[[#This Row],[Player]],RB!B:O,14,FALSE)</f>
        <v>48.763805613529733</v>
      </c>
      <c r="AB71" s="190">
        <f>TableRBRanks31413539[[#This Row],[FPS]]-(TableRBRanks31413539[[#This Row],[REC]]*0.5)</f>
        <v>44.612888350729733</v>
      </c>
      <c r="AD71" s="58">
        <v>70</v>
      </c>
      <c r="AE71" s="58" t="str">
        <f>VLOOKUP(TableWRRanks32423644[[#This Row],[RK]],Rankings!A:AZ,43,FALSE)</f>
        <v>Zachariah Branch</v>
      </c>
      <c r="AF71" s="58" t="str">
        <f>IFERROR(INDEX(TableWRCalcPts[TM],MATCH(TableWRRanks32423644[[#This Row],[Player]],TableWRCalcPts[PLAYER],0)),"")</f>
        <v>ATL</v>
      </c>
      <c r="AG71" s="58">
        <f>IFERROR(INDEX(TableWRCalcPts[BYE],MATCH(TableWRRanks32423644[[#This Row],[Player]],TableWRCalcPts[PLAYER],0)),"")</f>
        <v>11</v>
      </c>
      <c r="AH71" s="100">
        <f>VLOOKUP(TableWRRanks32423644[[#This Row],[Player]],WR!B:O,4,FALSE)</f>
        <v>15.318138675</v>
      </c>
      <c r="AI71" s="100">
        <f>VLOOKUP(TableWRRanks32423644[[#This Row],[Player]],WR!B:O,5,FALSE)</f>
        <v>8.0621782500000003E-2</v>
      </c>
      <c r="AJ71" s="100">
        <f>VLOOKUP(TableWRRanks32423644[[#This Row],[Player]],WR!B:O,6,FALSE)</f>
        <v>59.604001800000013</v>
      </c>
      <c r="AK71" s="100">
        <f>VLOOKUP(TableWRRanks32423644[[#This Row],[Player]],WR!B:O,7,FALSE)</f>
        <v>33.25903300440001</v>
      </c>
      <c r="AL71" s="100">
        <f>VLOOKUP(TableWRRanks32423644[[#This Row],[Player]],WR!B:O,8,FALSE)</f>
        <v>403.0994800133281</v>
      </c>
      <c r="AM71" s="100">
        <f>VLOOKUP(TableWRRanks32423644[[#This Row],[Player]],WR!B:O,9,FALSE)</f>
        <v>2.2616142442992007</v>
      </c>
      <c r="AN71" s="95">
        <f>VLOOKUP(TableWRRanks32423644[[#This Row],[Player]],WR!B:O,13,FALSE)</f>
        <v>72.524694531828018</v>
      </c>
      <c r="AO71" s="190">
        <f>TableWRRanks32423644[[#This Row],[FPS]]-(TableWRRanks32423644[[#This Row],[REC]]*0.5)</f>
        <v>55.895178029628013</v>
      </c>
      <c r="AQ71" s="58">
        <v>70</v>
      </c>
      <c r="AR71" s="58">
        <f>VLOOKUP(TableTERanks33433745[[#This Row],[RK]],Rankings!A:AZ,48,FALSE)</f>
        <v>0</v>
      </c>
      <c r="AS71" s="58" t="str">
        <f>IFERROR(INDEX(TableTECalcPts[TM],MATCH(TableTERanks33433745[[#This Row],[Player]],TableTECalcPts[PLAYER],0)),"")</f>
        <v/>
      </c>
      <c r="AT71" s="58" t="str">
        <f>IFERROR(INDEX(TableTECalcPts[BYE],MATCH(TableTERanks33433745[[#This Row],[Player]],TableTECalcPts[PLAYER],0)),"")</f>
        <v/>
      </c>
      <c r="AU71" s="100">
        <f>VLOOKUP(TableTERanks33433745[[#This Row],[Player]],TE!B:O,4,FALSE)</f>
        <v>0</v>
      </c>
      <c r="AV71" s="100">
        <f>VLOOKUP(TableTERanks33433745[[#This Row],[Player]],TE!B:O,5,FALSE)</f>
        <v>0</v>
      </c>
      <c r="AW71" s="100">
        <f>VLOOKUP(TableTERanks33433745[[#This Row],[Player]],TE!B:O,6,FALSE)</f>
        <v>0</v>
      </c>
      <c r="AX71" s="100">
        <f>VLOOKUP(TableTERanks33433745[[#This Row],[Player]],TE!B:O,7,FALSE)</f>
        <v>0</v>
      </c>
      <c r="AY71" s="95">
        <f>VLOOKUP(TableTERanks33433745[[#This Row],[Player]],TE!B:O,11,FALSE)</f>
        <v>0</v>
      </c>
      <c r="AZ71" s="190">
        <f>TableTERanks33433745[[#This Row],[FPS]]-(TableTERanks33433745[[#This Row],[REC]]*0.5)</f>
        <v>0</v>
      </c>
    </row>
    <row r="72" spans="1:52" x14ac:dyDescent="0.25">
      <c r="A72" s="58">
        <v>71</v>
      </c>
      <c r="B72" s="58">
        <f>VLOOKUP(TableQBRanks30403438[[#This Row],[RK]],Rankings!A:T,3,FALSE)</f>
        <v>0</v>
      </c>
      <c r="C72" s="58" t="str">
        <f>IFERROR(INDEX(TableQBCalcPts[TM],MATCH(TableQBRanks30403438[[#This Row],[Player]],TableQBCalcPts[PLAYER],0)),"")</f>
        <v/>
      </c>
      <c r="D72" s="58" t="str">
        <f>IFERROR(INDEX(TableQBCalcPts[BYE],MATCH(TableQBRanks30403438[[#This Row],[Player]],TableQBCalcPts[PLAYER],0)),"")</f>
        <v/>
      </c>
      <c r="E72" s="100">
        <f>VLOOKUP(TableQBRanks30403438[[#This Row],[Player]],QB!B:O,4,FALSE)</f>
        <v>0</v>
      </c>
      <c r="F72" s="100">
        <f>VLOOKUP(TableQBRanks30403438[[#This Row],[Player]],QB!B:O,5,FALSE)</f>
        <v>0</v>
      </c>
      <c r="G72" s="100">
        <f>VLOOKUP(TableQBRanks30403438[[#This Row],[Player]],QB!B:O,6,FALSE)</f>
        <v>0</v>
      </c>
      <c r="H72" s="100">
        <f>VLOOKUP(TableQBRanks30403438[[#This Row],[Player]],QB!B:O,7,FALSE)</f>
        <v>0</v>
      </c>
      <c r="I72" s="100">
        <f>VLOOKUP(TableQBRanks30403438[[#This Row],[Player]],QB!B:O,8,FALSE)</f>
        <v>0</v>
      </c>
      <c r="J72" s="100">
        <f>VLOOKUP(TableQBRanks30403438[[#This Row],[Player]],QB!B:O,9,FALSE)</f>
        <v>0</v>
      </c>
      <c r="K72" s="100">
        <f>VLOOKUP(TableQBRanks30403438[[#This Row],[Player]],QB!B:O,10,FALSE)</f>
        <v>0</v>
      </c>
      <c r="L72" s="100">
        <f>VLOOKUP(TableQBRanks30403438[[#This Row],[Player]],QB!B:O,11,FALSE)</f>
        <v>0</v>
      </c>
      <c r="M72" s="95">
        <f>VLOOKUP(TableQBRanks30403438[[#This Row],[Player]],QB!B:O,13,FALSE)</f>
        <v>0</v>
      </c>
      <c r="N72" s="140" t="e">
        <f>IF(VLOOKUP(TableQBRanks30403438[[#This Row],[Player]],'Ranks w Proj'!$B:$N,13,FALSE)&lt;0,0,VLOOKUP(TableQBRanks30403438[[#This Row],[Player]],'Ranks w Proj'!$B:$N,13,FALSE))</f>
        <v>#N/A</v>
      </c>
      <c r="P72" s="58">
        <v>71</v>
      </c>
      <c r="Q72" s="58" t="str">
        <f>VLOOKUP(TableRBRanks31413539[[#This Row],[RK]],Rankings!A:AY,38,FALSE)</f>
        <v>Jaylen Wright</v>
      </c>
      <c r="R72" s="58" t="str">
        <f>IFERROR(INDEX(TableRBCalcPts[TM],MATCH(TableRBRanks31413539[[#This Row],[Player]],TableRBCalcPts[PLAYER],0)),"")</f>
        <v>MIA</v>
      </c>
      <c r="S72" s="58">
        <f>IFERROR(INDEX(TableRBCalcPts[BYE],MATCH(TableRBRanks31413539[[#This Row],[Player]],TableRBCalcPts[PLAYER],0)),"")</f>
        <v>6</v>
      </c>
      <c r="T72" s="100">
        <f>VLOOKUP(TableRBRanks31413539[[#This Row],[Player]],RB!B:O,4,FALSE)</f>
        <v>34.074423525847358</v>
      </c>
      <c r="U72" s="100">
        <f>VLOOKUP(TableRBRanks31413539[[#This Row],[Player]],RB!B:O,5,FALSE)</f>
        <v>137.66067104442334</v>
      </c>
      <c r="V72" s="100">
        <f>VLOOKUP(TableRBRanks31413539[[#This Row],[Player]],RB!B:O,6,FALSE)</f>
        <v>0.68148847051694716</v>
      </c>
      <c r="W72" s="100">
        <f>VLOOKUP(TableRBRanks31413539[[#This Row],[Player]],RB!B:O,7,FALSE)</f>
        <v>10.341388259999999</v>
      </c>
      <c r="X72" s="100">
        <f>VLOOKUP(TableRBRanks31413539[[#This Row],[Player]],RB!B:O,8,FALSE)</f>
        <v>7.3236726763199984</v>
      </c>
      <c r="Y72" s="100">
        <f>VLOOKUP(TableRBRanks31413539[[#This Row],[Player]],RB!B:O,9,FALSE)</f>
        <v>56.530624401719976</v>
      </c>
      <c r="Z72" s="100">
        <f>VLOOKUP(TableRBRanks31413539[[#This Row],[Player]],RB!B:O,10,FALSE)</f>
        <v>0.21971018028959993</v>
      </c>
      <c r="AA72" s="95">
        <f>VLOOKUP(TableRBRanks31413539[[#This Row],[Player]],RB!B:O,14,FALSE)</f>
        <v>28.488157787613616</v>
      </c>
      <c r="AB72" s="190">
        <f>TableRBRanks31413539[[#This Row],[FPS]]-(TableRBRanks31413539[[#This Row],[REC]]*0.5)</f>
        <v>24.826321449453616</v>
      </c>
      <c r="AD72" s="58">
        <v>71</v>
      </c>
      <c r="AE72" s="58" t="str">
        <f>VLOOKUP(TableWRRanks32423644[[#This Row],[RK]],Rankings!A:AZ,43,FALSE)</f>
        <v>Omar Cooper</v>
      </c>
      <c r="AF72" s="58" t="str">
        <f>IFERROR(INDEX(TableWRCalcPts[TM],MATCH(TableWRRanks32423644[[#This Row],[Player]],TableWRCalcPts[PLAYER],0)),"")</f>
        <v>NYJ</v>
      </c>
      <c r="AG72" s="58">
        <f>IFERROR(INDEX(TableWRCalcPts[BYE],MATCH(TableWRRanks32423644[[#This Row],[Player]],TableWRCalcPts[PLAYER],0)),"")</f>
        <v>13</v>
      </c>
      <c r="AH72" s="100">
        <f>VLOOKUP(TableWRRanks32423644[[#This Row],[Player]],WR!B:O,4,FALSE)</f>
        <v>9.185115333333334</v>
      </c>
      <c r="AI72" s="100">
        <f>VLOOKUP(TableWRRanks32423644[[#This Row],[Player]],WR!B:O,5,FALSE)</f>
        <v>3.5327366666666672E-2</v>
      </c>
      <c r="AJ72" s="100">
        <f>VLOOKUP(TableWRRanks32423644[[#This Row],[Player]],WR!B:O,6,FALSE)</f>
        <v>105.09349747491423</v>
      </c>
      <c r="AK72" s="100">
        <f>VLOOKUP(TableWRRanks32423644[[#This Row],[Player]],WR!B:O,7,FALSE)</f>
        <v>62.478995464132538</v>
      </c>
      <c r="AL72" s="100">
        <f>VLOOKUP(TableWRRanks32423644[[#This Row],[Player]],WR!B:O,8,FALSE)</f>
        <v>724.7563473839374</v>
      </c>
      <c r="AM72" s="100">
        <f>VLOOKUP(TableWRRanks32423644[[#This Row],[Player]],WR!B:O,9,FALSE)</f>
        <v>4.373529682489278</v>
      </c>
      <c r="AN72" s="95">
        <f>VLOOKUP(TableWRRanks32423644[[#This Row],[Player]],WR!B:O,13,FALSE)</f>
        <v>131.08678629872901</v>
      </c>
      <c r="AO72" s="190">
        <f>TableWRRanks32423644[[#This Row],[FPS]]-(TableWRRanks32423644[[#This Row],[REC]]*0.5)</f>
        <v>99.847288566662741</v>
      </c>
      <c r="AQ72" s="58">
        <v>71</v>
      </c>
      <c r="AR72" s="58">
        <f>VLOOKUP(TableTERanks33433745[[#This Row],[RK]],Rankings!A:AZ,48,FALSE)</f>
        <v>0</v>
      </c>
      <c r="AS72" s="58" t="str">
        <f>IFERROR(INDEX(TableTECalcPts[TM],MATCH(TableTERanks33433745[[#This Row],[Player]],TableTECalcPts[PLAYER],0)),"")</f>
        <v/>
      </c>
      <c r="AT72" s="58" t="str">
        <f>IFERROR(INDEX(TableTECalcPts[BYE],MATCH(TableTERanks33433745[[#This Row],[Player]],TableTECalcPts[PLAYER],0)),"")</f>
        <v/>
      </c>
      <c r="AU72" s="100">
        <f>VLOOKUP(TableTERanks33433745[[#This Row],[Player]],TE!B:O,4,FALSE)</f>
        <v>0</v>
      </c>
      <c r="AV72" s="100">
        <f>VLOOKUP(TableTERanks33433745[[#This Row],[Player]],TE!B:O,5,FALSE)</f>
        <v>0</v>
      </c>
      <c r="AW72" s="100">
        <f>VLOOKUP(TableTERanks33433745[[#This Row],[Player]],TE!B:O,6,FALSE)</f>
        <v>0</v>
      </c>
      <c r="AX72" s="100">
        <f>VLOOKUP(TableTERanks33433745[[#This Row],[Player]],TE!B:O,7,FALSE)</f>
        <v>0</v>
      </c>
      <c r="AY72" s="95">
        <f>VLOOKUP(TableTERanks33433745[[#This Row],[Player]],TE!B:O,11,FALSE)</f>
        <v>0</v>
      </c>
      <c r="AZ72" s="190">
        <f>TableTERanks33433745[[#This Row],[FPS]]-(TableTERanks33433745[[#This Row],[REC]]*0.5)</f>
        <v>0</v>
      </c>
    </row>
    <row r="73" spans="1:52" x14ac:dyDescent="0.25">
      <c r="A73" s="58">
        <v>72</v>
      </c>
      <c r="B73" s="58">
        <f>VLOOKUP(TableQBRanks30403438[[#This Row],[RK]],Rankings!A:T,3,FALSE)</f>
        <v>0</v>
      </c>
      <c r="C73" s="58" t="str">
        <f>IFERROR(INDEX(TableQBCalcPts[TM],MATCH(TableQBRanks30403438[[#This Row],[Player]],TableQBCalcPts[PLAYER],0)),"")</f>
        <v/>
      </c>
      <c r="D73" s="58" t="str">
        <f>IFERROR(INDEX(TableQBCalcPts[BYE],MATCH(TableQBRanks30403438[[#This Row],[Player]],TableQBCalcPts[PLAYER],0)),"")</f>
        <v/>
      </c>
      <c r="E73" s="100">
        <f>VLOOKUP(TableQBRanks30403438[[#This Row],[Player]],QB!B:O,4,FALSE)</f>
        <v>0</v>
      </c>
      <c r="F73" s="100">
        <f>VLOOKUP(TableQBRanks30403438[[#This Row],[Player]],QB!B:O,5,FALSE)</f>
        <v>0</v>
      </c>
      <c r="G73" s="100">
        <f>VLOOKUP(TableQBRanks30403438[[#This Row],[Player]],QB!B:O,6,FALSE)</f>
        <v>0</v>
      </c>
      <c r="H73" s="100">
        <f>VLOOKUP(TableQBRanks30403438[[#This Row],[Player]],QB!B:O,7,FALSE)</f>
        <v>0</v>
      </c>
      <c r="I73" s="100">
        <f>VLOOKUP(TableQBRanks30403438[[#This Row],[Player]],QB!B:O,8,FALSE)</f>
        <v>0</v>
      </c>
      <c r="J73" s="100">
        <f>VLOOKUP(TableQBRanks30403438[[#This Row],[Player]],QB!B:O,9,FALSE)</f>
        <v>0</v>
      </c>
      <c r="K73" s="100">
        <f>VLOOKUP(TableQBRanks30403438[[#This Row],[Player]],QB!B:O,10,FALSE)</f>
        <v>0</v>
      </c>
      <c r="L73" s="100">
        <f>VLOOKUP(TableQBRanks30403438[[#This Row],[Player]],QB!B:O,11,FALSE)</f>
        <v>0</v>
      </c>
      <c r="M73" s="95">
        <f>VLOOKUP(TableQBRanks30403438[[#This Row],[Player]],QB!B:O,13,FALSE)</f>
        <v>0</v>
      </c>
      <c r="N73" s="140" t="e">
        <f>IF(VLOOKUP(TableQBRanks30403438[[#This Row],[Player]],'Ranks w Proj'!$B:$N,13,FALSE)&lt;0,0,VLOOKUP(TableQBRanks30403438[[#This Row],[Player]],'Ranks w Proj'!$B:$N,13,FALSE))</f>
        <v>#N/A</v>
      </c>
      <c r="P73" s="58">
        <v>72</v>
      </c>
      <c r="Q73" s="58" t="str">
        <f>VLOOKUP(TableRBRanks31413539[[#This Row],[RK]],Rankings!A:AY,38,FALSE)</f>
        <v>Sean Tucker</v>
      </c>
      <c r="R73" s="58" t="str">
        <f>IFERROR(INDEX(TableRBCalcPts[TM],MATCH(TableRBRanks31413539[[#This Row],[Player]],TableRBCalcPts[PLAYER],0)),"")</f>
        <v>TB</v>
      </c>
      <c r="S73" s="58">
        <f>IFERROR(INDEX(TableRBCalcPts[BYE],MATCH(TableRBRanks31413539[[#This Row],[Player]],TableRBCalcPts[PLAYER],0)),"")</f>
        <v>10</v>
      </c>
      <c r="T73" s="100">
        <f>VLOOKUP(TableRBRanks31413539[[#This Row],[Player]],RB!B:O,4,FALSE)</f>
        <v>62.233729879999984</v>
      </c>
      <c r="U73" s="100">
        <f>VLOOKUP(TableRBRanks31413539[[#This Row],[Player]],RB!B:O,5,FALSE)</f>
        <v>247.06790762359995</v>
      </c>
      <c r="V73" s="100">
        <f>VLOOKUP(TableRBRanks31413539[[#This Row],[Player]],RB!B:O,6,FALSE)</f>
        <v>2.1159468159199997</v>
      </c>
      <c r="W73" s="100">
        <f>VLOOKUP(TableRBRanks31413539[[#This Row],[Player]],RB!B:O,7,FALSE)</f>
        <v>1.6554875399999991</v>
      </c>
      <c r="X73" s="100">
        <f>VLOOKUP(TableRBRanks31413539[[#This Row],[Player]],RB!B:O,8,FALSE)</f>
        <v>1.2416156549999993</v>
      </c>
      <c r="Y73" s="100">
        <f>VLOOKUP(TableRBRanks31413539[[#This Row],[Player]],RB!B:O,9,FALSE)</f>
        <v>8.8030549939499938</v>
      </c>
      <c r="Z73" s="100">
        <f>VLOOKUP(TableRBRanks31413539[[#This Row],[Player]],RB!B:O,10,FALSE)</f>
        <v>4.7181394889999971E-2</v>
      </c>
      <c r="AA73" s="95">
        <f>VLOOKUP(TableRBRanks31413539[[#This Row],[Player]],RB!B:O,14,FALSE)</f>
        <v>39.186673354115001</v>
      </c>
      <c r="AB73" s="190">
        <f>TableRBRanks31413539[[#This Row],[FPS]]-(TableRBRanks31413539[[#This Row],[REC]]*0.5)</f>
        <v>38.565865526614999</v>
      </c>
      <c r="AD73" s="58">
        <v>72</v>
      </c>
      <c r="AE73" s="58" t="str">
        <f>VLOOKUP(TableWRRanks32423644[[#This Row],[RK]],Rankings!A:AZ,43,FALSE)</f>
        <v>Andrei Iosivas</v>
      </c>
      <c r="AF73" s="58" t="str">
        <f>IFERROR(INDEX(TableWRCalcPts[TM],MATCH(TableWRRanks32423644[[#This Row],[Player]],TableWRCalcPts[PLAYER],0)),"")</f>
        <v>CIN</v>
      </c>
      <c r="AG73" s="58">
        <f>IFERROR(INDEX(TableWRCalcPts[BYE],MATCH(TableWRRanks32423644[[#This Row],[Player]],TableWRCalcPts[PLAYER],0)),"")</f>
        <v>6</v>
      </c>
      <c r="AH73" s="100">
        <f>VLOOKUP(TableWRRanks32423644[[#This Row],[Player]],WR!B:O,4,FALSE)</f>
        <v>11.102636344640434</v>
      </c>
      <c r="AI73" s="100">
        <f>VLOOKUP(TableWRRanks32423644[[#This Row],[Player]],WR!B:O,5,FALSE)</f>
        <v>3.0905902306648577E-2</v>
      </c>
      <c r="AJ73" s="100">
        <f>VLOOKUP(TableWRRanks32423644[[#This Row],[Player]],WR!B:O,6,FALSE)</f>
        <v>68.965662499999993</v>
      </c>
      <c r="AK73" s="100">
        <f>VLOOKUP(TableWRRanks32423644[[#This Row],[Player]],WR!B:O,7,FALSE)</f>
        <v>46.691190297135407</v>
      </c>
      <c r="AL73" s="100">
        <f>VLOOKUP(TableWRRanks32423644[[#This Row],[Player]],WR!B:O,8,FALSE)</f>
        <v>524.46087475833326</v>
      </c>
      <c r="AM73" s="100">
        <f>VLOOKUP(TableWRRanks32423644[[#This Row],[Player]],WR!B:O,9,FALSE)</f>
        <v>4.0154423655536444</v>
      </c>
      <c r="AN73" s="95">
        <f>VLOOKUP(TableWRRanks32423644[[#This Row],[Player]],WR!B:O,13,FALSE)</f>
        <v>101.18003586602683</v>
      </c>
      <c r="AO73" s="190">
        <f>TableWRRanks32423644[[#This Row],[FPS]]-(TableWRRanks32423644[[#This Row],[REC]]*0.5)</f>
        <v>77.834440717459131</v>
      </c>
      <c r="AQ73" s="58">
        <v>72</v>
      </c>
      <c r="AR73" s="58">
        <f>VLOOKUP(TableTERanks33433745[[#This Row],[RK]],Rankings!A:AZ,48,FALSE)</f>
        <v>0</v>
      </c>
      <c r="AS73" s="58" t="str">
        <f>IFERROR(INDEX(TableTECalcPts[TM],MATCH(TableTERanks33433745[[#This Row],[Player]],TableTECalcPts[PLAYER],0)),"")</f>
        <v/>
      </c>
      <c r="AT73" s="58" t="str">
        <f>IFERROR(INDEX(TableTECalcPts[BYE],MATCH(TableTERanks33433745[[#This Row],[Player]],TableTECalcPts[PLAYER],0)),"")</f>
        <v/>
      </c>
      <c r="AU73" s="100">
        <f>VLOOKUP(TableTERanks33433745[[#This Row],[Player]],TE!B:O,4,FALSE)</f>
        <v>0</v>
      </c>
      <c r="AV73" s="100">
        <f>VLOOKUP(TableTERanks33433745[[#This Row],[Player]],TE!B:O,5,FALSE)</f>
        <v>0</v>
      </c>
      <c r="AW73" s="100">
        <f>VLOOKUP(TableTERanks33433745[[#This Row],[Player]],TE!B:O,6,FALSE)</f>
        <v>0</v>
      </c>
      <c r="AX73" s="100">
        <f>VLOOKUP(TableTERanks33433745[[#This Row],[Player]],TE!B:O,7,FALSE)</f>
        <v>0</v>
      </c>
      <c r="AY73" s="95">
        <f>VLOOKUP(TableTERanks33433745[[#This Row],[Player]],TE!B:O,11,FALSE)</f>
        <v>0</v>
      </c>
      <c r="AZ73" s="190">
        <f>TableTERanks33433745[[#This Row],[FPS]]-(TableTERanks33433745[[#This Row],[REC]]*0.5)</f>
        <v>0</v>
      </c>
    </row>
    <row r="74" spans="1:52" x14ac:dyDescent="0.25">
      <c r="A74" s="58">
        <v>73</v>
      </c>
      <c r="B74" s="58">
        <f>VLOOKUP(TableQBRanks30403438[[#This Row],[RK]],Rankings!A:T,3,FALSE)</f>
        <v>0</v>
      </c>
      <c r="C74" s="58" t="str">
        <f>IFERROR(INDEX(TableQBCalcPts[TM],MATCH(TableQBRanks30403438[[#This Row],[Player]],TableQBCalcPts[PLAYER],0)),"")</f>
        <v/>
      </c>
      <c r="D74" s="58" t="str">
        <f>IFERROR(INDEX(TableQBCalcPts[BYE],MATCH(TableQBRanks30403438[[#This Row],[Player]],TableQBCalcPts[PLAYER],0)),"")</f>
        <v/>
      </c>
      <c r="E74" s="100">
        <f>VLOOKUP(TableQBRanks30403438[[#This Row],[Player]],QB!B:O,4,FALSE)</f>
        <v>0</v>
      </c>
      <c r="F74" s="100">
        <f>VLOOKUP(TableQBRanks30403438[[#This Row],[Player]],QB!B:O,5,FALSE)</f>
        <v>0</v>
      </c>
      <c r="G74" s="100">
        <f>VLOOKUP(TableQBRanks30403438[[#This Row],[Player]],QB!B:O,6,FALSE)</f>
        <v>0</v>
      </c>
      <c r="H74" s="100">
        <f>VLOOKUP(TableQBRanks30403438[[#This Row],[Player]],QB!B:O,7,FALSE)</f>
        <v>0</v>
      </c>
      <c r="I74" s="100">
        <f>VLOOKUP(TableQBRanks30403438[[#This Row],[Player]],QB!B:O,8,FALSE)</f>
        <v>0</v>
      </c>
      <c r="J74" s="100">
        <f>VLOOKUP(TableQBRanks30403438[[#This Row],[Player]],QB!B:O,9,FALSE)</f>
        <v>0</v>
      </c>
      <c r="K74" s="100">
        <f>VLOOKUP(TableQBRanks30403438[[#This Row],[Player]],QB!B:O,10,FALSE)</f>
        <v>0</v>
      </c>
      <c r="L74" s="100">
        <f>VLOOKUP(TableQBRanks30403438[[#This Row],[Player]],QB!B:O,11,FALSE)</f>
        <v>0</v>
      </c>
      <c r="M74" s="95">
        <f>VLOOKUP(TableQBRanks30403438[[#This Row],[Player]],QB!B:O,13,FALSE)</f>
        <v>0</v>
      </c>
      <c r="N74" s="140" t="e">
        <f>IF(VLOOKUP(TableQBRanks30403438[[#This Row],[Player]],'Ranks w Proj'!$B:$N,13,FALSE)&lt;0,0,VLOOKUP(TableQBRanks30403438[[#This Row],[Player]],'Ranks w Proj'!$B:$N,13,FALSE))</f>
        <v>#N/A</v>
      </c>
      <c r="P74" s="58">
        <v>73</v>
      </c>
      <c r="Q74" s="58" t="str">
        <f>VLOOKUP(TableRBRanks31413539[[#This Row],[RK]],Rankings!A:AY,38,FALSE)</f>
        <v>Trey Benson</v>
      </c>
      <c r="R74" s="58" t="str">
        <f>IFERROR(INDEX(TableRBCalcPts[TM],MATCH(TableRBRanks31413539[[#This Row],[Player]],TableRBCalcPts[PLAYER],0)),"")</f>
        <v>ARI</v>
      </c>
      <c r="S74" s="58">
        <f>IFERROR(INDEX(TableRBCalcPts[BYE],MATCH(TableRBRanks31413539[[#This Row],[Player]],TableRBCalcPts[PLAYER],0)),"")</f>
        <v>14</v>
      </c>
      <c r="T74" s="100">
        <f>VLOOKUP(TableRBRanks31413539[[#This Row],[Player]],RB!B:O,4,FALSE)</f>
        <v>45.864587999999991</v>
      </c>
      <c r="U74" s="100">
        <f>VLOOKUP(TableRBRanks31413539[[#This Row],[Player]],RB!B:O,5,FALSE)</f>
        <v>203.63877071999997</v>
      </c>
      <c r="V74" s="100">
        <f>VLOOKUP(TableRBRanks31413539[[#This Row],[Player]],RB!B:O,6,FALSE)</f>
        <v>1.0548855239999997</v>
      </c>
      <c r="W74" s="100">
        <f>VLOOKUP(TableRBRanks31413539[[#This Row],[Player]],RB!B:O,7,FALSE)</f>
        <v>8.3390160000000009</v>
      </c>
      <c r="X74" s="100">
        <f>VLOOKUP(TableRBRanks31413539[[#This Row],[Player]],RB!B:O,8,FALSE)</f>
        <v>6.1946976000000005</v>
      </c>
      <c r="Y74" s="100">
        <f>VLOOKUP(TableRBRanks31413539[[#This Row],[Player]],RB!B:O,9,FALSE)</f>
        <v>42.247837632000007</v>
      </c>
      <c r="Z74" s="100">
        <f>VLOOKUP(TableRBRanks31413539[[#This Row],[Player]],RB!B:O,10,FALSE)</f>
        <v>0.23825760000000004</v>
      </c>
      <c r="AA74" s="95">
        <f>VLOOKUP(TableRBRanks31413539[[#This Row],[Player]],RB!B:O,14,FALSE)</f>
        <v>35.444868379199995</v>
      </c>
      <c r="AB74" s="190">
        <f>TableRBRanks31413539[[#This Row],[FPS]]-(TableRBRanks31413539[[#This Row],[REC]]*0.5)</f>
        <v>32.347519579199997</v>
      </c>
      <c r="AD74" s="58">
        <v>73</v>
      </c>
      <c r="AE74" s="58" t="str">
        <f>VLOOKUP(TableWRRanks32423644[[#This Row],[RK]],Rankings!A:AZ,43,FALSE)</f>
        <v>Kayshon Boutte</v>
      </c>
      <c r="AF74" s="58" t="str">
        <f>IFERROR(INDEX(TableWRCalcPts[TM],MATCH(TableWRRanks32423644[[#This Row],[Player]],TableWRCalcPts[PLAYER],0)),"")</f>
        <v>NE</v>
      </c>
      <c r="AG74" s="58">
        <f>IFERROR(INDEX(TableWRCalcPts[BYE],MATCH(TableWRRanks32423644[[#This Row],[Player]],TableWRCalcPts[PLAYER],0)),"")</f>
        <v>11</v>
      </c>
      <c r="AH74" s="100">
        <f>VLOOKUP(TableWRRanks32423644[[#This Row],[Player]],WR!B:O,4,FALSE)</f>
        <v>0</v>
      </c>
      <c r="AI74" s="100">
        <f>VLOOKUP(TableWRRanks32423644[[#This Row],[Player]],WR!B:O,5,FALSE)</f>
        <v>0</v>
      </c>
      <c r="AJ74" s="100">
        <f>VLOOKUP(TableWRRanks32423644[[#This Row],[Player]],WR!B:O,6,FALSE)</f>
        <v>34.358927399999985</v>
      </c>
      <c r="AK74" s="100">
        <f>VLOOKUP(TableWRRanks32423644[[#This Row],[Player]],WR!B:O,7,FALSE)</f>
        <v>24.326120599199989</v>
      </c>
      <c r="AL74" s="100">
        <f>VLOOKUP(TableWRRanks32423644[[#This Row],[Player]],WR!B:O,8,FALSE)</f>
        <v>341.29547200677581</v>
      </c>
      <c r="AM74" s="100">
        <f>VLOOKUP(TableWRRanks32423644[[#This Row],[Player]],WR!B:O,9,FALSE)</f>
        <v>1.7028284419439994</v>
      </c>
      <c r="AN74" s="95">
        <f>VLOOKUP(TableWRRanks32423644[[#This Row],[Player]],WR!B:O,13,FALSE)</f>
        <v>56.509578151941582</v>
      </c>
      <c r="AO74" s="190">
        <f>TableWRRanks32423644[[#This Row],[FPS]]-(TableWRRanks32423644[[#This Row],[REC]]*0.5)</f>
        <v>44.346517852341591</v>
      </c>
      <c r="AQ74" s="58">
        <v>73</v>
      </c>
      <c r="AR74" s="58">
        <f>VLOOKUP(TableTERanks33433745[[#This Row],[RK]],Rankings!A:AZ,48,FALSE)</f>
        <v>0</v>
      </c>
      <c r="AS74" s="58" t="str">
        <f>IFERROR(INDEX(TableTECalcPts[TM],MATCH(TableTERanks33433745[[#This Row],[Player]],TableTECalcPts[PLAYER],0)),"")</f>
        <v/>
      </c>
      <c r="AT74" s="58" t="str">
        <f>IFERROR(INDEX(TableTECalcPts[BYE],MATCH(TableTERanks33433745[[#This Row],[Player]],TableTECalcPts[PLAYER],0)),"")</f>
        <v/>
      </c>
      <c r="AU74" s="100">
        <f>VLOOKUP(TableTERanks33433745[[#This Row],[Player]],TE!B:O,4,FALSE)</f>
        <v>0</v>
      </c>
      <c r="AV74" s="100">
        <f>VLOOKUP(TableTERanks33433745[[#This Row],[Player]],TE!B:O,5,FALSE)</f>
        <v>0</v>
      </c>
      <c r="AW74" s="100">
        <f>VLOOKUP(TableTERanks33433745[[#This Row],[Player]],TE!B:O,6,FALSE)</f>
        <v>0</v>
      </c>
      <c r="AX74" s="100">
        <f>VLOOKUP(TableTERanks33433745[[#This Row],[Player]],TE!B:O,7,FALSE)</f>
        <v>0</v>
      </c>
      <c r="AY74" s="95">
        <f>VLOOKUP(TableTERanks33433745[[#This Row],[Player]],TE!B:O,11,FALSE)</f>
        <v>0</v>
      </c>
      <c r="AZ74" s="190">
        <f>TableTERanks33433745[[#This Row],[FPS]]-(TableTERanks33433745[[#This Row],[REC]]*0.5)</f>
        <v>0</v>
      </c>
    </row>
    <row r="75" spans="1:52" x14ac:dyDescent="0.25">
      <c r="A75" s="58">
        <v>74</v>
      </c>
      <c r="B75" s="58">
        <f>VLOOKUP(TableQBRanks30403438[[#This Row],[RK]],Rankings!A:T,3,FALSE)</f>
        <v>0</v>
      </c>
      <c r="C75" s="58" t="str">
        <f>IFERROR(INDEX(TableQBCalcPts[TM],MATCH(TableQBRanks30403438[[#This Row],[Player]],TableQBCalcPts[PLAYER],0)),"")</f>
        <v/>
      </c>
      <c r="D75" s="58" t="str">
        <f>IFERROR(INDEX(TableQBCalcPts[BYE],MATCH(TableQBRanks30403438[[#This Row],[Player]],TableQBCalcPts[PLAYER],0)),"")</f>
        <v/>
      </c>
      <c r="E75" s="100">
        <f>VLOOKUP(TableQBRanks30403438[[#This Row],[Player]],QB!B:O,4,FALSE)</f>
        <v>0</v>
      </c>
      <c r="F75" s="100">
        <f>VLOOKUP(TableQBRanks30403438[[#This Row],[Player]],QB!B:O,5,FALSE)</f>
        <v>0</v>
      </c>
      <c r="G75" s="100">
        <f>VLOOKUP(TableQBRanks30403438[[#This Row],[Player]],QB!B:O,6,FALSE)</f>
        <v>0</v>
      </c>
      <c r="H75" s="100">
        <f>VLOOKUP(TableQBRanks30403438[[#This Row],[Player]],QB!B:O,7,FALSE)</f>
        <v>0</v>
      </c>
      <c r="I75" s="100">
        <f>VLOOKUP(TableQBRanks30403438[[#This Row],[Player]],QB!B:O,8,FALSE)</f>
        <v>0</v>
      </c>
      <c r="J75" s="100">
        <f>VLOOKUP(TableQBRanks30403438[[#This Row],[Player]],QB!B:O,9,FALSE)</f>
        <v>0</v>
      </c>
      <c r="K75" s="100">
        <f>VLOOKUP(TableQBRanks30403438[[#This Row],[Player]],QB!B:O,10,FALSE)</f>
        <v>0</v>
      </c>
      <c r="L75" s="100">
        <f>VLOOKUP(TableQBRanks30403438[[#This Row],[Player]],QB!B:O,11,FALSE)</f>
        <v>0</v>
      </c>
      <c r="M75" s="95">
        <f>VLOOKUP(TableQBRanks30403438[[#This Row],[Player]],QB!B:O,13,FALSE)</f>
        <v>0</v>
      </c>
      <c r="N75" s="140" t="e">
        <f>IF(VLOOKUP(TableQBRanks30403438[[#This Row],[Player]],'Ranks w Proj'!$B:$N,13,FALSE)&lt;0,0,VLOOKUP(TableQBRanks30403438[[#This Row],[Player]],'Ranks w Proj'!$B:$N,13,FALSE))</f>
        <v>#N/A</v>
      </c>
      <c r="P75" s="58">
        <v>74</v>
      </c>
      <c r="Q75" s="58" t="str">
        <f>VLOOKUP(TableRBRanks31413539[[#This Row],[RK]],Rankings!A:AY,38,FALSE)</f>
        <v>Emmett Johnson</v>
      </c>
      <c r="R75" s="58" t="str">
        <f>IFERROR(INDEX(TableRBCalcPts[TM],MATCH(TableRBRanks31413539[[#This Row],[Player]],TableRBCalcPts[PLAYER],0)),"")</f>
        <v>KC</v>
      </c>
      <c r="S75" s="58">
        <f>IFERROR(INDEX(TableRBCalcPts[BYE],MATCH(TableRBRanks31413539[[#This Row],[Player]],TableRBCalcPts[PLAYER],0)),"")</f>
        <v>5</v>
      </c>
      <c r="T75" s="100">
        <f>VLOOKUP(TableRBRanks31413539[[#This Row],[Player]],RB!B:O,4,FALSE)</f>
        <v>39.812401999999999</v>
      </c>
      <c r="U75" s="100">
        <f>VLOOKUP(TableRBRanks31413539[[#This Row],[Player]],RB!B:O,5,FALSE)</f>
        <v>164.82334427999999</v>
      </c>
      <c r="V75" s="100">
        <f>VLOOKUP(TableRBRanks31413539[[#This Row],[Player]],RB!B:O,6,FALSE)</f>
        <v>1.3934340700000001</v>
      </c>
      <c r="W75" s="100">
        <f>VLOOKUP(TableRBRanks31413539[[#This Row],[Player]],RB!B:O,7,FALSE)</f>
        <v>21.077153999999997</v>
      </c>
      <c r="X75" s="100">
        <f>VLOOKUP(TableRBRanks31413539[[#This Row],[Player]],RB!B:O,8,FALSE)</f>
        <v>15.618171113999997</v>
      </c>
      <c r="Y75" s="100">
        <f>VLOOKUP(TableRBRanks31413539[[#This Row],[Player]],RB!B:O,9,FALSE)</f>
        <v>112.93139113199999</v>
      </c>
      <c r="Z75" s="100">
        <f>VLOOKUP(TableRBRanks31413539[[#This Row],[Player]],RB!B:O,10,FALSE)</f>
        <v>0.70281770012999989</v>
      </c>
      <c r="AA75" s="95">
        <f>VLOOKUP(TableRBRanks31413539[[#This Row],[Player]],RB!B:O,14,FALSE)</f>
        <v>48.16206971898</v>
      </c>
      <c r="AB75" s="190">
        <f>TableRBRanks31413539[[#This Row],[FPS]]-(TableRBRanks31413539[[#This Row],[REC]]*0.5)</f>
        <v>40.352984161980004</v>
      </c>
      <c r="AD75" s="58">
        <v>74</v>
      </c>
      <c r="AE75" s="58" t="str">
        <f>VLOOKUP(TableWRRanks32423644[[#This Row],[RK]],Rankings!A:AZ,43,FALSE)</f>
        <v>Chris Bell</v>
      </c>
      <c r="AF75" s="58" t="str">
        <f>IFERROR(INDEX(TableWRCalcPts[TM],MATCH(TableWRRanks32423644[[#This Row],[Player]],TableWRCalcPts[PLAYER],0)),"")</f>
        <v>MIA</v>
      </c>
      <c r="AG75" s="58">
        <f>IFERROR(INDEX(TableWRCalcPts[BYE],MATCH(TableWRRanks32423644[[#This Row],[Player]],TableWRCalcPts[PLAYER],0)),"")</f>
        <v>6</v>
      </c>
      <c r="AH75" s="100">
        <f>VLOOKUP(TableWRRanks32423644[[#This Row],[Player]],WR!B:O,4,FALSE)</f>
        <v>0</v>
      </c>
      <c r="AI75" s="100">
        <f>VLOOKUP(TableWRRanks32423644[[#This Row],[Player]],WR!B:O,5,FALSE)</f>
        <v>0</v>
      </c>
      <c r="AJ75" s="100">
        <f>VLOOKUP(TableWRRanks32423644[[#This Row],[Player]],WR!B:O,6,FALSE)</f>
        <v>40.873105979999998</v>
      </c>
      <c r="AK75" s="100">
        <f>VLOOKUP(TableWRRanks32423644[[#This Row],[Player]],WR!B:O,7,FALSE)</f>
        <v>23.788147680359998</v>
      </c>
      <c r="AL75" s="100">
        <f>VLOOKUP(TableWRRanks32423644[[#This Row],[Player]],WR!B:O,8,FALSE)</f>
        <v>319.95058630084196</v>
      </c>
      <c r="AM75" s="100">
        <f>VLOOKUP(TableWRRanks32423644[[#This Row],[Player]],WR!B:O,9,FALSE)</f>
        <v>1.52244145154304</v>
      </c>
      <c r="AN75" s="95">
        <f>VLOOKUP(TableWRRanks32423644[[#This Row],[Player]],WR!B:O,13,FALSE)</f>
        <v>53.023781179522445</v>
      </c>
      <c r="AO75" s="190">
        <f>TableWRRanks32423644[[#This Row],[FPS]]-(TableWRRanks32423644[[#This Row],[REC]]*0.5)</f>
        <v>41.129707339342445</v>
      </c>
      <c r="AQ75" s="58">
        <v>74</v>
      </c>
      <c r="AR75" s="58">
        <f>VLOOKUP(TableTERanks33433745[[#This Row],[RK]],Rankings!A:AZ,48,FALSE)</f>
        <v>0</v>
      </c>
      <c r="AS75" s="58" t="str">
        <f>IFERROR(INDEX(TableTECalcPts[TM],MATCH(TableTERanks33433745[[#This Row],[Player]],TableTECalcPts[PLAYER],0)),"")</f>
        <v/>
      </c>
      <c r="AT75" s="58" t="str">
        <f>IFERROR(INDEX(TableTECalcPts[BYE],MATCH(TableTERanks33433745[[#This Row],[Player]],TableTECalcPts[PLAYER],0)),"")</f>
        <v/>
      </c>
      <c r="AU75" s="100">
        <f>VLOOKUP(TableTERanks33433745[[#This Row],[Player]],TE!B:O,4,FALSE)</f>
        <v>0</v>
      </c>
      <c r="AV75" s="100">
        <f>VLOOKUP(TableTERanks33433745[[#This Row],[Player]],TE!B:O,5,FALSE)</f>
        <v>0</v>
      </c>
      <c r="AW75" s="100">
        <f>VLOOKUP(TableTERanks33433745[[#This Row],[Player]],TE!B:O,6,FALSE)</f>
        <v>0</v>
      </c>
      <c r="AX75" s="100">
        <f>VLOOKUP(TableTERanks33433745[[#This Row],[Player]],TE!B:O,7,FALSE)</f>
        <v>0</v>
      </c>
      <c r="AY75" s="95">
        <f>VLOOKUP(TableTERanks33433745[[#This Row],[Player]],TE!B:O,11,FALSE)</f>
        <v>0</v>
      </c>
      <c r="AZ75" s="190">
        <f>TableTERanks33433745[[#This Row],[FPS]]-(TableTERanks33433745[[#This Row],[REC]]*0.5)</f>
        <v>0</v>
      </c>
    </row>
    <row r="76" spans="1:52" x14ac:dyDescent="0.25">
      <c r="A76" s="58">
        <v>75</v>
      </c>
      <c r="B76" s="58">
        <f>VLOOKUP(TableQBRanks30403438[[#This Row],[RK]],Rankings!A:T,3,FALSE)</f>
        <v>0</v>
      </c>
      <c r="C76" s="58" t="str">
        <f>IFERROR(INDEX(TableQBCalcPts[TM],MATCH(TableQBRanks30403438[[#This Row],[Player]],TableQBCalcPts[PLAYER],0)),"")</f>
        <v/>
      </c>
      <c r="D76" s="58" t="str">
        <f>IFERROR(INDEX(TableQBCalcPts[BYE],MATCH(TableQBRanks30403438[[#This Row],[Player]],TableQBCalcPts[PLAYER],0)),"")</f>
        <v/>
      </c>
      <c r="E76" s="100">
        <f>VLOOKUP(TableQBRanks30403438[[#This Row],[Player]],QB!B:O,4,FALSE)</f>
        <v>0</v>
      </c>
      <c r="F76" s="100">
        <f>VLOOKUP(TableQBRanks30403438[[#This Row],[Player]],QB!B:O,5,FALSE)</f>
        <v>0</v>
      </c>
      <c r="G76" s="100">
        <f>VLOOKUP(TableQBRanks30403438[[#This Row],[Player]],QB!B:O,6,FALSE)</f>
        <v>0</v>
      </c>
      <c r="H76" s="100">
        <f>VLOOKUP(TableQBRanks30403438[[#This Row],[Player]],QB!B:O,7,FALSE)</f>
        <v>0</v>
      </c>
      <c r="I76" s="100">
        <f>VLOOKUP(TableQBRanks30403438[[#This Row],[Player]],QB!B:O,8,FALSE)</f>
        <v>0</v>
      </c>
      <c r="J76" s="100">
        <f>VLOOKUP(TableQBRanks30403438[[#This Row],[Player]],QB!B:O,9,FALSE)</f>
        <v>0</v>
      </c>
      <c r="K76" s="100">
        <f>VLOOKUP(TableQBRanks30403438[[#This Row],[Player]],QB!B:O,10,FALSE)</f>
        <v>0</v>
      </c>
      <c r="L76" s="100">
        <f>VLOOKUP(TableQBRanks30403438[[#This Row],[Player]],QB!B:O,11,FALSE)</f>
        <v>0</v>
      </c>
      <c r="M76" s="95">
        <f>VLOOKUP(TableQBRanks30403438[[#This Row],[Player]],QB!B:O,13,FALSE)</f>
        <v>0</v>
      </c>
      <c r="N76" s="140" t="e">
        <f>IF(VLOOKUP(TableQBRanks30403438[[#This Row],[Player]],'Ranks w Proj'!$B:$N,13,FALSE)&lt;0,0,VLOOKUP(TableQBRanks30403438[[#This Row],[Player]],'Ranks w Proj'!$B:$N,13,FALSE))</f>
        <v>#N/A</v>
      </c>
      <c r="P76" s="58">
        <v>75</v>
      </c>
      <c r="Q76" s="58" t="str">
        <f>VLOOKUP(TableRBRanks31413539[[#This Row],[RK]],Rankings!A:AY,38,FALSE)</f>
        <v>Malik Davis</v>
      </c>
      <c r="R76" s="58" t="str">
        <f>IFERROR(INDEX(TableRBCalcPts[TM],MATCH(TableRBRanks31413539[[#This Row],[Player]],TableRBCalcPts[PLAYER],0)),"")</f>
        <v>DAL</v>
      </c>
      <c r="S76" s="58">
        <f>IFERROR(INDEX(TableRBCalcPts[BYE],MATCH(TableRBRanks31413539[[#This Row],[Player]],TableRBCalcPts[PLAYER],0)),"")</f>
        <v>14</v>
      </c>
      <c r="T76" s="100">
        <f>VLOOKUP(TableRBRanks31413539[[#This Row],[Player]],RB!B:O,4,FALSE)</f>
        <v>46.131584100000005</v>
      </c>
      <c r="U76" s="100">
        <f>VLOOKUP(TableRBRanks31413539[[#This Row],[Player]],RB!B:O,5,FALSE)</f>
        <v>205.74686508600001</v>
      </c>
      <c r="V76" s="100">
        <f>VLOOKUP(TableRBRanks31413539[[#This Row],[Player]],RB!B:O,6,FALSE)</f>
        <v>1.6146054435000003</v>
      </c>
      <c r="W76" s="100">
        <f>VLOOKUP(TableRBRanks31413539[[#This Row],[Player]],RB!B:O,7,FALSE)</f>
        <v>6.0276369999999995</v>
      </c>
      <c r="X76" s="100">
        <f>VLOOKUP(TableRBRanks31413539[[#This Row],[Player]],RB!B:O,8,FALSE)</f>
        <v>4.0385167900000001</v>
      </c>
      <c r="Y76" s="100">
        <f>VLOOKUP(TableRBRanks31413539[[#This Row],[Player]],RB!B:O,9,FALSE)</f>
        <v>25.429642123903989</v>
      </c>
      <c r="Z76" s="100">
        <f>VLOOKUP(TableRBRanks31413539[[#This Row],[Player]],RB!B:O,10,FALSE)</f>
        <v>0.1211555037</v>
      </c>
      <c r="AA76" s="95">
        <f>VLOOKUP(TableRBRanks31413539[[#This Row],[Player]],RB!B:O,14,FALSE)</f>
        <v>35.551474799190409</v>
      </c>
      <c r="AB76" s="190">
        <f>TableRBRanks31413539[[#This Row],[FPS]]-(TableRBRanks31413539[[#This Row],[REC]]*0.5)</f>
        <v>33.532216404190407</v>
      </c>
      <c r="AD76" s="58">
        <v>75</v>
      </c>
      <c r="AE76" s="58" t="str">
        <f>VLOOKUP(TableWRRanks32423644[[#This Row],[RK]],Rankings!A:AZ,43,FALSE)</f>
        <v>Calvin Ridley</v>
      </c>
      <c r="AF76" s="58" t="str">
        <f>IFERROR(INDEX(TableWRCalcPts[TM],MATCH(TableWRRanks32423644[[#This Row],[Player]],TableWRCalcPts[PLAYER],0)),"")</f>
        <v>TEN</v>
      </c>
      <c r="AG76" s="58">
        <f>IFERROR(INDEX(TableWRCalcPts[BYE],MATCH(TableWRRanks32423644[[#This Row],[Player]],TableWRCalcPts[PLAYER],0)),"")</f>
        <v>9</v>
      </c>
      <c r="AH76" s="100">
        <f>VLOOKUP(TableWRRanks32423644[[#This Row],[Player]],WR!B:O,4,FALSE)</f>
        <v>0</v>
      </c>
      <c r="AI76" s="100">
        <f>VLOOKUP(TableWRRanks32423644[[#This Row],[Player]],WR!B:O,5,FALSE)</f>
        <v>0</v>
      </c>
      <c r="AJ76" s="100">
        <f>VLOOKUP(TableWRRanks32423644[[#This Row],[Player]],WR!B:O,6,FALSE)</f>
        <v>80.738138880000008</v>
      </c>
      <c r="AK76" s="100">
        <f>VLOOKUP(TableWRRanks32423644[[#This Row],[Player]],WR!B:O,7,FALSE)</f>
        <v>43.517856856320009</v>
      </c>
      <c r="AL76" s="100">
        <f>VLOOKUP(TableWRRanks32423644[[#This Row],[Player]],WR!B:O,8,FALSE)</f>
        <v>617.08321022261771</v>
      </c>
      <c r="AM76" s="100">
        <f>VLOOKUP(TableWRRanks32423644[[#This Row],[Player]],WR!B:O,9,FALSE)</f>
        <v>3.6554999759308808</v>
      </c>
      <c r="AN76" s="95">
        <f>VLOOKUP(TableWRRanks32423644[[#This Row],[Player]],WR!B:O,13,FALSE)</f>
        <v>105.40024930600705</v>
      </c>
      <c r="AO76" s="190">
        <f>TableWRRanks32423644[[#This Row],[FPS]]-(TableWRRanks32423644[[#This Row],[REC]]*0.5)</f>
        <v>83.64132087784705</v>
      </c>
      <c r="AQ76" s="58">
        <v>75</v>
      </c>
      <c r="AR76" s="58">
        <f>VLOOKUP(TableTERanks33433745[[#This Row],[RK]],Rankings!A:AZ,48,FALSE)</f>
        <v>0</v>
      </c>
      <c r="AS76" s="58" t="str">
        <f>IFERROR(INDEX(TableTECalcPts[TM],MATCH(TableTERanks33433745[[#This Row],[Player]],TableTECalcPts[PLAYER],0)),"")</f>
        <v/>
      </c>
      <c r="AT76" s="58" t="str">
        <f>IFERROR(INDEX(TableTECalcPts[BYE],MATCH(TableTERanks33433745[[#This Row],[Player]],TableTECalcPts[PLAYER],0)),"")</f>
        <v/>
      </c>
      <c r="AU76" s="100">
        <f>VLOOKUP(TableTERanks33433745[[#This Row],[Player]],TE!B:O,4,FALSE)</f>
        <v>0</v>
      </c>
      <c r="AV76" s="100">
        <f>VLOOKUP(TableTERanks33433745[[#This Row],[Player]],TE!B:O,5,FALSE)</f>
        <v>0</v>
      </c>
      <c r="AW76" s="100">
        <f>VLOOKUP(TableTERanks33433745[[#This Row],[Player]],TE!B:O,6,FALSE)</f>
        <v>0</v>
      </c>
      <c r="AX76" s="100">
        <f>VLOOKUP(TableTERanks33433745[[#This Row],[Player]],TE!B:O,7,FALSE)</f>
        <v>0</v>
      </c>
      <c r="AY76" s="95">
        <f>VLOOKUP(TableTERanks33433745[[#This Row],[Player]],TE!B:O,11,FALSE)</f>
        <v>0</v>
      </c>
      <c r="AZ76" s="190">
        <f>TableTERanks33433745[[#This Row],[FPS]]-(TableTERanks33433745[[#This Row],[REC]]*0.5)</f>
        <v>0</v>
      </c>
    </row>
    <row r="77" spans="1:52" x14ac:dyDescent="0.25">
      <c r="A77" s="58">
        <v>76</v>
      </c>
      <c r="B77" s="58">
        <f>VLOOKUP(TableQBRanks30403438[[#This Row],[RK]],Rankings!A:T,3,FALSE)</f>
        <v>0</v>
      </c>
      <c r="C77" s="58" t="str">
        <f>IFERROR(INDEX(TableQBCalcPts[TM],MATCH(TableQBRanks30403438[[#This Row],[Player]],TableQBCalcPts[PLAYER],0)),"")</f>
        <v/>
      </c>
      <c r="D77" s="58" t="str">
        <f>IFERROR(INDEX(TableQBCalcPts[BYE],MATCH(TableQBRanks30403438[[#This Row],[Player]],TableQBCalcPts[PLAYER],0)),"")</f>
        <v/>
      </c>
      <c r="E77" s="100">
        <f>VLOOKUP(TableQBRanks30403438[[#This Row],[Player]],QB!B:O,4,FALSE)</f>
        <v>0</v>
      </c>
      <c r="F77" s="100">
        <f>VLOOKUP(TableQBRanks30403438[[#This Row],[Player]],QB!B:O,5,FALSE)</f>
        <v>0</v>
      </c>
      <c r="G77" s="100">
        <f>VLOOKUP(TableQBRanks30403438[[#This Row],[Player]],QB!B:O,6,FALSE)</f>
        <v>0</v>
      </c>
      <c r="H77" s="100">
        <f>VLOOKUP(TableQBRanks30403438[[#This Row],[Player]],QB!B:O,7,FALSE)</f>
        <v>0</v>
      </c>
      <c r="I77" s="100">
        <f>VLOOKUP(TableQBRanks30403438[[#This Row],[Player]],QB!B:O,8,FALSE)</f>
        <v>0</v>
      </c>
      <c r="J77" s="100">
        <f>VLOOKUP(TableQBRanks30403438[[#This Row],[Player]],QB!B:O,9,FALSE)</f>
        <v>0</v>
      </c>
      <c r="K77" s="100">
        <f>VLOOKUP(TableQBRanks30403438[[#This Row],[Player]],QB!B:O,10,FALSE)</f>
        <v>0</v>
      </c>
      <c r="L77" s="100">
        <f>VLOOKUP(TableQBRanks30403438[[#This Row],[Player]],QB!B:O,11,FALSE)</f>
        <v>0</v>
      </c>
      <c r="M77" s="95">
        <f>VLOOKUP(TableQBRanks30403438[[#This Row],[Player]],QB!B:O,13,FALSE)</f>
        <v>0</v>
      </c>
      <c r="N77" s="140" t="e">
        <f>IF(VLOOKUP(TableQBRanks30403438[[#This Row],[Player]],'Ranks w Proj'!$B:$N,13,FALSE)&lt;0,0,VLOOKUP(TableQBRanks30403438[[#This Row],[Player]],'Ranks w Proj'!$B:$N,13,FALSE))</f>
        <v>#N/A</v>
      </c>
      <c r="P77" s="58">
        <v>76</v>
      </c>
      <c r="Q77" s="58" t="str">
        <f>VLOOKUP(TableRBRanks31413539[[#This Row],[RK]],Rankings!A:AY,38,FALSE)</f>
        <v>Seth McGowan</v>
      </c>
      <c r="R77" s="58" t="str">
        <f>IFERROR(INDEX(TableRBCalcPts[TM],MATCH(TableRBRanks31413539[[#This Row],[Player]],TableRBCalcPts[PLAYER],0)),"")</f>
        <v>IND</v>
      </c>
      <c r="S77" s="58">
        <f>IFERROR(INDEX(TableRBCalcPts[BYE],MATCH(TableRBRanks31413539[[#This Row],[Player]],TableRBCalcPts[PLAYER],0)),"")</f>
        <v>13</v>
      </c>
      <c r="T77" s="100">
        <f>VLOOKUP(TableRBRanks31413539[[#This Row],[Player]],RB!B:O,4,FALSE)</f>
        <v>41.112332799999997</v>
      </c>
      <c r="U77" s="100">
        <f>VLOOKUP(TableRBRanks31413539[[#This Row],[Player]],RB!B:O,5,FALSE)</f>
        <v>167.73831782399998</v>
      </c>
      <c r="V77" s="100">
        <f>VLOOKUP(TableRBRanks31413539[[#This Row],[Player]],RB!B:O,6,FALSE)</f>
        <v>1.5211563135999999</v>
      </c>
      <c r="W77" s="100">
        <f>VLOOKUP(TableRBRanks31413539[[#This Row],[Player]],RB!B:O,7,FALSE)</f>
        <v>2.6130719999999998</v>
      </c>
      <c r="X77" s="100">
        <f>VLOOKUP(TableRBRanks31413539[[#This Row],[Player]],RB!B:O,8,FALSE)</f>
        <v>1.9598039999999999</v>
      </c>
      <c r="Y77" s="100">
        <f>VLOOKUP(TableRBRanks31413539[[#This Row],[Player]],RB!B:O,9,FALSE)</f>
        <v>12.043963424675757</v>
      </c>
      <c r="Z77" s="100">
        <f>VLOOKUP(TableRBRanks31413539[[#This Row],[Player]],RB!B:O,10,FALSE)</f>
        <v>3.9196080000000001E-2</v>
      </c>
      <c r="AA77" s="95">
        <f>VLOOKUP(TableRBRanks31413539[[#This Row],[Player]],RB!B:O,14,FALSE)</f>
        <v>28.320244486467573</v>
      </c>
      <c r="AB77" s="190">
        <f>TableRBRanks31413539[[#This Row],[FPS]]-(TableRBRanks31413539[[#This Row],[REC]]*0.5)</f>
        <v>27.340342486467573</v>
      </c>
      <c r="AD77" s="58">
        <v>76</v>
      </c>
      <c r="AE77" s="58" t="str">
        <f>VLOOKUP(TableWRRanks32423644[[#This Row],[RK]],Rankings!A:AZ,43,FALSE)</f>
        <v>Germie Bernard</v>
      </c>
      <c r="AF77" s="58" t="str">
        <f>IFERROR(INDEX(TableWRCalcPts[TM],MATCH(TableWRRanks32423644[[#This Row],[Player]],TableWRCalcPts[PLAYER],0)),"")</f>
        <v>PIT</v>
      </c>
      <c r="AG77" s="58">
        <f>IFERROR(INDEX(TableWRCalcPts[BYE],MATCH(TableWRRanks32423644[[#This Row],[Player]],TableWRCalcPts[PLAYER],0)),"")</f>
        <v>9</v>
      </c>
      <c r="AH77" s="100">
        <f>VLOOKUP(TableWRRanks32423644[[#This Row],[Player]],WR!B:O,4,FALSE)</f>
        <v>26.777519999999992</v>
      </c>
      <c r="AI77" s="100">
        <f>VLOOKUP(TableWRRanks32423644[[#This Row],[Player]],WR!B:O,5,FALSE)</f>
        <v>3.1240439999999991E-2</v>
      </c>
      <c r="AJ77" s="100">
        <f>VLOOKUP(TableWRRanks32423644[[#This Row],[Player]],WR!B:O,6,FALSE)</f>
        <v>77.249088000000015</v>
      </c>
      <c r="AK77" s="100">
        <f>VLOOKUP(TableWRRanks32423644[[#This Row],[Player]],WR!B:O,7,FALSE)</f>
        <v>46.394433281620259</v>
      </c>
      <c r="AL77" s="100">
        <f>VLOOKUP(TableWRRanks32423644[[#This Row],[Player]],WR!B:O,8,FALSE)</f>
        <v>489.92521545390997</v>
      </c>
      <c r="AM77" s="100">
        <f>VLOOKUP(TableWRRanks32423644[[#This Row],[Player]],WR!B:O,9,FALSE)</f>
        <v>2.8148655019746838</v>
      </c>
      <c r="AN77" s="95">
        <f>VLOOKUP(TableWRRanks32423644[[#This Row],[Player]],WR!B:O,13,FALSE)</f>
        <v>91.944125838049231</v>
      </c>
      <c r="AO77" s="190">
        <f>TableWRRanks32423644[[#This Row],[FPS]]-(TableWRRanks32423644[[#This Row],[REC]]*0.5)</f>
        <v>68.746909197239106</v>
      </c>
      <c r="AQ77" s="58">
        <v>76</v>
      </c>
      <c r="AR77" s="58">
        <f>VLOOKUP(TableTERanks33433745[[#This Row],[RK]],Rankings!A:AZ,48,FALSE)</f>
        <v>0</v>
      </c>
      <c r="AS77" s="58" t="str">
        <f>IFERROR(INDEX(TableTECalcPts[TM],MATCH(TableTERanks33433745[[#This Row],[Player]],TableTECalcPts[PLAYER],0)),"")</f>
        <v/>
      </c>
      <c r="AT77" s="58" t="str">
        <f>IFERROR(INDEX(TableTECalcPts[BYE],MATCH(TableTERanks33433745[[#This Row],[Player]],TableTECalcPts[PLAYER],0)),"")</f>
        <v/>
      </c>
      <c r="AU77" s="100">
        <f>VLOOKUP(TableTERanks33433745[[#This Row],[Player]],TE!B:O,4,FALSE)</f>
        <v>0</v>
      </c>
      <c r="AV77" s="100">
        <f>VLOOKUP(TableTERanks33433745[[#This Row],[Player]],TE!B:O,5,FALSE)</f>
        <v>0</v>
      </c>
      <c r="AW77" s="100">
        <f>VLOOKUP(TableTERanks33433745[[#This Row],[Player]],TE!B:O,6,FALSE)</f>
        <v>0</v>
      </c>
      <c r="AX77" s="100">
        <f>VLOOKUP(TableTERanks33433745[[#This Row],[Player]],TE!B:O,7,FALSE)</f>
        <v>0</v>
      </c>
      <c r="AY77" s="95">
        <f>VLOOKUP(TableTERanks33433745[[#This Row],[Player]],TE!B:O,11,FALSE)</f>
        <v>0</v>
      </c>
      <c r="AZ77" s="190">
        <f>TableTERanks33433745[[#This Row],[FPS]]-(TableTERanks33433745[[#This Row],[REC]]*0.5)</f>
        <v>0</v>
      </c>
    </row>
    <row r="78" spans="1:52" x14ac:dyDescent="0.25">
      <c r="A78" s="58">
        <v>77</v>
      </c>
      <c r="B78" s="58">
        <f>VLOOKUP(TableQBRanks30403438[[#This Row],[RK]],Rankings!A:T,3,FALSE)</f>
        <v>0</v>
      </c>
      <c r="C78" s="58" t="str">
        <f>IFERROR(INDEX(TableQBCalcPts[TM],MATCH(TableQBRanks30403438[[#This Row],[Player]],TableQBCalcPts[PLAYER],0)),"")</f>
        <v/>
      </c>
      <c r="D78" s="58" t="str">
        <f>IFERROR(INDEX(TableQBCalcPts[BYE],MATCH(TableQBRanks30403438[[#This Row],[Player]],TableQBCalcPts[PLAYER],0)),"")</f>
        <v/>
      </c>
      <c r="E78" s="100">
        <f>VLOOKUP(TableQBRanks30403438[[#This Row],[Player]],QB!B:O,4,FALSE)</f>
        <v>0</v>
      </c>
      <c r="F78" s="100">
        <f>VLOOKUP(TableQBRanks30403438[[#This Row],[Player]],QB!B:O,5,FALSE)</f>
        <v>0</v>
      </c>
      <c r="G78" s="100">
        <f>VLOOKUP(TableQBRanks30403438[[#This Row],[Player]],QB!B:O,6,FALSE)</f>
        <v>0</v>
      </c>
      <c r="H78" s="100">
        <f>VLOOKUP(TableQBRanks30403438[[#This Row],[Player]],QB!B:O,7,FALSE)</f>
        <v>0</v>
      </c>
      <c r="I78" s="100">
        <f>VLOOKUP(TableQBRanks30403438[[#This Row],[Player]],QB!B:O,8,FALSE)</f>
        <v>0</v>
      </c>
      <c r="J78" s="100">
        <f>VLOOKUP(TableQBRanks30403438[[#This Row],[Player]],QB!B:O,9,FALSE)</f>
        <v>0</v>
      </c>
      <c r="K78" s="100">
        <f>VLOOKUP(TableQBRanks30403438[[#This Row],[Player]],QB!B:O,10,FALSE)</f>
        <v>0</v>
      </c>
      <c r="L78" s="100">
        <f>VLOOKUP(TableQBRanks30403438[[#This Row],[Player]],QB!B:O,11,FALSE)</f>
        <v>0</v>
      </c>
      <c r="M78" s="95">
        <f>VLOOKUP(TableQBRanks30403438[[#This Row],[Player]],QB!B:O,13,FALSE)</f>
        <v>0</v>
      </c>
      <c r="N78" s="140" t="e">
        <f>IF(VLOOKUP(TableQBRanks30403438[[#This Row],[Player]],'Ranks w Proj'!$B:$N,13,FALSE)&lt;0,0,VLOOKUP(TableQBRanks30403438[[#This Row],[Player]],'Ranks w Proj'!$B:$N,13,FALSE))</f>
        <v>#N/A</v>
      </c>
      <c r="P78" s="58">
        <v>77</v>
      </c>
      <c r="Q78" s="58" t="str">
        <f>VLOOKUP(TableRBRanks31413539[[#This Row],[RK]],Rankings!A:AY,38,FALSE)</f>
        <v>LeQuint Allen</v>
      </c>
      <c r="R78" s="58" t="str">
        <f>IFERROR(INDEX(TableRBCalcPts[TM],MATCH(TableRBRanks31413539[[#This Row],[Player]],TableRBCalcPts[PLAYER],0)),"")</f>
        <v>JAX</v>
      </c>
      <c r="S78" s="58">
        <f>IFERROR(INDEX(TableRBCalcPts[BYE],MATCH(TableRBRanks31413539[[#This Row],[Player]],TableRBCalcPts[PLAYER],0)),"")</f>
        <v>7</v>
      </c>
      <c r="T78" s="100">
        <f>VLOOKUP(TableRBRanks31413539[[#This Row],[Player]],RB!B:O,4,FALSE)</f>
        <v>19.296116699999999</v>
      </c>
      <c r="U78" s="100">
        <f>VLOOKUP(TableRBRanks31413539[[#This Row],[Player]],RB!B:O,5,FALSE)</f>
        <v>78.921117302999988</v>
      </c>
      <c r="V78" s="100">
        <f>VLOOKUP(TableRBRanks31413539[[#This Row],[Player]],RB!B:O,6,FALSE)</f>
        <v>0.57888350099999997</v>
      </c>
      <c r="W78" s="100">
        <f>VLOOKUP(TableRBRanks31413539[[#This Row],[Player]],RB!B:O,7,FALSE)</f>
        <v>15.111173700000002</v>
      </c>
      <c r="X78" s="100">
        <f>VLOOKUP(TableRBRanks31413539[[#This Row],[Player]],RB!B:O,8,FALSE)</f>
        <v>10.675567740600004</v>
      </c>
      <c r="Y78" s="100">
        <f>VLOOKUP(TableRBRanks31413539[[#This Row],[Player]],RB!B:O,9,FALSE)</f>
        <v>74.408707151982028</v>
      </c>
      <c r="Z78" s="100">
        <f>VLOOKUP(TableRBRanks31413539[[#This Row],[Player]],RB!B:O,10,FALSE)</f>
        <v>0.38432043866160009</v>
      </c>
      <c r="AA78" s="95">
        <f>VLOOKUP(TableRBRanks31413539[[#This Row],[Player]],RB!B:O,14,FALSE)</f>
        <v>26.449989953767805</v>
      </c>
      <c r="AB78" s="190">
        <f>TableRBRanks31413539[[#This Row],[FPS]]-(TableRBRanks31413539[[#This Row],[REC]]*0.5)</f>
        <v>21.112206083467804</v>
      </c>
      <c r="AD78" s="58">
        <v>77</v>
      </c>
      <c r="AE78" s="58" t="str">
        <f>VLOOKUP(TableWRRanks32423644[[#This Row],[RK]],Rankings!A:AZ,43,FALSE)</f>
        <v>Jauan Jennings</v>
      </c>
      <c r="AF78" s="58" t="str">
        <f>IFERROR(INDEX(TableWRCalcPts[TM],MATCH(TableWRRanks32423644[[#This Row],[Player]],TableWRCalcPts[PLAYER],0)),"")</f>
        <v>MIN</v>
      </c>
      <c r="AG78" s="58">
        <f>IFERROR(INDEX(TableWRCalcPts[BYE],MATCH(TableWRRanks32423644[[#This Row],[Player]],TableWRCalcPts[PLAYER],0)),"")</f>
        <v>6</v>
      </c>
      <c r="AH78" s="100">
        <f>VLOOKUP(TableWRRanks32423644[[#This Row],[Player]],WR!B:O,4,FALSE)</f>
        <v>0</v>
      </c>
      <c r="AI78" s="100">
        <f>VLOOKUP(TableWRRanks32423644[[#This Row],[Player]],WR!B:O,5,FALSE)</f>
        <v>0</v>
      </c>
      <c r="AJ78" s="100">
        <f>VLOOKUP(TableWRRanks32423644[[#This Row],[Player]],WR!B:O,6,FALSE)</f>
        <v>62.530711039999993</v>
      </c>
      <c r="AK78" s="100">
        <f>VLOOKUP(TableWRRanks32423644[[#This Row],[Player]],WR!B:O,7,FALSE)</f>
        <v>40.808526304414812</v>
      </c>
      <c r="AL78" s="100">
        <f>VLOOKUP(TableWRRanks32423644[[#This Row],[Player]],WR!B:O,8,FALSE)</f>
        <v>452.45311847928878</v>
      </c>
      <c r="AM78" s="100">
        <f>VLOOKUP(TableWRRanks32423644[[#This Row],[Player]],WR!B:O,9,FALSE)</f>
        <v>2.8565968413090372</v>
      </c>
      <c r="AN78" s="95">
        <f>VLOOKUP(TableWRRanks32423644[[#This Row],[Player]],WR!B:O,13,FALSE)</f>
        <v>82.789156047990502</v>
      </c>
      <c r="AO78" s="190">
        <f>TableWRRanks32423644[[#This Row],[FPS]]-(TableWRRanks32423644[[#This Row],[REC]]*0.5)</f>
        <v>62.384892895783096</v>
      </c>
      <c r="AQ78" s="58">
        <v>77</v>
      </c>
      <c r="AR78" s="58">
        <f>VLOOKUP(TableTERanks33433745[[#This Row],[RK]],Rankings!A:AZ,48,FALSE)</f>
        <v>0</v>
      </c>
      <c r="AS78" s="58" t="str">
        <f>IFERROR(INDEX(TableTECalcPts[TM],MATCH(TableTERanks33433745[[#This Row],[Player]],TableTECalcPts[PLAYER],0)),"")</f>
        <v/>
      </c>
      <c r="AT78" s="58" t="str">
        <f>IFERROR(INDEX(TableTECalcPts[BYE],MATCH(TableTERanks33433745[[#This Row],[Player]],TableTECalcPts[PLAYER],0)),"")</f>
        <v/>
      </c>
      <c r="AU78" s="100">
        <f>VLOOKUP(TableTERanks33433745[[#This Row],[Player]],TE!B:O,4,FALSE)</f>
        <v>0</v>
      </c>
      <c r="AV78" s="100">
        <f>VLOOKUP(TableTERanks33433745[[#This Row],[Player]],TE!B:O,5,FALSE)</f>
        <v>0</v>
      </c>
      <c r="AW78" s="100">
        <f>VLOOKUP(TableTERanks33433745[[#This Row],[Player]],TE!B:O,6,FALSE)</f>
        <v>0</v>
      </c>
      <c r="AX78" s="100">
        <f>VLOOKUP(TableTERanks33433745[[#This Row],[Player]],TE!B:O,7,FALSE)</f>
        <v>0</v>
      </c>
      <c r="AY78" s="95">
        <f>VLOOKUP(TableTERanks33433745[[#This Row],[Player]],TE!B:O,11,FALSE)</f>
        <v>0</v>
      </c>
      <c r="AZ78" s="190">
        <f>TableTERanks33433745[[#This Row],[FPS]]-(TableTERanks33433745[[#This Row],[REC]]*0.5)</f>
        <v>0</v>
      </c>
    </row>
    <row r="79" spans="1:52" x14ac:dyDescent="0.25">
      <c r="A79" s="58">
        <v>78</v>
      </c>
      <c r="B79" s="58">
        <f>VLOOKUP(TableQBRanks30403438[[#This Row],[RK]],Rankings!A:T,3,FALSE)</f>
        <v>0</v>
      </c>
      <c r="C79" s="58" t="str">
        <f>IFERROR(INDEX(TableQBCalcPts[TM],MATCH(TableQBRanks30403438[[#This Row],[Player]],TableQBCalcPts[PLAYER],0)),"")</f>
        <v/>
      </c>
      <c r="D79" s="58" t="str">
        <f>IFERROR(INDEX(TableQBCalcPts[BYE],MATCH(TableQBRanks30403438[[#This Row],[Player]],TableQBCalcPts[PLAYER],0)),"")</f>
        <v/>
      </c>
      <c r="E79" s="100">
        <f>VLOOKUP(TableQBRanks30403438[[#This Row],[Player]],QB!B:O,4,FALSE)</f>
        <v>0</v>
      </c>
      <c r="F79" s="100">
        <f>VLOOKUP(TableQBRanks30403438[[#This Row],[Player]],QB!B:O,5,FALSE)</f>
        <v>0</v>
      </c>
      <c r="G79" s="100">
        <f>VLOOKUP(TableQBRanks30403438[[#This Row],[Player]],QB!B:O,6,FALSE)</f>
        <v>0</v>
      </c>
      <c r="H79" s="100">
        <f>VLOOKUP(TableQBRanks30403438[[#This Row],[Player]],QB!B:O,7,FALSE)</f>
        <v>0</v>
      </c>
      <c r="I79" s="100">
        <f>VLOOKUP(TableQBRanks30403438[[#This Row],[Player]],QB!B:O,8,FALSE)</f>
        <v>0</v>
      </c>
      <c r="J79" s="100">
        <f>VLOOKUP(TableQBRanks30403438[[#This Row],[Player]],QB!B:O,9,FALSE)</f>
        <v>0</v>
      </c>
      <c r="K79" s="100">
        <f>VLOOKUP(TableQBRanks30403438[[#This Row],[Player]],QB!B:O,10,FALSE)</f>
        <v>0</v>
      </c>
      <c r="L79" s="100">
        <f>VLOOKUP(TableQBRanks30403438[[#This Row],[Player]],QB!B:O,11,FALSE)</f>
        <v>0</v>
      </c>
      <c r="M79" s="95">
        <f>VLOOKUP(TableQBRanks30403438[[#This Row],[Player]],QB!B:O,13,FALSE)</f>
        <v>0</v>
      </c>
      <c r="N79" s="140" t="e">
        <f>IF(VLOOKUP(TableQBRanks30403438[[#This Row],[Player]],'Ranks w Proj'!$B:$N,13,FALSE)&lt;0,0,VLOOKUP(TableQBRanks30403438[[#This Row],[Player]],'Ranks w Proj'!$B:$N,13,FALSE))</f>
        <v>#N/A</v>
      </c>
      <c r="P79" s="58">
        <v>78</v>
      </c>
      <c r="Q79" s="58" t="str">
        <f>VLOOKUP(TableRBRanks31413539[[#This Row],[RK]],Rankings!A:AY,38,FALSE)</f>
        <v>Zach Charbonnet</v>
      </c>
      <c r="R79" s="58" t="str">
        <f>IFERROR(INDEX(TableRBCalcPts[TM],MATCH(TableRBRanks31413539[[#This Row],[Player]],TableRBCalcPts[PLAYER],0)),"")</f>
        <v>SEA</v>
      </c>
      <c r="S79" s="58">
        <f>IFERROR(INDEX(TableRBCalcPts[BYE],MATCH(TableRBRanks31413539[[#This Row],[Player]],TableRBCalcPts[PLAYER],0)),"")</f>
        <v>11</v>
      </c>
      <c r="T79" s="100">
        <f>VLOOKUP(TableRBRanks31413539[[#This Row],[Player]],RB!B:O,4,FALSE)</f>
        <v>45.343837387261864</v>
      </c>
      <c r="U79" s="100">
        <f>VLOOKUP(TableRBRanks31413539[[#This Row],[Player]],RB!B:O,5,FALSE)</f>
        <v>187.37888790166693</v>
      </c>
      <c r="V79" s="100">
        <f>VLOOKUP(TableRBRanks31413539[[#This Row],[Player]],RB!B:O,6,FALSE)</f>
        <v>1.7230658207159508</v>
      </c>
      <c r="W79" s="100">
        <f>VLOOKUP(TableRBRanks31413539[[#This Row],[Player]],RB!B:O,7,FALSE)</f>
        <v>7.5709115999999996</v>
      </c>
      <c r="X79" s="100">
        <f>VLOOKUP(TableRBRanks31413539[[#This Row],[Player]],RB!B:O,8,FALSE)</f>
        <v>5.6176164071999999</v>
      </c>
      <c r="Y79" s="100">
        <f>VLOOKUP(TableRBRanks31413539[[#This Row],[Player]],RB!B:O,9,FALSE)</f>
        <v>44.835138104922024</v>
      </c>
      <c r="Z79" s="100">
        <f>VLOOKUP(TableRBRanks31413539[[#This Row],[Player]],RB!B:O,10,FALSE)</f>
        <v>0.18538134143760002</v>
      </c>
      <c r="AA79" s="95">
        <f>VLOOKUP(TableRBRanks31413539[[#This Row],[Player]],RB!B:O,14,FALSE)</f>
        <v>37.480893777180206</v>
      </c>
      <c r="AB79" s="190">
        <f>TableRBRanks31413539[[#This Row],[FPS]]-(TableRBRanks31413539[[#This Row],[REC]]*0.5)</f>
        <v>34.672085573580205</v>
      </c>
      <c r="AD79" s="58">
        <v>78</v>
      </c>
      <c r="AE79" s="58" t="str">
        <f>VLOOKUP(TableWRRanks32423644[[#This Row],[RK]],Rankings!A:AZ,43,FALSE)</f>
        <v>Ryan Flournoy</v>
      </c>
      <c r="AF79" s="58" t="str">
        <f>IFERROR(INDEX(TableWRCalcPts[TM],MATCH(TableWRRanks32423644[[#This Row],[Player]],TableWRCalcPts[PLAYER],0)),"")</f>
        <v>DAL</v>
      </c>
      <c r="AG79" s="58">
        <f>IFERROR(INDEX(TableWRCalcPts[BYE],MATCH(TableWRRanks32423644[[#This Row],[Player]],TableWRCalcPts[PLAYER],0)),"")</f>
        <v>14</v>
      </c>
      <c r="AH79" s="100">
        <f>VLOOKUP(TableWRRanks32423644[[#This Row],[Player]],WR!B:O,4,FALSE)</f>
        <v>0</v>
      </c>
      <c r="AI79" s="100">
        <f>VLOOKUP(TableWRRanks32423644[[#This Row],[Player]],WR!B:O,5,FALSE)</f>
        <v>0</v>
      </c>
      <c r="AJ79" s="100">
        <f>VLOOKUP(TableWRRanks32423644[[#This Row],[Player]],WR!B:O,6,FALSE)</f>
        <v>55.454260399999988</v>
      </c>
      <c r="AK79" s="100">
        <f>VLOOKUP(TableWRRanks32423644[[#This Row],[Player]],WR!B:O,7,FALSE)</f>
        <v>41.844770048630053</v>
      </c>
      <c r="AL79" s="100">
        <f>VLOOKUP(TableWRRanks32423644[[#This Row],[Player]],WR!B:O,8,FALSE)</f>
        <v>472.67761780374371</v>
      </c>
      <c r="AM79" s="100">
        <f>VLOOKUP(TableWRRanks32423644[[#This Row],[Player]],WR!B:O,9,FALSE)</f>
        <v>3.6823397642794444</v>
      </c>
      <c r="AN79" s="95">
        <f>VLOOKUP(TableWRRanks32423644[[#This Row],[Player]],WR!B:O,13,FALSE)</f>
        <v>90.284185390366062</v>
      </c>
      <c r="AO79" s="190">
        <f>TableWRRanks32423644[[#This Row],[FPS]]-(TableWRRanks32423644[[#This Row],[REC]]*0.5)</f>
        <v>69.361800366051028</v>
      </c>
      <c r="AQ79" s="58">
        <v>78</v>
      </c>
      <c r="AR79" s="58">
        <f>VLOOKUP(TableTERanks33433745[[#This Row],[RK]],Rankings!A:AZ,48,FALSE)</f>
        <v>0</v>
      </c>
      <c r="AS79" s="58" t="str">
        <f>IFERROR(INDEX(TableTECalcPts[TM],MATCH(TableTERanks33433745[[#This Row],[Player]],TableTECalcPts[PLAYER],0)),"")</f>
        <v/>
      </c>
      <c r="AT79" s="58" t="str">
        <f>IFERROR(INDEX(TableTECalcPts[BYE],MATCH(TableTERanks33433745[[#This Row],[Player]],TableTECalcPts[PLAYER],0)),"")</f>
        <v/>
      </c>
      <c r="AU79" s="100">
        <f>VLOOKUP(TableTERanks33433745[[#This Row],[Player]],TE!B:O,4,FALSE)</f>
        <v>0</v>
      </c>
      <c r="AV79" s="100">
        <f>VLOOKUP(TableTERanks33433745[[#This Row],[Player]],TE!B:O,5,FALSE)</f>
        <v>0</v>
      </c>
      <c r="AW79" s="100">
        <f>VLOOKUP(TableTERanks33433745[[#This Row],[Player]],TE!B:O,6,FALSE)</f>
        <v>0</v>
      </c>
      <c r="AX79" s="100">
        <f>VLOOKUP(TableTERanks33433745[[#This Row],[Player]],TE!B:O,7,FALSE)</f>
        <v>0</v>
      </c>
      <c r="AY79" s="95">
        <f>VLOOKUP(TableTERanks33433745[[#This Row],[Player]],TE!B:O,11,FALSE)</f>
        <v>0</v>
      </c>
      <c r="AZ79" s="190">
        <f>TableTERanks33433745[[#This Row],[FPS]]-(TableTERanks33433745[[#This Row],[REC]]*0.5)</f>
        <v>0</v>
      </c>
    </row>
    <row r="80" spans="1:52" x14ac:dyDescent="0.25">
      <c r="A80" s="58">
        <v>79</v>
      </c>
      <c r="B80" s="58">
        <f>VLOOKUP(TableQBRanks30403438[[#This Row],[RK]],Rankings!A:T,3,FALSE)</f>
        <v>0</v>
      </c>
      <c r="C80" s="58" t="str">
        <f>IFERROR(INDEX(TableQBCalcPts[TM],MATCH(TableQBRanks30403438[[#This Row],[Player]],TableQBCalcPts[PLAYER],0)),"")</f>
        <v/>
      </c>
      <c r="D80" s="58" t="str">
        <f>IFERROR(INDEX(TableQBCalcPts[BYE],MATCH(TableQBRanks30403438[[#This Row],[Player]],TableQBCalcPts[PLAYER],0)),"")</f>
        <v/>
      </c>
      <c r="E80" s="100">
        <f>VLOOKUP(TableQBRanks30403438[[#This Row],[Player]],QB!B:O,4,FALSE)</f>
        <v>0</v>
      </c>
      <c r="F80" s="100">
        <f>VLOOKUP(TableQBRanks30403438[[#This Row],[Player]],QB!B:O,5,FALSE)</f>
        <v>0</v>
      </c>
      <c r="G80" s="100">
        <f>VLOOKUP(TableQBRanks30403438[[#This Row],[Player]],QB!B:O,6,FALSE)</f>
        <v>0</v>
      </c>
      <c r="H80" s="100">
        <f>VLOOKUP(TableQBRanks30403438[[#This Row],[Player]],QB!B:O,7,FALSE)</f>
        <v>0</v>
      </c>
      <c r="I80" s="100">
        <f>VLOOKUP(TableQBRanks30403438[[#This Row],[Player]],QB!B:O,8,FALSE)</f>
        <v>0</v>
      </c>
      <c r="J80" s="100">
        <f>VLOOKUP(TableQBRanks30403438[[#This Row],[Player]],QB!B:O,9,FALSE)</f>
        <v>0</v>
      </c>
      <c r="K80" s="100">
        <f>VLOOKUP(TableQBRanks30403438[[#This Row],[Player]],QB!B:O,10,FALSE)</f>
        <v>0</v>
      </c>
      <c r="L80" s="100">
        <f>VLOOKUP(TableQBRanks30403438[[#This Row],[Player]],QB!B:O,11,FALSE)</f>
        <v>0</v>
      </c>
      <c r="M80" s="95">
        <f>VLOOKUP(TableQBRanks30403438[[#This Row],[Player]],QB!B:O,13,FALSE)</f>
        <v>0</v>
      </c>
      <c r="N80" s="140" t="e">
        <f>IF(VLOOKUP(TableQBRanks30403438[[#This Row],[Player]],'Ranks w Proj'!$B:$N,13,FALSE)&lt;0,0,VLOOKUP(TableQBRanks30403438[[#This Row],[Player]],'Ranks w Proj'!$B:$N,13,FALSE))</f>
        <v>#N/A</v>
      </c>
      <c r="P80" s="58">
        <v>79</v>
      </c>
      <c r="Q80" s="58" t="str">
        <f>VLOOKUP(TableRBRanks31413539[[#This Row],[RK]],Rankings!A:AY,38,FALSE)</f>
        <v>Isaiah Davis</v>
      </c>
      <c r="R80" s="58" t="str">
        <f>IFERROR(INDEX(TableRBCalcPts[TM],MATCH(TableRBRanks31413539[[#This Row],[Player]],TableRBCalcPts[PLAYER],0)),"")</f>
        <v>NYJ</v>
      </c>
      <c r="S80" s="58">
        <f>IFERROR(INDEX(TableRBCalcPts[BYE],MATCH(TableRBRanks31413539[[#This Row],[Player]],TableRBCalcPts[PLAYER],0)),"")</f>
        <v>13</v>
      </c>
      <c r="T80" s="100">
        <f>VLOOKUP(TableRBRanks31413539[[#This Row],[Player]],RB!B:O,4,FALSE)</f>
        <v>30.098916399999997</v>
      </c>
      <c r="U80" s="100">
        <f>VLOOKUP(TableRBRanks31413539[[#This Row],[Player]],RB!B:O,5,FALSE)</f>
        <v>129.42534051999999</v>
      </c>
      <c r="V80" s="100">
        <f>VLOOKUP(TableRBRanks31413539[[#This Row],[Player]],RB!B:O,6,FALSE)</f>
        <v>0.90296749199999982</v>
      </c>
      <c r="W80" s="100">
        <f>VLOOKUP(TableRBRanks31413539[[#This Row],[Player]],RB!B:O,7,FALSE)</f>
        <v>8.4299596905011391</v>
      </c>
      <c r="X80" s="100">
        <f>VLOOKUP(TableRBRanks31413539[[#This Row],[Player]],RB!B:O,8,FALSE)</f>
        <v>6.3224697678758544</v>
      </c>
      <c r="Y80" s="100">
        <f>VLOOKUP(TableRBRanks31413539[[#This Row],[Player]],RB!B:O,9,FALSE)</f>
        <v>52.447136538447616</v>
      </c>
      <c r="Z80" s="100">
        <f>VLOOKUP(TableRBRanks31413539[[#This Row],[Player]],RB!B:O,10,FALSE)</f>
        <v>0.13400351508017394</v>
      </c>
      <c r="AA80" s="95">
        <f>VLOOKUP(TableRBRanks31413539[[#This Row],[Player]],RB!B:O,14,FALSE)</f>
        <v>27.570308632263728</v>
      </c>
      <c r="AB80" s="190">
        <f>TableRBRanks31413539[[#This Row],[FPS]]-(TableRBRanks31413539[[#This Row],[REC]]*0.5)</f>
        <v>24.409073748325802</v>
      </c>
      <c r="AD80" s="58">
        <v>79</v>
      </c>
      <c r="AE80" s="58" t="str">
        <f>VLOOKUP(TableWRRanks32423644[[#This Row],[RK]],Rankings!A:AZ,43,FALSE)</f>
        <v>Darnell Mooney</v>
      </c>
      <c r="AF80" s="58" t="str">
        <f>IFERROR(INDEX(TableWRCalcPts[TM],MATCH(TableWRRanks32423644[[#This Row],[Player]],TableWRCalcPts[PLAYER],0)),"")</f>
        <v>NYG</v>
      </c>
      <c r="AG80" s="58">
        <f>IFERROR(INDEX(TableWRCalcPts[BYE],MATCH(TableWRRanks32423644[[#This Row],[Player]],TableWRCalcPts[PLAYER],0)),"")</f>
        <v>8</v>
      </c>
      <c r="AH80" s="100">
        <f>VLOOKUP(TableWRRanks32423644[[#This Row],[Player]],WR!B:O,4,FALSE)</f>
        <v>0</v>
      </c>
      <c r="AI80" s="100">
        <f>VLOOKUP(TableWRRanks32423644[[#This Row],[Player]],WR!B:O,5,FALSE)</f>
        <v>0</v>
      </c>
      <c r="AJ80" s="100">
        <f>VLOOKUP(TableWRRanks32423644[[#This Row],[Player]],WR!B:O,6,FALSE)</f>
        <v>66.746540699999997</v>
      </c>
      <c r="AK80" s="100">
        <f>VLOOKUP(TableWRRanks32423644[[#This Row],[Player]],WR!B:O,7,FALSE)</f>
        <v>36.643850844300005</v>
      </c>
      <c r="AL80" s="100">
        <f>VLOOKUP(TableWRRanks32423644[[#This Row],[Player]],WR!B:O,8,FALSE)</f>
        <v>461.34608212973706</v>
      </c>
      <c r="AM80" s="100">
        <f>VLOOKUP(TableWRRanks32423644[[#This Row],[Player]],WR!B:O,9,FALSE)</f>
        <v>2.6750011116339003</v>
      </c>
      <c r="AN80" s="95">
        <f>VLOOKUP(TableWRRanks32423644[[#This Row],[Player]],WR!B:O,13,FALSE)</f>
        <v>80.506540304927114</v>
      </c>
      <c r="AO80" s="190">
        <f>TableWRRanks32423644[[#This Row],[FPS]]-(TableWRRanks32423644[[#This Row],[REC]]*0.5)</f>
        <v>62.184614882777112</v>
      </c>
      <c r="AQ80" s="58">
        <v>79</v>
      </c>
      <c r="AR80" s="58">
        <f>VLOOKUP(TableTERanks33433745[[#This Row],[RK]],Rankings!A:AZ,48,FALSE)</f>
        <v>0</v>
      </c>
      <c r="AS80" s="58" t="str">
        <f>IFERROR(INDEX(TableTECalcPts[TM],MATCH(TableTERanks33433745[[#This Row],[Player]],TableTECalcPts[PLAYER],0)),"")</f>
        <v/>
      </c>
      <c r="AT80" s="58" t="str">
        <f>IFERROR(INDEX(TableTECalcPts[BYE],MATCH(TableTERanks33433745[[#This Row],[Player]],TableTECalcPts[PLAYER],0)),"")</f>
        <v/>
      </c>
      <c r="AU80" s="100">
        <f>VLOOKUP(TableTERanks33433745[[#This Row],[Player]],TE!B:O,4,FALSE)</f>
        <v>0</v>
      </c>
      <c r="AV80" s="100">
        <f>VLOOKUP(TableTERanks33433745[[#This Row],[Player]],TE!B:O,5,FALSE)</f>
        <v>0</v>
      </c>
      <c r="AW80" s="100">
        <f>VLOOKUP(TableTERanks33433745[[#This Row],[Player]],TE!B:O,6,FALSE)</f>
        <v>0</v>
      </c>
      <c r="AX80" s="100">
        <f>VLOOKUP(TableTERanks33433745[[#This Row],[Player]],TE!B:O,7,FALSE)</f>
        <v>0</v>
      </c>
      <c r="AY80" s="95">
        <f>VLOOKUP(TableTERanks33433745[[#This Row],[Player]],TE!B:O,11,FALSE)</f>
        <v>0</v>
      </c>
      <c r="AZ80" s="190">
        <f>TableTERanks33433745[[#This Row],[FPS]]-(TableTERanks33433745[[#This Row],[REC]]*0.5)</f>
        <v>0</v>
      </c>
    </row>
    <row r="81" spans="16:52" x14ac:dyDescent="0.25">
      <c r="P81" s="58">
        <v>80</v>
      </c>
      <c r="Q81" s="58" t="str">
        <f>VLOOKUP(TableRBRanks31413539[[#This Row],[RK]],Rankings!A:AY,38,FALSE)</f>
        <v>Will Shipley</v>
      </c>
      <c r="R81" s="58" t="str">
        <f>IFERROR(INDEX(TableRBCalcPts[TM],MATCH(TableRBRanks31413539[[#This Row],[Player]],TableRBCalcPts[PLAYER],0)),"")</f>
        <v>PHI</v>
      </c>
      <c r="S81" s="58">
        <f>IFERROR(INDEX(TableRBCalcPts[BYE],MATCH(TableRBRanks31413539[[#This Row],[Player]],TableRBCalcPts[PLAYER],0)),"")</f>
        <v>10</v>
      </c>
      <c r="T81" s="100">
        <f>VLOOKUP(TableRBRanks31413539[[#This Row],[Player]],RB!B:O,4,FALSE)</f>
        <v>13.325158000000004</v>
      </c>
      <c r="U81" s="100">
        <f>VLOOKUP(TableRBRanks31413539[[#This Row],[Player]],RB!B:O,5,FALSE)</f>
        <v>53.567135160000007</v>
      </c>
      <c r="V81" s="100">
        <f>VLOOKUP(TableRBRanks31413539[[#This Row],[Player]],RB!B:O,6,FALSE)</f>
        <v>0.19987737000000005</v>
      </c>
      <c r="W81" s="100">
        <f>VLOOKUP(TableRBRanks31413539[[#This Row],[Player]],RB!B:O,7,FALSE)</f>
        <v>7.2047051999999994</v>
      </c>
      <c r="X81" s="100">
        <f>VLOOKUP(TableRBRanks31413539[[#This Row],[Player]],RB!B:O,8,FALSE)</f>
        <v>5.3675053739999994</v>
      </c>
      <c r="Y81" s="100">
        <f>VLOOKUP(TableRBRanks31413539[[#This Row],[Player]],RB!B:O,9,FALSE)</f>
        <v>36.499036543199992</v>
      </c>
      <c r="Z81" s="100">
        <f>VLOOKUP(TableRBRanks31413539[[#This Row],[Player]],RB!B:O,10,FALSE)</f>
        <v>0.12345262360199999</v>
      </c>
      <c r="AA81" s="95">
        <f>VLOOKUP(TableRBRanks31413539[[#This Row],[Player]],RB!B:O,14,FALSE)</f>
        <v>13.630349818932</v>
      </c>
      <c r="AB81" s="190">
        <f>TableRBRanks31413539[[#This Row],[FPS]]-(TableRBRanks31413539[[#This Row],[REC]]*0.5)</f>
        <v>10.946597131932</v>
      </c>
      <c r="AD81" s="58">
        <v>80</v>
      </c>
      <c r="AE81" s="58" t="str">
        <f>VLOOKUP(TableWRRanks32423644[[#This Row],[RK]],Rankings!A:AZ,43,FALSE)</f>
        <v>Cooper Kupp</v>
      </c>
      <c r="AF81" s="58" t="str">
        <f>IFERROR(INDEX(TableWRCalcPts[TM],MATCH(TableWRRanks32423644[[#This Row],[Player]],TableWRCalcPts[PLAYER],0)),"")</f>
        <v>SEA</v>
      </c>
      <c r="AG81" s="58">
        <f>IFERROR(INDEX(TableWRCalcPts[BYE],MATCH(TableWRRanks32423644[[#This Row],[Player]],TableWRCalcPts[PLAYER],0)),"")</f>
        <v>11</v>
      </c>
      <c r="AH81" s="100">
        <f>VLOOKUP(TableWRRanks32423644[[#This Row],[Player]],WR!B:O,4,FALSE)</f>
        <v>0</v>
      </c>
      <c r="AI81" s="100">
        <f>VLOOKUP(TableWRRanks32423644[[#This Row],[Player]],WR!B:O,5,FALSE)</f>
        <v>0</v>
      </c>
      <c r="AJ81" s="100">
        <f>VLOOKUP(TableWRRanks32423644[[#This Row],[Player]],WR!B:O,6,FALSE)</f>
        <v>63.09093</v>
      </c>
      <c r="AK81" s="100">
        <f>VLOOKUP(TableWRRanks32423644[[#This Row],[Player]],WR!B:O,7,FALSE)</f>
        <v>41.70310473</v>
      </c>
      <c r="AL81" s="100">
        <f>VLOOKUP(TableWRRanks32423644[[#This Row],[Player]],WR!B:O,8,FALSE)</f>
        <v>507.52678456410001</v>
      </c>
      <c r="AM81" s="100">
        <f>VLOOKUP(TableWRRanks32423644[[#This Row],[Player]],WR!B:O,9,FALSE)</f>
        <v>3.2111390642099997</v>
      </c>
      <c r="AN81" s="95">
        <f>VLOOKUP(TableWRRanks32423644[[#This Row],[Player]],WR!B:O,13,FALSE)</f>
        <v>90.871065206669996</v>
      </c>
      <c r="AO81" s="190">
        <f>TableWRRanks32423644[[#This Row],[FPS]]-(TableWRRanks32423644[[#This Row],[REC]]*0.5)</f>
        <v>70.019512841669993</v>
      </c>
      <c r="AQ81" s="58">
        <v>80</v>
      </c>
      <c r="AR81" s="58">
        <f>VLOOKUP(TableTERanks33433745[[#This Row],[RK]],Rankings!A:AZ,48,FALSE)</f>
        <v>0</v>
      </c>
      <c r="AS81" s="58" t="str">
        <f>IFERROR(INDEX(TableTECalcPts[TM],MATCH(TableTERanks33433745[[#This Row],[Player]],TableTECalcPts[PLAYER],0)),"")</f>
        <v/>
      </c>
      <c r="AT81" s="58" t="str">
        <f>IFERROR(INDEX(TableTECalcPts[BYE],MATCH(TableTERanks33433745[[#This Row],[Player]],TableTECalcPts[PLAYER],0)),"")</f>
        <v/>
      </c>
      <c r="AU81" s="100">
        <f>VLOOKUP(TableTERanks33433745[[#This Row],[Player]],TE!B:O,4,FALSE)</f>
        <v>0</v>
      </c>
      <c r="AV81" s="100">
        <f>VLOOKUP(TableTERanks33433745[[#This Row],[Player]],TE!B:O,5,FALSE)</f>
        <v>0</v>
      </c>
      <c r="AW81" s="100">
        <f>VLOOKUP(TableTERanks33433745[[#This Row],[Player]],TE!B:O,6,FALSE)</f>
        <v>0</v>
      </c>
      <c r="AX81" s="100">
        <f>VLOOKUP(TableTERanks33433745[[#This Row],[Player]],TE!B:O,7,FALSE)</f>
        <v>0</v>
      </c>
      <c r="AY81" s="95">
        <f>VLOOKUP(TableTERanks33433745[[#This Row],[Player]],TE!B:O,11,FALSE)</f>
        <v>0</v>
      </c>
      <c r="AZ81" s="190">
        <f>TableTERanks33433745[[#This Row],[FPS]]-(TableTERanks33433745[[#This Row],[REC]]*0.5)</f>
        <v>0</v>
      </c>
    </row>
    <row r="82" spans="16:52" x14ac:dyDescent="0.25">
      <c r="P82" s="58">
        <v>81</v>
      </c>
      <c r="Q82" s="58" t="str">
        <f>VLOOKUP(TableRBRanks31413539[[#This Row],[RK]],Rankings!A:AY,38,FALSE)</f>
        <v>Kaleb Johnson</v>
      </c>
      <c r="R82" s="58" t="str">
        <f>IFERROR(INDEX(TableRBCalcPts[TM],MATCH(TableRBRanks31413539[[#This Row],[Player]],TableRBCalcPts[PLAYER],0)),"")</f>
        <v>PIT</v>
      </c>
      <c r="S82" s="58">
        <f>IFERROR(INDEX(TableRBCalcPts[BYE],MATCH(TableRBRanks31413539[[#This Row],[Player]],TableRBCalcPts[PLAYER],0)),"")</f>
        <v>9</v>
      </c>
      <c r="T82" s="100">
        <f>VLOOKUP(TableRBRanks31413539[[#This Row],[Player]],RB!B:O,4,FALSE)</f>
        <v>15.173927999999998</v>
      </c>
      <c r="U82" s="100">
        <f>VLOOKUP(TableRBRanks31413539[[#This Row],[Player]],RB!B:O,5,FALSE)</f>
        <v>54.626140799999995</v>
      </c>
      <c r="V82" s="100">
        <f>VLOOKUP(TableRBRanks31413539[[#This Row],[Player]],RB!B:O,6,FALSE)</f>
        <v>0.30347855999999995</v>
      </c>
      <c r="W82" s="100">
        <f>VLOOKUP(TableRBRanks31413539[[#This Row],[Player]],RB!B:O,7,FALSE)</f>
        <v>2.8400400000000001</v>
      </c>
      <c r="X82" s="100">
        <f>VLOOKUP(TableRBRanks31413539[[#This Row],[Player]],RB!B:O,8,FALSE)</f>
        <v>2.1300300000000001</v>
      </c>
      <c r="Y82" s="100">
        <f>VLOOKUP(TableRBRanks31413539[[#This Row],[Player]],RB!B:O,9,FALSE)</f>
        <v>12.797088531439316</v>
      </c>
      <c r="Z82" s="100">
        <f>VLOOKUP(TableRBRanks31413539[[#This Row],[Player]],RB!B:O,10,FALSE)</f>
        <v>4.2600600000000002E-2</v>
      </c>
      <c r="AA82" s="95">
        <f>VLOOKUP(TableRBRanks31413539[[#This Row],[Player]],RB!B:O,14,FALSE)</f>
        <v>9.8838128931439329</v>
      </c>
      <c r="AB82" s="190">
        <f>TableRBRanks31413539[[#This Row],[FPS]]-(TableRBRanks31413539[[#This Row],[REC]]*0.5)</f>
        <v>8.8187978931439321</v>
      </c>
      <c r="AD82" s="58">
        <v>81</v>
      </c>
      <c r="AE82" s="58" t="str">
        <f>VLOOKUP(TableWRRanks32423644[[#This Row],[RK]],Rankings!A:AZ,43,FALSE)</f>
        <v>Malik Washington</v>
      </c>
      <c r="AF82" s="58" t="str">
        <f>IFERROR(INDEX(TableWRCalcPts[TM],MATCH(TableWRRanks32423644[[#This Row],[Player]],TableWRCalcPts[PLAYER],0)),"")</f>
        <v>MIA</v>
      </c>
      <c r="AG82" s="58">
        <f>IFERROR(INDEX(TableWRCalcPts[BYE],MATCH(TableWRRanks32423644[[#This Row],[Player]],TableWRCalcPts[PLAYER],0)),"")</f>
        <v>6</v>
      </c>
      <c r="AH82" s="100">
        <f>VLOOKUP(TableWRRanks32423644[[#This Row],[Player]],WR!B:O,4,FALSE)</f>
        <v>48.719747676547435</v>
      </c>
      <c r="AI82" s="100">
        <f>VLOOKUP(TableWRRanks32423644[[#This Row],[Player]],WR!B:O,5,FALSE)</f>
        <v>0.20159895590295487</v>
      </c>
      <c r="AJ82" s="100">
        <f>VLOOKUP(TableWRRanks32423644[[#This Row],[Player]],WR!B:O,6,FALSE)</f>
        <v>63.525670739999988</v>
      </c>
      <c r="AK82" s="100">
        <f>VLOOKUP(TableWRRanks32423644[[#This Row],[Player]],WR!B:O,7,FALSE)</f>
        <v>43.197456103199997</v>
      </c>
      <c r="AL82" s="100">
        <f>VLOOKUP(TableWRRanks32423644[[#This Row],[Player]],WR!B:O,8,FALSE)</f>
        <v>409.94385841936798</v>
      </c>
      <c r="AM82" s="100">
        <f>VLOOKUP(TableWRRanks32423644[[#This Row],[Player]],WR!B:O,9,FALSE)</f>
        <v>1.9438855246439999</v>
      </c>
      <c r="AN82" s="95">
        <f>VLOOKUP(TableWRRanks32423644[[#This Row],[Player]],WR!B:O,13,FALSE)</f>
        <v>80.337995544473287</v>
      </c>
      <c r="AO82" s="190">
        <f>TableWRRanks32423644[[#This Row],[FPS]]-(TableWRRanks32423644[[#This Row],[REC]]*0.5)</f>
        <v>58.739267492873289</v>
      </c>
      <c r="AQ82" s="58">
        <v>81</v>
      </c>
      <c r="AR82" s="58">
        <f>VLOOKUP(TableTERanks33433745[[#This Row],[RK]],Rankings!A:AZ,48,FALSE)</f>
        <v>0</v>
      </c>
      <c r="AS82" s="58" t="str">
        <f>IFERROR(INDEX(TableTECalcPts[TM],MATCH(TableTERanks33433745[[#This Row],[Player]],TableTECalcPts[PLAYER],0)),"")</f>
        <v/>
      </c>
      <c r="AT82" s="58" t="str">
        <f>IFERROR(INDEX(TableTECalcPts[BYE],MATCH(TableTERanks33433745[[#This Row],[Player]],TableTECalcPts[PLAYER],0)),"")</f>
        <v/>
      </c>
      <c r="AU82" s="100">
        <f>VLOOKUP(TableTERanks33433745[[#This Row],[Player]],TE!B:O,4,FALSE)</f>
        <v>0</v>
      </c>
      <c r="AV82" s="100">
        <f>VLOOKUP(TableTERanks33433745[[#This Row],[Player]],TE!B:O,5,FALSE)</f>
        <v>0</v>
      </c>
      <c r="AW82" s="100">
        <f>VLOOKUP(TableTERanks33433745[[#This Row],[Player]],TE!B:O,6,FALSE)</f>
        <v>0</v>
      </c>
      <c r="AX82" s="100">
        <f>VLOOKUP(TableTERanks33433745[[#This Row],[Player]],TE!B:O,7,FALSE)</f>
        <v>0</v>
      </c>
      <c r="AY82" s="95">
        <f>VLOOKUP(TableTERanks33433745[[#This Row],[Player]],TE!B:O,11,FALSE)</f>
        <v>0</v>
      </c>
      <c r="AZ82" s="190">
        <f>TableTERanks33433745[[#This Row],[FPS]]-(TableTERanks33433745[[#This Row],[REC]]*0.5)</f>
        <v>0</v>
      </c>
    </row>
    <row r="83" spans="16:52" x14ac:dyDescent="0.25">
      <c r="P83" s="58">
        <v>82</v>
      </c>
      <c r="Q83" s="58" t="str">
        <f>VLOOKUP(TableRBRanks31413539[[#This Row],[RK]],Rankings!A:AY,38,FALSE)</f>
        <v>James Conner</v>
      </c>
      <c r="R83" s="58" t="str">
        <f>IFERROR(INDEX(TableRBCalcPts[TM],MATCH(TableRBRanks31413539[[#This Row],[Player]],TableRBCalcPts[PLAYER],0)),"")</f>
        <v>ARI</v>
      </c>
      <c r="S83" s="58">
        <f>IFERROR(INDEX(TableRBCalcPts[BYE],MATCH(TableRBRanks31413539[[#This Row],[Player]],TableRBCalcPts[PLAYER],0)),"")</f>
        <v>14</v>
      </c>
      <c r="T83" s="100">
        <f>VLOOKUP(TableRBRanks31413539[[#This Row],[Player]],RB!B:O,4,FALSE)</f>
        <v>8.7361119999999985</v>
      </c>
      <c r="U83" s="100">
        <f>VLOOKUP(TableRBRanks31413539[[#This Row],[Player]],RB!B:O,5,FALSE)</f>
        <v>33.273701584484463</v>
      </c>
      <c r="V83" s="100">
        <f>VLOOKUP(TableRBRanks31413539[[#This Row],[Player]],RB!B:O,6,FALSE)</f>
        <v>0.1954207190461914</v>
      </c>
      <c r="W83" s="100">
        <f>VLOOKUP(TableRBRanks31413539[[#This Row],[Player]],RB!B:O,7,FALSE)</f>
        <v>8.8949504000000008</v>
      </c>
      <c r="X83" s="100">
        <f>VLOOKUP(TableRBRanks31413539[[#This Row],[Player]],RB!B:O,8,FALSE)</f>
        <v>6.6712128000000011</v>
      </c>
      <c r="Y83" s="100">
        <f>VLOOKUP(TableRBRanks31413539[[#This Row],[Player]],RB!B:O,9,FALSE)</f>
        <v>43.362883200000006</v>
      </c>
      <c r="Z83" s="100">
        <f>VLOOKUP(TableRBRanks31413539[[#This Row],[Player]],RB!B:O,10,FALSE)</f>
        <v>0.26684851200000004</v>
      </c>
      <c r="AA83" s="95">
        <f>VLOOKUP(TableRBRanks31413539[[#This Row],[Player]],RB!B:O,14,FALSE)</f>
        <v>13.772880264725597</v>
      </c>
      <c r="AB83" s="190">
        <f>TableRBRanks31413539[[#This Row],[FPS]]-(TableRBRanks31413539[[#This Row],[REC]]*0.5)</f>
        <v>10.437273864725597</v>
      </c>
      <c r="AD83" s="58">
        <v>82</v>
      </c>
      <c r="AE83" s="58" t="str">
        <f>VLOOKUP(TableWRRanks32423644[[#This Row],[RK]],Rankings!A:AZ,43,FALSE)</f>
        <v>Dontayvion Wicks</v>
      </c>
      <c r="AF83" s="58" t="str">
        <f>IFERROR(INDEX(TableWRCalcPts[TM],MATCH(TableWRRanks32423644[[#This Row],[Player]],TableWRCalcPts[PLAYER],0)),"")</f>
        <v>PHI</v>
      </c>
      <c r="AG83" s="58">
        <f>IFERROR(INDEX(TableWRCalcPts[BYE],MATCH(TableWRRanks32423644[[#This Row],[Player]],TableWRCalcPts[PLAYER],0)),"")</f>
        <v>10</v>
      </c>
      <c r="AH83" s="100">
        <f>VLOOKUP(TableWRRanks32423644[[#This Row],[Player]],WR!B:O,4,FALSE)</f>
        <v>0</v>
      </c>
      <c r="AI83" s="100">
        <f>VLOOKUP(TableWRRanks32423644[[#This Row],[Player]],WR!B:O,5,FALSE)</f>
        <v>0</v>
      </c>
      <c r="AJ83" s="100">
        <f>VLOOKUP(TableWRRanks32423644[[#This Row],[Player]],WR!B:O,6,FALSE)</f>
        <v>41.306976479999996</v>
      </c>
      <c r="AK83" s="100">
        <f>VLOOKUP(TableWRRanks32423644[[#This Row],[Player]],WR!B:O,7,FALSE)</f>
        <v>23.710204499519996</v>
      </c>
      <c r="AL83" s="100">
        <f>VLOOKUP(TableWRRanks32423644[[#This Row],[Player]],WR!B:O,8,FALSE)</f>
        <v>288.31608671416313</v>
      </c>
      <c r="AM83" s="100">
        <f>VLOOKUP(TableWRRanks32423644[[#This Row],[Player]],WR!B:O,9,FALSE)</f>
        <v>1.8968163599615997</v>
      </c>
      <c r="AN83" s="95">
        <f>VLOOKUP(TableWRRanks32423644[[#This Row],[Player]],WR!B:O,13,FALSE)</f>
        <v>52.067609080945914</v>
      </c>
      <c r="AO83" s="190">
        <f>TableWRRanks32423644[[#This Row],[FPS]]-(TableWRRanks32423644[[#This Row],[REC]]*0.5)</f>
        <v>40.21250683118592</v>
      </c>
      <c r="AQ83" s="58">
        <v>82</v>
      </c>
      <c r="AR83" s="58">
        <f>VLOOKUP(TableTERanks33433745[[#This Row],[RK]],Rankings!A:AZ,48,FALSE)</f>
        <v>0</v>
      </c>
      <c r="AS83" s="58" t="str">
        <f>IFERROR(INDEX(TableTECalcPts[TM],MATCH(TableTERanks33433745[[#This Row],[Player]],TableTECalcPts[PLAYER],0)),"")</f>
        <v/>
      </c>
      <c r="AT83" s="58" t="str">
        <f>IFERROR(INDEX(TableTECalcPts[BYE],MATCH(TableTERanks33433745[[#This Row],[Player]],TableTECalcPts[PLAYER],0)),"")</f>
        <v/>
      </c>
      <c r="AU83" s="100">
        <f>VLOOKUP(TableTERanks33433745[[#This Row],[Player]],TE!B:O,4,FALSE)</f>
        <v>0</v>
      </c>
      <c r="AV83" s="100">
        <f>VLOOKUP(TableTERanks33433745[[#This Row],[Player]],TE!B:O,5,FALSE)</f>
        <v>0</v>
      </c>
      <c r="AW83" s="100">
        <f>VLOOKUP(TableTERanks33433745[[#This Row],[Player]],TE!B:O,6,FALSE)</f>
        <v>0</v>
      </c>
      <c r="AX83" s="100">
        <f>VLOOKUP(TableTERanks33433745[[#This Row],[Player]],TE!B:O,7,FALSE)</f>
        <v>0</v>
      </c>
      <c r="AY83" s="95">
        <f>VLOOKUP(TableTERanks33433745[[#This Row],[Player]],TE!B:O,11,FALSE)</f>
        <v>0</v>
      </c>
      <c r="AZ83" s="190">
        <f>TableTERanks33433745[[#This Row],[FPS]]-(TableTERanks33433745[[#This Row],[REC]]*0.5)</f>
        <v>0</v>
      </c>
    </row>
    <row r="84" spans="16:52" x14ac:dyDescent="0.25">
      <c r="P84" s="58">
        <v>83</v>
      </c>
      <c r="Q84" s="58" t="str">
        <f>VLOOKUP(TableRBRanks31413539[[#This Row],[RK]],Rankings!A:AY,38,FALSE)</f>
        <v>Adam Randall</v>
      </c>
      <c r="R84" s="58" t="str">
        <f>IFERROR(INDEX(TableRBCalcPts[TM],MATCH(TableRBRanks31413539[[#This Row],[Player]],TableRBCalcPts[PLAYER],0)),"")</f>
        <v>BAL</v>
      </c>
      <c r="S84" s="58">
        <f>IFERROR(INDEX(TableRBCalcPts[BYE],MATCH(TableRBRanks31413539[[#This Row],[Player]],TableRBCalcPts[PLAYER],0)),"")</f>
        <v>13</v>
      </c>
      <c r="T84" s="100">
        <f>VLOOKUP(TableRBRanks31413539[[#This Row],[Player]],RB!B:O,4,FALSE)</f>
        <v>21.237269653811889</v>
      </c>
      <c r="U84" s="100">
        <f>VLOOKUP(TableRBRanks31413539[[#This Row],[Player]],RB!B:O,5,FALSE)</f>
        <v>88.703411982478883</v>
      </c>
      <c r="V84" s="100">
        <f>VLOOKUP(TableRBRanks31413539[[#This Row],[Player]],RB!B:O,6,FALSE)</f>
        <v>0.46426317935038602</v>
      </c>
      <c r="W84" s="100">
        <f>VLOOKUP(TableRBRanks31413539[[#This Row],[Player]],RB!B:O,7,FALSE)</f>
        <v>5.1695705599999995</v>
      </c>
      <c r="X84" s="100">
        <f>VLOOKUP(TableRBRanks31413539[[#This Row],[Player]],RB!B:O,8,FALSE)</f>
        <v>3.8771779199999994</v>
      </c>
      <c r="Y84" s="100">
        <f>VLOOKUP(TableRBRanks31413539[[#This Row],[Player]],RB!B:O,9,FALSE)</f>
        <v>29.424141265580108</v>
      </c>
      <c r="Z84" s="100">
        <f>VLOOKUP(TableRBRanks31413539[[#This Row],[Player]],RB!B:O,10,FALSE)</f>
        <v>0.15896429471999998</v>
      </c>
      <c r="AA84" s="95">
        <f>VLOOKUP(TableRBRanks31413539[[#This Row],[Player]],RB!B:O,14,FALSE)</f>
        <v>17.490709129228215</v>
      </c>
      <c r="AB84" s="190">
        <f>TableRBRanks31413539[[#This Row],[FPS]]-(TableRBRanks31413539[[#This Row],[REC]]*0.5)</f>
        <v>15.552120169228214</v>
      </c>
      <c r="AD84" s="58">
        <v>83</v>
      </c>
      <c r="AE84" s="58" t="str">
        <f>VLOOKUP(TableWRRanks32423644[[#This Row],[RK]],Rankings!A:AZ,43,FALSE)</f>
        <v>De'Zhaun Stribling</v>
      </c>
      <c r="AF84" s="58" t="str">
        <f>IFERROR(INDEX(TableWRCalcPts[TM],MATCH(TableWRRanks32423644[[#This Row],[Player]],TableWRCalcPts[PLAYER],0)),"")</f>
        <v>SF</v>
      </c>
      <c r="AG84" s="58">
        <f>IFERROR(INDEX(TableWRCalcPts[BYE],MATCH(TableWRRanks32423644[[#This Row],[Player]],TableWRCalcPts[PLAYER],0)),"")</f>
        <v>8</v>
      </c>
      <c r="AH84" s="100">
        <f>VLOOKUP(TableWRRanks32423644[[#This Row],[Player]],WR!B:O,4,FALSE)</f>
        <v>20.9125728</v>
      </c>
      <c r="AI84" s="100">
        <f>VLOOKUP(TableWRRanks32423644[[#This Row],[Player]],WR!B:O,5,FALSE)</f>
        <v>0.17427144</v>
      </c>
      <c r="AJ84" s="100">
        <f>VLOOKUP(TableWRRanks32423644[[#This Row],[Player]],WR!B:O,6,FALSE)</f>
        <v>33.82067808</v>
      </c>
      <c r="AK84" s="100">
        <f>VLOOKUP(TableWRRanks32423644[[#This Row],[Player]],WR!B:O,7,FALSE)</f>
        <v>17.958780060480002</v>
      </c>
      <c r="AL84" s="100">
        <f>VLOOKUP(TableWRRanks32423644[[#This Row],[Player]],WR!B:O,8,FALSE)</f>
        <v>253.93715005518723</v>
      </c>
      <c r="AM84" s="100">
        <f>VLOOKUP(TableWRRanks32423644[[#This Row],[Player]],WR!B:O,9,FALSE)</f>
        <v>1.27507338429408</v>
      </c>
      <c r="AN84" s="95">
        <f>VLOOKUP(TableWRRanks32423644[[#This Row],[Player]],WR!B:O,13,FALSE)</f>
        <v>45.1604312615232</v>
      </c>
      <c r="AO84" s="190">
        <f>TableWRRanks32423644[[#This Row],[FPS]]-(TableWRRanks32423644[[#This Row],[REC]]*0.5)</f>
        <v>36.181041231283203</v>
      </c>
      <c r="AQ84" s="58">
        <v>83</v>
      </c>
      <c r="AR84" s="58">
        <f>VLOOKUP(TableTERanks33433745[[#This Row],[RK]],Rankings!A:AZ,48,FALSE)</f>
        <v>0</v>
      </c>
      <c r="AS84" s="58" t="str">
        <f>IFERROR(INDEX(TableTECalcPts[TM],MATCH(TableTERanks33433745[[#This Row],[Player]],TableTECalcPts[PLAYER],0)),"")</f>
        <v/>
      </c>
      <c r="AT84" s="58" t="str">
        <f>IFERROR(INDEX(TableTECalcPts[BYE],MATCH(TableTERanks33433745[[#This Row],[Player]],TableTECalcPts[PLAYER],0)),"")</f>
        <v/>
      </c>
      <c r="AU84" s="100">
        <f>VLOOKUP(TableTERanks33433745[[#This Row],[Player]],TE!B:O,4,FALSE)</f>
        <v>0</v>
      </c>
      <c r="AV84" s="100">
        <f>VLOOKUP(TableTERanks33433745[[#This Row],[Player]],TE!B:O,5,FALSE)</f>
        <v>0</v>
      </c>
      <c r="AW84" s="100">
        <f>VLOOKUP(TableTERanks33433745[[#This Row],[Player]],TE!B:O,6,FALSE)</f>
        <v>0</v>
      </c>
      <c r="AX84" s="100">
        <f>VLOOKUP(TableTERanks33433745[[#This Row],[Player]],TE!B:O,7,FALSE)</f>
        <v>0</v>
      </c>
      <c r="AY84" s="95">
        <f>VLOOKUP(TableTERanks33433745[[#This Row],[Player]],TE!B:O,11,FALSE)</f>
        <v>0</v>
      </c>
      <c r="AZ84" s="190">
        <f>TableTERanks33433745[[#This Row],[FPS]]-(TableTERanks33433745[[#This Row],[REC]]*0.5)</f>
        <v>0</v>
      </c>
    </row>
    <row r="85" spans="16:52" x14ac:dyDescent="0.25">
      <c r="P85" s="58">
        <v>84</v>
      </c>
      <c r="Q85" s="58" t="str">
        <f>VLOOKUP(TableRBRanks31413539[[#This Row],[RK]],Rankings!A:AY,38,FALSE)</f>
        <v>Kendre Miller</v>
      </c>
      <c r="R85" s="58" t="str">
        <f>IFERROR(INDEX(TableRBCalcPts[TM],MATCH(TableRBRanks31413539[[#This Row],[Player]],TableRBCalcPts[PLAYER],0)),"")</f>
        <v>NO</v>
      </c>
      <c r="S85" s="58">
        <f>IFERROR(INDEX(TableRBCalcPts[BYE],MATCH(TableRBRanks31413539[[#This Row],[Player]],TableRBCalcPts[PLAYER],0)),"")</f>
        <v>8</v>
      </c>
      <c r="T85" s="100">
        <f>VLOOKUP(TableRBRanks31413539[[#This Row],[Player]],RB!B:O,4,FALSE)</f>
        <v>26.769899519999999</v>
      </c>
      <c r="U85" s="100">
        <f>VLOOKUP(TableRBRanks31413539[[#This Row],[Player]],RB!B:O,5,FALSE)</f>
        <v>107.8826950656</v>
      </c>
      <c r="V85" s="100">
        <f>VLOOKUP(TableRBRanks31413539[[#This Row],[Player]],RB!B:O,6,FALSE)</f>
        <v>0.53539799040000002</v>
      </c>
      <c r="W85" s="100">
        <f>VLOOKUP(TableRBRanks31413539[[#This Row],[Player]],RB!B:O,7,FALSE)</f>
        <v>5.0778112000000002</v>
      </c>
      <c r="X85" s="100">
        <f>VLOOKUP(TableRBRanks31413539[[#This Row],[Player]],RB!B:O,8,FALSE)</f>
        <v>3.8083584000000004</v>
      </c>
      <c r="Y85" s="100">
        <f>VLOOKUP(TableRBRanks31413539[[#This Row],[Player]],RB!B:O,9,FALSE)</f>
        <v>30.79548781162265</v>
      </c>
      <c r="Z85" s="100">
        <f>VLOOKUP(TableRBRanks31413539[[#This Row],[Player]],RB!B:O,10,FALSE)</f>
        <v>0.11805911040000001</v>
      </c>
      <c r="AA85" s="95">
        <f>VLOOKUP(TableRBRanks31413539[[#This Row],[Player]],RB!B:O,14,FALSE)</f>
        <v>19.692740092522268</v>
      </c>
      <c r="AB85" s="190">
        <f>TableRBRanks31413539[[#This Row],[FPS]]-(TableRBRanks31413539[[#This Row],[REC]]*0.5)</f>
        <v>17.788560892522266</v>
      </c>
      <c r="AD85" s="58">
        <v>84</v>
      </c>
      <c r="AE85" s="58" t="str">
        <f>VLOOKUP(TableWRRanks32423644[[#This Row],[RK]],Rankings!A:AZ,43,FALSE)</f>
        <v>Jalen Tolbert</v>
      </c>
      <c r="AF85" s="58" t="str">
        <f>IFERROR(INDEX(TableWRCalcPts[TM],MATCH(TableWRRanks32423644[[#This Row],[Player]],TableWRCalcPts[PLAYER],0)),"")</f>
        <v>MIA</v>
      </c>
      <c r="AG85" s="58">
        <f>IFERROR(INDEX(TableWRCalcPts[BYE],MATCH(TableWRRanks32423644[[#This Row],[Player]],TableWRCalcPts[PLAYER],0)),"")</f>
        <v>6</v>
      </c>
      <c r="AH85" s="100">
        <f>VLOOKUP(TableWRRanks32423644[[#This Row],[Player]],WR!B:O,4,FALSE)</f>
        <v>0</v>
      </c>
      <c r="AI85" s="100">
        <f>VLOOKUP(TableWRRanks32423644[[#This Row],[Player]],WR!B:O,5,FALSE)</f>
        <v>0</v>
      </c>
      <c r="AJ85" s="100">
        <f>VLOOKUP(TableWRRanks32423644[[#This Row],[Player]],WR!B:O,6,FALSE)</f>
        <v>70.912376639999991</v>
      </c>
      <c r="AK85" s="100">
        <f>VLOOKUP(TableWRRanks32423644[[#This Row],[Player]],WR!B:O,7,FALSE)</f>
        <v>48.787715128319988</v>
      </c>
      <c r="AL85" s="100">
        <f>VLOOKUP(TableWRRanks32423644[[#This Row],[Player]],WR!B:O,8,FALSE)</f>
        <v>566.91324979107821</v>
      </c>
      <c r="AM85" s="100">
        <f>VLOOKUP(TableWRRanks32423644[[#This Row],[Player]],WR!B:O,9,FALSE)</f>
        <v>3.1224137682124793</v>
      </c>
      <c r="AN85" s="95">
        <f>VLOOKUP(TableWRRanks32423644[[#This Row],[Player]],WR!B:O,13,FALSE)</f>
        <v>99.819665152542697</v>
      </c>
      <c r="AO85" s="190">
        <f>TableWRRanks32423644[[#This Row],[FPS]]-(TableWRRanks32423644[[#This Row],[REC]]*0.5)</f>
        <v>75.425807588382696</v>
      </c>
      <c r="AQ85" s="58">
        <v>84</v>
      </c>
      <c r="AR85" s="58">
        <f>VLOOKUP(TableTERanks33433745[[#This Row],[RK]],Rankings!A:AZ,48,FALSE)</f>
        <v>0</v>
      </c>
      <c r="AS85" s="58" t="str">
        <f>IFERROR(INDEX(TableTECalcPts[TM],MATCH(TableTERanks33433745[[#This Row],[Player]],TableTECalcPts[PLAYER],0)),"")</f>
        <v/>
      </c>
      <c r="AT85" s="58" t="str">
        <f>IFERROR(INDEX(TableTECalcPts[BYE],MATCH(TableTERanks33433745[[#This Row],[Player]],TableTECalcPts[PLAYER],0)),"")</f>
        <v/>
      </c>
      <c r="AU85" s="100">
        <f>VLOOKUP(TableTERanks33433745[[#This Row],[Player]],TE!B:O,4,FALSE)</f>
        <v>0</v>
      </c>
      <c r="AV85" s="100">
        <f>VLOOKUP(TableTERanks33433745[[#This Row],[Player]],TE!B:O,5,FALSE)</f>
        <v>0</v>
      </c>
      <c r="AW85" s="100">
        <f>VLOOKUP(TableTERanks33433745[[#This Row],[Player]],TE!B:O,6,FALSE)</f>
        <v>0</v>
      </c>
      <c r="AX85" s="100">
        <f>VLOOKUP(TableTERanks33433745[[#This Row],[Player]],TE!B:O,7,FALSE)</f>
        <v>0</v>
      </c>
      <c r="AY85" s="95">
        <f>VLOOKUP(TableTERanks33433745[[#This Row],[Player]],TE!B:O,11,FALSE)</f>
        <v>0</v>
      </c>
      <c r="AZ85" s="190">
        <f>TableTERanks33433745[[#This Row],[FPS]]-(TableTERanks33433745[[#This Row],[REC]]*0.5)</f>
        <v>0</v>
      </c>
    </row>
    <row r="86" spans="16:52" x14ac:dyDescent="0.25">
      <c r="P86" s="58">
        <v>85</v>
      </c>
      <c r="Q86" s="58" t="str">
        <f>VLOOKUP(TableRBRanks31413539[[#This Row],[RK]],Rankings!A:AY,38,FALSE)</f>
        <v>Tahj Brooks</v>
      </c>
      <c r="R86" s="58" t="str">
        <f>IFERROR(INDEX(TableRBCalcPts[TM],MATCH(TableRBRanks31413539[[#This Row],[Player]],TableRBCalcPts[PLAYER],0)),"")</f>
        <v>CIN</v>
      </c>
      <c r="S86" s="58">
        <f>IFERROR(INDEX(TableRBCalcPts[BYE],MATCH(TableRBRanks31413539[[#This Row],[Player]],TableRBCalcPts[PLAYER],0)),"")</f>
        <v>6</v>
      </c>
      <c r="T86" s="100">
        <f>VLOOKUP(TableRBRanks31413539[[#This Row],[Player]],RB!B:O,4,FALSE)</f>
        <v>19.361002499999998</v>
      </c>
      <c r="U86" s="100">
        <f>VLOOKUP(TableRBRanks31413539[[#This Row],[Player]],RB!B:O,5,FALSE)</f>
        <v>78.799280174999993</v>
      </c>
      <c r="V86" s="100">
        <f>VLOOKUP(TableRBRanks31413539[[#This Row],[Player]],RB!B:O,6,FALSE)</f>
        <v>0.50338606499999994</v>
      </c>
      <c r="W86" s="100">
        <f>VLOOKUP(TableRBRanks31413539[[#This Row],[Player]],RB!B:O,7,FALSE)</f>
        <v>3.1635624999999998</v>
      </c>
      <c r="X86" s="100">
        <f>VLOOKUP(TableRBRanks31413539[[#This Row],[Player]],RB!B:O,8,FALSE)</f>
        <v>2.372671875</v>
      </c>
      <c r="Y86" s="100">
        <f>VLOOKUP(TableRBRanks31413539[[#This Row],[Player]],RB!B:O,9,FALSE)</f>
        <v>13.116142206253409</v>
      </c>
      <c r="Z86" s="100">
        <f>VLOOKUP(TableRBRanks31413539[[#This Row],[Player]],RB!B:O,10,FALSE)</f>
        <v>0.14066030755591924</v>
      </c>
      <c r="AA86" s="95">
        <f>VLOOKUP(TableRBRanks31413539[[#This Row],[Player]],RB!B:O,14,FALSE)</f>
        <v>14.242156410960854</v>
      </c>
      <c r="AB86" s="190">
        <f>TableRBRanks31413539[[#This Row],[FPS]]-(TableRBRanks31413539[[#This Row],[REC]]*0.5)</f>
        <v>13.055820473460855</v>
      </c>
      <c r="AD86" s="58">
        <v>85</v>
      </c>
      <c r="AE86" s="58" t="str">
        <f>VLOOKUP(TableWRRanks32423644[[#This Row],[RK]],Rankings!A:AZ,43,FALSE)</f>
        <v>Xavier Legette</v>
      </c>
      <c r="AF86" s="58" t="str">
        <f>IFERROR(INDEX(TableWRCalcPts[TM],MATCH(TableWRRanks32423644[[#This Row],[Player]],TableWRCalcPts[PLAYER],0)),"")</f>
        <v>CAR</v>
      </c>
      <c r="AG86" s="58">
        <f>IFERROR(INDEX(TableWRCalcPts[BYE],MATCH(TableWRRanks32423644[[#This Row],[Player]],TableWRCalcPts[PLAYER],0)),"")</f>
        <v>5</v>
      </c>
      <c r="AH86" s="100">
        <f>VLOOKUP(TableWRRanks32423644[[#This Row],[Player]],WR!B:O,4,FALSE)</f>
        <v>0</v>
      </c>
      <c r="AI86" s="100">
        <f>VLOOKUP(TableWRRanks32423644[[#This Row],[Player]],WR!B:O,5,FALSE)</f>
        <v>0</v>
      </c>
      <c r="AJ86" s="100">
        <f>VLOOKUP(TableWRRanks32423644[[#This Row],[Player]],WR!B:O,6,FALSE)</f>
        <v>47.923028999999993</v>
      </c>
      <c r="AK86" s="100">
        <f>VLOOKUP(TableWRRanks32423644[[#This Row],[Player]],WR!B:O,7,FALSE)</f>
        <v>28.945509515999994</v>
      </c>
      <c r="AL86" s="100">
        <f>VLOOKUP(TableWRRanks32423644[[#This Row],[Player]],WR!B:O,8,FALSE)</f>
        <v>298.90970693152786</v>
      </c>
      <c r="AM86" s="100">
        <f>VLOOKUP(TableWRRanks32423644[[#This Row],[Player]],WR!B:O,9,FALSE)</f>
        <v>2.4314227993439999</v>
      </c>
      <c r="AN86" s="95">
        <f>VLOOKUP(TableWRRanks32423644[[#This Row],[Player]],WR!B:O,13,FALSE)</f>
        <v>58.952262247216787</v>
      </c>
      <c r="AO86" s="190">
        <f>TableWRRanks32423644[[#This Row],[FPS]]-(TableWRRanks32423644[[#This Row],[REC]]*0.5)</f>
        <v>44.479507489216786</v>
      </c>
      <c r="AQ86" s="58">
        <v>85</v>
      </c>
      <c r="AR86" s="58">
        <f>VLOOKUP(TableTERanks33433745[[#This Row],[RK]],Rankings!A:AZ,48,FALSE)</f>
        <v>0</v>
      </c>
      <c r="AS86" s="58" t="str">
        <f>IFERROR(INDEX(TableTECalcPts[TM],MATCH(TableTERanks33433745[[#This Row],[Player]],TableTECalcPts[PLAYER],0)),"")</f>
        <v/>
      </c>
      <c r="AT86" s="58" t="str">
        <f>IFERROR(INDEX(TableTECalcPts[BYE],MATCH(TableTERanks33433745[[#This Row],[Player]],TableTECalcPts[PLAYER],0)),"")</f>
        <v/>
      </c>
      <c r="AU86" s="100">
        <f>VLOOKUP(TableTERanks33433745[[#This Row],[Player]],TE!B:O,4,FALSE)</f>
        <v>0</v>
      </c>
      <c r="AV86" s="100">
        <f>VLOOKUP(TableTERanks33433745[[#This Row],[Player]],TE!B:O,5,FALSE)</f>
        <v>0</v>
      </c>
      <c r="AW86" s="100">
        <f>VLOOKUP(TableTERanks33433745[[#This Row],[Player]],TE!B:O,6,FALSE)</f>
        <v>0</v>
      </c>
      <c r="AX86" s="100">
        <f>VLOOKUP(TableTERanks33433745[[#This Row],[Player]],TE!B:O,7,FALSE)</f>
        <v>0</v>
      </c>
      <c r="AY86" s="95">
        <f>VLOOKUP(TableTERanks33433745[[#This Row],[Player]],TE!B:O,11,FALSE)</f>
        <v>0</v>
      </c>
      <c r="AZ86" s="190">
        <f>TableTERanks33433745[[#This Row],[FPS]]-(TableTERanks33433745[[#This Row],[REC]]*0.5)</f>
        <v>0</v>
      </c>
    </row>
    <row r="87" spans="16:52" x14ac:dyDescent="0.25">
      <c r="P87" s="58">
        <v>86</v>
      </c>
      <c r="Q87" s="58" t="str">
        <f>VLOOKUP(TableRBRanks31413539[[#This Row],[RK]],Rankings!A:AY,38,FALSE)</f>
        <v>Jordan James</v>
      </c>
      <c r="R87" s="58" t="str">
        <f>IFERROR(INDEX(TableRBCalcPts[TM],MATCH(TableRBRanks31413539[[#This Row],[Player]],TableRBCalcPts[PLAYER],0)),"")</f>
        <v>SF</v>
      </c>
      <c r="S87" s="58">
        <f>IFERROR(INDEX(TableRBCalcPts[BYE],MATCH(TableRBRanks31413539[[#This Row],[Player]],TableRBCalcPts[PLAYER],0)),"")</f>
        <v>8</v>
      </c>
      <c r="T87" s="100">
        <f>VLOOKUP(TableRBRanks31413539[[#This Row],[Player]],RB!B:O,4,FALSE)</f>
        <v>36.713183360000002</v>
      </c>
      <c r="U87" s="100">
        <f>VLOOKUP(TableRBRanks31413539[[#This Row],[Player]],RB!B:O,5,FALSE)</f>
        <v>148.3212607744</v>
      </c>
      <c r="V87" s="100">
        <f>VLOOKUP(TableRBRanks31413539[[#This Row],[Player]],RB!B:O,6,FALSE)</f>
        <v>1.0408231880525365</v>
      </c>
      <c r="W87" s="100">
        <f>VLOOKUP(TableRBRanks31413539[[#This Row],[Player]],RB!B:O,7,FALSE)</f>
        <v>13.420904000000002</v>
      </c>
      <c r="X87" s="100">
        <f>VLOOKUP(TableRBRanks31413539[[#This Row],[Player]],RB!B:O,8,FALSE)</f>
        <v>10.683039584000003</v>
      </c>
      <c r="Y87" s="100">
        <f>VLOOKUP(TableRBRanks31413539[[#This Row],[Player]],RB!B:O,9,FALSE)</f>
        <v>76.917885004800027</v>
      </c>
      <c r="Z87" s="100">
        <f>VLOOKUP(TableRBRanks31413539[[#This Row],[Player]],RB!B:O,10,FALSE)</f>
        <v>0.3375294912927938</v>
      </c>
      <c r="AA87" s="95">
        <f>VLOOKUP(TableRBRanks31413539[[#This Row],[Player]],RB!B:O,14,FALSE)</f>
        <v>36.135550445991981</v>
      </c>
      <c r="AB87" s="190">
        <f>TableRBRanks31413539[[#This Row],[FPS]]-(TableRBRanks31413539[[#This Row],[REC]]*0.5)</f>
        <v>30.794030653991982</v>
      </c>
      <c r="AD87" s="58">
        <v>86</v>
      </c>
      <c r="AE87" s="58" t="str">
        <f>VLOOKUP(TableWRRanks32423644[[#This Row],[RK]],Rankings!A:AZ,43,FALSE)</f>
        <v>Dont'e Thornton</v>
      </c>
      <c r="AF87" s="58" t="str">
        <f>IFERROR(INDEX(TableWRCalcPts[TM],MATCH(TableWRRanks32423644[[#This Row],[Player]],TableWRCalcPts[PLAYER],0)),"")</f>
        <v>LV</v>
      </c>
      <c r="AG87" s="58">
        <f>IFERROR(INDEX(TableWRCalcPts[BYE],MATCH(TableWRRanks32423644[[#This Row],[Player]],TableWRCalcPts[PLAYER],0)),"")</f>
        <v>13</v>
      </c>
      <c r="AH87" s="100">
        <f>VLOOKUP(TableWRRanks32423644[[#This Row],[Player]],WR!B:O,4,FALSE)</f>
        <v>0</v>
      </c>
      <c r="AI87" s="100">
        <f>VLOOKUP(TableWRRanks32423644[[#This Row],[Player]],WR!B:O,5,FALSE)</f>
        <v>0</v>
      </c>
      <c r="AJ87" s="100">
        <f>VLOOKUP(TableWRRanks32423644[[#This Row],[Player]],WR!B:O,6,FALSE)</f>
        <v>47.354086079999995</v>
      </c>
      <c r="AK87" s="100">
        <f>VLOOKUP(TableWRRanks32423644[[#This Row],[Player]],WR!B:O,7,FALSE)</f>
        <v>26.56564229088</v>
      </c>
      <c r="AL87" s="100">
        <f>VLOOKUP(TableWRRanks32423644[[#This Row],[Player]],WR!B:O,8,FALSE)</f>
        <v>364.74626865378241</v>
      </c>
      <c r="AM87" s="100">
        <f>VLOOKUP(TableWRRanks32423644[[#This Row],[Player]],WR!B:O,9,FALSE)</f>
        <v>1.5939385374527999</v>
      </c>
      <c r="AN87" s="95">
        <f>VLOOKUP(TableWRRanks32423644[[#This Row],[Player]],WR!B:O,13,FALSE)</f>
        <v>59.321079235535038</v>
      </c>
      <c r="AO87" s="190">
        <f>TableWRRanks32423644[[#This Row],[FPS]]-(TableWRRanks32423644[[#This Row],[REC]]*0.5)</f>
        <v>46.038258090095042</v>
      </c>
      <c r="AQ87" s="58">
        <v>86</v>
      </c>
      <c r="AR87" s="58">
        <f>VLOOKUP(TableTERanks33433745[[#This Row],[RK]],Rankings!A:AZ,48,FALSE)</f>
        <v>0</v>
      </c>
      <c r="AS87" s="58" t="str">
        <f>IFERROR(INDEX(TableTECalcPts[TM],MATCH(TableTERanks33433745[[#This Row],[Player]],TableTECalcPts[PLAYER],0)),"")</f>
        <v/>
      </c>
      <c r="AT87" s="58" t="str">
        <f>IFERROR(INDEX(TableTECalcPts[BYE],MATCH(TableTERanks33433745[[#This Row],[Player]],TableTECalcPts[PLAYER],0)),"")</f>
        <v/>
      </c>
      <c r="AU87" s="100">
        <f>VLOOKUP(TableTERanks33433745[[#This Row],[Player]],TE!B:O,4,FALSE)</f>
        <v>0</v>
      </c>
      <c r="AV87" s="100">
        <f>VLOOKUP(TableTERanks33433745[[#This Row],[Player]],TE!B:O,5,FALSE)</f>
        <v>0</v>
      </c>
      <c r="AW87" s="100">
        <f>VLOOKUP(TableTERanks33433745[[#This Row],[Player]],TE!B:O,6,FALSE)</f>
        <v>0</v>
      </c>
      <c r="AX87" s="100">
        <f>VLOOKUP(TableTERanks33433745[[#This Row],[Player]],TE!B:O,7,FALSE)</f>
        <v>0</v>
      </c>
      <c r="AY87" s="95">
        <f>VLOOKUP(TableTERanks33433745[[#This Row],[Player]],TE!B:O,11,FALSE)</f>
        <v>0</v>
      </c>
      <c r="AZ87" s="190">
        <f>TableTERanks33433745[[#This Row],[FPS]]-(TableTERanks33433745[[#This Row],[REC]]*0.5)</f>
        <v>0</v>
      </c>
    </row>
    <row r="88" spans="16:52" x14ac:dyDescent="0.25">
      <c r="P88" s="58">
        <v>87</v>
      </c>
      <c r="Q88" s="58" t="str">
        <f>VLOOKUP(TableRBRanks31413539[[#This Row],[RK]],Rankings!A:AY,38,FALSE)</f>
        <v>Najee Harris</v>
      </c>
      <c r="R88" s="58" t="str">
        <f>IFERROR(INDEX(TableRBCalcPts[TM],MATCH(TableRBRanks31413539[[#This Row],[Player]],TableRBCalcPts[PLAYER],0)),"")</f>
        <v/>
      </c>
      <c r="S88" s="58" t="str">
        <f>IFERROR(INDEX(TableRBCalcPts[BYE],MATCH(TableRBRanks31413539[[#This Row],[Player]],TableRBCalcPts[PLAYER],0)),"")</f>
        <v/>
      </c>
      <c r="T88" s="100" t="e">
        <f>VLOOKUP(TableRBRanks31413539[[#This Row],[Player]],RB!B:O,4,FALSE)</f>
        <v>#N/A</v>
      </c>
      <c r="U88" s="100" t="e">
        <f>VLOOKUP(TableRBRanks31413539[[#This Row],[Player]],RB!B:O,5,FALSE)</f>
        <v>#N/A</v>
      </c>
      <c r="V88" s="100" t="e">
        <f>VLOOKUP(TableRBRanks31413539[[#This Row],[Player]],RB!B:O,6,FALSE)</f>
        <v>#N/A</v>
      </c>
      <c r="W88" s="100" t="e">
        <f>VLOOKUP(TableRBRanks31413539[[#This Row],[Player]],RB!B:O,7,FALSE)</f>
        <v>#N/A</v>
      </c>
      <c r="X88" s="100" t="e">
        <f>VLOOKUP(TableRBRanks31413539[[#This Row],[Player]],RB!B:O,8,FALSE)</f>
        <v>#N/A</v>
      </c>
      <c r="Y88" s="100" t="e">
        <f>VLOOKUP(TableRBRanks31413539[[#This Row],[Player]],RB!B:O,9,FALSE)</f>
        <v>#N/A</v>
      </c>
      <c r="Z88" s="100" t="e">
        <f>VLOOKUP(TableRBRanks31413539[[#This Row],[Player]],RB!B:O,10,FALSE)</f>
        <v>#N/A</v>
      </c>
      <c r="AA88" s="95" t="e">
        <f>VLOOKUP(TableRBRanks31413539[[#This Row],[Player]],RB!B:O,14,FALSE)</f>
        <v>#N/A</v>
      </c>
      <c r="AB88" s="190" t="e">
        <f>TableRBRanks31413539[[#This Row],[FPS]]-(TableRBRanks31413539[[#This Row],[REC]]*0.5)</f>
        <v>#N/A</v>
      </c>
      <c r="AD88" s="58">
        <v>87</v>
      </c>
      <c r="AE88" s="58" t="str">
        <f>VLOOKUP(TableWRRanks32423644[[#This Row],[RK]],Rankings!A:AZ,43,FALSE)</f>
        <v>Konata Mumpfield</v>
      </c>
      <c r="AF88" s="58" t="str">
        <f>IFERROR(INDEX(TableWRCalcPts[TM],MATCH(TableWRRanks32423644[[#This Row],[Player]],TableWRCalcPts[PLAYER],0)),"")</f>
        <v>LAR</v>
      </c>
      <c r="AG88" s="58">
        <f>IFERROR(INDEX(TableWRCalcPts[BYE],MATCH(TableWRRanks32423644[[#This Row],[Player]],TableWRCalcPts[PLAYER],0)),"")</f>
        <v>11</v>
      </c>
      <c r="AH88" s="100">
        <f>VLOOKUP(TableWRRanks32423644[[#This Row],[Player]],WR!B:O,4,FALSE)</f>
        <v>0</v>
      </c>
      <c r="AI88" s="100">
        <f>VLOOKUP(TableWRRanks32423644[[#This Row],[Player]],WR!B:O,5,FALSE)</f>
        <v>0</v>
      </c>
      <c r="AJ88" s="100">
        <f>VLOOKUP(TableWRRanks32423644[[#This Row],[Player]],WR!B:O,6,FALSE)</f>
        <v>29.403825654608088</v>
      </c>
      <c r="AK88" s="100">
        <f>VLOOKUP(TableWRRanks32423644[[#This Row],[Player]],WR!B:O,7,FALSE)</f>
        <v>19.847582316860461</v>
      </c>
      <c r="AL88" s="100">
        <f>VLOOKUP(TableWRRanks32423644[[#This Row],[Player]],WR!B:O,8,FALSE)</f>
        <v>214.10706797559692</v>
      </c>
      <c r="AM88" s="100">
        <f>VLOOKUP(TableWRRanks32423644[[#This Row],[Player]],WR!B:O,9,FALSE)</f>
        <v>1.3893307621802324</v>
      </c>
      <c r="AN88" s="95">
        <f>VLOOKUP(TableWRRanks32423644[[#This Row],[Player]],WR!B:O,13,FALSE)</f>
        <v>39.670482529071322</v>
      </c>
      <c r="AO88" s="190">
        <f>TableWRRanks32423644[[#This Row],[FPS]]-(TableWRRanks32423644[[#This Row],[REC]]*0.5)</f>
        <v>29.746691370641091</v>
      </c>
      <c r="AQ88" s="58">
        <v>87</v>
      </c>
      <c r="AR88" s="58">
        <f>VLOOKUP(TableTERanks33433745[[#This Row],[RK]],Rankings!A:AZ,48,FALSE)</f>
        <v>0</v>
      </c>
      <c r="AS88" s="58" t="str">
        <f>IFERROR(INDEX(TableTECalcPts[TM],MATCH(TableTERanks33433745[[#This Row],[Player]],TableTECalcPts[PLAYER],0)),"")</f>
        <v/>
      </c>
      <c r="AT88" s="58" t="str">
        <f>IFERROR(INDEX(TableTECalcPts[BYE],MATCH(TableTERanks33433745[[#This Row],[Player]],TableTECalcPts[PLAYER],0)),"")</f>
        <v/>
      </c>
      <c r="AU88" s="100">
        <f>VLOOKUP(TableTERanks33433745[[#This Row],[Player]],TE!B:O,4,FALSE)</f>
        <v>0</v>
      </c>
      <c r="AV88" s="100">
        <f>VLOOKUP(TableTERanks33433745[[#This Row],[Player]],TE!B:O,5,FALSE)</f>
        <v>0</v>
      </c>
      <c r="AW88" s="100">
        <f>VLOOKUP(TableTERanks33433745[[#This Row],[Player]],TE!B:O,6,FALSE)</f>
        <v>0</v>
      </c>
      <c r="AX88" s="100">
        <f>VLOOKUP(TableTERanks33433745[[#This Row],[Player]],TE!B:O,7,FALSE)</f>
        <v>0</v>
      </c>
      <c r="AY88" s="95">
        <f>VLOOKUP(TableTERanks33433745[[#This Row],[Player]],TE!B:O,11,FALSE)</f>
        <v>0</v>
      </c>
      <c r="AZ88" s="190">
        <f>TableTERanks33433745[[#This Row],[FPS]]-(TableTERanks33433745[[#This Row],[REC]]*0.5)</f>
        <v>0</v>
      </c>
    </row>
    <row r="89" spans="16:52" x14ac:dyDescent="0.25">
      <c r="P89" s="58">
        <v>88</v>
      </c>
      <c r="Q89" s="58" t="str">
        <f>VLOOKUP(TableRBRanks31413539[[#This Row],[RK]],Rankings!A:AY,38,FALSE)</f>
        <v>Devin Neal</v>
      </c>
      <c r="R89" s="58" t="str">
        <f>IFERROR(INDEX(TableRBCalcPts[TM],MATCH(TableRBRanks31413539[[#This Row],[Player]],TableRBCalcPts[PLAYER],0)),"")</f>
        <v>NO</v>
      </c>
      <c r="S89" s="58">
        <f>IFERROR(INDEX(TableRBCalcPts[BYE],MATCH(TableRBRanks31413539[[#This Row],[Player]],TableRBCalcPts[PLAYER],0)),"")</f>
        <v>8</v>
      </c>
      <c r="T89" s="100">
        <f>VLOOKUP(TableRBRanks31413539[[#This Row],[Player]],RB!B:O,4,FALSE)</f>
        <v>9.914777599999999</v>
      </c>
      <c r="U89" s="100">
        <f>VLOOKUP(TableRBRanks31413539[[#This Row],[Player]],RB!B:O,5,FALSE)</f>
        <v>37.676154879999991</v>
      </c>
      <c r="V89" s="100">
        <f>VLOOKUP(TableRBRanks31413539[[#This Row],[Player]],RB!B:O,6,FALSE)</f>
        <v>0.24786944</v>
      </c>
      <c r="W89" s="100">
        <f>VLOOKUP(TableRBRanks31413539[[#This Row],[Player]],RB!B:O,7,FALSE)</f>
        <v>2.5389056000000001</v>
      </c>
      <c r="X89" s="100">
        <f>VLOOKUP(TableRBRanks31413539[[#This Row],[Player]],RB!B:O,8,FALSE)</f>
        <v>1.7848506367999999</v>
      </c>
      <c r="Y89" s="100">
        <f>VLOOKUP(TableRBRanks31413539[[#This Row],[Player]],RB!B:O,9,FALSE)</f>
        <v>12.690288027648</v>
      </c>
      <c r="Z89" s="100">
        <f>VLOOKUP(TableRBRanks31413539[[#This Row],[Player]],RB!B:O,10,FALSE)</f>
        <v>4.462126592E-2</v>
      </c>
      <c r="AA89" s="95">
        <f>VLOOKUP(TableRBRanks31413539[[#This Row],[Player]],RB!B:O,14,FALSE)</f>
        <v>7.6840138446847996</v>
      </c>
      <c r="AB89" s="190">
        <f>TableRBRanks31413539[[#This Row],[FPS]]-(TableRBRanks31413539[[#This Row],[REC]]*0.5)</f>
        <v>6.7915885262847997</v>
      </c>
      <c r="AD89" s="58">
        <v>88</v>
      </c>
      <c r="AE89" s="58" t="str">
        <f>VLOOKUP(TableWRRanks32423644[[#This Row],[RK]],Rankings!A:AZ,43,FALSE)</f>
        <v>Malachi Fields</v>
      </c>
      <c r="AF89" s="58" t="str">
        <f>IFERROR(INDEX(TableWRCalcPts[TM],MATCH(TableWRRanks32423644[[#This Row],[Player]],TableWRCalcPts[PLAYER],0)),"")</f>
        <v>NYG</v>
      </c>
      <c r="AG89" s="58">
        <f>IFERROR(INDEX(TableWRCalcPts[BYE],MATCH(TableWRRanks32423644[[#This Row],[Player]],TableWRCalcPts[PLAYER],0)),"")</f>
        <v>8</v>
      </c>
      <c r="AH89" s="100">
        <f>VLOOKUP(TableWRRanks32423644[[#This Row],[Player]],WR!B:O,4,FALSE)</f>
        <v>0</v>
      </c>
      <c r="AI89" s="100">
        <f>VLOOKUP(TableWRRanks32423644[[#This Row],[Player]],WR!B:O,5,FALSE)</f>
        <v>0</v>
      </c>
      <c r="AJ89" s="100">
        <f>VLOOKUP(TableWRRanks32423644[[#This Row],[Player]],WR!B:O,6,FALSE)</f>
        <v>43.014437339999994</v>
      </c>
      <c r="AK89" s="100">
        <f>VLOOKUP(TableWRRanks32423644[[#This Row],[Player]],WR!B:O,7,FALSE)</f>
        <v>26.496893401439994</v>
      </c>
      <c r="AL89" s="100">
        <f>VLOOKUP(TableWRRanks32423644[[#This Row],[Player]],WR!B:O,8,FALSE)</f>
        <v>338.10035980237433</v>
      </c>
      <c r="AM89" s="100">
        <f>VLOOKUP(TableWRRanks32423644[[#This Row],[Player]],WR!B:O,9,FALSE)</f>
        <v>2.1727452589180798</v>
      </c>
      <c r="AN89" s="95">
        <f>VLOOKUP(TableWRRanks32423644[[#This Row],[Player]],WR!B:O,13,FALSE)</f>
        <v>60.094954234465909</v>
      </c>
      <c r="AO89" s="190">
        <f>TableWRRanks32423644[[#This Row],[FPS]]-(TableWRRanks32423644[[#This Row],[REC]]*0.5)</f>
        <v>46.846507533745914</v>
      </c>
      <c r="AQ89" s="58">
        <v>88</v>
      </c>
      <c r="AR89" s="58">
        <f>VLOOKUP(TableTERanks33433745[[#This Row],[RK]],Rankings!A:AZ,48,FALSE)</f>
        <v>0</v>
      </c>
      <c r="AS89" s="58" t="str">
        <f>IFERROR(INDEX(TableTECalcPts[TM],MATCH(TableTERanks33433745[[#This Row],[Player]],TableTECalcPts[PLAYER],0)),"")</f>
        <v/>
      </c>
      <c r="AT89" s="58" t="str">
        <f>IFERROR(INDEX(TableTECalcPts[BYE],MATCH(TableTERanks33433745[[#This Row],[Player]],TableTECalcPts[PLAYER],0)),"")</f>
        <v/>
      </c>
      <c r="AU89" s="100">
        <f>VLOOKUP(TableTERanks33433745[[#This Row],[Player]],TE!B:O,4,FALSE)</f>
        <v>0</v>
      </c>
      <c r="AV89" s="100">
        <f>VLOOKUP(TableTERanks33433745[[#This Row],[Player]],TE!B:O,5,FALSE)</f>
        <v>0</v>
      </c>
      <c r="AW89" s="100">
        <f>VLOOKUP(TableTERanks33433745[[#This Row],[Player]],TE!B:O,6,FALSE)</f>
        <v>0</v>
      </c>
      <c r="AX89" s="100">
        <f>VLOOKUP(TableTERanks33433745[[#This Row],[Player]],TE!B:O,7,FALSE)</f>
        <v>0</v>
      </c>
      <c r="AY89" s="95">
        <f>VLOOKUP(TableTERanks33433745[[#This Row],[Player]],TE!B:O,11,FALSE)</f>
        <v>0</v>
      </c>
      <c r="AZ89" s="190">
        <f>TableTERanks33433745[[#This Row],[FPS]]-(TableTERanks33433745[[#This Row],[REC]]*0.5)</f>
        <v>0</v>
      </c>
    </row>
    <row r="90" spans="16:52" x14ac:dyDescent="0.25">
      <c r="P90" s="58">
        <v>89</v>
      </c>
      <c r="Q90" s="58" t="str">
        <f>VLOOKUP(TableRBRanks31413539[[#This Row],[RK]],Rankings!A:AY,38,FALSE)</f>
        <v>Jaleel McLaughlin</v>
      </c>
      <c r="R90" s="58" t="str">
        <f>IFERROR(INDEX(TableRBCalcPts[TM],MATCH(TableRBRanks31413539[[#This Row],[Player]],TableRBCalcPts[PLAYER],0)),"")</f>
        <v>DEN</v>
      </c>
      <c r="S90" s="58">
        <f>IFERROR(INDEX(TableRBCalcPts[BYE],MATCH(TableRBRanks31413539[[#This Row],[Player]],TableRBCalcPts[PLAYER],0)),"")</f>
        <v>10</v>
      </c>
      <c r="T90" s="100">
        <f>VLOOKUP(TableRBRanks31413539[[#This Row],[Player]],RB!B:O,4,FALSE)</f>
        <v>4.4656835999999993</v>
      </c>
      <c r="U90" s="100">
        <f>VLOOKUP(TableRBRanks31413539[[#This Row],[Player]],RB!B:O,5,FALSE)</f>
        <v>21.926506475999997</v>
      </c>
      <c r="V90" s="100">
        <f>VLOOKUP(TableRBRanks31413539[[#This Row],[Player]],RB!B:O,6,FALSE)</f>
        <v>0.12503914079999998</v>
      </c>
      <c r="W90" s="100">
        <f>VLOOKUP(TableRBRanks31413539[[#This Row],[Player]],RB!B:O,7,FALSE)</f>
        <v>5.7067164000000004</v>
      </c>
      <c r="X90" s="100">
        <f>VLOOKUP(TableRBRanks31413539[[#This Row],[Player]],RB!B:O,8,FALSE)</f>
        <v>4.1430761064000006</v>
      </c>
      <c r="Y90" s="100">
        <f>VLOOKUP(TableRBRanks31413539[[#This Row],[Player]],RB!B:O,9,FALSE)</f>
        <v>30.688224578722757</v>
      </c>
      <c r="Z90" s="100">
        <f>VLOOKUP(TableRBRanks31413539[[#This Row],[Player]],RB!B:O,10,FALSE)</f>
        <v>0.1424148438568355</v>
      </c>
      <c r="AA90" s="95">
        <f>VLOOKUP(TableRBRanks31413539[[#This Row],[Player]],RB!B:O,14,FALSE)</f>
        <v>8.9377350666132891</v>
      </c>
      <c r="AB90" s="190">
        <f>TableRBRanks31413539[[#This Row],[FPS]]-(TableRBRanks31413539[[#This Row],[REC]]*0.5)</f>
        <v>6.8661970134132888</v>
      </c>
      <c r="AD90" s="58">
        <v>89</v>
      </c>
      <c r="AE90" s="58" t="str">
        <f>VLOOKUP(TableWRRanks32423644[[#This Row],[RK]],Rankings!A:AZ,43,FALSE)</f>
        <v>Darius Slayton</v>
      </c>
      <c r="AF90" s="58" t="str">
        <f>IFERROR(INDEX(TableWRCalcPts[TM],MATCH(TableWRRanks32423644[[#This Row],[Player]],TableWRCalcPts[PLAYER],0)),"")</f>
        <v>NYG</v>
      </c>
      <c r="AG90" s="58">
        <f>IFERROR(INDEX(TableWRCalcPts[BYE],MATCH(TableWRRanks32423644[[#This Row],[Player]],TableWRCalcPts[PLAYER],0)),"")</f>
        <v>8</v>
      </c>
      <c r="AH90" s="100">
        <f>VLOOKUP(TableWRRanks32423644[[#This Row],[Player]],WR!B:O,4,FALSE)</f>
        <v>0</v>
      </c>
      <c r="AI90" s="100">
        <f>VLOOKUP(TableWRRanks32423644[[#This Row],[Player]],WR!B:O,5,FALSE)</f>
        <v>0</v>
      </c>
      <c r="AJ90" s="100">
        <f>VLOOKUP(TableWRRanks32423644[[#This Row],[Player]],WR!B:O,6,FALSE)</f>
        <v>41.036762060000008</v>
      </c>
      <c r="AK90" s="100">
        <f>VLOOKUP(TableWRRanks32423644[[#This Row],[Player]],WR!B:O,7,FALSE)</f>
        <v>26.058343908100007</v>
      </c>
      <c r="AL90" s="100">
        <f>VLOOKUP(TableWRRanks32423644[[#This Row],[Player]],WR!B:O,8,FALSE)</f>
        <v>371.33140069042508</v>
      </c>
      <c r="AM90" s="100">
        <f>VLOOKUP(TableWRRanks32423644[[#This Row],[Player]],WR!B:O,9,FALSE)</f>
        <v>1.6937923540265005</v>
      </c>
      <c r="AN90" s="95">
        <f>VLOOKUP(TableWRRanks32423644[[#This Row],[Player]],WR!B:O,13,FALSE)</f>
        <v>60.325066147251512</v>
      </c>
      <c r="AO90" s="190">
        <f>TableWRRanks32423644[[#This Row],[FPS]]-(TableWRRanks32423644[[#This Row],[REC]]*0.5)</f>
        <v>47.295894193201505</v>
      </c>
      <c r="AQ90" s="58">
        <v>89</v>
      </c>
      <c r="AR90" s="58">
        <f>VLOOKUP(TableTERanks33433745[[#This Row],[RK]],Rankings!A:AZ,48,FALSE)</f>
        <v>0</v>
      </c>
      <c r="AS90" s="58" t="str">
        <f>IFERROR(INDEX(TableTECalcPts[TM],MATCH(TableTERanks33433745[[#This Row],[Player]],TableTECalcPts[PLAYER],0)),"")</f>
        <v/>
      </c>
      <c r="AT90" s="58" t="str">
        <f>IFERROR(INDEX(TableTECalcPts[BYE],MATCH(TableTERanks33433745[[#This Row],[Player]],TableTECalcPts[PLAYER],0)),"")</f>
        <v/>
      </c>
      <c r="AU90" s="100">
        <f>VLOOKUP(TableTERanks33433745[[#This Row],[Player]],TE!B:O,4,FALSE)</f>
        <v>0</v>
      </c>
      <c r="AV90" s="100">
        <f>VLOOKUP(TableTERanks33433745[[#This Row],[Player]],TE!B:O,5,FALSE)</f>
        <v>0</v>
      </c>
      <c r="AW90" s="100">
        <f>VLOOKUP(TableTERanks33433745[[#This Row],[Player]],TE!B:O,6,FALSE)</f>
        <v>0</v>
      </c>
      <c r="AX90" s="100">
        <f>VLOOKUP(TableTERanks33433745[[#This Row],[Player]],TE!B:O,7,FALSE)</f>
        <v>0</v>
      </c>
      <c r="AY90" s="95">
        <f>VLOOKUP(TableTERanks33433745[[#This Row],[Player]],TE!B:O,11,FALSE)</f>
        <v>0</v>
      </c>
      <c r="AZ90" s="190">
        <f>TableTERanks33433745[[#This Row],[FPS]]-(TableTERanks33433745[[#This Row],[REC]]*0.5)</f>
        <v>0</v>
      </c>
    </row>
    <row r="91" spans="16:52" x14ac:dyDescent="0.25">
      <c r="P91" s="58">
        <v>90</v>
      </c>
      <c r="Q91" s="58" t="str">
        <f>VLOOKUP(TableRBRanks31413539[[#This Row],[RK]],Rankings!A:AY,38,FALSE)</f>
        <v>Eli Heidenreich</v>
      </c>
      <c r="R91" s="58" t="str">
        <f>IFERROR(INDEX(TableRBCalcPts[TM],MATCH(TableRBRanks31413539[[#This Row],[Player]],TableRBCalcPts[PLAYER],0)),"")</f>
        <v>PIT</v>
      </c>
      <c r="S91" s="58">
        <f>IFERROR(INDEX(TableRBCalcPts[BYE],MATCH(TableRBRanks31413539[[#This Row],[Player]],TableRBCalcPts[PLAYER],0)),"")</f>
        <v>9</v>
      </c>
      <c r="T91" s="100">
        <f>VLOOKUP(TableRBRanks31413539[[#This Row],[Player]],RB!B:O,4,FALSE)</f>
        <v>11.603591999999997</v>
      </c>
      <c r="U91" s="100">
        <f>VLOOKUP(TableRBRanks31413539[[#This Row],[Player]],RB!B:O,5,FALSE)</f>
        <v>52.56427175999999</v>
      </c>
      <c r="V91" s="100">
        <f>VLOOKUP(TableRBRanks31413539[[#This Row],[Player]],RB!B:O,6,FALSE)</f>
        <v>0.32490057599999994</v>
      </c>
      <c r="W91" s="100">
        <f>VLOOKUP(TableRBRanks31413539[[#This Row],[Player]],RB!B:O,7,FALSE)</f>
        <v>8.5201200000000004</v>
      </c>
      <c r="X91" s="100">
        <f>VLOOKUP(TableRBRanks31413539[[#This Row],[Player]],RB!B:O,8,FALSE)</f>
        <v>7.1143001999999997</v>
      </c>
      <c r="Y91" s="100">
        <f>VLOOKUP(TableRBRanks31413539[[#This Row],[Player]],RB!B:O,9,FALSE)</f>
        <v>46.242951300000001</v>
      </c>
      <c r="Z91" s="100">
        <f>VLOOKUP(TableRBRanks31413539[[#This Row],[Player]],RB!B:O,10,FALSE)</f>
        <v>0.52645821479999999</v>
      </c>
      <c r="AA91" s="95">
        <f>VLOOKUP(TableRBRanks31413539[[#This Row],[Player]],RB!B:O,14,FALSE)</f>
        <v>18.546025150799998</v>
      </c>
      <c r="AB91" s="190">
        <f>TableRBRanks31413539[[#This Row],[FPS]]-(TableRBRanks31413539[[#This Row],[REC]]*0.5)</f>
        <v>14.988875050799999</v>
      </c>
      <c r="AD91" s="58">
        <v>90</v>
      </c>
      <c r="AE91" s="58" t="str">
        <f>VLOOKUP(TableWRRanks32423644[[#This Row],[RK]],Rankings!A:AZ,43,FALSE)</f>
        <v>Jaylin Noel</v>
      </c>
      <c r="AF91" s="58" t="str">
        <f>IFERROR(INDEX(TableWRCalcPts[TM],MATCH(TableWRRanks32423644[[#This Row],[Player]],TableWRCalcPts[PLAYER],0)),"")</f>
        <v>HOU</v>
      </c>
      <c r="AG91" s="58">
        <f>IFERROR(INDEX(TableWRCalcPts[BYE],MATCH(TableWRRanks32423644[[#This Row],[Player]],TableWRCalcPts[PLAYER],0)),"")</f>
        <v>8</v>
      </c>
      <c r="AH91" s="100">
        <f>VLOOKUP(TableWRRanks32423644[[#This Row],[Player]],WR!B:O,4,FALSE)</f>
        <v>24.062199700000004</v>
      </c>
      <c r="AI91" s="100">
        <f>VLOOKUP(TableWRRanks32423644[[#This Row],[Player]],WR!B:O,5,FALSE)</f>
        <v>5.4686817500000012E-2</v>
      </c>
      <c r="AJ91" s="100">
        <f>VLOOKUP(TableWRRanks32423644[[#This Row],[Player]],WR!B:O,6,FALSE)</f>
        <v>60.152973299999992</v>
      </c>
      <c r="AK91" s="100">
        <f>VLOOKUP(TableWRRanks32423644[[#This Row],[Player]],WR!B:O,7,FALSE)</f>
        <v>36.548155833769009</v>
      </c>
      <c r="AL91" s="100">
        <f>VLOOKUP(TableWRRanks32423644[[#This Row],[Player]],WR!B:O,8,FALSE)</f>
        <v>398.3748985880822</v>
      </c>
      <c r="AM91" s="100">
        <f>VLOOKUP(TableWRRanks32423644[[#This Row],[Player]],WR!B:O,9,FALSE)</f>
        <v>2.3025338175274475</v>
      </c>
      <c r="AN91" s="95">
        <f>VLOOKUP(TableWRRanks32423644[[#This Row],[Player]],WR!B:O,13,FALSE)</f>
        <v>74.661111555857417</v>
      </c>
      <c r="AO91" s="190">
        <f>TableWRRanks32423644[[#This Row],[FPS]]-(TableWRRanks32423644[[#This Row],[REC]]*0.5)</f>
        <v>56.387033638972909</v>
      </c>
      <c r="AQ91" s="58">
        <v>90</v>
      </c>
      <c r="AR91" s="58">
        <f>VLOOKUP(TableTERanks33433745[[#This Row],[RK]],Rankings!A:AZ,48,FALSE)</f>
        <v>0</v>
      </c>
      <c r="AS91" s="58" t="str">
        <f>IFERROR(INDEX(TableTECalcPts[TM],MATCH(TableTERanks33433745[[#This Row],[Player]],TableTECalcPts[PLAYER],0)),"")</f>
        <v/>
      </c>
      <c r="AT91" s="58" t="str">
        <f>IFERROR(INDEX(TableTECalcPts[BYE],MATCH(TableTERanks33433745[[#This Row],[Player]],TableTECalcPts[PLAYER],0)),"")</f>
        <v/>
      </c>
      <c r="AU91" s="100">
        <f>VLOOKUP(TableTERanks33433745[[#This Row],[Player]],TE!B:O,4,FALSE)</f>
        <v>0</v>
      </c>
      <c r="AV91" s="100">
        <f>VLOOKUP(TableTERanks33433745[[#This Row],[Player]],TE!B:O,5,FALSE)</f>
        <v>0</v>
      </c>
      <c r="AW91" s="100">
        <f>VLOOKUP(TableTERanks33433745[[#This Row],[Player]],TE!B:O,6,FALSE)</f>
        <v>0</v>
      </c>
      <c r="AX91" s="100">
        <f>VLOOKUP(TableTERanks33433745[[#This Row],[Player]],TE!B:O,7,FALSE)</f>
        <v>0</v>
      </c>
      <c r="AY91" s="95">
        <f>VLOOKUP(TableTERanks33433745[[#This Row],[Player]],TE!B:O,11,FALSE)</f>
        <v>0</v>
      </c>
      <c r="AZ91" s="190">
        <f>TableTERanks33433745[[#This Row],[FPS]]-(TableTERanks33433745[[#This Row],[REC]]*0.5)</f>
        <v>0</v>
      </c>
    </row>
    <row r="92" spans="16:52" x14ac:dyDescent="0.25">
      <c r="P92" s="58">
        <v>91</v>
      </c>
      <c r="Q92" s="58">
        <f>VLOOKUP(TableRBRanks31413539[[#This Row],[RK]],Rankings!A:AY,38,FALSE)</f>
        <v>0</v>
      </c>
      <c r="R92" s="58" t="str">
        <f>IFERROR(INDEX(TableRBCalcPts[TM],MATCH(TableRBRanks31413539[[#This Row],[Player]],TableRBCalcPts[PLAYER],0)),"")</f>
        <v/>
      </c>
      <c r="S92" s="58" t="str">
        <f>IFERROR(INDEX(TableRBCalcPts[BYE],MATCH(TableRBRanks31413539[[#This Row],[Player]],TableRBCalcPts[PLAYER],0)),"")</f>
        <v/>
      </c>
      <c r="T92" s="100">
        <f>VLOOKUP(TableRBRanks31413539[[#This Row],[Player]],RB!B:O,4,FALSE)</f>
        <v>0</v>
      </c>
      <c r="U92" s="100">
        <f>VLOOKUP(TableRBRanks31413539[[#This Row],[Player]],RB!B:O,5,FALSE)</f>
        <v>0</v>
      </c>
      <c r="V92" s="100">
        <f>VLOOKUP(TableRBRanks31413539[[#This Row],[Player]],RB!B:O,6,FALSE)</f>
        <v>0</v>
      </c>
      <c r="W92" s="100">
        <f>VLOOKUP(TableRBRanks31413539[[#This Row],[Player]],RB!B:O,7,FALSE)</f>
        <v>0</v>
      </c>
      <c r="X92" s="100">
        <f>VLOOKUP(TableRBRanks31413539[[#This Row],[Player]],RB!B:O,8,FALSE)</f>
        <v>0</v>
      </c>
      <c r="Y92" s="100">
        <f>VLOOKUP(TableRBRanks31413539[[#This Row],[Player]],RB!B:O,9,FALSE)</f>
        <v>0</v>
      </c>
      <c r="Z92" s="100">
        <f>VLOOKUP(TableRBRanks31413539[[#This Row],[Player]],RB!B:O,10,FALSE)</f>
        <v>0</v>
      </c>
      <c r="AA92" s="95">
        <f>VLOOKUP(TableRBRanks31413539[[#This Row],[Player]],RB!B:O,14,FALSE)</f>
        <v>0</v>
      </c>
      <c r="AB92" s="190">
        <f>TableRBRanks31413539[[#This Row],[FPS]]-(TableRBRanks31413539[[#This Row],[REC]]*0.5)</f>
        <v>0</v>
      </c>
      <c r="AD92" s="58">
        <v>91</v>
      </c>
      <c r="AE92" s="58" t="str">
        <f>VLOOKUP(TableWRRanks32423644[[#This Row],[RK]],Rankings!A:AZ,43,FALSE)</f>
        <v>Keon Coleman</v>
      </c>
      <c r="AF92" s="58" t="str">
        <f>IFERROR(INDEX(TableWRCalcPts[TM],MATCH(TableWRRanks32423644[[#This Row],[Player]],TableWRCalcPts[PLAYER],0)),"")</f>
        <v>BUF</v>
      </c>
      <c r="AG92" s="58">
        <f>IFERROR(INDEX(TableWRCalcPts[BYE],MATCH(TableWRRanks32423644[[#This Row],[Player]],TableWRCalcPts[PLAYER],0)),"")</f>
        <v>7</v>
      </c>
      <c r="AH92" s="100">
        <f>VLOOKUP(TableWRRanks32423644[[#This Row],[Player]],WR!B:O,4,FALSE)</f>
        <v>0</v>
      </c>
      <c r="AI92" s="100">
        <f>VLOOKUP(TableWRRanks32423644[[#This Row],[Player]],WR!B:O,5,FALSE)</f>
        <v>0</v>
      </c>
      <c r="AJ92" s="100">
        <f>VLOOKUP(TableWRRanks32423644[[#This Row],[Player]],WR!B:O,6,FALSE)</f>
        <v>36.774460799999986</v>
      </c>
      <c r="AK92" s="100">
        <f>VLOOKUP(TableWRRanks32423644[[#This Row],[Player]],WR!B:O,7,FALSE)</f>
        <v>19.637562067199994</v>
      </c>
      <c r="AL92" s="100">
        <f>VLOOKUP(TableWRRanks32423644[[#This Row],[Player]],WR!B:O,8,FALSE)</f>
        <v>281.01351318163194</v>
      </c>
      <c r="AM92" s="100">
        <f>VLOOKUP(TableWRRanks32423644[[#This Row],[Player]],WR!B:O,9,FALSE)</f>
        <v>1.9833937687871994</v>
      </c>
      <c r="AN92" s="95">
        <f>VLOOKUP(TableWRRanks32423644[[#This Row],[Player]],WR!B:O,13,FALSE)</f>
        <v>49.820494964486386</v>
      </c>
      <c r="AO92" s="190">
        <f>TableWRRanks32423644[[#This Row],[FPS]]-(TableWRRanks32423644[[#This Row],[REC]]*0.5)</f>
        <v>40.001713930886389</v>
      </c>
      <c r="AQ92" s="58">
        <v>91</v>
      </c>
      <c r="AR92" s="58">
        <f>VLOOKUP(TableTERanks33433745[[#This Row],[RK]],Rankings!A:AZ,48,FALSE)</f>
        <v>0</v>
      </c>
      <c r="AS92" s="58" t="str">
        <f>IFERROR(INDEX(TableTECalcPts[TM],MATCH(TableTERanks33433745[[#This Row],[Player]],TableTECalcPts[PLAYER],0)),"")</f>
        <v/>
      </c>
      <c r="AT92" s="58" t="str">
        <f>IFERROR(INDEX(TableTECalcPts[BYE],MATCH(TableTERanks33433745[[#This Row],[Player]],TableTECalcPts[PLAYER],0)),"")</f>
        <v/>
      </c>
      <c r="AU92" s="100">
        <f>VLOOKUP(TableTERanks33433745[[#This Row],[Player]],TE!B:O,4,FALSE)</f>
        <v>0</v>
      </c>
      <c r="AV92" s="100">
        <f>VLOOKUP(TableTERanks33433745[[#This Row],[Player]],TE!B:O,5,FALSE)</f>
        <v>0</v>
      </c>
      <c r="AW92" s="100">
        <f>VLOOKUP(TableTERanks33433745[[#This Row],[Player]],TE!B:O,6,FALSE)</f>
        <v>0</v>
      </c>
      <c r="AX92" s="100">
        <f>VLOOKUP(TableTERanks33433745[[#This Row],[Player]],TE!B:O,7,FALSE)</f>
        <v>0</v>
      </c>
      <c r="AY92" s="95">
        <f>VLOOKUP(TableTERanks33433745[[#This Row],[Player]],TE!B:O,11,FALSE)</f>
        <v>0</v>
      </c>
      <c r="AZ92" s="190">
        <f>TableTERanks33433745[[#This Row],[FPS]]-(TableTERanks33433745[[#This Row],[REC]]*0.5)</f>
        <v>0</v>
      </c>
    </row>
    <row r="93" spans="16:52" x14ac:dyDescent="0.25">
      <c r="P93" s="58">
        <v>92</v>
      </c>
      <c r="Q93" s="58">
        <f>VLOOKUP(TableRBRanks31413539[[#This Row],[RK]],Rankings!A:AY,38,FALSE)</f>
        <v>0</v>
      </c>
      <c r="R93" s="58" t="str">
        <f>IFERROR(INDEX(TableRBCalcPts[TM],MATCH(TableRBRanks31413539[[#This Row],[Player]],TableRBCalcPts[PLAYER],0)),"")</f>
        <v/>
      </c>
      <c r="S93" s="58" t="str">
        <f>IFERROR(INDEX(TableRBCalcPts[BYE],MATCH(TableRBRanks31413539[[#This Row],[Player]],TableRBCalcPts[PLAYER],0)),"")</f>
        <v/>
      </c>
      <c r="T93" s="100">
        <f>VLOOKUP(TableRBRanks31413539[[#This Row],[Player]],RB!B:O,4,FALSE)</f>
        <v>0</v>
      </c>
      <c r="U93" s="100">
        <f>VLOOKUP(TableRBRanks31413539[[#This Row],[Player]],RB!B:O,5,FALSE)</f>
        <v>0</v>
      </c>
      <c r="V93" s="100">
        <f>VLOOKUP(TableRBRanks31413539[[#This Row],[Player]],RB!B:O,6,FALSE)</f>
        <v>0</v>
      </c>
      <c r="W93" s="100">
        <f>VLOOKUP(TableRBRanks31413539[[#This Row],[Player]],RB!B:O,7,FALSE)</f>
        <v>0</v>
      </c>
      <c r="X93" s="100">
        <f>VLOOKUP(TableRBRanks31413539[[#This Row],[Player]],RB!B:O,8,FALSE)</f>
        <v>0</v>
      </c>
      <c r="Y93" s="100">
        <f>VLOOKUP(TableRBRanks31413539[[#This Row],[Player]],RB!B:O,9,FALSE)</f>
        <v>0</v>
      </c>
      <c r="Z93" s="100">
        <f>VLOOKUP(TableRBRanks31413539[[#This Row],[Player]],RB!B:O,10,FALSE)</f>
        <v>0</v>
      </c>
      <c r="AA93" s="95">
        <f>VLOOKUP(TableRBRanks31413539[[#This Row],[Player]],RB!B:O,14,FALSE)</f>
        <v>0</v>
      </c>
      <c r="AB93" s="190">
        <f>TableRBRanks31413539[[#This Row],[FPS]]-(TableRBRanks31413539[[#This Row],[REC]]*0.5)</f>
        <v>0</v>
      </c>
      <c r="AD93" s="58">
        <v>92</v>
      </c>
      <c r="AE93" s="58" t="str">
        <f>VLOOKUP(TableWRRanks32423644[[#This Row],[RK]],Rankings!A:AZ,43,FALSE)</f>
        <v>Savion Williams</v>
      </c>
      <c r="AF93" s="58" t="str">
        <f>IFERROR(INDEX(TableWRCalcPts[TM],MATCH(TableWRRanks32423644[[#This Row],[Player]],TableWRCalcPts[PLAYER],0)),"")</f>
        <v>GB</v>
      </c>
      <c r="AG93" s="58">
        <f>IFERROR(INDEX(TableWRCalcPts[BYE],MATCH(TableWRRanks32423644[[#This Row],[Player]],TableWRCalcPts[PLAYER],0)),"")</f>
        <v>11</v>
      </c>
      <c r="AH93" s="100">
        <f>VLOOKUP(TableWRRanks32423644[[#This Row],[Player]],WR!B:O,4,FALSE)</f>
        <v>53.064177325634297</v>
      </c>
      <c r="AI93" s="100">
        <f>VLOOKUP(TableWRRanks32423644[[#This Row],[Player]],WR!B:O,5,FALSE)</f>
        <v>0.35370845999999995</v>
      </c>
      <c r="AJ93" s="100">
        <f>VLOOKUP(TableWRRanks32423644[[#This Row],[Player]],WR!B:O,6,FALSE)</f>
        <v>38.089765386934666</v>
      </c>
      <c r="AK93" s="100">
        <f>VLOOKUP(TableWRRanks32423644[[#This Row],[Player]],WR!B:O,7,FALSE)</f>
        <v>23.176769482008243</v>
      </c>
      <c r="AL93" s="100">
        <f>VLOOKUP(TableWRRanks32423644[[#This Row],[Player]],WR!B:O,8,FALSE)</f>
        <v>211.022985283228</v>
      </c>
      <c r="AM93" s="100">
        <f>VLOOKUP(TableWRRanks32423644[[#This Row],[Player]],WR!B:O,9,FALSE)</f>
        <v>1.6899727747297675</v>
      </c>
      <c r="AN93" s="95">
        <f>VLOOKUP(TableWRRanks32423644[[#This Row],[Player]],WR!B:O,13,FALSE)</f>
        <v>50.259188410268962</v>
      </c>
      <c r="AO93" s="190">
        <f>TableWRRanks32423644[[#This Row],[FPS]]-(TableWRRanks32423644[[#This Row],[REC]]*0.5)</f>
        <v>38.670803669264842</v>
      </c>
      <c r="AQ93" s="58">
        <v>92</v>
      </c>
      <c r="AR93" s="58">
        <f>VLOOKUP(TableTERanks33433745[[#This Row],[RK]],Rankings!A:AZ,48,FALSE)</f>
        <v>0</v>
      </c>
      <c r="AS93" s="58" t="str">
        <f>IFERROR(INDEX(TableTECalcPts[TM],MATCH(TableTERanks33433745[[#This Row],[Player]],TableTECalcPts[PLAYER],0)),"")</f>
        <v/>
      </c>
      <c r="AT93" s="58" t="str">
        <f>IFERROR(INDEX(TableTECalcPts[BYE],MATCH(TableTERanks33433745[[#This Row],[Player]],TableTECalcPts[PLAYER],0)),"")</f>
        <v/>
      </c>
      <c r="AU93" s="100">
        <f>VLOOKUP(TableTERanks33433745[[#This Row],[Player]],TE!B:O,4,FALSE)</f>
        <v>0</v>
      </c>
      <c r="AV93" s="100">
        <f>VLOOKUP(TableTERanks33433745[[#This Row],[Player]],TE!B:O,5,FALSE)</f>
        <v>0</v>
      </c>
      <c r="AW93" s="100">
        <f>VLOOKUP(TableTERanks33433745[[#This Row],[Player]],TE!B:O,6,FALSE)</f>
        <v>0</v>
      </c>
      <c r="AX93" s="100">
        <f>VLOOKUP(TableTERanks33433745[[#This Row],[Player]],TE!B:O,7,FALSE)</f>
        <v>0</v>
      </c>
      <c r="AY93" s="95">
        <f>VLOOKUP(TableTERanks33433745[[#This Row],[Player]],TE!B:O,11,FALSE)</f>
        <v>0</v>
      </c>
      <c r="AZ93" s="190">
        <f>TableTERanks33433745[[#This Row],[FPS]]-(TableTERanks33433745[[#This Row],[REC]]*0.5)</f>
        <v>0</v>
      </c>
    </row>
    <row r="94" spans="16:52" x14ac:dyDescent="0.25">
      <c r="P94" s="58">
        <v>93</v>
      </c>
      <c r="Q94" s="58">
        <f>VLOOKUP(TableRBRanks31413539[[#This Row],[RK]],Rankings!A:AY,38,FALSE)</f>
        <v>0</v>
      </c>
      <c r="R94" s="58" t="str">
        <f>IFERROR(INDEX(TableRBCalcPts[TM],MATCH(TableRBRanks31413539[[#This Row],[Player]],TableRBCalcPts[PLAYER],0)),"")</f>
        <v/>
      </c>
      <c r="S94" s="58" t="str">
        <f>IFERROR(INDEX(TableRBCalcPts[BYE],MATCH(TableRBRanks31413539[[#This Row],[Player]],TableRBCalcPts[PLAYER],0)),"")</f>
        <v/>
      </c>
      <c r="T94" s="100">
        <f>VLOOKUP(TableRBRanks31413539[[#This Row],[Player]],RB!B:O,4,FALSE)</f>
        <v>0</v>
      </c>
      <c r="U94" s="100">
        <f>VLOOKUP(TableRBRanks31413539[[#This Row],[Player]],RB!B:O,5,FALSE)</f>
        <v>0</v>
      </c>
      <c r="V94" s="100">
        <f>VLOOKUP(TableRBRanks31413539[[#This Row],[Player]],RB!B:O,6,FALSE)</f>
        <v>0</v>
      </c>
      <c r="W94" s="100">
        <f>VLOOKUP(TableRBRanks31413539[[#This Row],[Player]],RB!B:O,7,FALSE)</f>
        <v>0</v>
      </c>
      <c r="X94" s="100">
        <f>VLOOKUP(TableRBRanks31413539[[#This Row],[Player]],RB!B:O,8,FALSE)</f>
        <v>0</v>
      </c>
      <c r="Y94" s="100">
        <f>VLOOKUP(TableRBRanks31413539[[#This Row],[Player]],RB!B:O,9,FALSE)</f>
        <v>0</v>
      </c>
      <c r="Z94" s="100">
        <f>VLOOKUP(TableRBRanks31413539[[#This Row],[Player]],RB!B:O,10,FALSE)</f>
        <v>0</v>
      </c>
      <c r="AA94" s="95">
        <f>VLOOKUP(TableRBRanks31413539[[#This Row],[Player]],RB!B:O,14,FALSE)</f>
        <v>0</v>
      </c>
      <c r="AB94" s="190">
        <f>TableRBRanks31413539[[#This Row],[FPS]]-(TableRBRanks31413539[[#This Row],[REC]]*0.5)</f>
        <v>0</v>
      </c>
      <c r="AD94" s="58">
        <v>93</v>
      </c>
      <c r="AE94" s="58" t="str">
        <f>VLOOKUP(TableWRRanks32423644[[#This Row],[RK]],Rankings!A:AZ,43,FALSE)</f>
        <v>Tre' Harris</v>
      </c>
      <c r="AF94" s="58" t="str">
        <f>IFERROR(INDEX(TableWRCalcPts[TM],MATCH(TableWRRanks32423644[[#This Row],[Player]],TableWRCalcPts[PLAYER],0)),"")</f>
        <v>LAC</v>
      </c>
      <c r="AG94" s="58">
        <f>IFERROR(INDEX(TableWRCalcPts[BYE],MATCH(TableWRRanks32423644[[#This Row],[Player]],TableWRCalcPts[PLAYER],0)),"")</f>
        <v>7</v>
      </c>
      <c r="AH94" s="100">
        <f>VLOOKUP(TableWRRanks32423644[[#This Row],[Player]],WR!B:O,4,FALSE)</f>
        <v>0</v>
      </c>
      <c r="AI94" s="100">
        <f>VLOOKUP(TableWRRanks32423644[[#This Row],[Player]],WR!B:O,5,FALSE)</f>
        <v>0</v>
      </c>
      <c r="AJ94" s="100">
        <f>VLOOKUP(TableWRRanks32423644[[#This Row],[Player]],WR!B:O,6,FALSE)</f>
        <v>44.130366279999997</v>
      </c>
      <c r="AK94" s="100">
        <f>VLOOKUP(TableWRRanks32423644[[#This Row],[Player]],WR!B:O,7,FALSE)</f>
        <v>26.64474945207547</v>
      </c>
      <c r="AL94" s="100">
        <f>VLOOKUP(TableWRRanks32423644[[#This Row],[Player]],WR!B:O,8,FALSE)</f>
        <v>319.2915265200038</v>
      </c>
      <c r="AM94" s="100">
        <f>VLOOKUP(TableWRRanks32423644[[#This Row],[Player]],WR!B:O,9,FALSE)</f>
        <v>1.5720402176724526</v>
      </c>
      <c r="AN94" s="95">
        <f>VLOOKUP(TableWRRanks32423644[[#This Row],[Player]],WR!B:O,13,FALSE)</f>
        <v>54.683768684072831</v>
      </c>
      <c r="AO94" s="190">
        <f>TableWRRanks32423644[[#This Row],[FPS]]-(TableWRRanks32423644[[#This Row],[REC]]*0.5)</f>
        <v>41.361393958035094</v>
      </c>
      <c r="AQ94" s="58">
        <v>93</v>
      </c>
      <c r="AR94" s="58">
        <f>VLOOKUP(TableTERanks33433745[[#This Row],[RK]],Rankings!A:AZ,48,FALSE)</f>
        <v>0</v>
      </c>
      <c r="AS94" s="58" t="str">
        <f>IFERROR(INDEX(TableTECalcPts[TM],MATCH(TableTERanks33433745[[#This Row],[Player]],TableTECalcPts[PLAYER],0)),"")</f>
        <v/>
      </c>
      <c r="AT94" s="58" t="str">
        <f>IFERROR(INDEX(TableTECalcPts[BYE],MATCH(TableTERanks33433745[[#This Row],[Player]],TableTECalcPts[PLAYER],0)),"")</f>
        <v/>
      </c>
      <c r="AU94" s="100">
        <f>VLOOKUP(TableTERanks33433745[[#This Row],[Player]],TE!B:O,4,FALSE)</f>
        <v>0</v>
      </c>
      <c r="AV94" s="100">
        <f>VLOOKUP(TableTERanks33433745[[#This Row],[Player]],TE!B:O,5,FALSE)</f>
        <v>0</v>
      </c>
      <c r="AW94" s="100">
        <f>VLOOKUP(TableTERanks33433745[[#This Row],[Player]],TE!B:O,6,FALSE)</f>
        <v>0</v>
      </c>
      <c r="AX94" s="100">
        <f>VLOOKUP(TableTERanks33433745[[#This Row],[Player]],TE!B:O,7,FALSE)</f>
        <v>0</v>
      </c>
      <c r="AY94" s="95">
        <f>VLOOKUP(TableTERanks33433745[[#This Row],[Player]],TE!B:O,11,FALSE)</f>
        <v>0</v>
      </c>
      <c r="AZ94" s="190">
        <f>TableTERanks33433745[[#This Row],[FPS]]-(TableTERanks33433745[[#This Row],[REC]]*0.5)</f>
        <v>0</v>
      </c>
    </row>
    <row r="95" spans="16:52" x14ac:dyDescent="0.25">
      <c r="P95" s="58">
        <v>94</v>
      </c>
      <c r="Q95" s="58">
        <f>VLOOKUP(TableRBRanks31413539[[#This Row],[RK]],Rankings!A:AY,38,FALSE)</f>
        <v>0</v>
      </c>
      <c r="R95" s="58" t="str">
        <f>IFERROR(INDEX(TableRBCalcPts[TM],MATCH(TableRBRanks31413539[[#This Row],[Player]],TableRBCalcPts[PLAYER],0)),"")</f>
        <v/>
      </c>
      <c r="S95" s="58" t="str">
        <f>IFERROR(INDEX(TableRBCalcPts[BYE],MATCH(TableRBRanks31413539[[#This Row],[Player]],TableRBCalcPts[PLAYER],0)),"")</f>
        <v/>
      </c>
      <c r="T95" s="100">
        <f>VLOOKUP(TableRBRanks31413539[[#This Row],[Player]],RB!B:O,4,FALSE)</f>
        <v>0</v>
      </c>
      <c r="U95" s="100">
        <f>VLOOKUP(TableRBRanks31413539[[#This Row],[Player]],RB!B:O,5,FALSE)</f>
        <v>0</v>
      </c>
      <c r="V95" s="100">
        <f>VLOOKUP(TableRBRanks31413539[[#This Row],[Player]],RB!B:O,6,FALSE)</f>
        <v>0</v>
      </c>
      <c r="W95" s="100">
        <f>VLOOKUP(TableRBRanks31413539[[#This Row],[Player]],RB!B:O,7,FALSE)</f>
        <v>0</v>
      </c>
      <c r="X95" s="100">
        <f>VLOOKUP(TableRBRanks31413539[[#This Row],[Player]],RB!B:O,8,FALSE)</f>
        <v>0</v>
      </c>
      <c r="Y95" s="100">
        <f>VLOOKUP(TableRBRanks31413539[[#This Row],[Player]],RB!B:O,9,FALSE)</f>
        <v>0</v>
      </c>
      <c r="Z95" s="100">
        <f>VLOOKUP(TableRBRanks31413539[[#This Row],[Player]],RB!B:O,10,FALSE)</f>
        <v>0</v>
      </c>
      <c r="AA95" s="95">
        <f>VLOOKUP(TableRBRanks31413539[[#This Row],[Player]],RB!B:O,14,FALSE)</f>
        <v>0</v>
      </c>
      <c r="AB95" s="190">
        <f>TableRBRanks31413539[[#This Row],[FPS]]-(TableRBRanks31413539[[#This Row],[REC]]*0.5)</f>
        <v>0</v>
      </c>
      <c r="AD95" s="58">
        <v>94</v>
      </c>
      <c r="AE95" s="58" t="str">
        <f>VLOOKUP(TableWRRanks32423644[[#This Row],[RK]],Rankings!A:AZ,43,FALSE)</f>
        <v>Tank Dell</v>
      </c>
      <c r="AF95" s="58" t="str">
        <f>IFERROR(INDEX(TableWRCalcPts[TM],MATCH(TableWRRanks32423644[[#This Row],[Player]],TableWRCalcPts[PLAYER],0)),"")</f>
        <v>HOU</v>
      </c>
      <c r="AG95" s="58">
        <f>IFERROR(INDEX(TableWRCalcPts[BYE],MATCH(TableWRRanks32423644[[#This Row],[Player]],TableWRCalcPts[PLAYER],0)),"")</f>
        <v>8</v>
      </c>
      <c r="AH95" s="100">
        <f>VLOOKUP(TableWRRanks32423644[[#This Row],[Player]],WR!B:O,4,FALSE)</f>
        <v>0</v>
      </c>
      <c r="AI95" s="100">
        <f>VLOOKUP(TableWRRanks32423644[[#This Row],[Player]],WR!B:O,5,FALSE)</f>
        <v>0</v>
      </c>
      <c r="AJ95" s="100">
        <f>VLOOKUP(TableWRRanks32423644[[#This Row],[Player]],WR!B:O,6,FALSE)</f>
        <v>51.559691399999998</v>
      </c>
      <c r="AK95" s="100">
        <f>VLOOKUP(TableWRRanks32423644[[#This Row],[Player]],WR!B:O,7,FALSE)</f>
        <v>32.482605581999998</v>
      </c>
      <c r="AL95" s="100">
        <f>VLOOKUP(TableWRRanks32423644[[#This Row],[Player]],WR!B:O,8,FALSE)</f>
        <v>367.37826913241997</v>
      </c>
      <c r="AM95" s="100">
        <f>VLOOKUP(TableWRRanks32423644[[#This Row],[Player]],WR!B:O,9,FALSE)</f>
        <v>2.6960562633060001</v>
      </c>
      <c r="AN95" s="95">
        <f>VLOOKUP(TableWRRanks32423644[[#This Row],[Player]],WR!B:O,13,FALSE)</f>
        <v>69.155467284078</v>
      </c>
      <c r="AO95" s="190">
        <f>TableWRRanks32423644[[#This Row],[FPS]]-(TableWRRanks32423644[[#This Row],[REC]]*0.5)</f>
        <v>52.914164493078005</v>
      </c>
      <c r="AQ95" s="58">
        <v>94</v>
      </c>
      <c r="AR95" s="58">
        <f>VLOOKUP(TableTERanks33433745[[#This Row],[RK]],Rankings!A:AZ,48,FALSE)</f>
        <v>0</v>
      </c>
      <c r="AS95" s="58" t="str">
        <f>IFERROR(INDEX(TableTECalcPts[TM],MATCH(TableTERanks33433745[[#This Row],[Player]],TableTECalcPts[PLAYER],0)),"")</f>
        <v/>
      </c>
      <c r="AT95" s="58" t="str">
        <f>IFERROR(INDEX(TableTECalcPts[BYE],MATCH(TableTERanks33433745[[#This Row],[Player]],TableTECalcPts[PLAYER],0)),"")</f>
        <v/>
      </c>
      <c r="AU95" s="100">
        <f>VLOOKUP(TableTERanks33433745[[#This Row],[Player]],TE!B:O,4,FALSE)</f>
        <v>0</v>
      </c>
      <c r="AV95" s="100">
        <f>VLOOKUP(TableTERanks33433745[[#This Row],[Player]],TE!B:O,5,FALSE)</f>
        <v>0</v>
      </c>
      <c r="AW95" s="100">
        <f>VLOOKUP(TableTERanks33433745[[#This Row],[Player]],TE!B:O,6,FALSE)</f>
        <v>0</v>
      </c>
      <c r="AX95" s="100">
        <f>VLOOKUP(TableTERanks33433745[[#This Row],[Player]],TE!B:O,7,FALSE)</f>
        <v>0</v>
      </c>
      <c r="AY95" s="95">
        <f>VLOOKUP(TableTERanks33433745[[#This Row],[Player]],TE!B:O,11,FALSE)</f>
        <v>0</v>
      </c>
      <c r="AZ95" s="190">
        <f>TableTERanks33433745[[#This Row],[FPS]]-(TableTERanks33433745[[#This Row],[REC]]*0.5)</f>
        <v>0</v>
      </c>
    </row>
    <row r="96" spans="16:52" x14ac:dyDescent="0.25">
      <c r="P96" s="58">
        <v>95</v>
      </c>
      <c r="Q96" s="58">
        <f>VLOOKUP(TableRBRanks31413539[[#This Row],[RK]],Rankings!A:AY,38,FALSE)</f>
        <v>0</v>
      </c>
      <c r="R96" s="58" t="str">
        <f>IFERROR(INDEX(TableRBCalcPts[TM],MATCH(TableRBRanks31413539[[#This Row],[Player]],TableRBCalcPts[PLAYER],0)),"")</f>
        <v/>
      </c>
      <c r="S96" s="58" t="str">
        <f>IFERROR(INDEX(TableRBCalcPts[BYE],MATCH(TableRBRanks31413539[[#This Row],[Player]],TableRBCalcPts[PLAYER],0)),"")</f>
        <v/>
      </c>
      <c r="T96" s="100">
        <f>VLOOKUP(TableRBRanks31413539[[#This Row],[Player]],RB!B:O,4,FALSE)</f>
        <v>0</v>
      </c>
      <c r="U96" s="100">
        <f>VLOOKUP(TableRBRanks31413539[[#This Row],[Player]],RB!B:O,5,FALSE)</f>
        <v>0</v>
      </c>
      <c r="V96" s="100">
        <f>VLOOKUP(TableRBRanks31413539[[#This Row],[Player]],RB!B:O,6,FALSE)</f>
        <v>0</v>
      </c>
      <c r="W96" s="100">
        <f>VLOOKUP(TableRBRanks31413539[[#This Row],[Player]],RB!B:O,7,FALSE)</f>
        <v>0</v>
      </c>
      <c r="X96" s="100">
        <f>VLOOKUP(TableRBRanks31413539[[#This Row],[Player]],RB!B:O,8,FALSE)</f>
        <v>0</v>
      </c>
      <c r="Y96" s="100">
        <f>VLOOKUP(TableRBRanks31413539[[#This Row],[Player]],RB!B:O,9,FALSE)</f>
        <v>0</v>
      </c>
      <c r="Z96" s="100">
        <f>VLOOKUP(TableRBRanks31413539[[#This Row],[Player]],RB!B:O,10,FALSE)</f>
        <v>0</v>
      </c>
      <c r="AA96" s="95">
        <f>VLOOKUP(TableRBRanks31413539[[#This Row],[Player]],RB!B:O,14,FALSE)</f>
        <v>0</v>
      </c>
      <c r="AB96" s="190">
        <f>TableRBRanks31413539[[#This Row],[FPS]]-(TableRBRanks31413539[[#This Row],[REC]]*0.5)</f>
        <v>0</v>
      </c>
      <c r="AD96" s="58">
        <v>95</v>
      </c>
      <c r="AE96" s="58" t="str">
        <f>VLOOKUP(TableWRRanks32423644[[#This Row],[RK]],Rankings!A:AZ,43,FALSE)</f>
        <v>Troy Franklin</v>
      </c>
      <c r="AF96" s="58" t="str">
        <f>IFERROR(INDEX(TableWRCalcPts[TM],MATCH(TableWRRanks32423644[[#This Row],[Player]],TableWRCalcPts[PLAYER],0)),"")</f>
        <v>DEN</v>
      </c>
      <c r="AG96" s="58">
        <f>IFERROR(INDEX(TableWRCalcPts[BYE],MATCH(TableWRRanks32423644[[#This Row],[Player]],TableWRCalcPts[PLAYER],0)),"")</f>
        <v>10</v>
      </c>
      <c r="AH96" s="100">
        <f>VLOOKUP(TableWRRanks32423644[[#This Row],[Player]],WR!B:O,4,FALSE)</f>
        <v>0</v>
      </c>
      <c r="AI96" s="100">
        <f>VLOOKUP(TableWRRanks32423644[[#This Row],[Player]],WR!B:O,5,FALSE)</f>
        <v>0</v>
      </c>
      <c r="AJ96" s="100">
        <f>VLOOKUP(TableWRRanks32423644[[#This Row],[Player]],WR!B:O,6,FALSE)</f>
        <v>46.22440284000001</v>
      </c>
      <c r="AK96" s="100">
        <f>VLOOKUP(TableWRRanks32423644[[#This Row],[Player]],WR!B:O,7,FALSE)</f>
        <v>28.890251775000007</v>
      </c>
      <c r="AL96" s="100">
        <f>VLOOKUP(TableWRRanks32423644[[#This Row],[Player]],WR!B:O,8,FALSE)</f>
        <v>332.44445441089141</v>
      </c>
      <c r="AM96" s="100">
        <f>VLOOKUP(TableWRRanks32423644[[#This Row],[Player]],WR!B:O,9,FALSE)</f>
        <v>2.5423421562000006</v>
      </c>
      <c r="AN96" s="95">
        <f>VLOOKUP(TableWRRanks32423644[[#This Row],[Player]],WR!B:O,13,FALSE)</f>
        <v>62.943624265789154</v>
      </c>
      <c r="AO96" s="190">
        <f>TableWRRanks32423644[[#This Row],[FPS]]-(TableWRRanks32423644[[#This Row],[REC]]*0.5)</f>
        <v>48.498498378289149</v>
      </c>
      <c r="AQ96" s="58">
        <v>95</v>
      </c>
      <c r="AR96" s="58">
        <f>VLOOKUP(TableTERanks33433745[[#This Row],[RK]],Rankings!A:AZ,48,FALSE)</f>
        <v>0</v>
      </c>
      <c r="AS96" s="58" t="str">
        <f>IFERROR(INDEX(TableTECalcPts[TM],MATCH(TableTERanks33433745[[#This Row],[Player]],TableTECalcPts[PLAYER],0)),"")</f>
        <v/>
      </c>
      <c r="AT96" s="58" t="str">
        <f>IFERROR(INDEX(TableTECalcPts[BYE],MATCH(TableTERanks33433745[[#This Row],[Player]],TableTECalcPts[PLAYER],0)),"")</f>
        <v/>
      </c>
      <c r="AU96" s="100">
        <f>VLOOKUP(TableTERanks33433745[[#This Row],[Player]],TE!B:O,4,FALSE)</f>
        <v>0</v>
      </c>
      <c r="AV96" s="100">
        <f>VLOOKUP(TableTERanks33433745[[#This Row],[Player]],TE!B:O,5,FALSE)</f>
        <v>0</v>
      </c>
      <c r="AW96" s="100">
        <f>VLOOKUP(TableTERanks33433745[[#This Row],[Player]],TE!B:O,6,FALSE)</f>
        <v>0</v>
      </c>
      <c r="AX96" s="100">
        <f>VLOOKUP(TableTERanks33433745[[#This Row],[Player]],TE!B:O,7,FALSE)</f>
        <v>0</v>
      </c>
      <c r="AY96" s="95">
        <f>VLOOKUP(TableTERanks33433745[[#This Row],[Player]],TE!B:O,11,FALSE)</f>
        <v>0</v>
      </c>
      <c r="AZ96" s="190">
        <f>TableTERanks33433745[[#This Row],[FPS]]-(TableTERanks33433745[[#This Row],[REC]]*0.5)</f>
        <v>0</v>
      </c>
    </row>
    <row r="97" spans="16:52" x14ac:dyDescent="0.25">
      <c r="P97" s="58">
        <v>96</v>
      </c>
      <c r="Q97" s="58">
        <f>VLOOKUP(TableRBRanks31413539[[#This Row],[RK]],Rankings!A:AY,38,FALSE)</f>
        <v>0</v>
      </c>
      <c r="R97" s="58" t="str">
        <f>IFERROR(INDEX(TableRBCalcPts[TM],MATCH(TableRBRanks31413539[[#This Row],[Player]],TableRBCalcPts[PLAYER],0)),"")</f>
        <v/>
      </c>
      <c r="S97" s="58" t="str">
        <f>IFERROR(INDEX(TableRBCalcPts[BYE],MATCH(TableRBRanks31413539[[#This Row],[Player]],TableRBCalcPts[PLAYER],0)),"")</f>
        <v/>
      </c>
      <c r="T97" s="100">
        <f>VLOOKUP(TableRBRanks31413539[[#This Row],[Player]],RB!B:O,4,FALSE)</f>
        <v>0</v>
      </c>
      <c r="U97" s="100">
        <f>VLOOKUP(TableRBRanks31413539[[#This Row],[Player]],RB!B:O,5,FALSE)</f>
        <v>0</v>
      </c>
      <c r="V97" s="100">
        <f>VLOOKUP(TableRBRanks31413539[[#This Row],[Player]],RB!B:O,6,FALSE)</f>
        <v>0</v>
      </c>
      <c r="W97" s="100">
        <f>VLOOKUP(TableRBRanks31413539[[#This Row],[Player]],RB!B:O,7,FALSE)</f>
        <v>0</v>
      </c>
      <c r="X97" s="100">
        <f>VLOOKUP(TableRBRanks31413539[[#This Row],[Player]],RB!B:O,8,FALSE)</f>
        <v>0</v>
      </c>
      <c r="Y97" s="100">
        <f>VLOOKUP(TableRBRanks31413539[[#This Row],[Player]],RB!B:O,9,FALSE)</f>
        <v>0</v>
      </c>
      <c r="Z97" s="100">
        <f>VLOOKUP(TableRBRanks31413539[[#This Row],[Player]],RB!B:O,10,FALSE)</f>
        <v>0</v>
      </c>
      <c r="AA97" s="95">
        <f>VLOOKUP(TableRBRanks31413539[[#This Row],[Player]],RB!B:O,14,FALSE)</f>
        <v>0</v>
      </c>
      <c r="AB97" s="190">
        <f>TableRBRanks31413539[[#This Row],[FPS]]-(TableRBRanks31413539[[#This Row],[REC]]*0.5)</f>
        <v>0</v>
      </c>
      <c r="AD97" s="58">
        <v>96</v>
      </c>
      <c r="AE97" s="58" t="str">
        <f>VLOOKUP(TableWRRanks32423644[[#This Row],[RK]],Rankings!A:AZ,43,FALSE)</f>
        <v>Olamide Zaccheaus</v>
      </c>
      <c r="AF97" s="58" t="str">
        <f>IFERROR(INDEX(TableWRCalcPts[TM],MATCH(TableWRRanks32423644[[#This Row],[Player]],TableWRCalcPts[PLAYER],0)),"")</f>
        <v>ATL</v>
      </c>
      <c r="AG97" s="58">
        <f>IFERROR(INDEX(TableWRCalcPts[BYE],MATCH(TableWRRanks32423644[[#This Row],[Player]],TableWRCalcPts[PLAYER],0)),"")</f>
        <v>11</v>
      </c>
      <c r="AH97" s="100">
        <f>VLOOKUP(TableWRRanks32423644[[#This Row],[Player]],WR!B:O,4,FALSE)</f>
        <v>0</v>
      </c>
      <c r="AI97" s="100">
        <f>VLOOKUP(TableWRRanks32423644[[#This Row],[Player]],WR!B:O,5,FALSE)</f>
        <v>0</v>
      </c>
      <c r="AJ97" s="100">
        <f>VLOOKUP(TableWRRanks32423644[[#This Row],[Player]],WR!B:O,6,FALSE)</f>
        <v>46.547887120000013</v>
      </c>
      <c r="AK97" s="100">
        <f>VLOOKUP(TableWRRanks32423644[[#This Row],[Player]],WR!B:O,7,FALSE)</f>
        <v>30.19048217180514</v>
      </c>
      <c r="AL97" s="100">
        <f>VLOOKUP(TableWRRanks32423644[[#This Row],[Player]],WR!B:O,8,FALSE)</f>
        <v>304.01815547007777</v>
      </c>
      <c r="AM97" s="100">
        <f>VLOOKUP(TableWRRanks32423644[[#This Row],[Player]],WR!B:O,9,FALSE)</f>
        <v>1.5614429057625647</v>
      </c>
      <c r="AN97" s="95">
        <f>VLOOKUP(TableWRRanks32423644[[#This Row],[Player]],WR!B:O,13,FALSE)</f>
        <v>54.86571406748574</v>
      </c>
      <c r="AO97" s="190">
        <f>TableWRRanks32423644[[#This Row],[FPS]]-(TableWRRanks32423644[[#This Row],[REC]]*0.5)</f>
        <v>39.770472981583168</v>
      </c>
      <c r="AQ97" s="58">
        <v>96</v>
      </c>
      <c r="AR97" s="58">
        <f>VLOOKUP(TableTERanks33433745[[#This Row],[RK]],Rankings!A:AZ,48,FALSE)</f>
        <v>0</v>
      </c>
      <c r="AS97" s="58" t="str">
        <f>IFERROR(INDEX(TableTECalcPts[TM],MATCH(TableTERanks33433745[[#This Row],[Player]],TableTECalcPts[PLAYER],0)),"")</f>
        <v/>
      </c>
      <c r="AT97" s="58" t="str">
        <f>IFERROR(INDEX(TableTECalcPts[BYE],MATCH(TableTERanks33433745[[#This Row],[Player]],TableTECalcPts[PLAYER],0)),"")</f>
        <v/>
      </c>
      <c r="AU97" s="100">
        <f>VLOOKUP(TableTERanks33433745[[#This Row],[Player]],TE!B:O,4,FALSE)</f>
        <v>0</v>
      </c>
      <c r="AV97" s="100">
        <f>VLOOKUP(TableTERanks33433745[[#This Row],[Player]],TE!B:O,5,FALSE)</f>
        <v>0</v>
      </c>
      <c r="AW97" s="100">
        <f>VLOOKUP(TableTERanks33433745[[#This Row],[Player]],TE!B:O,6,FALSE)</f>
        <v>0</v>
      </c>
      <c r="AX97" s="100">
        <f>VLOOKUP(TableTERanks33433745[[#This Row],[Player]],TE!B:O,7,FALSE)</f>
        <v>0</v>
      </c>
      <c r="AY97" s="95">
        <f>VLOOKUP(TableTERanks33433745[[#This Row],[Player]],TE!B:O,11,FALSE)</f>
        <v>0</v>
      </c>
      <c r="AZ97" s="190">
        <f>TableTERanks33433745[[#This Row],[FPS]]-(TableTERanks33433745[[#This Row],[REC]]*0.5)</f>
        <v>0</v>
      </c>
    </row>
    <row r="98" spans="16:52" x14ac:dyDescent="0.25">
      <c r="P98" s="58">
        <v>97</v>
      </c>
      <c r="Q98" s="58">
        <f>VLOOKUP(TableRBRanks31413539[[#This Row],[RK]],Rankings!A:AY,38,FALSE)</f>
        <v>0</v>
      </c>
      <c r="R98" s="58" t="str">
        <f>IFERROR(INDEX(TableRBCalcPts[TM],MATCH(TableRBRanks31413539[[#This Row],[Player]],TableRBCalcPts[PLAYER],0)),"")</f>
        <v/>
      </c>
      <c r="S98" s="58" t="str">
        <f>IFERROR(INDEX(TableRBCalcPts[BYE],MATCH(TableRBRanks31413539[[#This Row],[Player]],TableRBCalcPts[PLAYER],0)),"")</f>
        <v/>
      </c>
      <c r="T98" s="100">
        <f>VLOOKUP(TableRBRanks31413539[[#This Row],[Player]],RB!B:O,4,FALSE)</f>
        <v>0</v>
      </c>
      <c r="U98" s="100">
        <f>VLOOKUP(TableRBRanks31413539[[#This Row],[Player]],RB!B:O,5,FALSE)</f>
        <v>0</v>
      </c>
      <c r="V98" s="100">
        <f>VLOOKUP(TableRBRanks31413539[[#This Row],[Player]],RB!B:O,6,FALSE)</f>
        <v>0</v>
      </c>
      <c r="W98" s="100">
        <f>VLOOKUP(TableRBRanks31413539[[#This Row],[Player]],RB!B:O,7,FALSE)</f>
        <v>0</v>
      </c>
      <c r="X98" s="100">
        <f>VLOOKUP(TableRBRanks31413539[[#This Row],[Player]],RB!B:O,8,FALSE)</f>
        <v>0</v>
      </c>
      <c r="Y98" s="100">
        <f>VLOOKUP(TableRBRanks31413539[[#This Row],[Player]],RB!B:O,9,FALSE)</f>
        <v>0</v>
      </c>
      <c r="Z98" s="100">
        <f>VLOOKUP(TableRBRanks31413539[[#This Row],[Player]],RB!B:O,10,FALSE)</f>
        <v>0</v>
      </c>
      <c r="AA98" s="95">
        <f>VLOOKUP(TableRBRanks31413539[[#This Row],[Player]],RB!B:O,14,FALSE)</f>
        <v>0</v>
      </c>
      <c r="AB98" s="190">
        <f>TableRBRanks31413539[[#This Row],[FPS]]-(TableRBRanks31413539[[#This Row],[REC]]*0.5)</f>
        <v>0</v>
      </c>
      <c r="AD98" s="58">
        <v>97</v>
      </c>
      <c r="AE98" s="58" t="str">
        <f>VLOOKUP(TableWRRanks32423644[[#This Row],[RK]],Rankings!A:AZ,43,FALSE)</f>
        <v>Mack Hollins</v>
      </c>
      <c r="AF98" s="58" t="str">
        <f>IFERROR(INDEX(TableWRCalcPts[TM],MATCH(TableWRRanks32423644[[#This Row],[Player]],TableWRCalcPts[PLAYER],0)),"")</f>
        <v>NE</v>
      </c>
      <c r="AG98" s="58">
        <f>IFERROR(INDEX(TableWRCalcPts[BYE],MATCH(TableWRRanks32423644[[#This Row],[Player]],TableWRCalcPts[PLAYER],0)),"")</f>
        <v>11</v>
      </c>
      <c r="AH98" s="100">
        <f>VLOOKUP(TableWRRanks32423644[[#This Row],[Player]],WR!B:O,4,FALSE)</f>
        <v>6.6663029999999992</v>
      </c>
      <c r="AI98" s="100">
        <f>VLOOKUP(TableWRRanks32423644[[#This Row],[Player]],WR!B:O,5,FALSE)</f>
        <v>1.5554706999999999E-2</v>
      </c>
      <c r="AJ98" s="100">
        <f>VLOOKUP(TableWRRanks32423644[[#This Row],[Player]],WR!B:O,6,FALSE)</f>
        <v>27.814369799999984</v>
      </c>
      <c r="AK98" s="100">
        <f>VLOOKUP(TableWRRanks32423644[[#This Row],[Player]],WR!B:O,7,FALSE)</f>
        <v>19.887274406999989</v>
      </c>
      <c r="AL98" s="100">
        <f>VLOOKUP(TableWRRanks32423644[[#This Row],[Player]],WR!B:O,8,FALSE)</f>
        <v>232.33389638627654</v>
      </c>
      <c r="AM98" s="100">
        <f>VLOOKUP(TableWRRanks32423644[[#This Row],[Player]],WR!B:O,9,FALSE)</f>
        <v>1.4119964828969991</v>
      </c>
      <c r="AN98" s="95">
        <f>VLOOKUP(TableWRRanks32423644[[#This Row],[Player]],WR!B:O,13,FALSE)</f>
        <v>42.408964281509647</v>
      </c>
      <c r="AO98" s="190">
        <f>TableWRRanks32423644[[#This Row],[FPS]]-(TableWRRanks32423644[[#This Row],[REC]]*0.5)</f>
        <v>32.465327078009651</v>
      </c>
      <c r="AQ98" s="58">
        <v>97</v>
      </c>
      <c r="AR98" s="58">
        <f>VLOOKUP(TableTERanks33433745[[#This Row],[RK]],Rankings!A:AZ,48,FALSE)</f>
        <v>0</v>
      </c>
      <c r="AS98" s="58" t="str">
        <f>IFERROR(INDEX(TableTECalcPts[TM],MATCH(TableTERanks33433745[[#This Row],[Player]],TableTECalcPts[PLAYER],0)),"")</f>
        <v/>
      </c>
      <c r="AT98" s="58" t="str">
        <f>IFERROR(INDEX(TableTECalcPts[BYE],MATCH(TableTERanks33433745[[#This Row],[Player]],TableTECalcPts[PLAYER],0)),"")</f>
        <v/>
      </c>
      <c r="AU98" s="100">
        <f>VLOOKUP(TableTERanks33433745[[#This Row],[Player]],TE!B:O,4,FALSE)</f>
        <v>0</v>
      </c>
      <c r="AV98" s="100">
        <f>VLOOKUP(TableTERanks33433745[[#This Row],[Player]],TE!B:O,5,FALSE)</f>
        <v>0</v>
      </c>
      <c r="AW98" s="100">
        <f>VLOOKUP(TableTERanks33433745[[#This Row],[Player]],TE!B:O,6,FALSE)</f>
        <v>0</v>
      </c>
      <c r="AX98" s="100">
        <f>VLOOKUP(TableTERanks33433745[[#This Row],[Player]],TE!B:O,7,FALSE)</f>
        <v>0</v>
      </c>
      <c r="AY98" s="95">
        <f>VLOOKUP(TableTERanks33433745[[#This Row],[Player]],TE!B:O,11,FALSE)</f>
        <v>0</v>
      </c>
      <c r="AZ98" s="190">
        <f>TableTERanks33433745[[#This Row],[FPS]]-(TableTERanks33433745[[#This Row],[REC]]*0.5)</f>
        <v>0</v>
      </c>
    </row>
    <row r="99" spans="16:52" x14ac:dyDescent="0.25">
      <c r="P99" s="58">
        <v>98</v>
      </c>
      <c r="Q99" s="58">
        <f>VLOOKUP(TableRBRanks31413539[[#This Row],[RK]],Rankings!A:AY,38,FALSE)</f>
        <v>0</v>
      </c>
      <c r="R99" s="58" t="str">
        <f>IFERROR(INDEX(TableRBCalcPts[TM],MATCH(TableRBRanks31413539[[#This Row],[Player]],TableRBCalcPts[PLAYER],0)),"")</f>
        <v/>
      </c>
      <c r="S99" s="58" t="str">
        <f>IFERROR(INDEX(TableRBCalcPts[BYE],MATCH(TableRBRanks31413539[[#This Row],[Player]],TableRBCalcPts[PLAYER],0)),"")</f>
        <v/>
      </c>
      <c r="T99" s="100">
        <f>VLOOKUP(TableRBRanks31413539[[#This Row],[Player]],RB!B:O,4,FALSE)</f>
        <v>0</v>
      </c>
      <c r="U99" s="100">
        <f>VLOOKUP(TableRBRanks31413539[[#This Row],[Player]],RB!B:O,5,FALSE)</f>
        <v>0</v>
      </c>
      <c r="V99" s="100">
        <f>VLOOKUP(TableRBRanks31413539[[#This Row],[Player]],RB!B:O,6,FALSE)</f>
        <v>0</v>
      </c>
      <c r="W99" s="100">
        <f>VLOOKUP(TableRBRanks31413539[[#This Row],[Player]],RB!B:O,7,FALSE)</f>
        <v>0</v>
      </c>
      <c r="X99" s="100">
        <f>VLOOKUP(TableRBRanks31413539[[#This Row],[Player]],RB!B:O,8,FALSE)</f>
        <v>0</v>
      </c>
      <c r="Y99" s="100">
        <f>VLOOKUP(TableRBRanks31413539[[#This Row],[Player]],RB!B:O,9,FALSE)</f>
        <v>0</v>
      </c>
      <c r="Z99" s="100">
        <f>VLOOKUP(TableRBRanks31413539[[#This Row],[Player]],RB!B:O,10,FALSE)</f>
        <v>0</v>
      </c>
      <c r="AA99" s="95">
        <f>VLOOKUP(TableRBRanks31413539[[#This Row],[Player]],RB!B:O,14,FALSE)</f>
        <v>0</v>
      </c>
      <c r="AB99" s="190">
        <f>TableRBRanks31413539[[#This Row],[FPS]]-(TableRBRanks31413539[[#This Row],[REC]]*0.5)</f>
        <v>0</v>
      </c>
      <c r="AD99" s="58">
        <v>98</v>
      </c>
      <c r="AE99" s="58" t="str">
        <f>VLOOKUP(TableWRRanks32423644[[#This Row],[RK]],Rankings!A:AZ,43,FALSE)</f>
        <v>Elijah Sarratt</v>
      </c>
      <c r="AF99" s="58" t="str">
        <f>IFERROR(INDEX(TableWRCalcPts[TM],MATCH(TableWRRanks32423644[[#This Row],[Player]],TableWRCalcPts[PLAYER],0)),"")</f>
        <v>BAL</v>
      </c>
      <c r="AG99" s="58">
        <f>IFERROR(INDEX(TableWRCalcPts[BYE],MATCH(TableWRRanks32423644[[#This Row],[Player]],TableWRCalcPts[PLAYER],0)),"")</f>
        <v>13</v>
      </c>
      <c r="AH99" s="100">
        <f>VLOOKUP(TableWRRanks32423644[[#This Row],[Player]],WR!B:O,4,FALSE)</f>
        <v>0</v>
      </c>
      <c r="AI99" s="100">
        <f>VLOOKUP(TableWRRanks32423644[[#This Row],[Player]],WR!B:O,5,FALSE)</f>
        <v>0</v>
      </c>
      <c r="AJ99" s="100">
        <f>VLOOKUP(TableWRRanks32423644[[#This Row],[Player]],WR!B:O,6,FALSE)</f>
        <v>44.6462912</v>
      </c>
      <c r="AK99" s="100">
        <f>VLOOKUP(TableWRRanks32423644[[#This Row],[Player]],WR!B:O,7,FALSE)</f>
        <v>26.207184553424476</v>
      </c>
      <c r="AL99" s="100">
        <f>VLOOKUP(TableWRRanks32423644[[#This Row],[Player]],WR!B:O,8,FALSE)</f>
        <v>361.32337658647765</v>
      </c>
      <c r="AM99" s="100">
        <f>VLOOKUP(TableWRRanks32423644[[#This Row],[Player]],WR!B:O,9,FALSE)</f>
        <v>2.5158897171287498</v>
      </c>
      <c r="AN99" s="95">
        <f>VLOOKUP(TableWRRanks32423644[[#This Row],[Player]],WR!B:O,13,FALSE)</f>
        <v>64.331268238132509</v>
      </c>
      <c r="AO99" s="190">
        <f>TableWRRanks32423644[[#This Row],[FPS]]-(TableWRRanks32423644[[#This Row],[REC]]*0.5)</f>
        <v>51.227675961420275</v>
      </c>
      <c r="AQ99" s="58">
        <v>98</v>
      </c>
      <c r="AR99" s="58">
        <f>VLOOKUP(TableTERanks33433745[[#This Row],[RK]],Rankings!A:AZ,48,FALSE)</f>
        <v>0</v>
      </c>
      <c r="AS99" s="58" t="str">
        <f>IFERROR(INDEX(TableTECalcPts[TM],MATCH(TableTERanks33433745[[#This Row],[Player]],TableTECalcPts[PLAYER],0)),"")</f>
        <v/>
      </c>
      <c r="AT99" s="58" t="str">
        <f>IFERROR(INDEX(TableTECalcPts[BYE],MATCH(TableTERanks33433745[[#This Row],[Player]],TableTECalcPts[PLAYER],0)),"")</f>
        <v/>
      </c>
      <c r="AU99" s="100">
        <f>VLOOKUP(TableTERanks33433745[[#This Row],[Player]],TE!B:O,4,FALSE)</f>
        <v>0</v>
      </c>
      <c r="AV99" s="100">
        <f>VLOOKUP(TableTERanks33433745[[#This Row],[Player]],TE!B:O,5,FALSE)</f>
        <v>0</v>
      </c>
      <c r="AW99" s="100">
        <f>VLOOKUP(TableTERanks33433745[[#This Row],[Player]],TE!B:O,6,FALSE)</f>
        <v>0</v>
      </c>
      <c r="AX99" s="100">
        <f>VLOOKUP(TableTERanks33433745[[#This Row],[Player]],TE!B:O,7,FALSE)</f>
        <v>0</v>
      </c>
      <c r="AY99" s="95">
        <f>VLOOKUP(TableTERanks33433745[[#This Row],[Player]],TE!B:O,11,FALSE)</f>
        <v>0</v>
      </c>
      <c r="AZ99" s="190">
        <f>TableTERanks33433745[[#This Row],[FPS]]-(TableTERanks33433745[[#This Row],[REC]]*0.5)</f>
        <v>0</v>
      </c>
    </row>
    <row r="100" spans="16:52" x14ac:dyDescent="0.25">
      <c r="P100" s="58">
        <v>99</v>
      </c>
      <c r="Q100" s="58">
        <f>VLOOKUP(TableRBRanks31413539[[#This Row],[RK]],Rankings!A:AY,38,FALSE)</f>
        <v>0</v>
      </c>
      <c r="R100" s="58" t="str">
        <f>IFERROR(INDEX(TableRBCalcPts[TM],MATCH(TableRBRanks31413539[[#This Row],[Player]],TableRBCalcPts[PLAYER],0)),"")</f>
        <v/>
      </c>
      <c r="S100" s="58" t="str">
        <f>IFERROR(INDEX(TableRBCalcPts[BYE],MATCH(TableRBRanks31413539[[#This Row],[Player]],TableRBCalcPts[PLAYER],0)),"")</f>
        <v/>
      </c>
      <c r="T100" s="100">
        <f>VLOOKUP(TableRBRanks31413539[[#This Row],[Player]],RB!B:O,4,FALSE)</f>
        <v>0</v>
      </c>
      <c r="U100" s="100">
        <f>VLOOKUP(TableRBRanks31413539[[#This Row],[Player]],RB!B:O,5,FALSE)</f>
        <v>0</v>
      </c>
      <c r="V100" s="100">
        <f>VLOOKUP(TableRBRanks31413539[[#This Row],[Player]],RB!B:O,6,FALSE)</f>
        <v>0</v>
      </c>
      <c r="W100" s="100">
        <f>VLOOKUP(TableRBRanks31413539[[#This Row],[Player]],RB!B:O,7,FALSE)</f>
        <v>0</v>
      </c>
      <c r="X100" s="100">
        <f>VLOOKUP(TableRBRanks31413539[[#This Row],[Player]],RB!B:O,8,FALSE)</f>
        <v>0</v>
      </c>
      <c r="Y100" s="100">
        <f>VLOOKUP(TableRBRanks31413539[[#This Row],[Player]],RB!B:O,9,FALSE)</f>
        <v>0</v>
      </c>
      <c r="Z100" s="100">
        <f>VLOOKUP(TableRBRanks31413539[[#This Row],[Player]],RB!B:O,10,FALSE)</f>
        <v>0</v>
      </c>
      <c r="AA100" s="95">
        <f>VLOOKUP(TableRBRanks31413539[[#This Row],[Player]],RB!B:O,14,FALSE)</f>
        <v>0</v>
      </c>
      <c r="AB100" s="190">
        <f>TableRBRanks31413539[[#This Row],[FPS]]-(TableRBRanks31413539[[#This Row],[REC]]*0.5)</f>
        <v>0</v>
      </c>
      <c r="AD100" s="58">
        <v>99</v>
      </c>
      <c r="AE100" s="58" t="str">
        <f>VLOOKUP(TableWRRanks32423644[[#This Row],[RK]],Rankings!A:AZ,43,FALSE)</f>
        <v>KaVontae Turpin</v>
      </c>
      <c r="AF100" s="58" t="str">
        <f>IFERROR(INDEX(TableWRCalcPts[TM],MATCH(TableWRRanks32423644[[#This Row],[Player]],TableWRCalcPts[PLAYER],0)),"")</f>
        <v>DAL</v>
      </c>
      <c r="AG100" s="58">
        <f>IFERROR(INDEX(TableWRCalcPts[BYE],MATCH(TableWRRanks32423644[[#This Row],[Player]],TableWRCalcPts[PLAYER],0)),"")</f>
        <v>14</v>
      </c>
      <c r="AH100" s="100">
        <f>VLOOKUP(TableWRRanks32423644[[#This Row],[Player]],WR!B:O,4,FALSE)</f>
        <v>85.88473528786632</v>
      </c>
      <c r="AI100" s="100">
        <f>VLOOKUP(TableWRRanks32423644[[#This Row],[Player]],WR!B:O,5,FALSE)</f>
        <v>0.14827909616178298</v>
      </c>
      <c r="AJ100" s="100">
        <f>VLOOKUP(TableWRRanks32423644[[#This Row],[Player]],WR!B:O,6,FALSE)</f>
        <v>33.754767199999996</v>
      </c>
      <c r="AK100" s="100">
        <f>VLOOKUP(TableWRRanks32423644[[#This Row],[Player]],WR!B:O,7,FALSE)</f>
        <v>24.100903780799996</v>
      </c>
      <c r="AL100" s="100">
        <f>VLOOKUP(TableWRRanks32423644[[#This Row],[Player]],WR!B:O,8,FALSE)</f>
        <v>303.37231656835706</v>
      </c>
      <c r="AM100" s="100">
        <f>VLOOKUP(TableWRRanks32423644[[#This Row],[Player]],WR!B:O,9,FALSE)</f>
        <v>2.0726777251487993</v>
      </c>
      <c r="AN100" s="95">
        <f>VLOOKUP(TableWRRanks32423644[[#This Row],[Player]],WR!B:O,13,FALSE)</f>
        <v>64.301898003885839</v>
      </c>
      <c r="AO100" s="190">
        <f>TableWRRanks32423644[[#This Row],[FPS]]-(TableWRRanks32423644[[#This Row],[REC]]*0.5)</f>
        <v>52.251446113485841</v>
      </c>
      <c r="AQ100" s="58">
        <v>99</v>
      </c>
      <c r="AR100" s="58">
        <f>VLOOKUP(TableTERanks33433745[[#This Row],[RK]],Rankings!A:AZ,48,FALSE)</f>
        <v>0</v>
      </c>
      <c r="AS100" s="58" t="str">
        <f>IFERROR(INDEX(TableTECalcPts[TM],MATCH(TableTERanks33433745[[#This Row],[Player]],TableTECalcPts[PLAYER],0)),"")</f>
        <v/>
      </c>
      <c r="AT100" s="58" t="str">
        <f>IFERROR(INDEX(TableTECalcPts[BYE],MATCH(TableTERanks33433745[[#This Row],[Player]],TableTECalcPts[PLAYER],0)),"")</f>
        <v/>
      </c>
      <c r="AU100" s="100">
        <f>VLOOKUP(TableTERanks33433745[[#This Row],[Player]],TE!B:O,4,FALSE)</f>
        <v>0</v>
      </c>
      <c r="AV100" s="100">
        <f>VLOOKUP(TableTERanks33433745[[#This Row],[Player]],TE!B:O,5,FALSE)</f>
        <v>0</v>
      </c>
      <c r="AW100" s="100">
        <f>VLOOKUP(TableTERanks33433745[[#This Row],[Player]],TE!B:O,6,FALSE)</f>
        <v>0</v>
      </c>
      <c r="AX100" s="100">
        <f>VLOOKUP(TableTERanks33433745[[#This Row],[Player]],TE!B:O,7,FALSE)</f>
        <v>0</v>
      </c>
      <c r="AY100" s="95">
        <f>VLOOKUP(TableTERanks33433745[[#This Row],[Player]],TE!B:O,11,FALSE)</f>
        <v>0</v>
      </c>
      <c r="AZ100" s="190">
        <f>TableTERanks33433745[[#This Row],[FPS]]-(TableTERanks33433745[[#This Row],[REC]]*0.5)</f>
        <v>0</v>
      </c>
    </row>
    <row r="101" spans="16:52" x14ac:dyDescent="0.25">
      <c r="P101" s="58">
        <v>100</v>
      </c>
      <c r="Q101" s="58">
        <f>VLOOKUP(TableRBRanks31413539[[#This Row],[RK]],Rankings!A:AY,38,FALSE)</f>
        <v>0</v>
      </c>
      <c r="R101" s="58" t="str">
        <f>IFERROR(INDEX(TableRBCalcPts[TM],MATCH(TableRBRanks31413539[[#This Row],[Player]],TableRBCalcPts[PLAYER],0)),"")</f>
        <v/>
      </c>
      <c r="S101" s="58" t="str">
        <f>IFERROR(INDEX(TableRBCalcPts[BYE],MATCH(TableRBRanks31413539[[#This Row],[Player]],TableRBCalcPts[PLAYER],0)),"")</f>
        <v/>
      </c>
      <c r="T101" s="100">
        <f>VLOOKUP(TableRBRanks31413539[[#This Row],[Player]],RB!B:O,4,FALSE)</f>
        <v>0</v>
      </c>
      <c r="U101" s="100">
        <f>VLOOKUP(TableRBRanks31413539[[#This Row],[Player]],RB!B:O,5,FALSE)</f>
        <v>0</v>
      </c>
      <c r="V101" s="100">
        <f>VLOOKUP(TableRBRanks31413539[[#This Row],[Player]],RB!B:O,6,FALSE)</f>
        <v>0</v>
      </c>
      <c r="W101" s="100">
        <f>VLOOKUP(TableRBRanks31413539[[#This Row],[Player]],RB!B:O,7,FALSE)</f>
        <v>0</v>
      </c>
      <c r="X101" s="100">
        <f>VLOOKUP(TableRBRanks31413539[[#This Row],[Player]],RB!B:O,8,FALSE)</f>
        <v>0</v>
      </c>
      <c r="Y101" s="100">
        <f>VLOOKUP(TableRBRanks31413539[[#This Row],[Player]],RB!B:O,9,FALSE)</f>
        <v>0</v>
      </c>
      <c r="Z101" s="100">
        <f>VLOOKUP(TableRBRanks31413539[[#This Row],[Player]],RB!B:O,10,FALSE)</f>
        <v>0</v>
      </c>
      <c r="AA101" s="95">
        <f>VLOOKUP(TableRBRanks31413539[[#This Row],[Player]],RB!B:O,14,FALSE)</f>
        <v>0</v>
      </c>
      <c r="AB101" s="190">
        <f>TableRBRanks31413539[[#This Row],[FPS]]-(TableRBRanks31413539[[#This Row],[REC]]*0.5)</f>
        <v>0</v>
      </c>
      <c r="AD101" s="58">
        <v>100</v>
      </c>
      <c r="AE101" s="58" t="str">
        <f>VLOOKUP(TableWRRanks32423644[[#This Row],[RK]],Rankings!A:AZ,43,FALSE)</f>
        <v>Travis Hunter</v>
      </c>
      <c r="AF101" s="58" t="str">
        <f>IFERROR(INDEX(TableWRCalcPts[TM],MATCH(TableWRRanks32423644[[#This Row],[Player]],TableWRCalcPts[PLAYER],0)),"")</f>
        <v>JAX</v>
      </c>
      <c r="AG101" s="58">
        <f>IFERROR(INDEX(TableWRCalcPts[BYE],MATCH(TableWRRanks32423644[[#This Row],[Player]],TableWRCalcPts[PLAYER],0)),"")</f>
        <v>7</v>
      </c>
      <c r="AH101" s="100">
        <f>VLOOKUP(TableWRRanks32423644[[#This Row],[Player]],WR!B:O,4,FALSE)</f>
        <v>0</v>
      </c>
      <c r="AI101" s="100">
        <f>VLOOKUP(TableWRRanks32423644[[#This Row],[Player]],WR!B:O,5,FALSE)</f>
        <v>0</v>
      </c>
      <c r="AJ101" s="100">
        <f>VLOOKUP(TableWRRanks32423644[[#This Row],[Player]],WR!B:O,6,FALSE)</f>
        <v>35.819078400000002</v>
      </c>
      <c r="AK101" s="100">
        <f>VLOOKUP(TableWRRanks32423644[[#This Row],[Player]],WR!B:O,7,FALSE)</f>
        <v>22.351104921600001</v>
      </c>
      <c r="AL101" s="100">
        <f>VLOOKUP(TableWRRanks32423644[[#This Row],[Player]],WR!B:O,8,FALSE)</f>
        <v>244.29757679308801</v>
      </c>
      <c r="AM101" s="100">
        <f>VLOOKUP(TableWRRanks32423644[[#This Row],[Player]],WR!B:O,9,FALSE)</f>
        <v>1.6316306592768</v>
      </c>
      <c r="AN101" s="95">
        <f>VLOOKUP(TableWRRanks32423644[[#This Row],[Player]],WR!B:O,13,FALSE)</f>
        <v>45.395094095769608</v>
      </c>
      <c r="AO101" s="190">
        <f>TableWRRanks32423644[[#This Row],[FPS]]-(TableWRRanks32423644[[#This Row],[REC]]*0.5)</f>
        <v>34.219541634969609</v>
      </c>
      <c r="AQ101" s="58">
        <v>100</v>
      </c>
      <c r="AR101" s="58">
        <f>VLOOKUP(TableTERanks33433745[[#This Row],[RK]],Rankings!A:AZ,48,FALSE)</f>
        <v>0</v>
      </c>
      <c r="AS101" s="58" t="str">
        <f>IFERROR(INDEX(TableTECalcPts[TM],MATCH(TableTERanks33433745[[#This Row],[Player]],TableTECalcPts[PLAYER],0)),"")</f>
        <v/>
      </c>
      <c r="AT101" s="58" t="str">
        <f>IFERROR(INDEX(TableTECalcPts[BYE],MATCH(TableTERanks33433745[[#This Row],[Player]],TableTECalcPts[PLAYER],0)),"")</f>
        <v/>
      </c>
      <c r="AU101" s="100">
        <f>VLOOKUP(TableTERanks33433745[[#This Row],[Player]],TE!B:O,4,FALSE)</f>
        <v>0</v>
      </c>
      <c r="AV101" s="100">
        <f>VLOOKUP(TableTERanks33433745[[#This Row],[Player]],TE!B:O,5,FALSE)</f>
        <v>0</v>
      </c>
      <c r="AW101" s="100">
        <f>VLOOKUP(TableTERanks33433745[[#This Row],[Player]],TE!B:O,6,FALSE)</f>
        <v>0</v>
      </c>
      <c r="AX101" s="100">
        <f>VLOOKUP(TableTERanks33433745[[#This Row],[Player]],TE!B:O,7,FALSE)</f>
        <v>0</v>
      </c>
      <c r="AY101" s="95">
        <f>VLOOKUP(TableTERanks33433745[[#This Row],[Player]],TE!B:O,11,FALSE)</f>
        <v>0</v>
      </c>
      <c r="AZ101" s="190">
        <f>TableTERanks33433745[[#This Row],[FPS]]-(TableTERanks33433745[[#This Row],[REC]]*0.5)</f>
        <v>0</v>
      </c>
    </row>
    <row r="102" spans="16:52" x14ac:dyDescent="0.25">
      <c r="P102" s="58">
        <v>101</v>
      </c>
      <c r="Q102" s="58">
        <f>VLOOKUP(TableRBRanks31413539[[#This Row],[RK]],Rankings!A:AY,38,FALSE)</f>
        <v>0</v>
      </c>
      <c r="R102" s="58" t="str">
        <f>IFERROR(INDEX(TableRBCalcPts[TM],MATCH(TableRBRanks31413539[[#This Row],[Player]],TableRBCalcPts[PLAYER],0)),"")</f>
        <v/>
      </c>
      <c r="S102" s="58" t="str">
        <f>IFERROR(INDEX(TableRBCalcPts[BYE],MATCH(TableRBRanks31413539[[#This Row],[Player]],TableRBCalcPts[PLAYER],0)),"")</f>
        <v/>
      </c>
      <c r="T102" s="100">
        <f>VLOOKUP(TableRBRanks31413539[[#This Row],[Player]],RB!B:O,4,FALSE)</f>
        <v>0</v>
      </c>
      <c r="U102" s="100">
        <f>VLOOKUP(TableRBRanks31413539[[#This Row],[Player]],RB!B:O,5,FALSE)</f>
        <v>0</v>
      </c>
      <c r="V102" s="100">
        <f>VLOOKUP(TableRBRanks31413539[[#This Row],[Player]],RB!B:O,6,FALSE)</f>
        <v>0</v>
      </c>
      <c r="W102" s="100">
        <f>VLOOKUP(TableRBRanks31413539[[#This Row],[Player]],RB!B:O,7,FALSE)</f>
        <v>0</v>
      </c>
      <c r="X102" s="100">
        <f>VLOOKUP(TableRBRanks31413539[[#This Row],[Player]],RB!B:O,8,FALSE)</f>
        <v>0</v>
      </c>
      <c r="Y102" s="100">
        <f>VLOOKUP(TableRBRanks31413539[[#This Row],[Player]],RB!B:O,9,FALSE)</f>
        <v>0</v>
      </c>
      <c r="Z102" s="100">
        <f>VLOOKUP(TableRBRanks31413539[[#This Row],[Player]],RB!B:O,10,FALSE)</f>
        <v>0</v>
      </c>
      <c r="AA102" s="95">
        <f>VLOOKUP(TableRBRanks31413539[[#This Row],[Player]],RB!B:O,14,FALSE)</f>
        <v>0</v>
      </c>
      <c r="AB102" s="190">
        <f>TableRBRanks31413539[[#This Row],[FPS]]-(TableRBRanks31413539[[#This Row],[REC]]*0.5)</f>
        <v>0</v>
      </c>
      <c r="AD102" s="58">
        <v>101</v>
      </c>
      <c r="AE102" s="58" t="str">
        <f>VLOOKUP(TableWRRanks32423644[[#This Row],[RK]],Rankings!A:AZ,43,FALSE)</f>
        <v>DeMario Douglas</v>
      </c>
      <c r="AF102" s="58" t="str">
        <f>IFERROR(INDEX(TableWRCalcPts[TM],MATCH(TableWRRanks32423644[[#This Row],[Player]],TableWRCalcPts[PLAYER],0)),"")</f>
        <v>NE</v>
      </c>
      <c r="AG102" s="58">
        <f>IFERROR(INDEX(TableWRCalcPts[BYE],MATCH(TableWRRanks32423644[[#This Row],[Player]],TableWRCalcPts[PLAYER],0)),"")</f>
        <v>11</v>
      </c>
      <c r="AH102" s="100">
        <f>VLOOKUP(TableWRRanks32423644[[#This Row],[Player]],WR!B:O,4,FALSE)</f>
        <v>0</v>
      </c>
      <c r="AI102" s="100">
        <f>VLOOKUP(TableWRRanks32423644[[#This Row],[Player]],WR!B:O,5,FALSE)</f>
        <v>0</v>
      </c>
      <c r="AJ102" s="100">
        <f>VLOOKUP(TableWRRanks32423644[[#This Row],[Player]],WR!B:O,6,FALSE)</f>
        <v>23.996711199999989</v>
      </c>
      <c r="AK102" s="100">
        <f>VLOOKUP(TableWRRanks32423644[[#This Row],[Player]],WR!B:O,7,FALSE)</f>
        <v>18.069523533599991</v>
      </c>
      <c r="AL102" s="100">
        <f>VLOOKUP(TableWRRanks32423644[[#This Row],[Player]],WR!B:O,8,FALSE)</f>
        <v>226.50154011703694</v>
      </c>
      <c r="AM102" s="100">
        <f>VLOOKUP(TableWRRanks32423644[[#This Row],[Player]],WR!B:O,9,FALSE)</f>
        <v>1.3010056944191992</v>
      </c>
      <c r="AN102" s="95">
        <f>VLOOKUP(TableWRRanks32423644[[#This Row],[Player]],WR!B:O,13,FALSE)</f>
        <v>39.490949945018883</v>
      </c>
      <c r="AO102" s="190">
        <f>TableWRRanks32423644[[#This Row],[FPS]]-(TableWRRanks32423644[[#This Row],[REC]]*0.5)</f>
        <v>30.456188178218888</v>
      </c>
    </row>
    <row r="103" spans="16:52" x14ac:dyDescent="0.25">
      <c r="P103" s="58">
        <v>102</v>
      </c>
      <c r="Q103" s="58">
        <f>VLOOKUP(TableRBRanks31413539[[#This Row],[RK]],Rankings!A:AY,38,FALSE)</f>
        <v>0</v>
      </c>
      <c r="R103" s="58" t="str">
        <f>IFERROR(INDEX(TableRBCalcPts[TM],MATCH(TableRBRanks31413539[[#This Row],[Player]],TableRBCalcPts[PLAYER],0)),"")</f>
        <v/>
      </c>
      <c r="S103" s="58" t="str">
        <f>IFERROR(INDEX(TableRBCalcPts[BYE],MATCH(TableRBRanks31413539[[#This Row],[Player]],TableRBCalcPts[PLAYER],0)),"")</f>
        <v/>
      </c>
      <c r="T103" s="100">
        <f>VLOOKUP(TableRBRanks31413539[[#This Row],[Player]],RB!B:O,4,FALSE)</f>
        <v>0</v>
      </c>
      <c r="U103" s="100">
        <f>VLOOKUP(TableRBRanks31413539[[#This Row],[Player]],RB!B:O,5,FALSE)</f>
        <v>0</v>
      </c>
      <c r="V103" s="100">
        <f>VLOOKUP(TableRBRanks31413539[[#This Row],[Player]],RB!B:O,6,FALSE)</f>
        <v>0</v>
      </c>
      <c r="W103" s="100">
        <f>VLOOKUP(TableRBRanks31413539[[#This Row],[Player]],RB!B:O,7,FALSE)</f>
        <v>0</v>
      </c>
      <c r="X103" s="100">
        <f>VLOOKUP(TableRBRanks31413539[[#This Row],[Player]],RB!B:O,8,FALSE)</f>
        <v>0</v>
      </c>
      <c r="Y103" s="100">
        <f>VLOOKUP(TableRBRanks31413539[[#This Row],[Player]],RB!B:O,9,FALSE)</f>
        <v>0</v>
      </c>
      <c r="Z103" s="100">
        <f>VLOOKUP(TableRBRanks31413539[[#This Row],[Player]],RB!B:O,10,FALSE)</f>
        <v>0</v>
      </c>
      <c r="AA103" s="95">
        <f>VLOOKUP(TableRBRanks31413539[[#This Row],[Player]],RB!B:O,14,FALSE)</f>
        <v>0</v>
      </c>
      <c r="AB103" s="190">
        <f>TableRBRanks31413539[[#This Row],[FPS]]-(TableRBRanks31413539[[#This Row],[REC]]*0.5)</f>
        <v>0</v>
      </c>
      <c r="AD103" s="58">
        <v>102</v>
      </c>
      <c r="AE103" s="58" t="str">
        <f>VLOOKUP(TableWRRanks32423644[[#This Row],[RK]],Rankings!A:AZ,43,FALSE)</f>
        <v>Ja'Kobi Lane</v>
      </c>
      <c r="AF103" s="58" t="str">
        <f>IFERROR(INDEX(TableWRCalcPts[TM],MATCH(TableWRRanks32423644[[#This Row],[Player]],TableWRCalcPts[PLAYER],0)),"")</f>
        <v>BAL</v>
      </c>
      <c r="AG103" s="58">
        <f>IFERROR(INDEX(TableWRCalcPts[BYE],MATCH(TableWRRanks32423644[[#This Row],[Player]],TableWRCalcPts[PLAYER],0)),"")</f>
        <v>13</v>
      </c>
      <c r="AH103" s="100">
        <f>VLOOKUP(TableWRRanks32423644[[#This Row],[Player]],WR!B:O,4,FALSE)</f>
        <v>0</v>
      </c>
      <c r="AI103" s="100">
        <f>VLOOKUP(TableWRRanks32423644[[#This Row],[Player]],WR!B:O,5,FALSE)</f>
        <v>0</v>
      </c>
      <c r="AJ103" s="100">
        <f>VLOOKUP(TableWRRanks32423644[[#This Row],[Player]],WR!B:O,6,FALSE)</f>
        <v>40.416642559999993</v>
      </c>
      <c r="AK103" s="100">
        <f>VLOOKUP(TableWRRanks32423644[[#This Row],[Player]],WR!B:O,7,FALSE)</f>
        <v>23.393931829729151</v>
      </c>
      <c r="AL103" s="100">
        <f>VLOOKUP(TableWRRanks32423644[[#This Row],[Player]],WR!B:O,8,FALSE)</f>
        <v>333.14545725123338</v>
      </c>
      <c r="AM103" s="100">
        <f>VLOOKUP(TableWRRanks32423644[[#This Row],[Player]],WR!B:O,9,FALSE)</f>
        <v>2.3159992511431859</v>
      </c>
      <c r="AN103" s="95">
        <f>VLOOKUP(TableWRRanks32423644[[#This Row],[Player]],WR!B:O,13,FALSE)</f>
        <v>58.907507146847031</v>
      </c>
      <c r="AO103" s="190">
        <f>TableWRRanks32423644[[#This Row],[FPS]]-(TableWRRanks32423644[[#This Row],[REC]]*0.5)</f>
        <v>47.210541231982454</v>
      </c>
    </row>
    <row r="104" spans="16:52" x14ac:dyDescent="0.25">
      <c r="P104" s="58">
        <v>103</v>
      </c>
      <c r="Q104" s="58">
        <f>VLOOKUP(TableRBRanks31413539[[#This Row],[RK]],Rankings!A:AY,38,FALSE)</f>
        <v>0</v>
      </c>
      <c r="R104" s="58" t="str">
        <f>IFERROR(INDEX(TableRBCalcPts[TM],MATCH(TableRBRanks31413539[[#This Row],[Player]],TableRBCalcPts[PLAYER],0)),"")</f>
        <v/>
      </c>
      <c r="S104" s="58" t="str">
        <f>IFERROR(INDEX(TableRBCalcPts[BYE],MATCH(TableRBRanks31413539[[#This Row],[Player]],TableRBCalcPts[PLAYER],0)),"")</f>
        <v/>
      </c>
      <c r="T104" s="100">
        <f>VLOOKUP(TableRBRanks31413539[[#This Row],[Player]],RB!B:O,4,FALSE)</f>
        <v>0</v>
      </c>
      <c r="U104" s="100">
        <f>VLOOKUP(TableRBRanks31413539[[#This Row],[Player]],RB!B:O,5,FALSE)</f>
        <v>0</v>
      </c>
      <c r="V104" s="100">
        <f>VLOOKUP(TableRBRanks31413539[[#This Row],[Player]],RB!B:O,6,FALSE)</f>
        <v>0</v>
      </c>
      <c r="W104" s="100">
        <f>VLOOKUP(TableRBRanks31413539[[#This Row],[Player]],RB!B:O,7,FALSE)</f>
        <v>0</v>
      </c>
      <c r="X104" s="100">
        <f>VLOOKUP(TableRBRanks31413539[[#This Row],[Player]],RB!B:O,8,FALSE)</f>
        <v>0</v>
      </c>
      <c r="Y104" s="100">
        <f>VLOOKUP(TableRBRanks31413539[[#This Row],[Player]],RB!B:O,9,FALSE)</f>
        <v>0</v>
      </c>
      <c r="Z104" s="100">
        <f>VLOOKUP(TableRBRanks31413539[[#This Row],[Player]],RB!B:O,10,FALSE)</f>
        <v>0</v>
      </c>
      <c r="AA104" s="95">
        <f>VLOOKUP(TableRBRanks31413539[[#This Row],[Player]],RB!B:O,14,FALSE)</f>
        <v>0</v>
      </c>
      <c r="AB104" s="190">
        <f>TableRBRanks31413539[[#This Row],[FPS]]-(TableRBRanks31413539[[#This Row],[REC]]*0.5)</f>
        <v>0</v>
      </c>
      <c r="AD104" s="58">
        <v>103</v>
      </c>
      <c r="AE104" s="58" t="str">
        <f>VLOOKUP(TableWRRanks32423644[[#This Row],[RK]],Rankings!A:AZ,43,FALSE)</f>
        <v>Ted Hurst</v>
      </c>
      <c r="AF104" s="58" t="str">
        <f>IFERROR(INDEX(TableWRCalcPts[TM],MATCH(TableWRRanks32423644[[#This Row],[Player]],TableWRCalcPts[PLAYER],0)),"")</f>
        <v>TB</v>
      </c>
      <c r="AG104" s="58">
        <f>IFERROR(INDEX(TableWRCalcPts[BYE],MATCH(TableWRRanks32423644[[#This Row],[Player]],TableWRCalcPts[PLAYER],0)),"")</f>
        <v>10</v>
      </c>
      <c r="AH104" s="100">
        <f>VLOOKUP(TableWRRanks32423644[[#This Row],[Player]],WR!B:O,4,FALSE)</f>
        <v>0</v>
      </c>
      <c r="AI104" s="100">
        <f>VLOOKUP(TableWRRanks32423644[[#This Row],[Player]],WR!B:O,5,FALSE)</f>
        <v>0</v>
      </c>
      <c r="AJ104" s="100">
        <f>VLOOKUP(TableWRRanks32423644[[#This Row],[Player]],WR!B:O,6,FALSE)</f>
        <v>34.213409159999983</v>
      </c>
      <c r="AK104" s="100">
        <f>VLOOKUP(TableWRRanks32423644[[#This Row],[Player]],WR!B:O,7,FALSE)</f>
        <v>20.596472314319989</v>
      </c>
      <c r="AL104" s="100">
        <f>VLOOKUP(TableWRRanks32423644[[#This Row],[Player]],WR!B:O,8,FALSE)</f>
        <v>261.98712783815029</v>
      </c>
      <c r="AM104" s="100">
        <f>VLOOKUP(TableWRRanks32423644[[#This Row],[Player]],WR!B:O,9,FALSE)</f>
        <v>1.8536825082887989</v>
      </c>
      <c r="AN104" s="95">
        <f>VLOOKUP(TableWRRanks32423644[[#This Row],[Player]],WR!B:O,13,FALSE)</f>
        <v>47.619043990707816</v>
      </c>
      <c r="AO104" s="190">
        <f>TableWRRanks32423644[[#This Row],[FPS]]-(TableWRRanks32423644[[#This Row],[REC]]*0.5)</f>
        <v>37.320807833547818</v>
      </c>
    </row>
    <row r="105" spans="16:52" x14ac:dyDescent="0.25">
      <c r="P105" s="58">
        <v>104</v>
      </c>
      <c r="Q105" s="58">
        <f>VLOOKUP(TableRBRanks31413539[[#This Row],[RK]],Rankings!A:AY,38,FALSE)</f>
        <v>0</v>
      </c>
      <c r="R105" s="58" t="str">
        <f>IFERROR(INDEX(TableRBCalcPts[TM],MATCH(TableRBRanks31413539[[#This Row],[Player]],TableRBCalcPts[PLAYER],0)),"")</f>
        <v/>
      </c>
      <c r="S105" s="58" t="str">
        <f>IFERROR(INDEX(TableRBCalcPts[BYE],MATCH(TableRBRanks31413539[[#This Row],[Player]],TableRBCalcPts[PLAYER],0)),"")</f>
        <v/>
      </c>
      <c r="T105" s="100">
        <f>VLOOKUP(TableRBRanks31413539[[#This Row],[Player]],RB!B:O,4,FALSE)</f>
        <v>0</v>
      </c>
      <c r="U105" s="100">
        <f>VLOOKUP(TableRBRanks31413539[[#This Row],[Player]],RB!B:O,5,FALSE)</f>
        <v>0</v>
      </c>
      <c r="V105" s="100">
        <f>VLOOKUP(TableRBRanks31413539[[#This Row],[Player]],RB!B:O,6,FALSE)</f>
        <v>0</v>
      </c>
      <c r="W105" s="100">
        <f>VLOOKUP(TableRBRanks31413539[[#This Row],[Player]],RB!B:O,7,FALSE)</f>
        <v>0</v>
      </c>
      <c r="X105" s="100">
        <f>VLOOKUP(TableRBRanks31413539[[#This Row],[Player]],RB!B:O,8,FALSE)</f>
        <v>0</v>
      </c>
      <c r="Y105" s="100">
        <f>VLOOKUP(TableRBRanks31413539[[#This Row],[Player]],RB!B:O,9,FALSE)</f>
        <v>0</v>
      </c>
      <c r="Z105" s="100">
        <f>VLOOKUP(TableRBRanks31413539[[#This Row],[Player]],RB!B:O,10,FALSE)</f>
        <v>0</v>
      </c>
      <c r="AA105" s="95">
        <f>VLOOKUP(TableRBRanks31413539[[#This Row],[Player]],RB!B:O,14,FALSE)</f>
        <v>0</v>
      </c>
      <c r="AB105" s="190">
        <f>TableRBRanks31413539[[#This Row],[FPS]]-(TableRBRanks31413539[[#This Row],[REC]]*0.5)</f>
        <v>0</v>
      </c>
      <c r="AD105" s="58">
        <v>104</v>
      </c>
      <c r="AE105" s="58" t="str">
        <f>VLOOKUP(TableWRRanks32423644[[#This Row],[RK]],Rankings!A:AZ,43,FALSE)</f>
        <v>Kendrick Bourne</v>
      </c>
      <c r="AF105" s="58" t="str">
        <f>IFERROR(INDEX(TableWRCalcPts[TM],MATCH(TableWRRanks32423644[[#This Row],[Player]],TableWRCalcPts[PLAYER],0)),"")</f>
        <v>ARI</v>
      </c>
      <c r="AG105" s="58">
        <f>IFERROR(INDEX(TableWRCalcPts[BYE],MATCH(TableWRRanks32423644[[#This Row],[Player]],TableWRCalcPts[PLAYER],0)),"")</f>
        <v>14</v>
      </c>
      <c r="AH105" s="100">
        <f>VLOOKUP(TableWRRanks32423644[[#This Row],[Player]],WR!B:O,4,FALSE)</f>
        <v>0</v>
      </c>
      <c r="AI105" s="100">
        <f>VLOOKUP(TableWRRanks32423644[[#This Row],[Player]],WR!B:O,5,FALSE)</f>
        <v>0</v>
      </c>
      <c r="AJ105" s="100">
        <f>VLOOKUP(TableWRRanks32423644[[#This Row],[Player]],WR!B:O,6,FALSE)</f>
        <v>44.474752000000002</v>
      </c>
      <c r="AK105" s="100">
        <f>VLOOKUP(TableWRRanks32423644[[#This Row],[Player]],WR!B:O,7,FALSE)</f>
        <v>27.529871488000001</v>
      </c>
      <c r="AL105" s="100">
        <f>VLOOKUP(TableWRRanks32423644[[#This Row],[Player]],WR!B:O,8,FALSE)</f>
        <v>296.77201464064001</v>
      </c>
      <c r="AM105" s="100">
        <f>VLOOKUP(TableWRRanks32423644[[#This Row],[Player]],WR!B:O,9,FALSE)</f>
        <v>1.6517922892800001</v>
      </c>
      <c r="AN105" s="95">
        <f>VLOOKUP(TableWRRanks32423644[[#This Row],[Player]],WR!B:O,13,FALSE)</f>
        <v>53.352890943744001</v>
      </c>
      <c r="AO105" s="190">
        <f>TableWRRanks32423644[[#This Row],[FPS]]-(TableWRRanks32423644[[#This Row],[REC]]*0.5)</f>
        <v>39.587955199744002</v>
      </c>
    </row>
    <row r="106" spans="16:52" x14ac:dyDescent="0.25">
      <c r="P106" s="58">
        <v>105</v>
      </c>
      <c r="Q106" s="58">
        <f>VLOOKUP(TableRBRanks31413539[[#This Row],[RK]],Rankings!A:AY,38,FALSE)</f>
        <v>0</v>
      </c>
      <c r="R106" s="58" t="str">
        <f>IFERROR(INDEX(TableRBCalcPts[TM],MATCH(TableRBRanks31413539[[#This Row],[Player]],TableRBCalcPts[PLAYER],0)),"")</f>
        <v/>
      </c>
      <c r="S106" s="58" t="str">
        <f>IFERROR(INDEX(TableRBCalcPts[BYE],MATCH(TableRBRanks31413539[[#This Row],[Player]],TableRBCalcPts[PLAYER],0)),"")</f>
        <v/>
      </c>
      <c r="T106" s="100">
        <f>VLOOKUP(TableRBRanks31413539[[#This Row],[Player]],RB!B:O,4,FALSE)</f>
        <v>0</v>
      </c>
      <c r="U106" s="100">
        <f>VLOOKUP(TableRBRanks31413539[[#This Row],[Player]],RB!B:O,5,FALSE)</f>
        <v>0</v>
      </c>
      <c r="V106" s="100">
        <f>VLOOKUP(TableRBRanks31413539[[#This Row],[Player]],RB!B:O,6,FALSE)</f>
        <v>0</v>
      </c>
      <c r="W106" s="100">
        <f>VLOOKUP(TableRBRanks31413539[[#This Row],[Player]],RB!B:O,7,FALSE)</f>
        <v>0</v>
      </c>
      <c r="X106" s="100">
        <f>VLOOKUP(TableRBRanks31413539[[#This Row],[Player]],RB!B:O,8,FALSE)</f>
        <v>0</v>
      </c>
      <c r="Y106" s="100">
        <f>VLOOKUP(TableRBRanks31413539[[#This Row],[Player]],RB!B:O,9,FALSE)</f>
        <v>0</v>
      </c>
      <c r="Z106" s="100">
        <f>VLOOKUP(TableRBRanks31413539[[#This Row],[Player]],RB!B:O,10,FALSE)</f>
        <v>0</v>
      </c>
      <c r="AA106" s="95">
        <f>VLOOKUP(TableRBRanks31413539[[#This Row],[Player]],RB!B:O,14,FALSE)</f>
        <v>0</v>
      </c>
      <c r="AB106" s="190">
        <f>TableRBRanks31413539[[#This Row],[FPS]]-(TableRBRanks31413539[[#This Row],[REC]]*0.5)</f>
        <v>0</v>
      </c>
      <c r="AD106" s="58">
        <v>105</v>
      </c>
      <c r="AE106" s="58" t="str">
        <f>VLOOKUP(TableWRRanks32423644[[#This Row],[RK]],Rankings!A:AZ,43,FALSE)</f>
        <v>Elic Ayomanor</v>
      </c>
      <c r="AF106" s="58" t="str">
        <f>IFERROR(INDEX(TableWRCalcPts[TM],MATCH(TableWRRanks32423644[[#This Row],[Player]],TableWRCalcPts[PLAYER],0)),"")</f>
        <v>TEN</v>
      </c>
      <c r="AG106" s="58">
        <f>IFERROR(INDEX(TableWRCalcPts[BYE],MATCH(TableWRRanks32423644[[#This Row],[Player]],TableWRCalcPts[PLAYER],0)),"")</f>
        <v>9</v>
      </c>
      <c r="AH106" s="100">
        <f>VLOOKUP(TableWRRanks32423644[[#This Row],[Player]],WR!B:O,4,FALSE)</f>
        <v>0</v>
      </c>
      <c r="AI106" s="100">
        <f>VLOOKUP(TableWRRanks32423644[[#This Row],[Player]],WR!B:O,5,FALSE)</f>
        <v>0</v>
      </c>
      <c r="AJ106" s="100">
        <f>VLOOKUP(TableWRRanks32423644[[#This Row],[Player]],WR!B:O,6,FALSE)</f>
        <v>29.658908160000006</v>
      </c>
      <c r="AK106" s="100">
        <f>VLOOKUP(TableWRRanks32423644[[#This Row],[Player]],WR!B:O,7,FALSE)</f>
        <v>17.943639436800002</v>
      </c>
      <c r="AL106" s="100">
        <f>VLOOKUP(TableWRRanks32423644[[#This Row],[Player]],WR!B:O,8,FALSE)</f>
        <v>239.54758648128001</v>
      </c>
      <c r="AM106" s="100">
        <f>VLOOKUP(TableWRRanks32423644[[#This Row],[Player]],WR!B:O,9,FALSE)</f>
        <v>1.5610966310016001</v>
      </c>
      <c r="AN106" s="95">
        <f>VLOOKUP(TableWRRanks32423644[[#This Row],[Player]],WR!B:O,13,FALSE)</f>
        <v>42.293158152537607</v>
      </c>
      <c r="AO106" s="190">
        <f>TableWRRanks32423644[[#This Row],[FPS]]-(TableWRRanks32423644[[#This Row],[REC]]*0.5)</f>
        <v>33.321338434137608</v>
      </c>
    </row>
    <row r="107" spans="16:52" x14ac:dyDescent="0.25">
      <c r="P107" s="58">
        <v>106</v>
      </c>
      <c r="Q107" s="58">
        <f>VLOOKUP(TableRBRanks31413539[[#This Row],[RK]],Rankings!A:AY,38,FALSE)</f>
        <v>0</v>
      </c>
      <c r="R107" s="58" t="str">
        <f>IFERROR(INDEX(TableRBCalcPts[TM],MATCH(TableRBRanks31413539[[#This Row],[Player]],TableRBCalcPts[PLAYER],0)),"")</f>
        <v/>
      </c>
      <c r="S107" s="58" t="str">
        <f>IFERROR(INDEX(TableRBCalcPts[BYE],MATCH(TableRBRanks31413539[[#This Row],[Player]],TableRBCalcPts[PLAYER],0)),"")</f>
        <v/>
      </c>
      <c r="T107" s="100">
        <f>VLOOKUP(TableRBRanks31413539[[#This Row],[Player]],RB!B:O,4,FALSE)</f>
        <v>0</v>
      </c>
      <c r="U107" s="100">
        <f>VLOOKUP(TableRBRanks31413539[[#This Row],[Player]],RB!B:O,5,FALSE)</f>
        <v>0</v>
      </c>
      <c r="V107" s="100">
        <f>VLOOKUP(TableRBRanks31413539[[#This Row],[Player]],RB!B:O,6,FALSE)</f>
        <v>0</v>
      </c>
      <c r="W107" s="100">
        <f>VLOOKUP(TableRBRanks31413539[[#This Row],[Player]],RB!B:O,7,FALSE)</f>
        <v>0</v>
      </c>
      <c r="X107" s="100">
        <f>VLOOKUP(TableRBRanks31413539[[#This Row],[Player]],RB!B:O,8,FALSE)</f>
        <v>0</v>
      </c>
      <c r="Y107" s="100">
        <f>VLOOKUP(TableRBRanks31413539[[#This Row],[Player]],RB!B:O,9,FALSE)</f>
        <v>0</v>
      </c>
      <c r="Z107" s="100">
        <f>VLOOKUP(TableRBRanks31413539[[#This Row],[Player]],RB!B:O,10,FALSE)</f>
        <v>0</v>
      </c>
      <c r="AA107" s="95">
        <f>VLOOKUP(TableRBRanks31413539[[#This Row],[Player]],RB!B:O,14,FALSE)</f>
        <v>0</v>
      </c>
      <c r="AB107" s="190">
        <f>TableRBRanks31413539[[#This Row],[FPS]]-(TableRBRanks31413539[[#This Row],[REC]]*0.5)</f>
        <v>0</v>
      </c>
      <c r="AD107" s="58">
        <v>106</v>
      </c>
      <c r="AE107" s="58" t="str">
        <f>VLOOKUP(TableWRRanks32423644[[#This Row],[RK]],Rankings!A:AZ,43,FALSE)</f>
        <v>Nick Westbrook-Ikhine</v>
      </c>
      <c r="AF107" s="58" t="str">
        <f>IFERROR(INDEX(TableWRCalcPts[TM],MATCH(TableWRRanks32423644[[#This Row],[Player]],TableWRCalcPts[PLAYER],0)),"")</f>
        <v>IND</v>
      </c>
      <c r="AG107" s="58">
        <f>IFERROR(INDEX(TableWRCalcPts[BYE],MATCH(TableWRRanks32423644[[#This Row],[Player]],TableWRCalcPts[PLAYER],0)),"")</f>
        <v>13</v>
      </c>
      <c r="AH107" s="100">
        <f>VLOOKUP(TableWRRanks32423644[[#This Row],[Player]],WR!B:O,4,FALSE)</f>
        <v>0</v>
      </c>
      <c r="AI107" s="100">
        <f>VLOOKUP(TableWRRanks32423644[[#This Row],[Player]],WR!B:O,5,FALSE)</f>
        <v>0</v>
      </c>
      <c r="AJ107" s="100">
        <f>VLOOKUP(TableWRRanks32423644[[#This Row],[Player]],WR!B:O,6,FALSE)</f>
        <v>53.306668799999997</v>
      </c>
      <c r="AK107" s="100">
        <f>VLOOKUP(TableWRRanks32423644[[#This Row],[Player]],WR!B:O,7,FALSE)</f>
        <v>31.077787910399998</v>
      </c>
      <c r="AL107" s="100">
        <f>VLOOKUP(TableWRRanks32423644[[#This Row],[Player]],WR!B:O,8,FALSE)</f>
        <v>366.09634158451195</v>
      </c>
      <c r="AM107" s="100">
        <f>VLOOKUP(TableWRRanks32423644[[#This Row],[Player]],WR!B:O,9,FALSE)</f>
        <v>2.7659231240255995</v>
      </c>
      <c r="AN107" s="95">
        <f>VLOOKUP(TableWRRanks32423644[[#This Row],[Player]],WR!B:O,13,FALSE)</f>
        <v>68.744066857804796</v>
      </c>
      <c r="AO107" s="190">
        <f>TableWRRanks32423644[[#This Row],[FPS]]-(TableWRRanks32423644[[#This Row],[REC]]*0.5)</f>
        <v>53.205172902604801</v>
      </c>
    </row>
    <row r="108" spans="16:52" x14ac:dyDescent="0.25">
      <c r="P108" s="58">
        <v>107</v>
      </c>
      <c r="Q108" s="58">
        <f>VLOOKUP(TableRBRanks31413539[[#This Row],[RK]],Rankings!A:AY,38,FALSE)</f>
        <v>0</v>
      </c>
      <c r="R108" s="58" t="str">
        <f>IFERROR(INDEX(TableRBCalcPts[TM],MATCH(TableRBRanks31413539[[#This Row],[Player]],TableRBCalcPts[PLAYER],0)),"")</f>
        <v/>
      </c>
      <c r="S108" s="58" t="str">
        <f>IFERROR(INDEX(TableRBCalcPts[BYE],MATCH(TableRBRanks31413539[[#This Row],[Player]],TableRBCalcPts[PLAYER],0)),"")</f>
        <v/>
      </c>
      <c r="T108" s="100">
        <f>VLOOKUP(TableRBRanks31413539[[#This Row],[Player]],RB!B:O,4,FALSE)</f>
        <v>0</v>
      </c>
      <c r="U108" s="100">
        <f>VLOOKUP(TableRBRanks31413539[[#This Row],[Player]],RB!B:O,5,FALSE)</f>
        <v>0</v>
      </c>
      <c r="V108" s="100">
        <f>VLOOKUP(TableRBRanks31413539[[#This Row],[Player]],RB!B:O,6,FALSE)</f>
        <v>0</v>
      </c>
      <c r="W108" s="100">
        <f>VLOOKUP(TableRBRanks31413539[[#This Row],[Player]],RB!B:O,7,FALSE)</f>
        <v>0</v>
      </c>
      <c r="X108" s="100">
        <f>VLOOKUP(TableRBRanks31413539[[#This Row],[Player]],RB!B:O,8,FALSE)</f>
        <v>0</v>
      </c>
      <c r="Y108" s="100">
        <f>VLOOKUP(TableRBRanks31413539[[#This Row],[Player]],RB!B:O,9,FALSE)</f>
        <v>0</v>
      </c>
      <c r="Z108" s="100">
        <f>VLOOKUP(TableRBRanks31413539[[#This Row],[Player]],RB!B:O,10,FALSE)</f>
        <v>0</v>
      </c>
      <c r="AA108" s="95">
        <f>VLOOKUP(TableRBRanks31413539[[#This Row],[Player]],RB!B:O,14,FALSE)</f>
        <v>0</v>
      </c>
      <c r="AB108" s="190">
        <f>TableRBRanks31413539[[#This Row],[FPS]]-(TableRBRanks31413539[[#This Row],[REC]]*0.5)</f>
        <v>0</v>
      </c>
      <c r="AD108" s="58">
        <v>107</v>
      </c>
      <c r="AE108" s="58" t="str">
        <f>VLOOKUP(TableWRRanks32423644[[#This Row],[RK]],Rankings!A:AZ,43,FALSE)</f>
        <v>Kyle Williams</v>
      </c>
      <c r="AF108" s="58" t="str">
        <f>IFERROR(INDEX(TableWRCalcPts[TM],MATCH(TableWRRanks32423644[[#This Row],[Player]],TableWRCalcPts[PLAYER],0)),"")</f>
        <v>NE</v>
      </c>
      <c r="AG108" s="58">
        <f>IFERROR(INDEX(TableWRCalcPts[BYE],MATCH(TableWRRanks32423644[[#This Row],[Player]],TableWRCalcPts[PLAYER],0)),"")</f>
        <v>11</v>
      </c>
      <c r="AH108" s="100">
        <f>VLOOKUP(TableWRRanks32423644[[#This Row],[Player]],WR!B:O,4,FALSE)</f>
        <v>0</v>
      </c>
      <c r="AI108" s="100">
        <f>VLOOKUP(TableWRRanks32423644[[#This Row],[Player]],WR!B:O,5,FALSE)</f>
        <v>0</v>
      </c>
      <c r="AJ108" s="100">
        <f>VLOOKUP(TableWRRanks32423644[[#This Row],[Player]],WR!B:O,6,FALSE)</f>
        <v>4.363038399999998</v>
      </c>
      <c r="AK108" s="100">
        <f>VLOOKUP(TableWRRanks32423644[[#This Row],[Player]],WR!B:O,7,FALSE)</f>
        <v>2.9843182655999989</v>
      </c>
      <c r="AL108" s="100">
        <f>VLOOKUP(TableWRRanks32423644[[#This Row],[Player]],WR!B:O,8,FALSE)</f>
        <v>43.571046677759981</v>
      </c>
      <c r="AM108" s="100">
        <f>VLOOKUP(TableWRRanks32423644[[#This Row],[Player]],WR!B:O,9,FALSE)</f>
        <v>0.20890227859199995</v>
      </c>
      <c r="AN108" s="95">
        <f>VLOOKUP(TableWRRanks32423644[[#This Row],[Player]],WR!B:O,13,FALSE)</f>
        <v>7.1026774721279979</v>
      </c>
      <c r="AO108" s="190">
        <f>TableWRRanks32423644[[#This Row],[FPS]]-(TableWRRanks32423644[[#This Row],[REC]]*0.5)</f>
        <v>5.6105183393279985</v>
      </c>
    </row>
    <row r="109" spans="16:52" x14ac:dyDescent="0.25">
      <c r="P109" s="58">
        <v>108</v>
      </c>
      <c r="Q109" s="58">
        <f>VLOOKUP(TableRBRanks31413539[[#This Row],[RK]],Rankings!A:AY,38,FALSE)</f>
        <v>0</v>
      </c>
      <c r="R109" s="58" t="str">
        <f>IFERROR(INDEX(TableRBCalcPts[TM],MATCH(TableRBRanks31413539[[#This Row],[Player]],TableRBCalcPts[PLAYER],0)),"")</f>
        <v/>
      </c>
      <c r="S109" s="58" t="str">
        <f>IFERROR(INDEX(TableRBCalcPts[BYE],MATCH(TableRBRanks31413539[[#This Row],[Player]],TableRBCalcPts[PLAYER],0)),"")</f>
        <v/>
      </c>
      <c r="T109" s="100">
        <f>VLOOKUP(TableRBRanks31413539[[#This Row],[Player]],RB!B:O,4,FALSE)</f>
        <v>0</v>
      </c>
      <c r="U109" s="100">
        <f>VLOOKUP(TableRBRanks31413539[[#This Row],[Player]],RB!B:O,5,FALSE)</f>
        <v>0</v>
      </c>
      <c r="V109" s="100">
        <f>VLOOKUP(TableRBRanks31413539[[#This Row],[Player]],RB!B:O,6,FALSE)</f>
        <v>0</v>
      </c>
      <c r="W109" s="100">
        <f>VLOOKUP(TableRBRanks31413539[[#This Row],[Player]],RB!B:O,7,FALSE)</f>
        <v>0</v>
      </c>
      <c r="X109" s="100">
        <f>VLOOKUP(TableRBRanks31413539[[#This Row],[Player]],RB!B:O,8,FALSE)</f>
        <v>0</v>
      </c>
      <c r="Y109" s="100">
        <f>VLOOKUP(TableRBRanks31413539[[#This Row],[Player]],RB!B:O,9,FALSE)</f>
        <v>0</v>
      </c>
      <c r="Z109" s="100">
        <f>VLOOKUP(TableRBRanks31413539[[#This Row],[Player]],RB!B:O,10,FALSE)</f>
        <v>0</v>
      </c>
      <c r="AA109" s="95">
        <f>VLOOKUP(TableRBRanks31413539[[#This Row],[Player]],RB!B:O,14,FALSE)</f>
        <v>0</v>
      </c>
      <c r="AB109" s="190">
        <f>TableRBRanks31413539[[#This Row],[FPS]]-(TableRBRanks31413539[[#This Row],[REC]]*0.5)</f>
        <v>0</v>
      </c>
      <c r="AD109" s="58">
        <v>108</v>
      </c>
      <c r="AE109" s="58" t="str">
        <f>VLOOKUP(TableWRRanks32423644[[#This Row],[RK]],Rankings!A:AZ,43,FALSE)</f>
        <v>Christian Kirk</v>
      </c>
      <c r="AF109" s="58" t="str">
        <f>IFERROR(INDEX(TableWRCalcPts[TM],MATCH(TableWRRanks32423644[[#This Row],[Player]],TableWRCalcPts[PLAYER],0)),"")</f>
        <v>SF</v>
      </c>
      <c r="AG109" s="58">
        <f>IFERROR(INDEX(TableWRCalcPts[BYE],MATCH(TableWRRanks32423644[[#This Row],[Player]],TableWRCalcPts[PLAYER],0)),"")</f>
        <v>8</v>
      </c>
      <c r="AH109" s="100">
        <f>VLOOKUP(TableWRRanks32423644[[#This Row],[Player]],WR!B:O,4,FALSE)</f>
        <v>0</v>
      </c>
      <c r="AI109" s="100">
        <f>VLOOKUP(TableWRRanks32423644[[#This Row],[Player]],WR!B:O,5,FALSE)</f>
        <v>0</v>
      </c>
      <c r="AJ109" s="100">
        <f>VLOOKUP(TableWRRanks32423644[[#This Row],[Player]],WR!B:O,6,FALSE)</f>
        <v>28.989152640000004</v>
      </c>
      <c r="AK109" s="100">
        <f>VLOOKUP(TableWRRanks32423644[[#This Row],[Player]],WR!B:O,7,FALSE)</f>
        <v>18.611035994880002</v>
      </c>
      <c r="AL109" s="100">
        <f>VLOOKUP(TableWRRanks32423644[[#This Row],[Player]],WR!B:O,8,FALSE)</f>
        <v>217.72554363189559</v>
      </c>
      <c r="AM109" s="100">
        <f>VLOOKUP(TableWRRanks32423644[[#This Row],[Player]],WR!B:O,9,FALSE)</f>
        <v>1.2655504476518402</v>
      </c>
      <c r="AN109" s="95">
        <f>VLOOKUP(TableWRRanks32423644[[#This Row],[Player]],WR!B:O,13,FALSE)</f>
        <v>38.671375046540604</v>
      </c>
      <c r="AO109" s="190">
        <f>TableWRRanks32423644[[#This Row],[FPS]]-(TableWRRanks32423644[[#This Row],[REC]]*0.5)</f>
        <v>29.365857049100605</v>
      </c>
    </row>
    <row r="110" spans="16:52" x14ac:dyDescent="0.25">
      <c r="P110" s="58">
        <v>109</v>
      </c>
      <c r="Q110" s="58">
        <f>VLOOKUP(TableRBRanks31413539[[#This Row],[RK]],Rankings!A:AY,38,FALSE)</f>
        <v>0</v>
      </c>
      <c r="R110" s="58" t="str">
        <f>IFERROR(INDEX(TableRBCalcPts[TM],MATCH(TableRBRanks31413539[[#This Row],[Player]],TableRBCalcPts[PLAYER],0)),"")</f>
        <v/>
      </c>
      <c r="S110" s="58" t="str">
        <f>IFERROR(INDEX(TableRBCalcPts[BYE],MATCH(TableRBRanks31413539[[#This Row],[Player]],TableRBCalcPts[PLAYER],0)),"")</f>
        <v/>
      </c>
      <c r="T110" s="100">
        <f>VLOOKUP(TableRBRanks31413539[[#This Row],[Player]],RB!B:O,4,FALSE)</f>
        <v>0</v>
      </c>
      <c r="U110" s="100">
        <f>VLOOKUP(TableRBRanks31413539[[#This Row],[Player]],RB!B:O,5,FALSE)</f>
        <v>0</v>
      </c>
      <c r="V110" s="100">
        <f>VLOOKUP(TableRBRanks31413539[[#This Row],[Player]],RB!B:O,6,FALSE)</f>
        <v>0</v>
      </c>
      <c r="W110" s="100">
        <f>VLOOKUP(TableRBRanks31413539[[#This Row],[Player]],RB!B:O,7,FALSE)</f>
        <v>0</v>
      </c>
      <c r="X110" s="100">
        <f>VLOOKUP(TableRBRanks31413539[[#This Row],[Player]],RB!B:O,8,FALSE)</f>
        <v>0</v>
      </c>
      <c r="Y110" s="100">
        <f>VLOOKUP(TableRBRanks31413539[[#This Row],[Player]],RB!B:O,9,FALSE)</f>
        <v>0</v>
      </c>
      <c r="Z110" s="100">
        <f>VLOOKUP(TableRBRanks31413539[[#This Row],[Player]],RB!B:O,10,FALSE)</f>
        <v>0</v>
      </c>
      <c r="AA110" s="95">
        <f>VLOOKUP(TableRBRanks31413539[[#This Row],[Player]],RB!B:O,14,FALSE)</f>
        <v>0</v>
      </c>
      <c r="AB110" s="190">
        <f>TableRBRanks31413539[[#This Row],[FPS]]-(TableRBRanks31413539[[#This Row],[REC]]*0.5)</f>
        <v>0</v>
      </c>
      <c r="AD110" s="58">
        <v>109</v>
      </c>
      <c r="AE110" s="58" t="str">
        <f>VLOOKUP(TableWRRanks32423644[[#This Row],[RK]],Rankings!A:AZ,43,FALSE)</f>
        <v>Brenen Thompson</v>
      </c>
      <c r="AF110" s="58" t="str">
        <f>IFERROR(INDEX(TableWRCalcPts[TM],MATCH(TableWRRanks32423644[[#This Row],[Player]],TableWRCalcPts[PLAYER],0)),"")</f>
        <v>LAC</v>
      </c>
      <c r="AG110" s="58">
        <f>IFERROR(INDEX(TableWRCalcPts[BYE],MATCH(TableWRRanks32423644[[#This Row],[Player]],TableWRCalcPts[PLAYER],0)),"")</f>
        <v>7</v>
      </c>
      <c r="AH110" s="100">
        <f>VLOOKUP(TableWRRanks32423644[[#This Row],[Player]],WR!B:O,4,FALSE)</f>
        <v>0</v>
      </c>
      <c r="AI110" s="100">
        <f>VLOOKUP(TableWRRanks32423644[[#This Row],[Player]],WR!B:O,5,FALSE)</f>
        <v>0</v>
      </c>
      <c r="AJ110" s="100">
        <f>VLOOKUP(TableWRRanks32423644[[#This Row],[Player]],WR!B:O,6,FALSE)</f>
        <v>18.609190599999998</v>
      </c>
      <c r="AK110" s="100">
        <f>VLOOKUP(TableWRRanks32423644[[#This Row],[Player]],WR!B:O,7,FALSE)</f>
        <v>12.375111749</v>
      </c>
      <c r="AL110" s="100">
        <f>VLOOKUP(TableWRRanks32423644[[#This Row],[Player]],WR!B:O,8,FALSE)</f>
        <v>150.11010551537001</v>
      </c>
      <c r="AM110" s="100">
        <f>VLOOKUP(TableWRRanks32423644[[#This Row],[Player]],WR!B:O,9,FALSE)</f>
        <v>0.8786329341789999</v>
      </c>
      <c r="AN110" s="95">
        <f>VLOOKUP(TableWRRanks32423644[[#This Row],[Player]],WR!B:O,13,FALSE)</f>
        <v>26.470364031111</v>
      </c>
      <c r="AO110" s="190">
        <f>TableWRRanks32423644[[#This Row],[FPS]]-(TableWRRanks32423644[[#This Row],[REC]]*0.5)</f>
        <v>20.282808156611001</v>
      </c>
    </row>
    <row r="111" spans="16:52" x14ac:dyDescent="0.25">
      <c r="P111" s="58">
        <v>110</v>
      </c>
      <c r="Q111" s="58">
        <f>VLOOKUP(TableRBRanks31413539[[#This Row],[RK]],Rankings!A:AY,38,FALSE)</f>
        <v>0</v>
      </c>
      <c r="R111" s="58" t="str">
        <f>IFERROR(INDEX(TableRBCalcPts[TM],MATCH(TableRBRanks31413539[[#This Row],[Player]],TableRBCalcPts[PLAYER],0)),"")</f>
        <v/>
      </c>
      <c r="S111" s="58" t="str">
        <f>IFERROR(INDEX(TableRBCalcPts[BYE],MATCH(TableRBRanks31413539[[#This Row],[Player]],TableRBCalcPts[PLAYER],0)),"")</f>
        <v/>
      </c>
      <c r="T111" s="100">
        <f>VLOOKUP(TableRBRanks31413539[[#This Row],[Player]],RB!B:O,4,FALSE)</f>
        <v>0</v>
      </c>
      <c r="U111" s="100">
        <f>VLOOKUP(TableRBRanks31413539[[#This Row],[Player]],RB!B:O,5,FALSE)</f>
        <v>0</v>
      </c>
      <c r="V111" s="100">
        <f>VLOOKUP(TableRBRanks31413539[[#This Row],[Player]],RB!B:O,6,FALSE)</f>
        <v>0</v>
      </c>
      <c r="W111" s="100">
        <f>VLOOKUP(TableRBRanks31413539[[#This Row],[Player]],RB!B:O,7,FALSE)</f>
        <v>0</v>
      </c>
      <c r="X111" s="100">
        <f>VLOOKUP(TableRBRanks31413539[[#This Row],[Player]],RB!B:O,8,FALSE)</f>
        <v>0</v>
      </c>
      <c r="Y111" s="100">
        <f>VLOOKUP(TableRBRanks31413539[[#This Row],[Player]],RB!B:O,9,FALSE)</f>
        <v>0</v>
      </c>
      <c r="Z111" s="100">
        <f>VLOOKUP(TableRBRanks31413539[[#This Row],[Player]],RB!B:O,10,FALSE)</f>
        <v>0</v>
      </c>
      <c r="AA111" s="95">
        <f>VLOOKUP(TableRBRanks31413539[[#This Row],[Player]],RB!B:O,14,FALSE)</f>
        <v>0</v>
      </c>
      <c r="AB111" s="190">
        <f>TableRBRanks31413539[[#This Row],[FPS]]-(TableRBRanks31413539[[#This Row],[REC]]*0.5)</f>
        <v>0</v>
      </c>
      <c r="AD111" s="58">
        <v>110</v>
      </c>
      <c r="AE111" s="58" t="str">
        <f>VLOOKUP(TableWRRanks32423644[[#This Row],[RK]],Rankings!A:AZ,43,FALSE)</f>
        <v>Dyami Brown</v>
      </c>
      <c r="AF111" s="58" t="str">
        <f>IFERROR(INDEX(TableWRCalcPts[TM],MATCH(TableWRRanks32423644[[#This Row],[Player]],TableWRCalcPts[PLAYER],0)),"")</f>
        <v>WSH</v>
      </c>
      <c r="AG111" s="58">
        <f>IFERROR(INDEX(TableWRCalcPts[BYE],MATCH(TableWRRanks32423644[[#This Row],[Player]],TableWRCalcPts[PLAYER],0)),"")</f>
        <v>7</v>
      </c>
      <c r="AH111" s="100">
        <f>VLOOKUP(TableWRRanks32423644[[#This Row],[Player]],WR!B:O,4,FALSE)</f>
        <v>0</v>
      </c>
      <c r="AI111" s="100">
        <f>VLOOKUP(TableWRRanks32423644[[#This Row],[Player]],WR!B:O,5,FALSE)</f>
        <v>0</v>
      </c>
      <c r="AJ111" s="100">
        <f>VLOOKUP(TableWRRanks32423644[[#This Row],[Player]],WR!B:O,6,FALSE)</f>
        <v>42.812722959999988</v>
      </c>
      <c r="AK111" s="100">
        <f>VLOOKUP(TableWRRanks32423644[[#This Row],[Player]],WR!B:O,7,FALSE)</f>
        <v>22.348241385119994</v>
      </c>
      <c r="AL111" s="100">
        <f>VLOOKUP(TableWRRanks32423644[[#This Row],[Player]],WR!B:O,8,FALSE)</f>
        <v>281.14087662480955</v>
      </c>
      <c r="AM111" s="100">
        <f>VLOOKUP(TableWRRanks32423644[[#This Row],[Player]],WR!B:O,9,FALSE)</f>
        <v>1.7878593108095995</v>
      </c>
      <c r="AN111" s="95">
        <f>VLOOKUP(TableWRRanks32423644[[#This Row],[Player]],WR!B:O,13,FALSE)</f>
        <v>50.015364219898544</v>
      </c>
      <c r="AO111" s="190">
        <f>TableWRRanks32423644[[#This Row],[FPS]]-(TableWRRanks32423644[[#This Row],[REC]]*0.5)</f>
        <v>38.841243527338548</v>
      </c>
    </row>
    <row r="112" spans="16:52" x14ac:dyDescent="0.25">
      <c r="P112" s="58">
        <v>111</v>
      </c>
      <c r="Q112" s="58">
        <f>VLOOKUP(TableRBRanks31413539[[#This Row],[RK]],Rankings!A:AY,38,FALSE)</f>
        <v>0</v>
      </c>
      <c r="R112" s="58" t="str">
        <f>IFERROR(INDEX(TableRBCalcPts[TM],MATCH(TableRBRanks31413539[[#This Row],[Player]],TableRBCalcPts[PLAYER],0)),"")</f>
        <v/>
      </c>
      <c r="S112" s="58" t="str">
        <f>IFERROR(INDEX(TableRBCalcPts[BYE],MATCH(TableRBRanks31413539[[#This Row],[Player]],TableRBCalcPts[PLAYER],0)),"")</f>
        <v/>
      </c>
      <c r="T112" s="100">
        <f>VLOOKUP(TableRBRanks31413539[[#This Row],[Player]],RB!B:O,4,FALSE)</f>
        <v>0</v>
      </c>
      <c r="U112" s="100">
        <f>VLOOKUP(TableRBRanks31413539[[#This Row],[Player]],RB!B:O,5,FALSE)</f>
        <v>0</v>
      </c>
      <c r="V112" s="100">
        <f>VLOOKUP(TableRBRanks31413539[[#This Row],[Player]],RB!B:O,6,FALSE)</f>
        <v>0</v>
      </c>
      <c r="W112" s="100">
        <f>VLOOKUP(TableRBRanks31413539[[#This Row],[Player]],RB!B:O,7,FALSE)</f>
        <v>0</v>
      </c>
      <c r="X112" s="100">
        <f>VLOOKUP(TableRBRanks31413539[[#This Row],[Player]],RB!B:O,8,FALSE)</f>
        <v>0</v>
      </c>
      <c r="Y112" s="100">
        <f>VLOOKUP(TableRBRanks31413539[[#This Row],[Player]],RB!B:O,9,FALSE)</f>
        <v>0</v>
      </c>
      <c r="Z112" s="100">
        <f>VLOOKUP(TableRBRanks31413539[[#This Row],[Player]],RB!B:O,10,FALSE)</f>
        <v>0</v>
      </c>
      <c r="AA112" s="95">
        <f>VLOOKUP(TableRBRanks31413539[[#This Row],[Player]],RB!B:O,14,FALSE)</f>
        <v>0</v>
      </c>
      <c r="AB112" s="190">
        <f>TableRBRanks31413539[[#This Row],[FPS]]-(TableRBRanks31413539[[#This Row],[REC]]*0.5)</f>
        <v>0</v>
      </c>
      <c r="AD112" s="58">
        <v>111</v>
      </c>
      <c r="AE112" s="58" t="str">
        <f>VLOOKUP(TableWRRanks32423644[[#This Row],[RK]],Rankings!A:AZ,43,FALSE)</f>
        <v>Devaughn Vele</v>
      </c>
      <c r="AF112" s="58" t="str">
        <f>IFERROR(INDEX(TableWRCalcPts[TM],MATCH(TableWRRanks32423644[[#This Row],[Player]],TableWRCalcPts[PLAYER],0)),"")</f>
        <v>NO</v>
      </c>
      <c r="AG112" s="58">
        <f>IFERROR(INDEX(TableWRCalcPts[BYE],MATCH(TableWRRanks32423644[[#This Row],[Player]],TableWRCalcPts[PLAYER],0)),"")</f>
        <v>8</v>
      </c>
      <c r="AH112" s="100">
        <f>VLOOKUP(TableWRRanks32423644[[#This Row],[Player]],WR!B:O,4,FALSE)</f>
        <v>0</v>
      </c>
      <c r="AI112" s="100">
        <f>VLOOKUP(TableWRRanks32423644[[#This Row],[Player]],WR!B:O,5,FALSE)</f>
        <v>0</v>
      </c>
      <c r="AJ112" s="100">
        <f>VLOOKUP(TableWRRanks32423644[[#This Row],[Player]],WR!B:O,6,FALSE)</f>
        <v>37.575802879999998</v>
      </c>
      <c r="AK112" s="100">
        <f>VLOOKUP(TableWRRanks32423644[[#This Row],[Player]],WR!B:O,7,FALSE)</f>
        <v>24.992278194604651</v>
      </c>
      <c r="AL112" s="100">
        <f>VLOOKUP(TableWRRanks32423644[[#This Row],[Player]],WR!B:O,8,FALSE)</f>
        <v>292.88095448198948</v>
      </c>
      <c r="AM112" s="100">
        <f>VLOOKUP(TableWRRanks32423644[[#This Row],[Player]],WR!B:O,9,FALSE)</f>
        <v>1.5816791444837208</v>
      </c>
      <c r="AN112" s="95">
        <f>VLOOKUP(TableWRRanks32423644[[#This Row],[Player]],WR!B:O,13,FALSE)</f>
        <v>51.274309412403603</v>
      </c>
      <c r="AO112" s="190">
        <f>TableWRRanks32423644[[#This Row],[FPS]]-(TableWRRanks32423644[[#This Row],[REC]]*0.5)</f>
        <v>38.778170315101278</v>
      </c>
    </row>
    <row r="113" spans="16:41" x14ac:dyDescent="0.25">
      <c r="P113" s="58">
        <v>112</v>
      </c>
      <c r="Q113" s="58">
        <f>VLOOKUP(TableRBRanks31413539[[#This Row],[RK]],Rankings!A:AY,38,FALSE)</f>
        <v>0</v>
      </c>
      <c r="R113" s="58" t="str">
        <f>IFERROR(INDEX(TableRBCalcPts[TM],MATCH(TableRBRanks31413539[[#This Row],[Player]],TableRBCalcPts[PLAYER],0)),"")</f>
        <v/>
      </c>
      <c r="S113" s="58" t="str">
        <f>IFERROR(INDEX(TableRBCalcPts[BYE],MATCH(TableRBRanks31413539[[#This Row],[Player]],TableRBCalcPts[PLAYER],0)),"")</f>
        <v/>
      </c>
      <c r="T113" s="100">
        <f>VLOOKUP(TableRBRanks31413539[[#This Row],[Player]],RB!B:O,4,FALSE)</f>
        <v>0</v>
      </c>
      <c r="U113" s="100">
        <f>VLOOKUP(TableRBRanks31413539[[#This Row],[Player]],RB!B:O,5,FALSE)</f>
        <v>0</v>
      </c>
      <c r="V113" s="100">
        <f>VLOOKUP(TableRBRanks31413539[[#This Row],[Player]],RB!B:O,6,FALSE)</f>
        <v>0</v>
      </c>
      <c r="W113" s="100">
        <f>VLOOKUP(TableRBRanks31413539[[#This Row],[Player]],RB!B:O,7,FALSE)</f>
        <v>0</v>
      </c>
      <c r="X113" s="100">
        <f>VLOOKUP(TableRBRanks31413539[[#This Row],[Player]],RB!B:O,8,FALSE)</f>
        <v>0</v>
      </c>
      <c r="Y113" s="100">
        <f>VLOOKUP(TableRBRanks31413539[[#This Row],[Player]],RB!B:O,9,FALSE)</f>
        <v>0</v>
      </c>
      <c r="Z113" s="100">
        <f>VLOOKUP(TableRBRanks31413539[[#This Row],[Player]],RB!B:O,10,FALSE)</f>
        <v>0</v>
      </c>
      <c r="AA113" s="95">
        <f>VLOOKUP(TableRBRanks31413539[[#This Row],[Player]],RB!B:O,14,FALSE)</f>
        <v>0</v>
      </c>
      <c r="AB113" s="190">
        <f>TableRBRanks31413539[[#This Row],[FPS]]-(TableRBRanks31413539[[#This Row],[REC]]*0.5)</f>
        <v>0</v>
      </c>
      <c r="AD113" s="58">
        <v>112</v>
      </c>
      <c r="AE113" s="58" t="str">
        <f>VLOOKUP(TableWRRanks32423644[[#This Row],[RK]],Rankings!A:AZ,43,FALSE)</f>
        <v>Pat Bryant</v>
      </c>
      <c r="AF113" s="58" t="str">
        <f>IFERROR(INDEX(TableWRCalcPts[TM],MATCH(TableWRRanks32423644[[#This Row],[Player]],TableWRCalcPts[PLAYER],0)),"")</f>
        <v>DEN</v>
      </c>
      <c r="AG113" s="58">
        <f>IFERROR(INDEX(TableWRCalcPts[BYE],MATCH(TableWRRanks32423644[[#This Row],[Player]],TableWRCalcPts[PLAYER],0)),"")</f>
        <v>10</v>
      </c>
      <c r="AH113" s="100">
        <f>VLOOKUP(TableWRRanks32423644[[#This Row],[Player]],WR!B:O,4,FALSE)</f>
        <v>0</v>
      </c>
      <c r="AI113" s="100">
        <f>VLOOKUP(TableWRRanks32423644[[#This Row],[Player]],WR!B:O,5,FALSE)</f>
        <v>0</v>
      </c>
      <c r="AJ113" s="100">
        <f>VLOOKUP(TableWRRanks32423644[[#This Row],[Player]],WR!B:O,6,FALSE)</f>
        <v>43.941716280000009</v>
      </c>
      <c r="AK113" s="100">
        <f>VLOOKUP(TableWRRanks32423644[[#This Row],[Player]],WR!B:O,7,FALSE)</f>
        <v>25.235181978160007</v>
      </c>
      <c r="AL113" s="100">
        <f>VLOOKUP(TableWRRanks32423644[[#This Row],[Player]],WR!B:O,8,FALSE)</f>
        <v>296.52501987416008</v>
      </c>
      <c r="AM113" s="100">
        <f>VLOOKUP(TableWRRanks32423644[[#This Row],[Player]],WR!B:O,9,FALSE)</f>
        <v>1.5141109186896005</v>
      </c>
      <c r="AN113" s="95">
        <f>VLOOKUP(TableWRRanks32423644[[#This Row],[Player]],WR!B:O,13,FALSE)</f>
        <v>51.354758488633621</v>
      </c>
      <c r="AO113" s="190">
        <f>TableWRRanks32423644[[#This Row],[FPS]]-(TableWRRanks32423644[[#This Row],[REC]]*0.5)</f>
        <v>38.737167499553621</v>
      </c>
    </row>
    <row r="114" spans="16:41" x14ac:dyDescent="0.25">
      <c r="P114" s="58">
        <v>113</v>
      </c>
      <c r="Q114" s="58">
        <f>VLOOKUP(TableRBRanks31413539[[#This Row],[RK]],Rankings!A:AY,38,FALSE)</f>
        <v>0</v>
      </c>
      <c r="R114" s="58" t="str">
        <f>IFERROR(INDEX(TableRBCalcPts[TM],MATCH(TableRBRanks31413539[[#This Row],[Player]],TableRBCalcPts[PLAYER],0)),"")</f>
        <v/>
      </c>
      <c r="S114" s="58" t="str">
        <f>IFERROR(INDEX(TableRBCalcPts[BYE],MATCH(TableRBRanks31413539[[#This Row],[Player]],TableRBCalcPts[PLAYER],0)),"")</f>
        <v/>
      </c>
      <c r="T114" s="100">
        <f>VLOOKUP(TableRBRanks31413539[[#This Row],[Player]],RB!B:O,4,FALSE)</f>
        <v>0</v>
      </c>
      <c r="U114" s="100">
        <f>VLOOKUP(TableRBRanks31413539[[#This Row],[Player]],RB!B:O,5,FALSE)</f>
        <v>0</v>
      </c>
      <c r="V114" s="100">
        <f>VLOOKUP(TableRBRanks31413539[[#This Row],[Player]],RB!B:O,6,FALSE)</f>
        <v>0</v>
      </c>
      <c r="W114" s="100">
        <f>VLOOKUP(TableRBRanks31413539[[#This Row],[Player]],RB!B:O,7,FALSE)</f>
        <v>0</v>
      </c>
      <c r="X114" s="100">
        <f>VLOOKUP(TableRBRanks31413539[[#This Row],[Player]],RB!B:O,8,FALSE)</f>
        <v>0</v>
      </c>
      <c r="Y114" s="100">
        <f>VLOOKUP(TableRBRanks31413539[[#This Row],[Player]],RB!B:O,9,FALSE)</f>
        <v>0</v>
      </c>
      <c r="Z114" s="100">
        <f>VLOOKUP(TableRBRanks31413539[[#This Row],[Player]],RB!B:O,10,FALSE)</f>
        <v>0</v>
      </c>
      <c r="AA114" s="95">
        <f>VLOOKUP(TableRBRanks31413539[[#This Row],[Player]],RB!B:O,14,FALSE)</f>
        <v>0</v>
      </c>
      <c r="AB114" s="190">
        <f>TableRBRanks31413539[[#This Row],[FPS]]-(TableRBRanks31413539[[#This Row],[REC]]*0.5)</f>
        <v>0</v>
      </c>
      <c r="AD114" s="58">
        <v>113</v>
      </c>
      <c r="AE114" s="58" t="str">
        <f>VLOOKUP(TableWRRanks32423644[[#This Row],[RK]],Rankings!A:AZ,43,FALSE)</f>
        <v>Joshua Palmer</v>
      </c>
      <c r="AF114" s="58" t="str">
        <f>IFERROR(INDEX(TableWRCalcPts[TM],MATCH(TableWRRanks32423644[[#This Row],[Player]],TableWRCalcPts[PLAYER],0)),"")</f>
        <v>BUF</v>
      </c>
      <c r="AG114" s="58">
        <f>IFERROR(INDEX(TableWRCalcPts[BYE],MATCH(TableWRRanks32423644[[#This Row],[Player]],TableWRCalcPts[PLAYER],0)),"")</f>
        <v>7</v>
      </c>
      <c r="AH114" s="100">
        <f>VLOOKUP(TableWRRanks32423644[[#This Row],[Player]],WR!B:O,4,FALSE)</f>
        <v>0</v>
      </c>
      <c r="AI114" s="100">
        <f>VLOOKUP(TableWRRanks32423644[[#This Row],[Player]],WR!B:O,5,FALSE)</f>
        <v>0</v>
      </c>
      <c r="AJ114" s="100">
        <f>VLOOKUP(TableWRRanks32423644[[#This Row],[Player]],WR!B:O,6,FALSE)</f>
        <v>24.005550799999988</v>
      </c>
      <c r="AK114" s="100">
        <f>VLOOKUP(TableWRRanks32423644[[#This Row],[Player]],WR!B:O,7,FALSE)</f>
        <v>16.251757891599993</v>
      </c>
      <c r="AL114" s="100">
        <f>VLOOKUP(TableWRRanks32423644[[#This Row],[Player]],WR!B:O,8,FALSE)</f>
        <v>228.66223353481192</v>
      </c>
      <c r="AM114" s="100">
        <f>VLOOKUP(TableWRRanks32423644[[#This Row],[Player]],WR!B:O,9,FALSE)</f>
        <v>1.0092661199777342</v>
      </c>
      <c r="AN114" s="95">
        <f>VLOOKUP(TableWRRanks32423644[[#This Row],[Player]],WR!B:O,13,FALSE)</f>
        <v>37.047699019147593</v>
      </c>
      <c r="AO114" s="190">
        <f>TableWRRanks32423644[[#This Row],[FPS]]-(TableWRRanks32423644[[#This Row],[REC]]*0.5)</f>
        <v>28.921820073347597</v>
      </c>
    </row>
    <row r="115" spans="16:41" x14ac:dyDescent="0.25">
      <c r="P115" s="58">
        <v>114</v>
      </c>
      <c r="Q115" s="58">
        <f>VLOOKUP(TableRBRanks31413539[[#This Row],[RK]],Rankings!A:AY,38,FALSE)</f>
        <v>0</v>
      </c>
      <c r="R115" s="58" t="str">
        <f>IFERROR(INDEX(TableRBCalcPts[TM],MATCH(TableRBRanks31413539[[#This Row],[Player]],TableRBCalcPts[PLAYER],0)),"")</f>
        <v/>
      </c>
      <c r="S115" s="58" t="str">
        <f>IFERROR(INDEX(TableRBCalcPts[BYE],MATCH(TableRBRanks31413539[[#This Row],[Player]],TableRBCalcPts[PLAYER],0)),"")</f>
        <v/>
      </c>
      <c r="T115" s="100">
        <f>VLOOKUP(TableRBRanks31413539[[#This Row],[Player]],RB!B:O,4,FALSE)</f>
        <v>0</v>
      </c>
      <c r="U115" s="100">
        <f>VLOOKUP(TableRBRanks31413539[[#This Row],[Player]],RB!B:O,5,FALSE)</f>
        <v>0</v>
      </c>
      <c r="V115" s="100">
        <f>VLOOKUP(TableRBRanks31413539[[#This Row],[Player]],RB!B:O,6,FALSE)</f>
        <v>0</v>
      </c>
      <c r="W115" s="100">
        <f>VLOOKUP(TableRBRanks31413539[[#This Row],[Player]],RB!B:O,7,FALSE)</f>
        <v>0</v>
      </c>
      <c r="X115" s="100">
        <f>VLOOKUP(TableRBRanks31413539[[#This Row],[Player]],RB!B:O,8,FALSE)</f>
        <v>0</v>
      </c>
      <c r="Y115" s="100">
        <f>VLOOKUP(TableRBRanks31413539[[#This Row],[Player]],RB!B:O,9,FALSE)</f>
        <v>0</v>
      </c>
      <c r="Z115" s="100">
        <f>VLOOKUP(TableRBRanks31413539[[#This Row],[Player]],RB!B:O,10,FALSE)</f>
        <v>0</v>
      </c>
      <c r="AA115" s="95">
        <f>VLOOKUP(TableRBRanks31413539[[#This Row],[Player]],RB!B:O,14,FALSE)</f>
        <v>0</v>
      </c>
      <c r="AB115" s="190">
        <f>TableRBRanks31413539[[#This Row],[FPS]]-(TableRBRanks31413539[[#This Row],[REC]]*0.5)</f>
        <v>0</v>
      </c>
      <c r="AD115" s="58">
        <v>114</v>
      </c>
      <c r="AE115" s="58" t="str">
        <f>VLOOKUP(TableWRRanks32423644[[#This Row],[RK]],Rankings!A:AZ,43,FALSE)</f>
        <v>Jahan Dotson</v>
      </c>
      <c r="AF115" s="58" t="str">
        <f>IFERROR(INDEX(TableWRCalcPts[TM],MATCH(TableWRRanks32423644[[#This Row],[Player]],TableWRCalcPts[PLAYER],0)),"")</f>
        <v>ATL</v>
      </c>
      <c r="AG115" s="58">
        <f>IFERROR(INDEX(TableWRCalcPts[BYE],MATCH(TableWRRanks32423644[[#This Row],[Player]],TableWRCalcPts[PLAYER],0)),"")</f>
        <v>11</v>
      </c>
      <c r="AH115" s="100">
        <f>VLOOKUP(TableWRRanks32423644[[#This Row],[Player]],WR!B:O,4,FALSE)</f>
        <v>0</v>
      </c>
      <c r="AI115" s="100">
        <f>VLOOKUP(TableWRRanks32423644[[#This Row],[Player]],WR!B:O,5,FALSE)</f>
        <v>0</v>
      </c>
      <c r="AJ115" s="100">
        <f>VLOOKUP(TableWRRanks32423644[[#This Row],[Player]],WR!B:O,6,FALSE)</f>
        <v>45.412572800000014</v>
      </c>
      <c r="AK115" s="100">
        <f>VLOOKUP(TableWRRanks32423644[[#This Row],[Player]],WR!B:O,7,FALSE)</f>
        <v>28.046307289249324</v>
      </c>
      <c r="AL115" s="100">
        <f>VLOOKUP(TableWRRanks32423644[[#This Row],[Player]],WR!B:O,8,FALSE)</f>
        <v>348.89606267826156</v>
      </c>
      <c r="AM115" s="100">
        <f>VLOOKUP(TableWRRanks32423644[[#This Row],[Player]],WR!B:O,9,FALSE)</f>
        <v>1.7108247446442086</v>
      </c>
      <c r="AN115" s="95">
        <f>VLOOKUP(TableWRRanks32423644[[#This Row],[Player]],WR!B:O,13,FALSE)</f>
        <v>59.177708380316076</v>
      </c>
      <c r="AO115" s="190">
        <f>TableWRRanks32423644[[#This Row],[FPS]]-(TableWRRanks32423644[[#This Row],[REC]]*0.5)</f>
        <v>45.154554735691413</v>
      </c>
    </row>
    <row r="116" spans="16:41" x14ac:dyDescent="0.25">
      <c r="P116" s="58">
        <v>115</v>
      </c>
      <c r="Q116" s="58">
        <f>VLOOKUP(TableRBRanks31413539[[#This Row],[RK]],Rankings!A:AY,38,FALSE)</f>
        <v>0</v>
      </c>
      <c r="R116" s="58" t="str">
        <f>IFERROR(INDEX(TableRBCalcPts[TM],MATCH(TableRBRanks31413539[[#This Row],[Player]],TableRBCalcPts[PLAYER],0)),"")</f>
        <v/>
      </c>
      <c r="S116" s="58" t="str">
        <f>IFERROR(INDEX(TableRBCalcPts[BYE],MATCH(TableRBRanks31413539[[#This Row],[Player]],TableRBCalcPts[PLAYER],0)),"")</f>
        <v/>
      </c>
      <c r="T116" s="100">
        <f>VLOOKUP(TableRBRanks31413539[[#This Row],[Player]],RB!B:O,4,FALSE)</f>
        <v>0</v>
      </c>
      <c r="U116" s="100">
        <f>VLOOKUP(TableRBRanks31413539[[#This Row],[Player]],RB!B:O,5,FALSE)</f>
        <v>0</v>
      </c>
      <c r="V116" s="100">
        <f>VLOOKUP(TableRBRanks31413539[[#This Row],[Player]],RB!B:O,6,FALSE)</f>
        <v>0</v>
      </c>
      <c r="W116" s="100">
        <f>VLOOKUP(TableRBRanks31413539[[#This Row],[Player]],RB!B:O,7,FALSE)</f>
        <v>0</v>
      </c>
      <c r="X116" s="100">
        <f>VLOOKUP(TableRBRanks31413539[[#This Row],[Player]],RB!B:O,8,FALSE)</f>
        <v>0</v>
      </c>
      <c r="Y116" s="100">
        <f>VLOOKUP(TableRBRanks31413539[[#This Row],[Player]],RB!B:O,9,FALSE)</f>
        <v>0</v>
      </c>
      <c r="Z116" s="100">
        <f>VLOOKUP(TableRBRanks31413539[[#This Row],[Player]],RB!B:O,10,FALSE)</f>
        <v>0</v>
      </c>
      <c r="AA116" s="95">
        <f>VLOOKUP(TableRBRanks31413539[[#This Row],[Player]],RB!B:O,14,FALSE)</f>
        <v>0</v>
      </c>
      <c r="AB116" s="190">
        <f>TableRBRanks31413539[[#This Row],[FPS]]-(TableRBRanks31413539[[#This Row],[REC]]*0.5)</f>
        <v>0</v>
      </c>
      <c r="AD116" s="58">
        <v>115</v>
      </c>
      <c r="AE116" s="58" t="str">
        <f>VLOOKUP(TableWRRanks32423644[[#This Row],[RK]],Rankings!A:AZ,43,FALSE)</f>
        <v>Zavion Thomas</v>
      </c>
      <c r="AF116" s="58" t="str">
        <f>IFERROR(INDEX(TableWRCalcPts[TM],MATCH(TableWRRanks32423644[[#This Row],[Player]],TableWRCalcPts[PLAYER],0)),"")</f>
        <v>CHI</v>
      </c>
      <c r="AG116" s="58">
        <f>IFERROR(INDEX(TableWRCalcPts[BYE],MATCH(TableWRRanks32423644[[#This Row],[Player]],TableWRCalcPts[PLAYER],0)),"")</f>
        <v>10</v>
      </c>
      <c r="AH116" s="100">
        <f>VLOOKUP(TableWRRanks32423644[[#This Row],[Player]],WR!B:O,4,FALSE)</f>
        <v>0</v>
      </c>
      <c r="AI116" s="100">
        <f>VLOOKUP(TableWRRanks32423644[[#This Row],[Player]],WR!B:O,5,FALSE)</f>
        <v>0</v>
      </c>
      <c r="AJ116" s="100">
        <f>VLOOKUP(TableWRRanks32423644[[#This Row],[Player]],WR!B:O,6,FALSE)</f>
        <v>11.2787024</v>
      </c>
      <c r="AK116" s="100">
        <f>VLOOKUP(TableWRRanks32423644[[#This Row],[Player]],WR!B:O,7,FALSE)</f>
        <v>6.8800084640000003</v>
      </c>
      <c r="AL116" s="100">
        <f>VLOOKUP(TableWRRanks32423644[[#This Row],[Player]],WR!B:O,8,FALSE)</f>
        <v>66.116881339040006</v>
      </c>
      <c r="AM116" s="100">
        <f>VLOOKUP(TableWRRanks32423644[[#This Row],[Player]],WR!B:O,9,FALSE)</f>
        <v>0.5652210025082155</v>
      </c>
      <c r="AN116" s="95">
        <f>VLOOKUP(TableWRRanks32423644[[#This Row],[Player]],WR!B:O,13,FALSE)</f>
        <v>13.443018380953294</v>
      </c>
      <c r="AO116" s="190">
        <f>TableWRRanks32423644[[#This Row],[FPS]]-(TableWRRanks32423644[[#This Row],[REC]]*0.5)</f>
        <v>10.003014148953294</v>
      </c>
    </row>
    <row r="117" spans="16:41" x14ac:dyDescent="0.25">
      <c r="P117" s="58">
        <v>116</v>
      </c>
      <c r="Q117" s="58">
        <f>VLOOKUP(TableRBRanks31413539[[#This Row],[RK]],Rankings!A:AY,38,FALSE)</f>
        <v>0</v>
      </c>
      <c r="R117" s="58" t="str">
        <f>IFERROR(INDEX(TableRBCalcPts[TM],MATCH(TableRBRanks31413539[[#This Row],[Player]],TableRBCalcPts[PLAYER],0)),"")</f>
        <v/>
      </c>
      <c r="S117" s="58" t="str">
        <f>IFERROR(INDEX(TableRBCalcPts[BYE],MATCH(TableRBRanks31413539[[#This Row],[Player]],TableRBCalcPts[PLAYER],0)),"")</f>
        <v/>
      </c>
      <c r="T117" s="100">
        <f>VLOOKUP(TableRBRanks31413539[[#This Row],[Player]],RB!B:O,4,FALSE)</f>
        <v>0</v>
      </c>
      <c r="U117" s="100">
        <f>VLOOKUP(TableRBRanks31413539[[#This Row],[Player]],RB!B:O,5,FALSE)</f>
        <v>0</v>
      </c>
      <c r="V117" s="100">
        <f>VLOOKUP(TableRBRanks31413539[[#This Row],[Player]],RB!B:O,6,FALSE)</f>
        <v>0</v>
      </c>
      <c r="W117" s="100">
        <f>VLOOKUP(TableRBRanks31413539[[#This Row],[Player]],RB!B:O,7,FALSE)</f>
        <v>0</v>
      </c>
      <c r="X117" s="100">
        <f>VLOOKUP(TableRBRanks31413539[[#This Row],[Player]],RB!B:O,8,FALSE)</f>
        <v>0</v>
      </c>
      <c r="Y117" s="100">
        <f>VLOOKUP(TableRBRanks31413539[[#This Row],[Player]],RB!B:O,9,FALSE)</f>
        <v>0</v>
      </c>
      <c r="Z117" s="100">
        <f>VLOOKUP(TableRBRanks31413539[[#This Row],[Player]],RB!B:O,10,FALSE)</f>
        <v>0</v>
      </c>
      <c r="AA117" s="95">
        <f>VLOOKUP(TableRBRanks31413539[[#This Row],[Player]],RB!B:O,14,FALSE)</f>
        <v>0</v>
      </c>
      <c r="AB117" s="190">
        <f>TableRBRanks31413539[[#This Row],[FPS]]-(TableRBRanks31413539[[#This Row],[REC]]*0.5)</f>
        <v>0</v>
      </c>
      <c r="AD117" s="58">
        <v>116</v>
      </c>
      <c r="AE117" s="58" t="str">
        <f>VLOOKUP(TableWRRanks32423644[[#This Row],[RK]],Rankings!A:AZ,43,FALSE)</f>
        <v>Jaylin Lane</v>
      </c>
      <c r="AF117" s="58" t="str">
        <f>IFERROR(INDEX(TableWRCalcPts[TM],MATCH(TableWRRanks32423644[[#This Row],[Player]],TableWRCalcPts[PLAYER],0)),"")</f>
        <v>WSH</v>
      </c>
      <c r="AG117" s="58">
        <f>IFERROR(INDEX(TableWRCalcPts[BYE],MATCH(TableWRRanks32423644[[#This Row],[Player]],TableWRCalcPts[PLAYER],0)),"")</f>
        <v>7</v>
      </c>
      <c r="AH117" s="100">
        <f>VLOOKUP(TableWRRanks32423644[[#This Row],[Player]],WR!B:O,4,FALSE)</f>
        <v>29.989058400000005</v>
      </c>
      <c r="AI117" s="100">
        <f>VLOOKUP(TableWRRanks32423644[[#This Row],[Player]],WR!B:O,5,FALSE)</f>
        <v>3.498723480000001E-2</v>
      </c>
      <c r="AJ117" s="100">
        <f>VLOOKUP(TableWRRanks32423644[[#This Row],[Player]],WR!B:O,6,FALSE)</f>
        <v>25.886762719999993</v>
      </c>
      <c r="AK117" s="100">
        <f>VLOOKUP(TableWRRanks32423644[[#This Row],[Player]],WR!B:O,7,FALSE)</f>
        <v>13.279909275359996</v>
      </c>
      <c r="AL117" s="100">
        <f>VLOOKUP(TableWRRanks32423644[[#This Row],[Player]],WR!B:O,8,FALSE)</f>
        <v>175.29480243475194</v>
      </c>
      <c r="AM117" s="100">
        <f>VLOOKUP(TableWRRanks32423644[[#This Row],[Player]],WR!B:O,9,FALSE)</f>
        <v>1.0889525605795198</v>
      </c>
      <c r="AN117" s="95">
        <f>VLOOKUP(TableWRRanks32423644[[#This Row],[Player]],WR!B:O,13,FALSE)</f>
        <v>33.911979493432312</v>
      </c>
      <c r="AO117" s="190">
        <f>TableWRRanks32423644[[#This Row],[FPS]]-(TableWRRanks32423644[[#This Row],[REC]]*0.5)</f>
        <v>27.272024855752313</v>
      </c>
    </row>
    <row r="118" spans="16:41" x14ac:dyDescent="0.25">
      <c r="P118" s="58">
        <v>117</v>
      </c>
      <c r="Q118" s="58">
        <f>VLOOKUP(TableRBRanks31413539[[#This Row],[RK]],Rankings!A:AY,38,FALSE)</f>
        <v>0</v>
      </c>
      <c r="R118" s="58" t="str">
        <f>IFERROR(INDEX(TableRBCalcPts[TM],MATCH(TableRBRanks31413539[[#This Row],[Player]],TableRBCalcPts[PLAYER],0)),"")</f>
        <v/>
      </c>
      <c r="S118" s="58" t="str">
        <f>IFERROR(INDEX(TableRBCalcPts[BYE],MATCH(TableRBRanks31413539[[#This Row],[Player]],TableRBCalcPts[PLAYER],0)),"")</f>
        <v/>
      </c>
      <c r="T118" s="100">
        <f>VLOOKUP(TableRBRanks31413539[[#This Row],[Player]],RB!B:O,4,FALSE)</f>
        <v>0</v>
      </c>
      <c r="U118" s="100">
        <f>VLOOKUP(TableRBRanks31413539[[#This Row],[Player]],RB!B:O,5,FALSE)</f>
        <v>0</v>
      </c>
      <c r="V118" s="100">
        <f>VLOOKUP(TableRBRanks31413539[[#This Row],[Player]],RB!B:O,6,FALSE)</f>
        <v>0</v>
      </c>
      <c r="W118" s="100">
        <f>VLOOKUP(TableRBRanks31413539[[#This Row],[Player]],RB!B:O,7,FALSE)</f>
        <v>0</v>
      </c>
      <c r="X118" s="100">
        <f>VLOOKUP(TableRBRanks31413539[[#This Row],[Player]],RB!B:O,8,FALSE)</f>
        <v>0</v>
      </c>
      <c r="Y118" s="100">
        <f>VLOOKUP(TableRBRanks31413539[[#This Row],[Player]],RB!B:O,9,FALSE)</f>
        <v>0</v>
      </c>
      <c r="Z118" s="100">
        <f>VLOOKUP(TableRBRanks31413539[[#This Row],[Player]],RB!B:O,10,FALSE)</f>
        <v>0</v>
      </c>
      <c r="AA118" s="95">
        <f>VLOOKUP(TableRBRanks31413539[[#This Row],[Player]],RB!B:O,14,FALSE)</f>
        <v>0</v>
      </c>
      <c r="AB118" s="190">
        <f>TableRBRanks31413539[[#This Row],[FPS]]-(TableRBRanks31413539[[#This Row],[REC]]*0.5)</f>
        <v>0</v>
      </c>
      <c r="AD118" s="58">
        <v>117</v>
      </c>
      <c r="AE118" s="58" t="str">
        <f>VLOOKUP(TableWRRanks32423644[[#This Row],[RK]],Rankings!A:AZ,43,FALSE)</f>
        <v>Kalif Raymond</v>
      </c>
      <c r="AF118" s="58" t="str">
        <f>IFERROR(INDEX(TableWRCalcPts[TM],MATCH(TableWRRanks32423644[[#This Row],[Player]],TableWRCalcPts[PLAYER],0)),"")</f>
        <v>CHI</v>
      </c>
      <c r="AG118" s="58">
        <f>IFERROR(INDEX(TableWRCalcPts[BYE],MATCH(TableWRRanks32423644[[#This Row],[Player]],TableWRCalcPts[PLAYER],0)),"")</f>
        <v>10</v>
      </c>
      <c r="AH118" s="100">
        <f>VLOOKUP(TableWRRanks32423644[[#This Row],[Player]],WR!B:O,4,FALSE)</f>
        <v>14.529662933333332</v>
      </c>
      <c r="AI118" s="100">
        <f>VLOOKUP(TableWRRanks32423644[[#This Row],[Player]],WR!B:O,5,FALSE)</f>
        <v>2.5945826666666665E-2</v>
      </c>
      <c r="AJ118" s="100">
        <f>VLOOKUP(TableWRRanks32423644[[#This Row],[Player]],WR!B:O,6,FALSE)</f>
        <v>36.091847680000001</v>
      </c>
      <c r="AK118" s="100">
        <f>VLOOKUP(TableWRRanks32423644[[#This Row],[Player]],WR!B:O,7,FALSE)</f>
        <v>20.283618396160001</v>
      </c>
      <c r="AL118" s="100">
        <f>VLOOKUP(TableWRRanks32423644[[#This Row],[Player]],WR!B:O,8,FALSE)</f>
        <v>224.53965564549122</v>
      </c>
      <c r="AM118" s="100">
        <f>VLOOKUP(TableWRRanks32423644[[#This Row],[Player]],WR!B:O,9,FALSE)</f>
        <v>1.25758434056192</v>
      </c>
      <c r="AN118" s="95">
        <f>VLOOKUP(TableWRRanks32423644[[#This Row],[Player]],WR!B:O,13,FALSE)</f>
        <v>41.749922059333976</v>
      </c>
      <c r="AO118" s="190">
        <f>TableWRRanks32423644[[#This Row],[FPS]]-(TableWRRanks32423644[[#This Row],[REC]]*0.5)</f>
        <v>31.608112861253975</v>
      </c>
    </row>
    <row r="119" spans="16:41" x14ac:dyDescent="0.25">
      <c r="P119" s="58">
        <v>118</v>
      </c>
      <c r="Q119" s="58">
        <f>VLOOKUP(TableRBRanks31413539[[#This Row],[RK]],Rankings!A:AY,38,FALSE)</f>
        <v>0</v>
      </c>
      <c r="R119" s="58" t="str">
        <f>IFERROR(INDEX(TableRBCalcPts[TM],MATCH(TableRBRanks31413539[[#This Row],[Player]],TableRBCalcPts[PLAYER],0)),"")</f>
        <v/>
      </c>
      <c r="S119" s="58" t="str">
        <f>IFERROR(INDEX(TableRBCalcPts[BYE],MATCH(TableRBRanks31413539[[#This Row],[Player]],TableRBCalcPts[PLAYER],0)),"")</f>
        <v/>
      </c>
      <c r="T119" s="100">
        <f>VLOOKUP(TableRBRanks31413539[[#This Row],[Player]],RB!B:O,4,FALSE)</f>
        <v>0</v>
      </c>
      <c r="U119" s="100">
        <f>VLOOKUP(TableRBRanks31413539[[#This Row],[Player]],RB!B:O,5,FALSE)</f>
        <v>0</v>
      </c>
      <c r="V119" s="100">
        <f>VLOOKUP(TableRBRanks31413539[[#This Row],[Player]],RB!B:O,6,FALSE)</f>
        <v>0</v>
      </c>
      <c r="W119" s="100">
        <f>VLOOKUP(TableRBRanks31413539[[#This Row],[Player]],RB!B:O,7,FALSE)</f>
        <v>0</v>
      </c>
      <c r="X119" s="100">
        <f>VLOOKUP(TableRBRanks31413539[[#This Row],[Player]],RB!B:O,8,FALSE)</f>
        <v>0</v>
      </c>
      <c r="Y119" s="100">
        <f>VLOOKUP(TableRBRanks31413539[[#This Row],[Player]],RB!B:O,9,FALSE)</f>
        <v>0</v>
      </c>
      <c r="Z119" s="100">
        <f>VLOOKUP(TableRBRanks31413539[[#This Row],[Player]],RB!B:O,10,FALSE)</f>
        <v>0</v>
      </c>
      <c r="AA119" s="95">
        <f>VLOOKUP(TableRBRanks31413539[[#This Row],[Player]],RB!B:O,14,FALSE)</f>
        <v>0</v>
      </c>
      <c r="AB119" s="190">
        <f>TableRBRanks31413539[[#This Row],[FPS]]-(TableRBRanks31413539[[#This Row],[REC]]*0.5)</f>
        <v>0</v>
      </c>
      <c r="AD119" s="58">
        <v>118</v>
      </c>
      <c r="AE119" s="58" t="str">
        <f>VLOOKUP(TableWRRanks32423644[[#This Row],[RK]],Rankings!A:AZ,43,FALSE)</f>
        <v>Tory Horton</v>
      </c>
      <c r="AF119" s="58" t="str">
        <f>IFERROR(INDEX(TableWRCalcPts[TM],MATCH(TableWRRanks32423644[[#This Row],[Player]],TableWRCalcPts[PLAYER],0)),"")</f>
        <v>SEA</v>
      </c>
      <c r="AG119" s="58">
        <f>IFERROR(INDEX(TableWRCalcPts[BYE],MATCH(TableWRRanks32423644[[#This Row],[Player]],TableWRCalcPts[PLAYER],0)),"")</f>
        <v>11</v>
      </c>
      <c r="AH119" s="100">
        <f>VLOOKUP(TableWRRanks32423644[[#This Row],[Player]],WR!B:O,4,FALSE)</f>
        <v>0</v>
      </c>
      <c r="AI119" s="100">
        <f>VLOOKUP(TableWRRanks32423644[[#This Row],[Player]],WR!B:O,5,FALSE)</f>
        <v>0</v>
      </c>
      <c r="AJ119" s="100">
        <f>VLOOKUP(TableWRRanks32423644[[#This Row],[Player]],WR!B:O,6,FALSE)</f>
        <v>31.293101280000002</v>
      </c>
      <c r="AK119" s="100">
        <f>VLOOKUP(TableWRRanks32423644[[#This Row],[Player]],WR!B:O,7,FALSE)</f>
        <v>16.522757475840002</v>
      </c>
      <c r="AL119" s="100">
        <f>VLOOKUP(TableWRRanks32423644[[#This Row],[Player]],WR!B:O,8,FALSE)</f>
        <v>212.48266113930242</v>
      </c>
      <c r="AM119" s="100">
        <f>VLOOKUP(TableWRRanks32423644[[#This Row],[Player]],WR!B:O,9,FALSE)</f>
        <v>1.7018440200115201</v>
      </c>
      <c r="AN119" s="95">
        <f>VLOOKUP(TableWRRanks32423644[[#This Row],[Player]],WR!B:O,13,FALSE)</f>
        <v>39.720708971919365</v>
      </c>
      <c r="AO119" s="190">
        <f>TableWRRanks32423644[[#This Row],[FPS]]-(TableWRRanks32423644[[#This Row],[REC]]*0.5)</f>
        <v>31.459330233999363</v>
      </c>
    </row>
    <row r="120" spans="16:41" x14ac:dyDescent="0.25">
      <c r="P120" s="58">
        <v>119</v>
      </c>
      <c r="Q120" s="58">
        <f>VLOOKUP(TableRBRanks31413539[[#This Row],[RK]],Rankings!A:AY,38,FALSE)</f>
        <v>0</v>
      </c>
      <c r="R120" s="58" t="str">
        <f>IFERROR(INDEX(TableRBCalcPts[TM],MATCH(TableRBRanks31413539[[#This Row],[Player]],TableRBCalcPts[PLAYER],0)),"")</f>
        <v/>
      </c>
      <c r="S120" s="58" t="str">
        <f>IFERROR(INDEX(TableRBCalcPts[BYE],MATCH(TableRBRanks31413539[[#This Row],[Player]],TableRBCalcPts[PLAYER],0)),"")</f>
        <v/>
      </c>
      <c r="T120" s="100">
        <f>VLOOKUP(TableRBRanks31413539[[#This Row],[Player]],RB!B:O,4,FALSE)</f>
        <v>0</v>
      </c>
      <c r="U120" s="100">
        <f>VLOOKUP(TableRBRanks31413539[[#This Row],[Player]],RB!B:O,5,FALSE)</f>
        <v>0</v>
      </c>
      <c r="V120" s="100">
        <f>VLOOKUP(TableRBRanks31413539[[#This Row],[Player]],RB!B:O,6,FALSE)</f>
        <v>0</v>
      </c>
      <c r="W120" s="100">
        <f>VLOOKUP(TableRBRanks31413539[[#This Row],[Player]],RB!B:O,7,FALSE)</f>
        <v>0</v>
      </c>
      <c r="X120" s="100">
        <f>VLOOKUP(TableRBRanks31413539[[#This Row],[Player]],RB!B:O,8,FALSE)</f>
        <v>0</v>
      </c>
      <c r="Y120" s="100">
        <f>VLOOKUP(TableRBRanks31413539[[#This Row],[Player]],RB!B:O,9,FALSE)</f>
        <v>0</v>
      </c>
      <c r="Z120" s="100">
        <f>VLOOKUP(TableRBRanks31413539[[#This Row],[Player]],RB!B:O,10,FALSE)</f>
        <v>0</v>
      </c>
      <c r="AA120" s="95">
        <f>VLOOKUP(TableRBRanks31413539[[#This Row],[Player]],RB!B:O,14,FALSE)</f>
        <v>0</v>
      </c>
      <c r="AB120" s="190">
        <f>TableRBRanks31413539[[#This Row],[FPS]]-(TableRBRanks31413539[[#This Row],[REC]]*0.5)</f>
        <v>0</v>
      </c>
      <c r="AD120" s="58">
        <v>119</v>
      </c>
      <c r="AE120" s="58" t="str">
        <f>VLOOKUP(TableWRRanks32423644[[#This Row],[RK]],Rankings!A:AZ,43,FALSE)</f>
        <v>Isaiah Bond</v>
      </c>
      <c r="AF120" s="58" t="str">
        <f>IFERROR(INDEX(TableWRCalcPts[TM],MATCH(TableWRRanks32423644[[#This Row],[Player]],TableWRCalcPts[PLAYER],0)),"")</f>
        <v>CLE</v>
      </c>
      <c r="AG120" s="58">
        <f>IFERROR(INDEX(TableWRCalcPts[BYE],MATCH(TableWRRanks32423644[[#This Row],[Player]],TableWRCalcPts[PLAYER],0)),"")</f>
        <v>11</v>
      </c>
      <c r="AH120" s="100">
        <f>VLOOKUP(TableWRRanks32423644[[#This Row],[Player]],WR!B:O,4,FALSE)</f>
        <v>75.719700000000003</v>
      </c>
      <c r="AI120" s="100">
        <f>VLOOKUP(TableWRRanks32423644[[#This Row],[Player]],WR!B:O,5,FALSE)</f>
        <v>0.37859850000000006</v>
      </c>
      <c r="AJ120" s="100">
        <f>VLOOKUP(TableWRRanks32423644[[#This Row],[Player]],WR!B:O,6,FALSE)</f>
        <v>36.120545999999997</v>
      </c>
      <c r="AK120" s="100">
        <f>VLOOKUP(TableWRRanks32423644[[#This Row],[Player]],WR!B:O,7,FALSE)</f>
        <v>22.105774151999999</v>
      </c>
      <c r="AL120" s="100">
        <f>VLOOKUP(TableWRRanks32423644[[#This Row],[Player]],WR!B:O,8,FALSE)</f>
        <v>274.11159948479997</v>
      </c>
      <c r="AM120" s="100">
        <f>VLOOKUP(TableWRRanks32423644[[#This Row],[Player]],WR!B:O,9,FALSE)</f>
        <v>1.348452223272</v>
      </c>
      <c r="AN120" s="95">
        <f>VLOOKUP(TableWRRanks32423644[[#This Row],[Player]],WR!B:O,13,FALSE)</f>
        <v>56.398321364111993</v>
      </c>
      <c r="AO120" s="190">
        <f>TableWRRanks32423644[[#This Row],[FPS]]-(TableWRRanks32423644[[#This Row],[REC]]*0.5)</f>
        <v>45.345434288111996</v>
      </c>
    </row>
    <row r="121" spans="16:41" x14ac:dyDescent="0.25">
      <c r="P121" s="58">
        <v>120</v>
      </c>
      <c r="Q121" s="58">
        <f>VLOOKUP(TableRBRanks31413539[[#This Row],[RK]],Rankings!A:AY,38,FALSE)</f>
        <v>0</v>
      </c>
      <c r="R121" s="58" t="str">
        <f>IFERROR(INDEX(TableRBCalcPts[TM],MATCH(TableRBRanks31413539[[#This Row],[Player]],TableRBCalcPts[PLAYER],0)),"")</f>
        <v/>
      </c>
      <c r="S121" s="58" t="str">
        <f>IFERROR(INDEX(TableRBCalcPts[BYE],MATCH(TableRBRanks31413539[[#This Row],[Player]],TableRBCalcPts[PLAYER],0)),"")</f>
        <v/>
      </c>
      <c r="T121" s="100">
        <f>VLOOKUP(TableRBRanks31413539[[#This Row],[Player]],RB!B:O,4,FALSE)</f>
        <v>0</v>
      </c>
      <c r="U121" s="100">
        <f>VLOOKUP(TableRBRanks31413539[[#This Row],[Player]],RB!B:O,5,FALSE)</f>
        <v>0</v>
      </c>
      <c r="V121" s="100">
        <f>VLOOKUP(TableRBRanks31413539[[#This Row],[Player]],RB!B:O,6,FALSE)</f>
        <v>0</v>
      </c>
      <c r="W121" s="100">
        <f>VLOOKUP(TableRBRanks31413539[[#This Row],[Player]],RB!B:O,7,FALSE)</f>
        <v>0</v>
      </c>
      <c r="X121" s="100">
        <f>VLOOKUP(TableRBRanks31413539[[#This Row],[Player]],RB!B:O,8,FALSE)</f>
        <v>0</v>
      </c>
      <c r="Y121" s="100">
        <f>VLOOKUP(TableRBRanks31413539[[#This Row],[Player]],RB!B:O,9,FALSE)</f>
        <v>0</v>
      </c>
      <c r="Z121" s="100">
        <f>VLOOKUP(TableRBRanks31413539[[#This Row],[Player]],RB!B:O,10,FALSE)</f>
        <v>0</v>
      </c>
      <c r="AA121" s="95">
        <f>VLOOKUP(TableRBRanks31413539[[#This Row],[Player]],RB!B:O,14,FALSE)</f>
        <v>0</v>
      </c>
      <c r="AB121" s="190">
        <f>TableRBRanks31413539[[#This Row],[FPS]]-(TableRBRanks31413539[[#This Row],[REC]]*0.5)</f>
        <v>0</v>
      </c>
      <c r="AD121" s="58">
        <v>120</v>
      </c>
      <c r="AE121" s="58" t="str">
        <f>VLOOKUP(TableWRRanks32423644[[#This Row],[RK]],Rankings!A:AZ,43,FALSE)</f>
        <v>Cyrus Allen</v>
      </c>
      <c r="AF121" s="58" t="str">
        <f>IFERROR(INDEX(TableWRCalcPts[TM],MATCH(TableWRRanks32423644[[#This Row],[Player]],TableWRCalcPts[PLAYER],0)),"")</f>
        <v>KC</v>
      </c>
      <c r="AG121" s="58">
        <f>IFERROR(INDEX(TableWRCalcPts[BYE],MATCH(TableWRRanks32423644[[#This Row],[Player]],TableWRCalcPts[PLAYER],0)),"")</f>
        <v>5</v>
      </c>
      <c r="AH121" s="100">
        <f>VLOOKUP(TableWRRanks32423644[[#This Row],[Player]],WR!B:O,4,FALSE)</f>
        <v>0</v>
      </c>
      <c r="AI121" s="100">
        <f>VLOOKUP(TableWRRanks32423644[[#This Row],[Player]],WR!B:O,5,FALSE)</f>
        <v>0</v>
      </c>
      <c r="AJ121" s="100">
        <f>VLOOKUP(TableWRRanks32423644[[#This Row],[Player]],WR!B:O,6,FALSE)</f>
        <v>8.7821474999999989</v>
      </c>
      <c r="AK121" s="100">
        <f>VLOOKUP(TableWRRanks32423644[[#This Row],[Player]],WR!B:O,7,FALSE)</f>
        <v>4.6272159383333324</v>
      </c>
      <c r="AL121" s="100">
        <f>VLOOKUP(TableWRRanks32423644[[#This Row],[Player]],WR!B:O,8,FALSE)</f>
        <v>55.322455120333316</v>
      </c>
      <c r="AM121" s="100">
        <f>VLOOKUP(TableWRRanks32423644[[#This Row],[Player]],WR!B:O,9,FALSE)</f>
        <v>0.33778676349833325</v>
      </c>
      <c r="AN121" s="95">
        <f>VLOOKUP(TableWRRanks32423644[[#This Row],[Player]],WR!B:O,13,FALSE)</f>
        <v>9.8725740621899973</v>
      </c>
      <c r="AO121" s="190">
        <f>TableWRRanks32423644[[#This Row],[FPS]]-(TableWRRanks32423644[[#This Row],[REC]]*0.5)</f>
        <v>7.5589660930233311</v>
      </c>
    </row>
    <row r="122" spans="16:41" x14ac:dyDescent="0.25">
      <c r="P122" s="58">
        <v>121</v>
      </c>
      <c r="Q122" s="58">
        <f>VLOOKUP(TableRBRanks31413539[[#This Row],[RK]],Rankings!A:AY,38,FALSE)</f>
        <v>0</v>
      </c>
      <c r="R122" s="58" t="str">
        <f>IFERROR(INDEX(TableRBCalcPts[TM],MATCH(TableRBRanks31413539[[#This Row],[Player]],TableRBCalcPts[PLAYER],0)),"")</f>
        <v/>
      </c>
      <c r="S122" s="58" t="str">
        <f>IFERROR(INDEX(TableRBCalcPts[BYE],MATCH(TableRBRanks31413539[[#This Row],[Player]],TableRBCalcPts[PLAYER],0)),"")</f>
        <v/>
      </c>
      <c r="T122" s="100">
        <f>VLOOKUP(TableRBRanks31413539[[#This Row],[Player]],RB!B:O,4,FALSE)</f>
        <v>0</v>
      </c>
      <c r="U122" s="100">
        <f>VLOOKUP(TableRBRanks31413539[[#This Row],[Player]],RB!B:O,5,FALSE)</f>
        <v>0</v>
      </c>
      <c r="V122" s="100">
        <f>VLOOKUP(TableRBRanks31413539[[#This Row],[Player]],RB!B:O,6,FALSE)</f>
        <v>0</v>
      </c>
      <c r="W122" s="100">
        <f>VLOOKUP(TableRBRanks31413539[[#This Row],[Player]],RB!B:O,7,FALSE)</f>
        <v>0</v>
      </c>
      <c r="X122" s="100">
        <f>VLOOKUP(TableRBRanks31413539[[#This Row],[Player]],RB!B:O,8,FALSE)</f>
        <v>0</v>
      </c>
      <c r="Y122" s="100">
        <f>VLOOKUP(TableRBRanks31413539[[#This Row],[Player]],RB!B:O,9,FALSE)</f>
        <v>0</v>
      </c>
      <c r="Z122" s="100">
        <f>VLOOKUP(TableRBRanks31413539[[#This Row],[Player]],RB!B:O,10,FALSE)</f>
        <v>0</v>
      </c>
      <c r="AA122" s="95">
        <f>VLOOKUP(TableRBRanks31413539[[#This Row],[Player]],RB!B:O,14,FALSE)</f>
        <v>0</v>
      </c>
      <c r="AB122" s="190">
        <f>TableRBRanks31413539[[#This Row],[FPS]]-(TableRBRanks31413539[[#This Row],[REC]]*0.5)</f>
        <v>0</v>
      </c>
      <c r="AD122" s="58">
        <v>121</v>
      </c>
      <c r="AE122" s="58" t="str">
        <f>VLOOKUP(TableWRRanks32423644[[#This Row],[RK]],Rankings!A:AZ,43,FALSE)</f>
        <v>Devontez Walker</v>
      </c>
      <c r="AF122" s="58" t="str">
        <f>IFERROR(INDEX(TableWRCalcPts[TM],MATCH(TableWRRanks32423644[[#This Row],[Player]],TableWRCalcPts[PLAYER],0)),"")</f>
        <v>BAL</v>
      </c>
      <c r="AG122" s="58">
        <f>IFERROR(INDEX(TableWRCalcPts[BYE],MATCH(TableWRRanks32423644[[#This Row],[Player]],TableWRCalcPts[PLAYER],0)),"")</f>
        <v>13</v>
      </c>
      <c r="AH122" s="100">
        <f>VLOOKUP(TableWRRanks32423644[[#This Row],[Player]],WR!B:O,4,FALSE)</f>
        <v>0</v>
      </c>
      <c r="AI122" s="100">
        <f>VLOOKUP(TableWRRanks32423644[[#This Row],[Player]],WR!B:O,5,FALSE)</f>
        <v>0</v>
      </c>
      <c r="AJ122" s="100">
        <f>VLOOKUP(TableWRRanks32423644[[#This Row],[Player]],WR!B:O,6,FALSE)</f>
        <v>22.558126079999997</v>
      </c>
      <c r="AK122" s="100">
        <f>VLOOKUP(TableWRRanks32423644[[#This Row],[Player]],WR!B:O,7,FALSE)</f>
        <v>15.22556542338844</v>
      </c>
      <c r="AL122" s="100">
        <f>VLOOKUP(TableWRRanks32423644[[#This Row],[Player]],WR!B:O,8,FALSE)</f>
        <v>230.46852058953951</v>
      </c>
      <c r="AM122" s="100">
        <f>VLOOKUP(TableWRRanks32423644[[#This Row],[Player]],WR!B:O,9,FALSE)</f>
        <v>1.6748121965727285</v>
      </c>
      <c r="AN122" s="95">
        <f>VLOOKUP(TableWRRanks32423644[[#This Row],[Player]],WR!B:O,13,FALSE)</f>
        <v>40.708507950084538</v>
      </c>
      <c r="AO122" s="190">
        <f>TableWRRanks32423644[[#This Row],[FPS]]-(TableWRRanks32423644[[#This Row],[REC]]*0.5)</f>
        <v>33.095725238390315</v>
      </c>
    </row>
    <row r="123" spans="16:41" x14ac:dyDescent="0.25">
      <c r="P123" s="58">
        <v>122</v>
      </c>
      <c r="Q123" s="58">
        <f>VLOOKUP(TableRBRanks31413539[[#This Row],[RK]],Rankings!A:AY,38,FALSE)</f>
        <v>0</v>
      </c>
      <c r="R123" s="58" t="str">
        <f>IFERROR(INDEX(TableRBCalcPts[TM],MATCH(TableRBRanks31413539[[#This Row],[Player]],TableRBCalcPts[PLAYER],0)),"")</f>
        <v/>
      </c>
      <c r="S123" s="58" t="str">
        <f>IFERROR(INDEX(TableRBCalcPts[BYE],MATCH(TableRBRanks31413539[[#This Row],[Player]],TableRBCalcPts[PLAYER],0)),"")</f>
        <v/>
      </c>
      <c r="T123" s="100">
        <f>VLOOKUP(TableRBRanks31413539[[#This Row],[Player]],RB!B:O,4,FALSE)</f>
        <v>0</v>
      </c>
      <c r="U123" s="100">
        <f>VLOOKUP(TableRBRanks31413539[[#This Row],[Player]],RB!B:O,5,FALSE)</f>
        <v>0</v>
      </c>
      <c r="V123" s="100">
        <f>VLOOKUP(TableRBRanks31413539[[#This Row],[Player]],RB!B:O,6,FALSE)</f>
        <v>0</v>
      </c>
      <c r="W123" s="100">
        <f>VLOOKUP(TableRBRanks31413539[[#This Row],[Player]],RB!B:O,7,FALSE)</f>
        <v>0</v>
      </c>
      <c r="X123" s="100">
        <f>VLOOKUP(TableRBRanks31413539[[#This Row],[Player]],RB!B:O,8,FALSE)</f>
        <v>0</v>
      </c>
      <c r="Y123" s="100">
        <f>VLOOKUP(TableRBRanks31413539[[#This Row],[Player]],RB!B:O,9,FALSE)</f>
        <v>0</v>
      </c>
      <c r="Z123" s="100">
        <f>VLOOKUP(TableRBRanks31413539[[#This Row],[Player]],RB!B:O,10,FALSE)</f>
        <v>0</v>
      </c>
      <c r="AA123" s="95">
        <f>VLOOKUP(TableRBRanks31413539[[#This Row],[Player]],RB!B:O,14,FALSE)</f>
        <v>0</v>
      </c>
      <c r="AB123" s="190">
        <f>TableRBRanks31413539[[#This Row],[FPS]]-(TableRBRanks31413539[[#This Row],[REC]]*0.5)</f>
        <v>0</v>
      </c>
      <c r="AD123" s="58">
        <v>122</v>
      </c>
      <c r="AE123" s="58" t="str">
        <f>VLOOKUP(TableWRRanks32423644[[#This Row],[RK]],Rankings!A:AZ,43,FALSE)</f>
        <v>Tutu Atwell</v>
      </c>
      <c r="AF123" s="58" t="str">
        <f>IFERROR(INDEX(TableWRCalcPts[TM],MATCH(TableWRRanks32423644[[#This Row],[Player]],TableWRCalcPts[PLAYER],0)),"")</f>
        <v>MIA</v>
      </c>
      <c r="AG123" s="58">
        <f>IFERROR(INDEX(TableWRCalcPts[BYE],MATCH(TableWRRanks32423644[[#This Row],[Player]],TableWRCalcPts[PLAYER],0)),"")</f>
        <v>6</v>
      </c>
      <c r="AH123" s="100">
        <f>VLOOKUP(TableWRRanks32423644[[#This Row],[Player]],WR!B:O,4,FALSE)</f>
        <v>0</v>
      </c>
      <c r="AI123" s="100">
        <f>VLOOKUP(TableWRRanks32423644[[#This Row],[Player]],WR!B:O,5,FALSE)</f>
        <v>0</v>
      </c>
      <c r="AJ123" s="100">
        <f>VLOOKUP(TableWRRanks32423644[[#This Row],[Player]],WR!B:O,6,FALSE)</f>
        <v>22.652564759999997</v>
      </c>
      <c r="AK123" s="100">
        <f>VLOOKUP(TableWRRanks32423644[[#This Row],[Player]],WR!B:O,7,FALSE)</f>
        <v>15.902100461519996</v>
      </c>
      <c r="AL123" s="100">
        <f>VLOOKUP(TableWRRanks32423644[[#This Row],[Player]],WR!B:O,8,FALSE)</f>
        <v>202.43373887514957</v>
      </c>
      <c r="AM123" s="100">
        <f>VLOOKUP(TableWRRanks32423644[[#This Row],[Player]],WR!B:O,9,FALSE)</f>
        <v>0.69969242030687984</v>
      </c>
      <c r="AN123" s="95">
        <f>VLOOKUP(TableWRRanks32423644[[#This Row],[Player]],WR!B:O,13,FALSE)</f>
        <v>32.392578640116241</v>
      </c>
      <c r="AO123" s="190">
        <f>TableWRRanks32423644[[#This Row],[FPS]]-(TableWRRanks32423644[[#This Row],[REC]]*0.5)</f>
        <v>24.441528409356245</v>
      </c>
    </row>
    <row r="124" spans="16:41" x14ac:dyDescent="0.25">
      <c r="P124" s="58">
        <v>123</v>
      </c>
      <c r="Q124" s="58">
        <f>VLOOKUP(TableRBRanks31413539[[#This Row],[RK]],Rankings!A:AY,38,FALSE)</f>
        <v>0</v>
      </c>
      <c r="R124" s="58" t="str">
        <f>IFERROR(INDEX(TableRBCalcPts[TM],MATCH(TableRBRanks31413539[[#This Row],[Player]],TableRBCalcPts[PLAYER],0)),"")</f>
        <v/>
      </c>
      <c r="S124" s="58" t="str">
        <f>IFERROR(INDEX(TableRBCalcPts[BYE],MATCH(TableRBRanks31413539[[#This Row],[Player]],TableRBCalcPts[PLAYER],0)),"")</f>
        <v/>
      </c>
      <c r="T124" s="100">
        <f>VLOOKUP(TableRBRanks31413539[[#This Row],[Player]],RB!B:O,4,FALSE)</f>
        <v>0</v>
      </c>
      <c r="U124" s="100">
        <f>VLOOKUP(TableRBRanks31413539[[#This Row],[Player]],RB!B:O,5,FALSE)</f>
        <v>0</v>
      </c>
      <c r="V124" s="100">
        <f>VLOOKUP(TableRBRanks31413539[[#This Row],[Player]],RB!B:O,6,FALSE)</f>
        <v>0</v>
      </c>
      <c r="W124" s="100">
        <f>VLOOKUP(TableRBRanks31413539[[#This Row],[Player]],RB!B:O,7,FALSE)</f>
        <v>0</v>
      </c>
      <c r="X124" s="100">
        <f>VLOOKUP(TableRBRanks31413539[[#This Row],[Player]],RB!B:O,8,FALSE)</f>
        <v>0</v>
      </c>
      <c r="Y124" s="100">
        <f>VLOOKUP(TableRBRanks31413539[[#This Row],[Player]],RB!B:O,9,FALSE)</f>
        <v>0</v>
      </c>
      <c r="Z124" s="100">
        <f>VLOOKUP(TableRBRanks31413539[[#This Row],[Player]],RB!B:O,10,FALSE)</f>
        <v>0</v>
      </c>
      <c r="AA124" s="95">
        <f>VLOOKUP(TableRBRanks31413539[[#This Row],[Player]],RB!B:O,14,FALSE)</f>
        <v>0</v>
      </c>
      <c r="AB124" s="190">
        <f>TableRBRanks31413539[[#This Row],[FPS]]-(TableRBRanks31413539[[#This Row],[REC]]*0.5)</f>
        <v>0</v>
      </c>
      <c r="AD124" s="58">
        <v>123</v>
      </c>
      <c r="AE124" s="58" t="str">
        <f>VLOOKUP(TableWRRanks32423644[[#This Row],[RK]],Rankings!A:AZ,43,FALSE)</f>
        <v>Jalen Royals</v>
      </c>
      <c r="AF124" s="58" t="str">
        <f>IFERROR(INDEX(TableWRCalcPts[TM],MATCH(TableWRRanks32423644[[#This Row],[Player]],TableWRCalcPts[PLAYER],0)),"")</f>
        <v>KC</v>
      </c>
      <c r="AG124" s="58">
        <f>IFERROR(INDEX(TableWRCalcPts[BYE],MATCH(TableWRRanks32423644[[#This Row],[Player]],TableWRCalcPts[PLAYER],0)),"")</f>
        <v>5</v>
      </c>
      <c r="AH124" s="100">
        <f>VLOOKUP(TableWRRanks32423644[[#This Row],[Player]],WR!B:O,4,FALSE)</f>
        <v>0</v>
      </c>
      <c r="AI124" s="100">
        <f>VLOOKUP(TableWRRanks32423644[[#This Row],[Player]],WR!B:O,5,FALSE)</f>
        <v>0</v>
      </c>
      <c r="AJ124" s="100">
        <f>VLOOKUP(TableWRRanks32423644[[#This Row],[Player]],WR!B:O,6,FALSE)</f>
        <v>26.346442499999998</v>
      </c>
      <c r="AK124" s="100">
        <f>VLOOKUP(TableWRRanks32423644[[#This Row],[Player]],WR!B:O,7,FALSE)</f>
        <v>16.545565889999999</v>
      </c>
      <c r="AL124" s="100">
        <f>VLOOKUP(TableWRRanks32423644[[#This Row],[Player]],WR!B:O,8,FALSE)</f>
        <v>173.51816124730254</v>
      </c>
      <c r="AM124" s="100">
        <f>VLOOKUP(TableWRRanks32423644[[#This Row],[Player]],WR!B:O,9,FALSE)</f>
        <v>1.24091744175</v>
      </c>
      <c r="AN124" s="95">
        <f>VLOOKUP(TableWRRanks32423644[[#This Row],[Player]],WR!B:O,13,FALSE)</f>
        <v>33.070103720230257</v>
      </c>
      <c r="AO124" s="190">
        <f>TableWRRanks32423644[[#This Row],[FPS]]-(TableWRRanks32423644[[#This Row],[REC]]*0.5)</f>
        <v>24.797320775230258</v>
      </c>
    </row>
    <row r="125" spans="16:41" x14ac:dyDescent="0.25">
      <c r="P125" s="58">
        <v>124</v>
      </c>
      <c r="Q125" s="58">
        <f>VLOOKUP(TableRBRanks31413539[[#This Row],[RK]],Rankings!A:AY,38,FALSE)</f>
        <v>0</v>
      </c>
      <c r="R125" s="58" t="str">
        <f>IFERROR(INDEX(TableRBCalcPts[TM],MATCH(TableRBRanks31413539[[#This Row],[Player]],TableRBCalcPts[PLAYER],0)),"")</f>
        <v/>
      </c>
      <c r="S125" s="58" t="str">
        <f>IFERROR(INDEX(TableRBCalcPts[BYE],MATCH(TableRBRanks31413539[[#This Row],[Player]],TableRBCalcPts[PLAYER],0)),"")</f>
        <v/>
      </c>
      <c r="T125" s="100">
        <f>VLOOKUP(TableRBRanks31413539[[#This Row],[Player]],RB!B:O,4,FALSE)</f>
        <v>0</v>
      </c>
      <c r="U125" s="100">
        <f>VLOOKUP(TableRBRanks31413539[[#This Row],[Player]],RB!B:O,5,FALSE)</f>
        <v>0</v>
      </c>
      <c r="V125" s="100">
        <f>VLOOKUP(TableRBRanks31413539[[#This Row],[Player]],RB!B:O,6,FALSE)</f>
        <v>0</v>
      </c>
      <c r="W125" s="100">
        <f>VLOOKUP(TableRBRanks31413539[[#This Row],[Player]],RB!B:O,7,FALSE)</f>
        <v>0</v>
      </c>
      <c r="X125" s="100">
        <f>VLOOKUP(TableRBRanks31413539[[#This Row],[Player]],RB!B:O,8,FALSE)</f>
        <v>0</v>
      </c>
      <c r="Y125" s="100">
        <f>VLOOKUP(TableRBRanks31413539[[#This Row],[Player]],RB!B:O,9,FALSE)</f>
        <v>0</v>
      </c>
      <c r="Z125" s="100">
        <f>VLOOKUP(TableRBRanks31413539[[#This Row],[Player]],RB!B:O,10,FALSE)</f>
        <v>0</v>
      </c>
      <c r="AA125" s="95">
        <f>VLOOKUP(TableRBRanks31413539[[#This Row],[Player]],RB!B:O,14,FALSE)</f>
        <v>0</v>
      </c>
      <c r="AB125" s="190">
        <f>TableRBRanks31413539[[#This Row],[FPS]]-(TableRBRanks31413539[[#This Row],[REC]]*0.5)</f>
        <v>0</v>
      </c>
      <c r="AD125" s="58">
        <v>124</v>
      </c>
      <c r="AE125" s="58" t="str">
        <f>VLOOKUP(TableWRRanks32423644[[#This Row],[RK]],Rankings!A:AZ,43,FALSE)</f>
        <v>Marvin Mims</v>
      </c>
      <c r="AF125" s="58" t="str">
        <f>IFERROR(INDEX(TableWRCalcPts[TM],MATCH(TableWRRanks32423644[[#This Row],[Player]],TableWRCalcPts[PLAYER],0)),"")</f>
        <v>DEN</v>
      </c>
      <c r="AG125" s="58">
        <f>IFERROR(INDEX(TableWRCalcPts[BYE],MATCH(TableWRRanks32423644[[#This Row],[Player]],TableWRCalcPts[PLAYER],0)),"")</f>
        <v>10</v>
      </c>
      <c r="AH125" s="100">
        <f>VLOOKUP(TableWRRanks32423644[[#This Row],[Player]],WR!B:O,4,FALSE)</f>
        <v>40.606619846057285</v>
      </c>
      <c r="AI125" s="100">
        <f>VLOOKUP(TableWRRanks32423644[[#This Row],[Player]],WR!B:O,5,FALSE)</f>
        <v>0.3122830212152084</v>
      </c>
      <c r="AJ125" s="100">
        <f>VLOOKUP(TableWRRanks32423644[[#This Row],[Player]],WR!B:O,6,FALSE)</f>
        <v>22.256193960000001</v>
      </c>
      <c r="AK125" s="100">
        <f>VLOOKUP(TableWRRanks32423644[[#This Row],[Player]],WR!B:O,7,FALSE)</f>
        <v>15.089699504880002</v>
      </c>
      <c r="AL125" s="100">
        <f>VLOOKUP(TableWRRanks32423644[[#This Row],[Player]],WR!B:O,8,FALSE)</f>
        <v>154.7447262544562</v>
      </c>
      <c r="AM125" s="100">
        <f>VLOOKUP(TableWRRanks32423644[[#This Row],[Player]],WR!B:O,9,FALSE)</f>
        <v>0.78466437425376012</v>
      </c>
      <c r="AN125" s="95">
        <f>VLOOKUP(TableWRRanks32423644[[#This Row],[Player]],WR!B:O,13,FALSE)</f>
        <v>33.661668735305163</v>
      </c>
      <c r="AO125" s="190">
        <f>TableWRRanks32423644[[#This Row],[FPS]]-(TableWRRanks32423644[[#This Row],[REC]]*0.5)</f>
        <v>26.116818982865162</v>
      </c>
    </row>
    <row r="126" spans="16:41" x14ac:dyDescent="0.25">
      <c r="P126" s="58">
        <v>125</v>
      </c>
      <c r="Q126" s="58">
        <f>VLOOKUP(TableRBRanks31413539[[#This Row],[RK]],Rankings!A:AY,38,FALSE)</f>
        <v>0</v>
      </c>
      <c r="R126" s="58" t="str">
        <f>IFERROR(INDEX(TableRBCalcPts[TM],MATCH(TableRBRanks31413539[[#This Row],[Player]],TableRBCalcPts[PLAYER],0)),"")</f>
        <v/>
      </c>
      <c r="S126" s="58" t="str">
        <f>IFERROR(INDEX(TableRBCalcPts[BYE],MATCH(TableRBRanks31413539[[#This Row],[Player]],TableRBCalcPts[PLAYER],0)),"")</f>
        <v/>
      </c>
      <c r="T126" s="100">
        <f>VLOOKUP(TableRBRanks31413539[[#This Row],[Player]],RB!B:O,4,FALSE)</f>
        <v>0</v>
      </c>
      <c r="U126" s="100">
        <f>VLOOKUP(TableRBRanks31413539[[#This Row],[Player]],RB!B:O,5,FALSE)</f>
        <v>0</v>
      </c>
      <c r="V126" s="100">
        <f>VLOOKUP(TableRBRanks31413539[[#This Row],[Player]],RB!B:O,6,FALSE)</f>
        <v>0</v>
      </c>
      <c r="W126" s="100">
        <f>VLOOKUP(TableRBRanks31413539[[#This Row],[Player]],RB!B:O,7,FALSE)</f>
        <v>0</v>
      </c>
      <c r="X126" s="100">
        <f>VLOOKUP(TableRBRanks31413539[[#This Row],[Player]],RB!B:O,8,FALSE)</f>
        <v>0</v>
      </c>
      <c r="Y126" s="100">
        <f>VLOOKUP(TableRBRanks31413539[[#This Row],[Player]],RB!B:O,9,FALSE)</f>
        <v>0</v>
      </c>
      <c r="Z126" s="100">
        <f>VLOOKUP(TableRBRanks31413539[[#This Row],[Player]],RB!B:O,10,FALSE)</f>
        <v>0</v>
      </c>
      <c r="AA126" s="95">
        <f>VLOOKUP(TableRBRanks31413539[[#This Row],[Player]],RB!B:O,14,FALSE)</f>
        <v>0</v>
      </c>
      <c r="AB126" s="190">
        <f>TableRBRanks31413539[[#This Row],[FPS]]-(TableRBRanks31413539[[#This Row],[REC]]*0.5)</f>
        <v>0</v>
      </c>
      <c r="AD126" s="58">
        <v>125</v>
      </c>
      <c r="AE126" s="58" t="str">
        <f>VLOOKUP(TableWRRanks32423644[[#This Row],[RK]],Rankings!A:AZ,43,FALSE)</f>
        <v>Chimere Dike</v>
      </c>
      <c r="AF126" s="58" t="str">
        <f>IFERROR(INDEX(TableWRCalcPts[TM],MATCH(TableWRRanks32423644[[#This Row],[Player]],TableWRCalcPts[PLAYER],0)),"")</f>
        <v>TEN</v>
      </c>
      <c r="AG126" s="58">
        <f>IFERROR(INDEX(TableWRCalcPts[BYE],MATCH(TableWRRanks32423644[[#This Row],[Player]],TableWRCalcPts[PLAYER],0)),"")</f>
        <v>9</v>
      </c>
      <c r="AH126" s="100">
        <f>VLOOKUP(TableWRRanks32423644[[#This Row],[Player]],WR!B:O,4,FALSE)</f>
        <v>18.365849940778077</v>
      </c>
      <c r="AI126" s="100">
        <f>VLOOKUP(TableWRRanks32423644[[#This Row],[Player]],WR!B:O,5,FALSE)</f>
        <v>0.24117726801997885</v>
      </c>
      <c r="AJ126" s="100">
        <f>VLOOKUP(TableWRRanks32423644[[#This Row],[Player]],WR!B:O,6,FALSE)</f>
        <v>13.730976000000004</v>
      </c>
      <c r="AK126" s="100">
        <f>VLOOKUP(TableWRRanks32423644[[#This Row],[Player]],WR!B:O,7,FALSE)</f>
        <v>9.0761751360000034</v>
      </c>
      <c r="AL126" s="100">
        <f>VLOOKUP(TableWRRanks32423644[[#This Row],[Player]],WR!B:O,8,FALSE)</f>
        <v>85.924693191770871</v>
      </c>
      <c r="AM126" s="100">
        <f>VLOOKUP(TableWRRanks32423644[[#This Row],[Player]],WR!B:O,9,FALSE)</f>
        <v>0.58995138384000023</v>
      </c>
      <c r="AN126" s="95">
        <f>VLOOKUP(TableWRRanks32423644[[#This Row],[Player]],WR!B:O,13,FALSE)</f>
        <v>19.953913792414774</v>
      </c>
      <c r="AO126" s="190">
        <f>TableWRRanks32423644[[#This Row],[FPS]]-(TableWRRanks32423644[[#This Row],[REC]]*0.5)</f>
        <v>15.415826224414772</v>
      </c>
    </row>
    <row r="127" spans="16:41" x14ac:dyDescent="0.25">
      <c r="P127" s="58">
        <v>126</v>
      </c>
      <c r="Q127" s="58">
        <f>VLOOKUP(TableRBRanks31413539[[#This Row],[RK]],Rankings!A:AY,38,FALSE)</f>
        <v>0</v>
      </c>
      <c r="R127" s="58" t="str">
        <f>IFERROR(INDEX(TableRBCalcPts[TM],MATCH(TableRBRanks31413539[[#This Row],[Player]],TableRBCalcPts[PLAYER],0)),"")</f>
        <v/>
      </c>
      <c r="S127" s="58" t="str">
        <f>IFERROR(INDEX(TableRBCalcPts[BYE],MATCH(TableRBRanks31413539[[#This Row],[Player]],TableRBCalcPts[PLAYER],0)),"")</f>
        <v/>
      </c>
      <c r="T127" s="100">
        <f>VLOOKUP(TableRBRanks31413539[[#This Row],[Player]],RB!B:O,4,FALSE)</f>
        <v>0</v>
      </c>
      <c r="U127" s="100">
        <f>VLOOKUP(TableRBRanks31413539[[#This Row],[Player]],RB!B:O,5,FALSE)</f>
        <v>0</v>
      </c>
      <c r="V127" s="100">
        <f>VLOOKUP(TableRBRanks31413539[[#This Row],[Player]],RB!B:O,6,FALSE)</f>
        <v>0</v>
      </c>
      <c r="W127" s="100">
        <f>VLOOKUP(TableRBRanks31413539[[#This Row],[Player]],RB!B:O,7,FALSE)</f>
        <v>0</v>
      </c>
      <c r="X127" s="100">
        <f>VLOOKUP(TableRBRanks31413539[[#This Row],[Player]],RB!B:O,8,FALSE)</f>
        <v>0</v>
      </c>
      <c r="Y127" s="100">
        <f>VLOOKUP(TableRBRanks31413539[[#This Row],[Player]],RB!B:O,9,FALSE)</f>
        <v>0</v>
      </c>
      <c r="Z127" s="100">
        <f>VLOOKUP(TableRBRanks31413539[[#This Row],[Player]],RB!B:O,10,FALSE)</f>
        <v>0</v>
      </c>
      <c r="AA127" s="95">
        <f>VLOOKUP(TableRBRanks31413539[[#This Row],[Player]],RB!B:O,14,FALSE)</f>
        <v>0</v>
      </c>
      <c r="AB127" s="190">
        <f>TableRBRanks31413539[[#This Row],[FPS]]-(TableRBRanks31413539[[#This Row],[REC]]*0.5)</f>
        <v>0</v>
      </c>
      <c r="AD127" s="58">
        <v>126</v>
      </c>
      <c r="AE127" s="58" t="str">
        <f>VLOOKUP(TableWRRanks32423644[[#This Row],[RK]],Rankings!A:AZ,43,FALSE)</f>
        <v>Jordan Whittington</v>
      </c>
      <c r="AF127" s="58" t="str">
        <f>IFERROR(INDEX(TableWRCalcPts[TM],MATCH(TableWRRanks32423644[[#This Row],[Player]],TableWRCalcPts[PLAYER],0)),"")</f>
        <v>LAR</v>
      </c>
      <c r="AG127" s="58">
        <f>IFERROR(INDEX(TableWRCalcPts[BYE],MATCH(TableWRRanks32423644[[#This Row],[Player]],TableWRCalcPts[PLAYER],0)),"")</f>
        <v>11</v>
      </c>
      <c r="AH127" s="100">
        <f>VLOOKUP(TableWRRanks32423644[[#This Row],[Player]],WR!B:O,4,FALSE)</f>
        <v>0</v>
      </c>
      <c r="AI127" s="100">
        <f>VLOOKUP(TableWRRanks32423644[[#This Row],[Player]],WR!B:O,5,FALSE)</f>
        <v>0</v>
      </c>
      <c r="AJ127" s="100">
        <f>VLOOKUP(TableWRRanks32423644[[#This Row],[Player]],WR!B:O,6,FALSE)</f>
        <v>15.267371012969585</v>
      </c>
      <c r="AK127" s="100">
        <f>VLOOKUP(TableWRRanks32423644[[#This Row],[Player]],WR!B:O,7,FALSE)</f>
        <v>10.732961822117618</v>
      </c>
      <c r="AL127" s="100">
        <f>VLOOKUP(TableWRRanks32423644[[#This Row],[Player]],WR!B:O,8,FALSE)</f>
        <v>111.12923962094875</v>
      </c>
      <c r="AM127" s="100">
        <f>VLOOKUP(TableWRRanks32423644[[#This Row],[Player]],WR!B:O,9,FALSE)</f>
        <v>0.66544363297129228</v>
      </c>
      <c r="AN127" s="95">
        <f>VLOOKUP(TableWRRanks32423644[[#This Row],[Player]],WR!B:O,13,FALSE)</f>
        <v>20.472066670981437</v>
      </c>
      <c r="AO127" s="190">
        <f>TableWRRanks32423644[[#This Row],[FPS]]-(TableWRRanks32423644[[#This Row],[REC]]*0.5)</f>
        <v>15.105585759922629</v>
      </c>
    </row>
    <row r="128" spans="16:41" x14ac:dyDescent="0.25">
      <c r="P128" s="58">
        <v>127</v>
      </c>
      <c r="Q128" s="58">
        <f>VLOOKUP(TableRBRanks31413539[[#This Row],[RK]],Rankings!A:AY,38,FALSE)</f>
        <v>0</v>
      </c>
      <c r="R128" s="58" t="str">
        <f>IFERROR(INDEX(TableRBCalcPts[TM],MATCH(TableRBRanks31413539[[#This Row],[Player]],TableRBCalcPts[PLAYER],0)),"")</f>
        <v/>
      </c>
      <c r="S128" s="58" t="str">
        <f>IFERROR(INDEX(TableRBCalcPts[BYE],MATCH(TableRBRanks31413539[[#This Row],[Player]],TableRBCalcPts[PLAYER],0)),"")</f>
        <v/>
      </c>
      <c r="T128" s="100">
        <f>VLOOKUP(TableRBRanks31413539[[#This Row],[Player]],RB!B:O,4,FALSE)</f>
        <v>0</v>
      </c>
      <c r="U128" s="100">
        <f>VLOOKUP(TableRBRanks31413539[[#This Row],[Player]],RB!B:O,5,FALSE)</f>
        <v>0</v>
      </c>
      <c r="V128" s="100">
        <f>VLOOKUP(TableRBRanks31413539[[#This Row],[Player]],RB!B:O,6,FALSE)</f>
        <v>0</v>
      </c>
      <c r="W128" s="100">
        <f>VLOOKUP(TableRBRanks31413539[[#This Row],[Player]],RB!B:O,7,FALSE)</f>
        <v>0</v>
      </c>
      <c r="X128" s="100">
        <f>VLOOKUP(TableRBRanks31413539[[#This Row],[Player]],RB!B:O,8,FALSE)</f>
        <v>0</v>
      </c>
      <c r="Y128" s="100">
        <f>VLOOKUP(TableRBRanks31413539[[#This Row],[Player]],RB!B:O,9,FALSE)</f>
        <v>0</v>
      </c>
      <c r="Z128" s="100">
        <f>VLOOKUP(TableRBRanks31413539[[#This Row],[Player]],RB!B:O,10,FALSE)</f>
        <v>0</v>
      </c>
      <c r="AA128" s="95">
        <f>VLOOKUP(TableRBRanks31413539[[#This Row],[Player]],RB!B:O,14,FALSE)</f>
        <v>0</v>
      </c>
      <c r="AB128" s="190">
        <f>TableRBRanks31413539[[#This Row],[FPS]]-(TableRBRanks31413539[[#This Row],[REC]]*0.5)</f>
        <v>0</v>
      </c>
      <c r="AD128" s="58">
        <v>127</v>
      </c>
      <c r="AE128" s="58" t="str">
        <f>VLOOKUP(TableWRRanks32423644[[#This Row],[RK]],Rankings!A:AZ,43,FALSE)</f>
        <v>Skyler Bell</v>
      </c>
      <c r="AF128" s="58" t="str">
        <f>IFERROR(INDEX(TableWRCalcPts[TM],MATCH(TableWRRanks32423644[[#This Row],[Player]],TableWRCalcPts[PLAYER],0)),"")</f>
        <v>BUF</v>
      </c>
      <c r="AG128" s="58">
        <f>IFERROR(INDEX(TableWRCalcPts[BYE],MATCH(TableWRRanks32423644[[#This Row],[Player]],TableWRCalcPts[PLAYER],0)),"")</f>
        <v>7</v>
      </c>
      <c r="AH128" s="100">
        <f>VLOOKUP(TableWRRanks32423644[[#This Row],[Player]],WR!B:O,4,FALSE)</f>
        <v>0</v>
      </c>
      <c r="AI128" s="100">
        <f>VLOOKUP(TableWRRanks32423644[[#This Row],[Player]],WR!B:O,5,FALSE)</f>
        <v>0</v>
      </c>
      <c r="AJ128" s="100">
        <f>VLOOKUP(TableWRRanks32423644[[#This Row],[Player]],WR!B:O,6,FALSE)</f>
        <v>20.430255999999993</v>
      </c>
      <c r="AK128" s="100">
        <f>VLOOKUP(TableWRRanks32423644[[#This Row],[Player]],WR!B:O,7,FALSE)</f>
        <v>12.728049487999996</v>
      </c>
      <c r="AL128" s="100">
        <f>VLOOKUP(TableWRRanks32423644[[#This Row],[Player]],WR!B:O,8,FALSE)</f>
        <v>161.05822684422731</v>
      </c>
      <c r="AM128" s="100">
        <f>VLOOKUP(TableWRRanks32423644[[#This Row],[Player]],WR!B:O,9,FALSE)</f>
        <v>0.99498567446310282</v>
      </c>
      <c r="AN128" s="95">
        <f>VLOOKUP(TableWRRanks32423644[[#This Row],[Player]],WR!B:O,13,FALSE)</f>
        <v>28.439761475201344</v>
      </c>
      <c r="AO128" s="190">
        <f>TableWRRanks32423644[[#This Row],[FPS]]-(TableWRRanks32423644[[#This Row],[REC]]*0.5)</f>
        <v>22.075736731201346</v>
      </c>
    </row>
    <row r="129" spans="16:41" x14ac:dyDescent="0.25">
      <c r="P129" s="58">
        <v>128</v>
      </c>
      <c r="Q129" s="58">
        <f>VLOOKUP(TableRBRanks31413539[[#This Row],[RK]],Rankings!A:AY,38,FALSE)</f>
        <v>0</v>
      </c>
      <c r="R129" s="58" t="str">
        <f>IFERROR(INDEX(TableRBCalcPts[TM],MATCH(TableRBRanks31413539[[#This Row],[Player]],TableRBCalcPts[PLAYER],0)),"")</f>
        <v/>
      </c>
      <c r="S129" s="58" t="str">
        <f>IFERROR(INDEX(TableRBCalcPts[BYE],MATCH(TableRBRanks31413539[[#This Row],[Player]],TableRBCalcPts[PLAYER],0)),"")</f>
        <v/>
      </c>
      <c r="T129" s="100">
        <f>VLOOKUP(TableRBRanks31413539[[#This Row],[Player]],RB!B:O,4,FALSE)</f>
        <v>0</v>
      </c>
      <c r="U129" s="100">
        <f>VLOOKUP(TableRBRanks31413539[[#This Row],[Player]],RB!B:O,5,FALSE)</f>
        <v>0</v>
      </c>
      <c r="V129" s="100">
        <f>VLOOKUP(TableRBRanks31413539[[#This Row],[Player]],RB!B:O,6,FALSE)</f>
        <v>0</v>
      </c>
      <c r="W129" s="100">
        <f>VLOOKUP(TableRBRanks31413539[[#This Row],[Player]],RB!B:O,7,FALSE)</f>
        <v>0</v>
      </c>
      <c r="X129" s="100">
        <f>VLOOKUP(TableRBRanks31413539[[#This Row],[Player]],RB!B:O,8,FALSE)</f>
        <v>0</v>
      </c>
      <c r="Y129" s="100">
        <f>VLOOKUP(TableRBRanks31413539[[#This Row],[Player]],RB!B:O,9,FALSE)</f>
        <v>0</v>
      </c>
      <c r="Z129" s="100">
        <f>VLOOKUP(TableRBRanks31413539[[#This Row],[Player]],RB!B:O,10,FALSE)</f>
        <v>0</v>
      </c>
      <c r="AA129" s="95">
        <f>VLOOKUP(TableRBRanks31413539[[#This Row],[Player]],RB!B:O,14,FALSE)</f>
        <v>0</v>
      </c>
      <c r="AB129" s="190">
        <f>TableRBRanks31413539[[#This Row],[FPS]]-(TableRBRanks31413539[[#This Row],[REC]]*0.5)</f>
        <v>0</v>
      </c>
      <c r="AD129" s="58">
        <v>128</v>
      </c>
      <c r="AE129" s="58" t="str">
        <f>VLOOKUP(TableWRRanks32423644[[#This Row],[RK]],Rankings!A:AZ,43,FALSE)</f>
        <v>Treylon Burks</v>
      </c>
      <c r="AF129" s="58" t="str">
        <f>IFERROR(INDEX(TableWRCalcPts[TM],MATCH(TableWRRanks32423644[[#This Row],[Player]],TableWRCalcPts[PLAYER],0)),"")</f>
        <v>WSH</v>
      </c>
      <c r="AG129" s="58">
        <f>IFERROR(INDEX(TableWRCalcPts[BYE],MATCH(TableWRRanks32423644[[#This Row],[Player]],TableWRCalcPts[PLAYER],0)),"")</f>
        <v>7</v>
      </c>
      <c r="AH129" s="100">
        <f>VLOOKUP(TableWRRanks32423644[[#This Row],[Player]],WR!B:O,4,FALSE)</f>
        <v>0</v>
      </c>
      <c r="AI129" s="100">
        <f>VLOOKUP(TableWRRanks32423644[[#This Row],[Player]],WR!B:O,5,FALSE)</f>
        <v>0</v>
      </c>
      <c r="AJ129" s="100">
        <f>VLOOKUP(TableWRRanks32423644[[#This Row],[Player]],WR!B:O,6,FALSE)</f>
        <v>29.371519239999994</v>
      </c>
      <c r="AK129" s="100">
        <f>VLOOKUP(TableWRRanks32423644[[#This Row],[Player]],WR!B:O,7,FALSE)</f>
        <v>18.063484332599995</v>
      </c>
      <c r="AL129" s="100">
        <f>VLOOKUP(TableWRRanks32423644[[#This Row],[Player]],WR!B:O,8,FALSE)</f>
        <v>229.76752071067193</v>
      </c>
      <c r="AM129" s="100">
        <f>VLOOKUP(TableWRRanks32423644[[#This Row],[Player]],WR!B:O,9,FALSE)</f>
        <v>1.2473787627294641</v>
      </c>
      <c r="AN129" s="95">
        <f>VLOOKUP(TableWRRanks32423644[[#This Row],[Player]],WR!B:O,13,FALSE)</f>
        <v>39.492766813743984</v>
      </c>
      <c r="AO129" s="190">
        <f>TableWRRanks32423644[[#This Row],[FPS]]-(TableWRRanks32423644[[#This Row],[REC]]*0.5)</f>
        <v>30.461024647443985</v>
      </c>
    </row>
    <row r="130" spans="16:41" x14ac:dyDescent="0.25">
      <c r="P130" s="58">
        <v>129</v>
      </c>
      <c r="Q130" s="58">
        <f>VLOOKUP(TableRBRanks31413539[[#This Row],[RK]],Rankings!A:AY,38,FALSE)</f>
        <v>0</v>
      </c>
      <c r="R130" s="58" t="str">
        <f>IFERROR(INDEX(TableRBCalcPts[TM],MATCH(TableRBRanks31413539[[#This Row],[Player]],TableRBCalcPts[PLAYER],0)),"")</f>
        <v/>
      </c>
      <c r="S130" s="58" t="str">
        <f>IFERROR(INDEX(TableRBCalcPts[BYE],MATCH(TableRBRanks31413539[[#This Row],[Player]],TableRBCalcPts[PLAYER],0)),"")</f>
        <v/>
      </c>
      <c r="T130" s="100">
        <f>VLOOKUP(TableRBRanks31413539[[#This Row],[Player]],RB!B:O,4,FALSE)</f>
        <v>0</v>
      </c>
      <c r="U130" s="100">
        <f>VLOOKUP(TableRBRanks31413539[[#This Row],[Player]],RB!B:O,5,FALSE)</f>
        <v>0</v>
      </c>
      <c r="V130" s="100">
        <f>VLOOKUP(TableRBRanks31413539[[#This Row],[Player]],RB!B:O,6,FALSE)</f>
        <v>0</v>
      </c>
      <c r="W130" s="100">
        <f>VLOOKUP(TableRBRanks31413539[[#This Row],[Player]],RB!B:O,7,FALSE)</f>
        <v>0</v>
      </c>
      <c r="X130" s="100">
        <f>VLOOKUP(TableRBRanks31413539[[#This Row],[Player]],RB!B:O,8,FALSE)</f>
        <v>0</v>
      </c>
      <c r="Y130" s="100">
        <f>VLOOKUP(TableRBRanks31413539[[#This Row],[Player]],RB!B:O,9,FALSE)</f>
        <v>0</v>
      </c>
      <c r="Z130" s="100">
        <f>VLOOKUP(TableRBRanks31413539[[#This Row],[Player]],RB!B:O,10,FALSE)</f>
        <v>0</v>
      </c>
      <c r="AA130" s="95">
        <f>VLOOKUP(TableRBRanks31413539[[#This Row],[Player]],RB!B:O,14,FALSE)</f>
        <v>0</v>
      </c>
      <c r="AB130" s="190">
        <f>TableRBRanks31413539[[#This Row],[FPS]]-(TableRBRanks31413539[[#This Row],[REC]]*0.5)</f>
        <v>0</v>
      </c>
      <c r="AD130" s="58">
        <v>129</v>
      </c>
      <c r="AE130" s="58" t="str">
        <f>VLOOKUP(TableWRRanks32423644[[#This Row],[RK]],Rankings!A:AZ,43,FALSE)</f>
        <v>Hollywood Brown</v>
      </c>
      <c r="AF130" s="58" t="str">
        <f>IFERROR(INDEX(TableWRCalcPts[TM],MATCH(TableWRRanks32423644[[#This Row],[Player]],TableWRCalcPts[PLAYER],0)),"")</f>
        <v>PHI</v>
      </c>
      <c r="AG130" s="58">
        <f>IFERROR(INDEX(TableWRCalcPts[BYE],MATCH(TableWRRanks32423644[[#This Row],[Player]],TableWRCalcPts[PLAYER],0)),"")</f>
        <v>10</v>
      </c>
      <c r="AH130" s="100">
        <f>VLOOKUP(TableWRRanks32423644[[#This Row],[Player]],WR!B:O,4,FALSE)</f>
        <v>0</v>
      </c>
      <c r="AI130" s="100">
        <f>VLOOKUP(TableWRRanks32423644[[#This Row],[Player]],WR!B:O,5,FALSE)</f>
        <v>0</v>
      </c>
      <c r="AJ130" s="100">
        <f>VLOOKUP(TableWRRanks32423644[[#This Row],[Player]],WR!B:O,6,FALSE)</f>
        <v>23.535370319999998</v>
      </c>
      <c r="AK130" s="100">
        <f>VLOOKUP(TableWRRanks32423644[[#This Row],[Player]],WR!B:O,7,FALSE)</f>
        <v>12.920918305680001</v>
      </c>
      <c r="AL130" s="100">
        <f>VLOOKUP(TableWRRanks32423644[[#This Row],[Player]],WR!B:O,8,FALSE)</f>
        <v>148.92933417916109</v>
      </c>
      <c r="AM130" s="100">
        <f>VLOOKUP(TableWRRanks32423644[[#This Row],[Player]],WR!B:O,9,FALSE)</f>
        <v>1.0078316278430401</v>
      </c>
      <c r="AN130" s="95">
        <f>VLOOKUP(TableWRRanks32423644[[#This Row],[Player]],WR!B:O,13,FALSE)</f>
        <v>27.400382337814349</v>
      </c>
      <c r="AO130" s="190">
        <f>TableWRRanks32423644[[#This Row],[FPS]]-(TableWRRanks32423644[[#This Row],[REC]]*0.5)</f>
        <v>20.939923184974347</v>
      </c>
    </row>
    <row r="131" spans="16:41" x14ac:dyDescent="0.25">
      <c r="P131" s="58">
        <v>130</v>
      </c>
      <c r="Q131" s="58">
        <f>VLOOKUP(TableRBRanks31413539[[#This Row],[RK]],Rankings!A:AY,38,FALSE)</f>
        <v>0</v>
      </c>
      <c r="R131" s="58" t="str">
        <f>IFERROR(INDEX(TableRBCalcPts[TM],MATCH(TableRBRanks31413539[[#This Row],[Player]],TableRBCalcPts[PLAYER],0)),"")</f>
        <v/>
      </c>
      <c r="S131" s="58" t="str">
        <f>IFERROR(INDEX(TableRBCalcPts[BYE],MATCH(TableRBRanks31413539[[#This Row],[Player]],TableRBCalcPts[PLAYER],0)),"")</f>
        <v/>
      </c>
      <c r="T131" s="100">
        <f>VLOOKUP(TableRBRanks31413539[[#This Row],[Player]],RB!B:O,4,FALSE)</f>
        <v>0</v>
      </c>
      <c r="U131" s="100">
        <f>VLOOKUP(TableRBRanks31413539[[#This Row],[Player]],RB!B:O,5,FALSE)</f>
        <v>0</v>
      </c>
      <c r="V131" s="100">
        <f>VLOOKUP(TableRBRanks31413539[[#This Row],[Player]],RB!B:O,6,FALSE)</f>
        <v>0</v>
      </c>
      <c r="W131" s="100">
        <f>VLOOKUP(TableRBRanks31413539[[#This Row],[Player]],RB!B:O,7,FALSE)</f>
        <v>0</v>
      </c>
      <c r="X131" s="100">
        <f>VLOOKUP(TableRBRanks31413539[[#This Row],[Player]],RB!B:O,8,FALSE)</f>
        <v>0</v>
      </c>
      <c r="Y131" s="100">
        <f>VLOOKUP(TableRBRanks31413539[[#This Row],[Player]],RB!B:O,9,FALSE)</f>
        <v>0</v>
      </c>
      <c r="Z131" s="100">
        <f>VLOOKUP(TableRBRanks31413539[[#This Row],[Player]],RB!B:O,10,FALSE)</f>
        <v>0</v>
      </c>
      <c r="AA131" s="95">
        <f>VLOOKUP(TableRBRanks31413539[[#This Row],[Player]],RB!B:O,14,FALSE)</f>
        <v>0</v>
      </c>
      <c r="AB131" s="190">
        <f>TableRBRanks31413539[[#This Row],[FPS]]-(TableRBRanks31413539[[#This Row],[REC]]*0.5)</f>
        <v>0</v>
      </c>
      <c r="AD131" s="58">
        <v>130</v>
      </c>
      <c r="AE131" s="58" t="str">
        <f>VLOOKUP(TableWRRanks32423644[[#This Row],[RK]],Rankings!A:AZ,43,FALSE)</f>
        <v>Deion Burks</v>
      </c>
      <c r="AF131" s="58" t="str">
        <f>IFERROR(INDEX(TableWRCalcPts[TM],MATCH(TableWRRanks32423644[[#This Row],[Player]],TableWRCalcPts[PLAYER],0)),"")</f>
        <v>IND</v>
      </c>
      <c r="AG131" s="58">
        <f>IFERROR(INDEX(TableWRCalcPts[BYE],MATCH(TableWRRanks32423644[[#This Row],[Player]],TableWRCalcPts[PLAYER],0)),"")</f>
        <v>13</v>
      </c>
      <c r="AH131" s="100">
        <f>VLOOKUP(TableWRRanks32423644[[#This Row],[Player]],WR!B:O,4,FALSE)</f>
        <v>0</v>
      </c>
      <c r="AI131" s="100">
        <f>VLOOKUP(TableWRRanks32423644[[#This Row],[Player]],WR!B:O,5,FALSE)</f>
        <v>0</v>
      </c>
      <c r="AJ131" s="100">
        <f>VLOOKUP(TableWRRanks32423644[[#This Row],[Player]],WR!B:O,6,FALSE)</f>
        <v>18.291504</v>
      </c>
      <c r="AK131" s="100">
        <f>VLOOKUP(TableWRRanks32423644[[#This Row],[Player]],WR!B:O,7,FALSE)</f>
        <v>10.279825248000002</v>
      </c>
      <c r="AL131" s="100">
        <f>VLOOKUP(TableWRRanks32423644[[#This Row],[Player]],WR!B:O,8,FALSE)</f>
        <v>115.64803404000001</v>
      </c>
      <c r="AM131" s="100">
        <f>VLOOKUP(TableWRRanks32423644[[#This Row],[Player]],WR!B:O,9,FALSE)</f>
        <v>0.63734916537600006</v>
      </c>
      <c r="AN131" s="95">
        <f>VLOOKUP(TableWRRanks32423644[[#This Row],[Player]],WR!B:O,13,FALSE)</f>
        <v>20.528811020256004</v>
      </c>
      <c r="AO131" s="190">
        <f>TableWRRanks32423644[[#This Row],[FPS]]-(TableWRRanks32423644[[#This Row],[REC]]*0.5)</f>
        <v>15.388898396256003</v>
      </c>
    </row>
    <row r="132" spans="16:41" x14ac:dyDescent="0.25">
      <c r="P132" s="58">
        <v>131</v>
      </c>
      <c r="Q132" s="58">
        <f>VLOOKUP(TableRBRanks31413539[[#This Row],[RK]],Rankings!A:AY,38,FALSE)</f>
        <v>0</v>
      </c>
      <c r="R132" s="58" t="str">
        <f>IFERROR(INDEX(TableRBCalcPts[TM],MATCH(TableRBRanks31413539[[#This Row],[Player]],TableRBCalcPts[PLAYER],0)),"")</f>
        <v/>
      </c>
      <c r="S132" s="58" t="str">
        <f>IFERROR(INDEX(TableRBCalcPts[BYE],MATCH(TableRBRanks31413539[[#This Row],[Player]],TableRBCalcPts[PLAYER],0)),"")</f>
        <v/>
      </c>
      <c r="T132" s="100">
        <f>VLOOKUP(TableRBRanks31413539[[#This Row],[Player]],RB!B:O,4,FALSE)</f>
        <v>0</v>
      </c>
      <c r="U132" s="100">
        <f>VLOOKUP(TableRBRanks31413539[[#This Row],[Player]],RB!B:O,5,FALSE)</f>
        <v>0</v>
      </c>
      <c r="V132" s="100">
        <f>VLOOKUP(TableRBRanks31413539[[#This Row],[Player]],RB!B:O,6,FALSE)</f>
        <v>0</v>
      </c>
      <c r="W132" s="100">
        <f>VLOOKUP(TableRBRanks31413539[[#This Row],[Player]],RB!B:O,7,FALSE)</f>
        <v>0</v>
      </c>
      <c r="X132" s="100">
        <f>VLOOKUP(TableRBRanks31413539[[#This Row],[Player]],RB!B:O,8,FALSE)</f>
        <v>0</v>
      </c>
      <c r="Y132" s="100">
        <f>VLOOKUP(TableRBRanks31413539[[#This Row],[Player]],RB!B:O,9,FALSE)</f>
        <v>0</v>
      </c>
      <c r="Z132" s="100">
        <f>VLOOKUP(TableRBRanks31413539[[#This Row],[Player]],RB!B:O,10,FALSE)</f>
        <v>0</v>
      </c>
      <c r="AA132" s="95">
        <f>VLOOKUP(TableRBRanks31413539[[#This Row],[Player]],RB!B:O,14,FALSE)</f>
        <v>0</v>
      </c>
      <c r="AB132" s="190">
        <f>TableRBRanks31413539[[#This Row],[FPS]]-(TableRBRanks31413539[[#This Row],[REC]]*0.5)</f>
        <v>0</v>
      </c>
      <c r="AD132" s="58">
        <v>131</v>
      </c>
      <c r="AE132" s="58" t="str">
        <f>VLOOKUP(TableWRRanks32423644[[#This Row],[RK]],Rankings!A:AZ,43,FALSE)</f>
        <v>Xavier Hutchinson</v>
      </c>
      <c r="AF132" s="58" t="str">
        <f>IFERROR(INDEX(TableWRCalcPts[TM],MATCH(TableWRRanks32423644[[#This Row],[Player]],TableWRCalcPts[PLAYER],0)),"")</f>
        <v>HOU</v>
      </c>
      <c r="AG132" s="58">
        <f>IFERROR(INDEX(TableWRCalcPts[BYE],MATCH(TableWRRanks32423644[[#This Row],[Player]],TableWRCalcPts[PLAYER],0)),"")</f>
        <v>8</v>
      </c>
      <c r="AH132" s="100">
        <f>VLOOKUP(TableWRRanks32423644[[#This Row],[Player]],WR!B:O,4,FALSE)</f>
        <v>0</v>
      </c>
      <c r="AI132" s="100">
        <f>VLOOKUP(TableWRRanks32423644[[#This Row],[Player]],WR!B:O,5,FALSE)</f>
        <v>0</v>
      </c>
      <c r="AJ132" s="100">
        <f>VLOOKUP(TableWRRanks32423644[[#This Row],[Player]],WR!B:O,6,FALSE)</f>
        <v>14.322136500000001</v>
      </c>
      <c r="AK132" s="100">
        <f>VLOOKUP(TableWRRanks32423644[[#This Row],[Player]],WR!B:O,7,FALSE)</f>
        <v>9.4812543630000015</v>
      </c>
      <c r="AL132" s="100">
        <f>VLOOKUP(TableWRRanks32423644[[#This Row],[Player]],WR!B:O,8,FALSE)</f>
        <v>109.03442517450002</v>
      </c>
      <c r="AM132" s="100">
        <f>VLOOKUP(TableWRRanks32423644[[#This Row],[Player]],WR!B:O,9,FALSE)</f>
        <v>0.61628153359500015</v>
      </c>
      <c r="AN132" s="95">
        <f>VLOOKUP(TableWRRanks32423644[[#This Row],[Player]],WR!B:O,13,FALSE)</f>
        <v>19.341758900520006</v>
      </c>
      <c r="AO132" s="190">
        <f>TableWRRanks32423644[[#This Row],[FPS]]-(TableWRRanks32423644[[#This Row],[REC]]*0.5)</f>
        <v>14.601131719020005</v>
      </c>
    </row>
    <row r="133" spans="16:41" x14ac:dyDescent="0.25">
      <c r="P133" s="58">
        <v>132</v>
      </c>
      <c r="Q133" s="58">
        <f>VLOOKUP(TableRBRanks31413539[[#This Row],[RK]],Rankings!A:AY,38,FALSE)</f>
        <v>0</v>
      </c>
      <c r="R133" s="58" t="str">
        <f>IFERROR(INDEX(TableRBCalcPts[TM],MATCH(TableRBRanks31413539[[#This Row],[Player]],TableRBCalcPts[PLAYER],0)),"")</f>
        <v/>
      </c>
      <c r="S133" s="58" t="str">
        <f>IFERROR(INDEX(TableRBCalcPts[BYE],MATCH(TableRBRanks31413539[[#This Row],[Player]],TableRBCalcPts[PLAYER],0)),"")</f>
        <v/>
      </c>
      <c r="T133" s="100">
        <f>VLOOKUP(TableRBRanks31413539[[#This Row],[Player]],RB!B:O,4,FALSE)</f>
        <v>0</v>
      </c>
      <c r="U133" s="100">
        <f>VLOOKUP(TableRBRanks31413539[[#This Row],[Player]],RB!B:O,5,FALSE)</f>
        <v>0</v>
      </c>
      <c r="V133" s="100">
        <f>VLOOKUP(TableRBRanks31413539[[#This Row],[Player]],RB!B:O,6,FALSE)</f>
        <v>0</v>
      </c>
      <c r="W133" s="100">
        <f>VLOOKUP(TableRBRanks31413539[[#This Row],[Player]],RB!B:O,7,FALSE)</f>
        <v>0</v>
      </c>
      <c r="X133" s="100">
        <f>VLOOKUP(TableRBRanks31413539[[#This Row],[Player]],RB!B:O,8,FALSE)</f>
        <v>0</v>
      </c>
      <c r="Y133" s="100">
        <f>VLOOKUP(TableRBRanks31413539[[#This Row],[Player]],RB!B:O,9,FALSE)</f>
        <v>0</v>
      </c>
      <c r="Z133" s="100">
        <f>VLOOKUP(TableRBRanks31413539[[#This Row],[Player]],RB!B:O,10,FALSE)</f>
        <v>0</v>
      </c>
      <c r="AA133" s="95">
        <f>VLOOKUP(TableRBRanks31413539[[#This Row],[Player]],RB!B:O,14,FALSE)</f>
        <v>0</v>
      </c>
      <c r="AB133" s="190">
        <f>TableRBRanks31413539[[#This Row],[FPS]]-(TableRBRanks31413539[[#This Row],[REC]]*0.5)</f>
        <v>0</v>
      </c>
      <c r="AD133" s="58">
        <v>132</v>
      </c>
      <c r="AE133" s="58" t="str">
        <f>VLOOKUP(TableWRRanks32423644[[#This Row],[RK]],Rankings!A:AZ,43,FALSE)</f>
        <v>Bryce Lance</v>
      </c>
      <c r="AF133" s="58" t="str">
        <f>IFERROR(INDEX(TableWRCalcPts[TM],MATCH(TableWRRanks32423644[[#This Row],[Player]],TableWRCalcPts[PLAYER],0)),"")</f>
        <v>NO</v>
      </c>
      <c r="AG133" s="58">
        <f>IFERROR(INDEX(TableWRCalcPts[BYE],MATCH(TableWRRanks32423644[[#This Row],[Player]],TableWRCalcPts[PLAYER],0)),"")</f>
        <v>8</v>
      </c>
      <c r="AH133" s="100">
        <f>VLOOKUP(TableWRRanks32423644[[#This Row],[Player]],WR!B:O,4,FALSE)</f>
        <v>0</v>
      </c>
      <c r="AI133" s="100">
        <f>VLOOKUP(TableWRRanks32423644[[#This Row],[Player]],WR!B:O,5,FALSE)</f>
        <v>0</v>
      </c>
      <c r="AJ133" s="100">
        <f>VLOOKUP(TableWRRanks32423644[[#This Row],[Player]],WR!B:O,6,FALSE)</f>
        <v>16.75677696</v>
      </c>
      <c r="AK133" s="100">
        <f>VLOOKUP(TableWRRanks32423644[[#This Row],[Player]],WR!B:O,7,FALSE)</f>
        <v>9.8194712985599999</v>
      </c>
      <c r="AL133" s="100">
        <f>VLOOKUP(TableWRRanks32423644[[#This Row],[Player]],WR!B:O,8,FALSE)</f>
        <v>118.11705771894272</v>
      </c>
      <c r="AM133" s="100">
        <f>VLOOKUP(TableWRRanks32423644[[#This Row],[Player]],WR!B:O,9,FALSE)</f>
        <v>0.59898774921216003</v>
      </c>
      <c r="AN133" s="95">
        <f>VLOOKUP(TableWRRanks32423644[[#This Row],[Player]],WR!B:O,13,FALSE)</f>
        <v>20.315367916447233</v>
      </c>
      <c r="AO133" s="190">
        <f>TableWRRanks32423644[[#This Row],[FPS]]-(TableWRRanks32423644[[#This Row],[REC]]*0.5)</f>
        <v>15.405632267167233</v>
      </c>
    </row>
    <row r="134" spans="16:41" x14ac:dyDescent="0.25">
      <c r="P134" s="58">
        <v>133</v>
      </c>
      <c r="Q134" s="58">
        <f>VLOOKUP(TableRBRanks31413539[[#This Row],[RK]],Rankings!A:AY,38,FALSE)</f>
        <v>0</v>
      </c>
      <c r="R134" s="58" t="str">
        <f>IFERROR(INDEX(TableRBCalcPts[TM],MATCH(TableRBRanks31413539[[#This Row],[Player]],TableRBCalcPts[PLAYER],0)),"")</f>
        <v/>
      </c>
      <c r="S134" s="58" t="str">
        <f>IFERROR(INDEX(TableRBCalcPts[BYE],MATCH(TableRBRanks31413539[[#This Row],[Player]],TableRBCalcPts[PLAYER],0)),"")</f>
        <v/>
      </c>
      <c r="T134" s="100">
        <f>VLOOKUP(TableRBRanks31413539[[#This Row],[Player]],RB!B:O,4,FALSE)</f>
        <v>0</v>
      </c>
      <c r="U134" s="100">
        <f>VLOOKUP(TableRBRanks31413539[[#This Row],[Player]],RB!B:O,5,FALSE)</f>
        <v>0</v>
      </c>
      <c r="V134" s="100">
        <f>VLOOKUP(TableRBRanks31413539[[#This Row],[Player]],RB!B:O,6,FALSE)</f>
        <v>0</v>
      </c>
      <c r="W134" s="100">
        <f>VLOOKUP(TableRBRanks31413539[[#This Row],[Player]],RB!B:O,7,FALSE)</f>
        <v>0</v>
      </c>
      <c r="X134" s="100">
        <f>VLOOKUP(TableRBRanks31413539[[#This Row],[Player]],RB!B:O,8,FALSE)</f>
        <v>0</v>
      </c>
      <c r="Y134" s="100">
        <f>VLOOKUP(TableRBRanks31413539[[#This Row],[Player]],RB!B:O,9,FALSE)</f>
        <v>0</v>
      </c>
      <c r="Z134" s="100">
        <f>VLOOKUP(TableRBRanks31413539[[#This Row],[Player]],RB!B:O,10,FALSE)</f>
        <v>0</v>
      </c>
      <c r="AA134" s="95">
        <f>VLOOKUP(TableRBRanks31413539[[#This Row],[Player]],RB!B:O,14,FALSE)</f>
        <v>0</v>
      </c>
      <c r="AB134" s="190">
        <f>TableRBRanks31413539[[#This Row],[FPS]]-(TableRBRanks31413539[[#This Row],[REC]]*0.5)</f>
        <v>0</v>
      </c>
      <c r="AD134" s="58">
        <v>133</v>
      </c>
      <c r="AE134" s="58" t="str">
        <f>VLOOKUP(TableWRRanks32423644[[#This Row],[RK]],Rankings!A:AZ,43,FALSE)</f>
        <v>Tim Patrick</v>
      </c>
      <c r="AF134" s="58" t="str">
        <f>IFERROR(INDEX(TableWRCalcPts[TM],MATCH(TableWRRanks32423644[[#This Row],[Player]],TableWRCalcPts[PLAYER],0)),"")</f>
        <v>NYJ</v>
      </c>
      <c r="AG134" s="58">
        <f>IFERROR(INDEX(TableWRCalcPts[BYE],MATCH(TableWRRanks32423644[[#This Row],[Player]],TableWRCalcPts[PLAYER],0)),"")</f>
        <v>13</v>
      </c>
      <c r="AH134" s="100">
        <f>VLOOKUP(TableWRRanks32423644[[#This Row],[Player]],WR!B:O,4,FALSE)</f>
        <v>0</v>
      </c>
      <c r="AI134" s="100">
        <f>VLOOKUP(TableWRRanks32423644[[#This Row],[Player]],WR!B:O,5,FALSE)</f>
        <v>0</v>
      </c>
      <c r="AJ134" s="100">
        <f>VLOOKUP(TableWRRanks32423644[[#This Row],[Player]],WR!B:O,6,FALSE)</f>
        <v>14.049932817501903</v>
      </c>
      <c r="AK134" s="100">
        <f>VLOOKUP(TableWRRanks32423644[[#This Row],[Player]],WR!B:O,7,FALSE)</f>
        <v>8.9498072047487121</v>
      </c>
      <c r="AL134" s="100">
        <f>VLOOKUP(TableWRRanks32423644[[#This Row],[Player]],WR!B:O,8,FALSE)</f>
        <v>99.163863828615732</v>
      </c>
      <c r="AM134" s="100">
        <f>VLOOKUP(TableWRRanks32423644[[#This Row],[Player]],WR!B:O,9,FALSE)</f>
        <v>0.60858688992291243</v>
      </c>
      <c r="AN134" s="95">
        <f>VLOOKUP(TableWRRanks32423644[[#This Row],[Player]],WR!B:O,13,FALSE)</f>
        <v>18.042811324773403</v>
      </c>
      <c r="AO134" s="190">
        <f>TableWRRanks32423644[[#This Row],[FPS]]-(TableWRRanks32423644[[#This Row],[REC]]*0.5)</f>
        <v>13.567907722399047</v>
      </c>
    </row>
    <row r="135" spans="16:41" x14ac:dyDescent="0.25">
      <c r="P135" s="58">
        <v>134</v>
      </c>
      <c r="Q135" s="58">
        <f>VLOOKUP(TableRBRanks31413539[[#This Row],[RK]],Rankings!A:AY,38,FALSE)</f>
        <v>0</v>
      </c>
      <c r="R135" s="58" t="str">
        <f>IFERROR(INDEX(TableRBCalcPts[TM],MATCH(TableRBRanks31413539[[#This Row],[Player]],TableRBCalcPts[PLAYER],0)),"")</f>
        <v/>
      </c>
      <c r="S135" s="58" t="str">
        <f>IFERROR(INDEX(TableRBCalcPts[BYE],MATCH(TableRBRanks31413539[[#This Row],[Player]],TableRBCalcPts[PLAYER],0)),"")</f>
        <v/>
      </c>
      <c r="T135" s="100">
        <f>VLOOKUP(TableRBRanks31413539[[#This Row],[Player]],RB!B:O,4,FALSE)</f>
        <v>0</v>
      </c>
      <c r="U135" s="100">
        <f>VLOOKUP(TableRBRanks31413539[[#This Row],[Player]],RB!B:O,5,FALSE)</f>
        <v>0</v>
      </c>
      <c r="V135" s="100">
        <f>VLOOKUP(TableRBRanks31413539[[#This Row],[Player]],RB!B:O,6,FALSE)</f>
        <v>0</v>
      </c>
      <c r="W135" s="100">
        <f>VLOOKUP(TableRBRanks31413539[[#This Row],[Player]],RB!B:O,7,FALSE)</f>
        <v>0</v>
      </c>
      <c r="X135" s="100">
        <f>VLOOKUP(TableRBRanks31413539[[#This Row],[Player]],RB!B:O,8,FALSE)</f>
        <v>0</v>
      </c>
      <c r="Y135" s="100">
        <f>VLOOKUP(TableRBRanks31413539[[#This Row],[Player]],RB!B:O,9,FALSE)</f>
        <v>0</v>
      </c>
      <c r="Z135" s="100">
        <f>VLOOKUP(TableRBRanks31413539[[#This Row],[Player]],RB!B:O,10,FALSE)</f>
        <v>0</v>
      </c>
      <c r="AA135" s="95">
        <f>VLOOKUP(TableRBRanks31413539[[#This Row],[Player]],RB!B:O,14,FALSE)</f>
        <v>0</v>
      </c>
      <c r="AB135" s="190">
        <f>TableRBRanks31413539[[#This Row],[FPS]]-(TableRBRanks31413539[[#This Row],[REC]]*0.5)</f>
        <v>0</v>
      </c>
      <c r="AD135" s="58">
        <v>134</v>
      </c>
      <c r="AE135" s="58" t="str">
        <f>VLOOKUP(TableWRRanks32423644[[#This Row],[RK]],Rankings!A:AZ,43,FALSE)</f>
        <v>Greg Dortch</v>
      </c>
      <c r="AF135" s="58" t="str">
        <f>IFERROR(INDEX(TableWRCalcPts[TM],MATCH(TableWRRanks32423644[[#This Row],[Player]],TableWRCalcPts[PLAYER],0)),"")</f>
        <v>DET</v>
      </c>
      <c r="AG135" s="58">
        <f>IFERROR(INDEX(TableWRCalcPts[BYE],MATCH(TableWRRanks32423644[[#This Row],[Player]],TableWRCalcPts[PLAYER],0)),"")</f>
        <v>6</v>
      </c>
      <c r="AH135" s="100">
        <f>VLOOKUP(TableWRRanks32423644[[#This Row],[Player]],WR!B:O,4,FALSE)</f>
        <v>18.003401359944398</v>
      </c>
      <c r="AI135" s="100">
        <f>VLOOKUP(TableWRRanks32423644[[#This Row],[Player]],WR!B:O,5,FALSE)</f>
        <v>0.1096284380895641</v>
      </c>
      <c r="AJ135" s="100">
        <f>VLOOKUP(TableWRRanks32423644[[#This Row],[Player]],WR!B:O,6,FALSE)</f>
        <v>15.806145599999997</v>
      </c>
      <c r="AK135" s="100">
        <f>VLOOKUP(TableWRRanks32423644[[#This Row],[Player]],WR!B:O,7,FALSE)</f>
        <v>10.827209735999999</v>
      </c>
      <c r="AL135" s="100">
        <f>VLOOKUP(TableWRRanks32423644[[#This Row],[Player]],WR!B:O,8,FALSE)</f>
        <v>105.56529492599999</v>
      </c>
      <c r="AM135" s="100">
        <f>VLOOKUP(TableWRRanks32423644[[#This Row],[Player]],WR!B:O,9,FALSE)</f>
        <v>0.64963258415999992</v>
      </c>
      <c r="AN135" s="95">
        <f>VLOOKUP(TableWRRanks32423644[[#This Row],[Player]],WR!B:O,13,FALSE)</f>
        <v>22.326040630091825</v>
      </c>
      <c r="AO135" s="190">
        <f>TableWRRanks32423644[[#This Row],[FPS]]-(TableWRRanks32423644[[#This Row],[REC]]*0.5)</f>
        <v>16.912435762091825</v>
      </c>
    </row>
    <row r="136" spans="16:41" x14ac:dyDescent="0.25">
      <c r="P136" s="58">
        <v>135</v>
      </c>
      <c r="Q136" s="58">
        <f>VLOOKUP(TableRBRanks31413539[[#This Row],[RK]],Rankings!A:AY,38,FALSE)</f>
        <v>0</v>
      </c>
      <c r="R136" s="58" t="str">
        <f>IFERROR(INDEX(TableRBCalcPts[TM],MATCH(TableRBRanks31413539[[#This Row],[Player]],TableRBCalcPts[PLAYER],0)),"")</f>
        <v/>
      </c>
      <c r="S136" s="58" t="str">
        <f>IFERROR(INDEX(TableRBCalcPts[BYE],MATCH(TableRBRanks31413539[[#This Row],[Player]],TableRBCalcPts[PLAYER],0)),"")</f>
        <v/>
      </c>
      <c r="T136" s="100">
        <f>VLOOKUP(TableRBRanks31413539[[#This Row],[Player]],RB!B:O,4,FALSE)</f>
        <v>0</v>
      </c>
      <c r="U136" s="100">
        <f>VLOOKUP(TableRBRanks31413539[[#This Row],[Player]],RB!B:O,5,FALSE)</f>
        <v>0</v>
      </c>
      <c r="V136" s="100">
        <f>VLOOKUP(TableRBRanks31413539[[#This Row],[Player]],RB!B:O,6,FALSE)</f>
        <v>0</v>
      </c>
      <c r="W136" s="100">
        <f>VLOOKUP(TableRBRanks31413539[[#This Row],[Player]],RB!B:O,7,FALSE)</f>
        <v>0</v>
      </c>
      <c r="X136" s="100">
        <f>VLOOKUP(TableRBRanks31413539[[#This Row],[Player]],RB!B:O,8,FALSE)</f>
        <v>0</v>
      </c>
      <c r="Y136" s="100">
        <f>VLOOKUP(TableRBRanks31413539[[#This Row],[Player]],RB!B:O,9,FALSE)</f>
        <v>0</v>
      </c>
      <c r="Z136" s="100">
        <f>VLOOKUP(TableRBRanks31413539[[#This Row],[Player]],RB!B:O,10,FALSE)</f>
        <v>0</v>
      </c>
      <c r="AA136" s="95">
        <f>VLOOKUP(TableRBRanks31413539[[#This Row],[Player]],RB!B:O,14,FALSE)</f>
        <v>0</v>
      </c>
      <c r="AB136" s="190">
        <f>TableRBRanks31413539[[#This Row],[FPS]]-(TableRBRanks31413539[[#This Row],[REC]]*0.5)</f>
        <v>0</v>
      </c>
      <c r="AD136" s="58">
        <v>135</v>
      </c>
      <c r="AE136" s="58" t="str">
        <f>VLOOKUP(TableWRRanks32423644[[#This Row],[RK]],Rankings!A:AZ,43,FALSE)</f>
        <v>Kevin Coleman</v>
      </c>
      <c r="AF136" s="58" t="str">
        <f>IFERROR(INDEX(TableWRCalcPts[TM],MATCH(TableWRRanks32423644[[#This Row],[Player]],TableWRCalcPts[PLAYER],0)),"")</f>
        <v>MIA</v>
      </c>
      <c r="AG136" s="58">
        <f>IFERROR(INDEX(TableWRCalcPts[BYE],MATCH(TableWRRanks32423644[[#This Row],[Player]],TableWRCalcPts[PLAYER],0)),"")</f>
        <v>6</v>
      </c>
      <c r="AH136" s="100">
        <f>VLOOKUP(TableWRRanks32423644[[#This Row],[Player]],WR!B:O,4,FALSE)</f>
        <v>0</v>
      </c>
      <c r="AI136" s="100">
        <f>VLOOKUP(TableWRRanks32423644[[#This Row],[Player]],WR!B:O,5,FALSE)</f>
        <v>0</v>
      </c>
      <c r="AJ136" s="100">
        <f>VLOOKUP(TableWRRanks32423644[[#This Row],[Player]],WR!B:O,6,FALSE)</f>
        <v>18.220541219999998</v>
      </c>
      <c r="AK136" s="100">
        <f>VLOOKUP(TableWRRanks32423644[[#This Row],[Player]],WR!B:O,7,FALSE)</f>
        <v>10.586134448819998</v>
      </c>
      <c r="AL136" s="100">
        <f>VLOOKUP(TableWRRanks32423644[[#This Row],[Player]],WR!B:O,8,FALSE)</f>
        <v>127.13947473032817</v>
      </c>
      <c r="AM136" s="100">
        <f>VLOOKUP(TableWRRanks32423644[[#This Row],[Player]],WR!B:O,9,FALSE)</f>
        <v>0.52930672244099986</v>
      </c>
      <c r="AN136" s="95">
        <f>VLOOKUP(TableWRRanks32423644[[#This Row],[Player]],WR!B:O,13,FALSE)</f>
        <v>21.182855032088817</v>
      </c>
      <c r="AO136" s="190">
        <f>TableWRRanks32423644[[#This Row],[FPS]]-(TableWRRanks32423644[[#This Row],[REC]]*0.5)</f>
        <v>15.889787807678818</v>
      </c>
    </row>
    <row r="137" spans="16:41" x14ac:dyDescent="0.25">
      <c r="P137" s="58">
        <v>136</v>
      </c>
      <c r="Q137" s="58">
        <f>VLOOKUP(TableRBRanks31413539[[#This Row],[RK]],Rankings!A:AY,38,FALSE)</f>
        <v>0</v>
      </c>
      <c r="R137" s="58" t="str">
        <f>IFERROR(INDEX(TableRBCalcPts[TM],MATCH(TableRBRanks31413539[[#This Row],[Player]],TableRBCalcPts[PLAYER],0)),"")</f>
        <v/>
      </c>
      <c r="S137" s="58" t="str">
        <f>IFERROR(INDEX(TableRBCalcPts[BYE],MATCH(TableRBRanks31413539[[#This Row],[Player]],TableRBCalcPts[PLAYER],0)),"")</f>
        <v/>
      </c>
      <c r="T137" s="100">
        <f>VLOOKUP(TableRBRanks31413539[[#This Row],[Player]],RB!B:O,4,FALSE)</f>
        <v>0</v>
      </c>
      <c r="U137" s="100">
        <f>VLOOKUP(TableRBRanks31413539[[#This Row],[Player]],RB!B:O,5,FALSE)</f>
        <v>0</v>
      </c>
      <c r="V137" s="100">
        <f>VLOOKUP(TableRBRanks31413539[[#This Row],[Player]],RB!B:O,6,FALSE)</f>
        <v>0</v>
      </c>
      <c r="W137" s="100">
        <f>VLOOKUP(TableRBRanks31413539[[#This Row],[Player]],RB!B:O,7,FALSE)</f>
        <v>0</v>
      </c>
      <c r="X137" s="100">
        <f>VLOOKUP(TableRBRanks31413539[[#This Row],[Player]],RB!B:O,8,FALSE)</f>
        <v>0</v>
      </c>
      <c r="Y137" s="100">
        <f>VLOOKUP(TableRBRanks31413539[[#This Row],[Player]],RB!B:O,9,FALSE)</f>
        <v>0</v>
      </c>
      <c r="Z137" s="100">
        <f>VLOOKUP(TableRBRanks31413539[[#This Row],[Player]],RB!B:O,10,FALSE)</f>
        <v>0</v>
      </c>
      <c r="AA137" s="95">
        <f>VLOOKUP(TableRBRanks31413539[[#This Row],[Player]],RB!B:O,14,FALSE)</f>
        <v>0</v>
      </c>
      <c r="AB137" s="190">
        <f>TableRBRanks31413539[[#This Row],[FPS]]-(TableRBRanks31413539[[#This Row],[REC]]*0.5)</f>
        <v>0</v>
      </c>
      <c r="AD137" s="58">
        <v>136</v>
      </c>
      <c r="AE137" s="58">
        <f>VLOOKUP(TableWRRanks32423644[[#This Row],[RK]],Rankings!A:AZ,43,FALSE)</f>
        <v>0</v>
      </c>
      <c r="AF137" s="58" t="str">
        <f>IFERROR(INDEX(TableWRCalcPts[TM],MATCH(TableWRRanks32423644[[#This Row],[Player]],TableWRCalcPts[PLAYER],0)),"")</f>
        <v/>
      </c>
      <c r="AG137" s="58" t="str">
        <f>IFERROR(INDEX(TableWRCalcPts[BYE],MATCH(TableWRRanks32423644[[#This Row],[Player]],TableWRCalcPts[PLAYER],0)),"")</f>
        <v/>
      </c>
      <c r="AH137" s="100">
        <f>VLOOKUP(TableWRRanks32423644[[#This Row],[Player]],WR!B:O,4,FALSE)</f>
        <v>0</v>
      </c>
      <c r="AI137" s="100">
        <f>VLOOKUP(TableWRRanks32423644[[#This Row],[Player]],WR!B:O,5,FALSE)</f>
        <v>0</v>
      </c>
      <c r="AJ137" s="100">
        <f>VLOOKUP(TableWRRanks32423644[[#This Row],[Player]],WR!B:O,6,FALSE)</f>
        <v>0</v>
      </c>
      <c r="AK137" s="100">
        <f>VLOOKUP(TableWRRanks32423644[[#This Row],[Player]],WR!B:O,7,FALSE)</f>
        <v>0</v>
      </c>
      <c r="AL137" s="100">
        <f>VLOOKUP(TableWRRanks32423644[[#This Row],[Player]],WR!B:O,8,FALSE)</f>
        <v>0</v>
      </c>
      <c r="AM137" s="100">
        <f>VLOOKUP(TableWRRanks32423644[[#This Row],[Player]],WR!B:O,9,FALSE)</f>
        <v>0</v>
      </c>
      <c r="AN137" s="95">
        <f>VLOOKUP(TableWRRanks32423644[[#This Row],[Player]],WR!B:O,13,FALSE)</f>
        <v>0</v>
      </c>
      <c r="AO137" s="190">
        <f>TableWRRanks32423644[[#This Row],[FPS]]-(TableWRRanks32423644[[#This Row],[REC]]*0.5)</f>
        <v>0</v>
      </c>
    </row>
    <row r="138" spans="16:41" x14ac:dyDescent="0.25">
      <c r="P138" s="58">
        <v>137</v>
      </c>
      <c r="Q138" s="58">
        <f>VLOOKUP(TableRBRanks31413539[[#This Row],[RK]],Rankings!A:AY,38,FALSE)</f>
        <v>0</v>
      </c>
      <c r="R138" s="58" t="str">
        <f>IFERROR(INDEX(TableRBCalcPts[TM],MATCH(TableRBRanks31413539[[#This Row],[Player]],TableRBCalcPts[PLAYER],0)),"")</f>
        <v/>
      </c>
      <c r="S138" s="58" t="str">
        <f>IFERROR(INDEX(TableRBCalcPts[BYE],MATCH(TableRBRanks31413539[[#This Row],[Player]],TableRBCalcPts[PLAYER],0)),"")</f>
        <v/>
      </c>
      <c r="T138" s="100">
        <f>VLOOKUP(TableRBRanks31413539[[#This Row],[Player]],RB!B:O,4,FALSE)</f>
        <v>0</v>
      </c>
      <c r="U138" s="100">
        <f>VLOOKUP(TableRBRanks31413539[[#This Row],[Player]],RB!B:O,5,FALSE)</f>
        <v>0</v>
      </c>
      <c r="V138" s="100">
        <f>VLOOKUP(TableRBRanks31413539[[#This Row],[Player]],RB!B:O,6,FALSE)</f>
        <v>0</v>
      </c>
      <c r="W138" s="100">
        <f>VLOOKUP(TableRBRanks31413539[[#This Row],[Player]],RB!B:O,7,FALSE)</f>
        <v>0</v>
      </c>
      <c r="X138" s="100">
        <f>VLOOKUP(TableRBRanks31413539[[#This Row],[Player]],RB!B:O,8,FALSE)</f>
        <v>0</v>
      </c>
      <c r="Y138" s="100">
        <f>VLOOKUP(TableRBRanks31413539[[#This Row],[Player]],RB!B:O,9,FALSE)</f>
        <v>0</v>
      </c>
      <c r="Z138" s="100">
        <f>VLOOKUP(TableRBRanks31413539[[#This Row],[Player]],RB!B:O,10,FALSE)</f>
        <v>0</v>
      </c>
      <c r="AA138" s="95">
        <f>VLOOKUP(TableRBRanks31413539[[#This Row],[Player]],RB!B:O,14,FALSE)</f>
        <v>0</v>
      </c>
      <c r="AB138" s="190">
        <f>TableRBRanks31413539[[#This Row],[FPS]]-(TableRBRanks31413539[[#This Row],[REC]]*0.5)</f>
        <v>0</v>
      </c>
      <c r="AD138" s="58">
        <v>137</v>
      </c>
      <c r="AE138" s="58">
        <f>VLOOKUP(TableWRRanks32423644[[#This Row],[RK]],Rankings!A:AZ,43,FALSE)</f>
        <v>0</v>
      </c>
      <c r="AF138" s="58" t="str">
        <f>IFERROR(INDEX(TableWRCalcPts[TM],MATCH(TableWRRanks32423644[[#This Row],[Player]],TableWRCalcPts[PLAYER],0)),"")</f>
        <v/>
      </c>
      <c r="AG138" s="58" t="str">
        <f>IFERROR(INDEX(TableWRCalcPts[BYE],MATCH(TableWRRanks32423644[[#This Row],[Player]],TableWRCalcPts[PLAYER],0)),"")</f>
        <v/>
      </c>
      <c r="AH138" s="100">
        <f>VLOOKUP(TableWRRanks32423644[[#This Row],[Player]],WR!B:O,4,FALSE)</f>
        <v>0</v>
      </c>
      <c r="AI138" s="100">
        <f>VLOOKUP(TableWRRanks32423644[[#This Row],[Player]],WR!B:O,5,FALSE)</f>
        <v>0</v>
      </c>
      <c r="AJ138" s="100">
        <f>VLOOKUP(TableWRRanks32423644[[#This Row],[Player]],WR!B:O,6,FALSE)</f>
        <v>0</v>
      </c>
      <c r="AK138" s="100">
        <f>VLOOKUP(TableWRRanks32423644[[#This Row],[Player]],WR!B:O,7,FALSE)</f>
        <v>0</v>
      </c>
      <c r="AL138" s="100">
        <f>VLOOKUP(TableWRRanks32423644[[#This Row],[Player]],WR!B:O,8,FALSE)</f>
        <v>0</v>
      </c>
      <c r="AM138" s="100">
        <f>VLOOKUP(TableWRRanks32423644[[#This Row],[Player]],WR!B:O,9,FALSE)</f>
        <v>0</v>
      </c>
      <c r="AN138" s="95">
        <f>VLOOKUP(TableWRRanks32423644[[#This Row],[Player]],WR!B:O,13,FALSE)</f>
        <v>0</v>
      </c>
      <c r="AO138" s="190">
        <f>TableWRRanks32423644[[#This Row],[FPS]]-(TableWRRanks32423644[[#This Row],[REC]]*0.5)</f>
        <v>0</v>
      </c>
    </row>
    <row r="139" spans="16:41" x14ac:dyDescent="0.25">
      <c r="P139" s="58">
        <v>138</v>
      </c>
      <c r="Q139" s="58">
        <f>VLOOKUP(TableRBRanks31413539[[#This Row],[RK]],Rankings!A:AY,38,FALSE)</f>
        <v>0</v>
      </c>
      <c r="R139" s="58" t="str">
        <f>IFERROR(INDEX(TableRBCalcPts[TM],MATCH(TableRBRanks31413539[[#This Row],[Player]],TableRBCalcPts[PLAYER],0)),"")</f>
        <v/>
      </c>
      <c r="S139" s="58" t="str">
        <f>IFERROR(INDEX(TableRBCalcPts[BYE],MATCH(TableRBRanks31413539[[#This Row],[Player]],TableRBCalcPts[PLAYER],0)),"")</f>
        <v/>
      </c>
      <c r="T139" s="100">
        <f>VLOOKUP(TableRBRanks31413539[[#This Row],[Player]],RB!B:O,4,FALSE)</f>
        <v>0</v>
      </c>
      <c r="U139" s="100">
        <f>VLOOKUP(TableRBRanks31413539[[#This Row],[Player]],RB!B:O,5,FALSE)</f>
        <v>0</v>
      </c>
      <c r="V139" s="100">
        <f>VLOOKUP(TableRBRanks31413539[[#This Row],[Player]],RB!B:O,6,FALSE)</f>
        <v>0</v>
      </c>
      <c r="W139" s="100">
        <f>VLOOKUP(TableRBRanks31413539[[#This Row],[Player]],RB!B:O,7,FALSE)</f>
        <v>0</v>
      </c>
      <c r="X139" s="100">
        <f>VLOOKUP(TableRBRanks31413539[[#This Row],[Player]],RB!B:O,8,FALSE)</f>
        <v>0</v>
      </c>
      <c r="Y139" s="100">
        <f>VLOOKUP(TableRBRanks31413539[[#This Row],[Player]],RB!B:O,9,FALSE)</f>
        <v>0</v>
      </c>
      <c r="Z139" s="100">
        <f>VLOOKUP(TableRBRanks31413539[[#This Row],[Player]],RB!B:O,10,FALSE)</f>
        <v>0</v>
      </c>
      <c r="AA139" s="95">
        <f>VLOOKUP(TableRBRanks31413539[[#This Row],[Player]],RB!B:O,14,FALSE)</f>
        <v>0</v>
      </c>
      <c r="AB139" s="190">
        <f>TableRBRanks31413539[[#This Row],[FPS]]-(TableRBRanks31413539[[#This Row],[REC]]*0.5)</f>
        <v>0</v>
      </c>
      <c r="AD139" s="58">
        <v>138</v>
      </c>
      <c r="AE139" s="58">
        <f>VLOOKUP(TableWRRanks32423644[[#This Row],[RK]],Rankings!A:AZ,43,FALSE)</f>
        <v>0</v>
      </c>
      <c r="AF139" s="58" t="str">
        <f>IFERROR(INDEX(TableWRCalcPts[TM],MATCH(TableWRRanks32423644[[#This Row],[Player]],TableWRCalcPts[PLAYER],0)),"")</f>
        <v/>
      </c>
      <c r="AG139" s="58" t="str">
        <f>IFERROR(INDEX(TableWRCalcPts[BYE],MATCH(TableWRRanks32423644[[#This Row],[Player]],TableWRCalcPts[PLAYER],0)),"")</f>
        <v/>
      </c>
      <c r="AH139" s="100">
        <f>VLOOKUP(TableWRRanks32423644[[#This Row],[Player]],WR!B:O,4,FALSE)</f>
        <v>0</v>
      </c>
      <c r="AI139" s="100">
        <f>VLOOKUP(TableWRRanks32423644[[#This Row],[Player]],WR!B:O,5,FALSE)</f>
        <v>0</v>
      </c>
      <c r="AJ139" s="100">
        <f>VLOOKUP(TableWRRanks32423644[[#This Row],[Player]],WR!B:O,6,FALSE)</f>
        <v>0</v>
      </c>
      <c r="AK139" s="100">
        <f>VLOOKUP(TableWRRanks32423644[[#This Row],[Player]],WR!B:O,7,FALSE)</f>
        <v>0</v>
      </c>
      <c r="AL139" s="100">
        <f>VLOOKUP(TableWRRanks32423644[[#This Row],[Player]],WR!B:O,8,FALSE)</f>
        <v>0</v>
      </c>
      <c r="AM139" s="100">
        <f>VLOOKUP(TableWRRanks32423644[[#This Row],[Player]],WR!B:O,9,FALSE)</f>
        <v>0</v>
      </c>
      <c r="AN139" s="95">
        <f>VLOOKUP(TableWRRanks32423644[[#This Row],[Player]],WR!B:O,13,FALSE)</f>
        <v>0</v>
      </c>
      <c r="AO139" s="190">
        <f>TableWRRanks32423644[[#This Row],[FPS]]-(TableWRRanks32423644[[#This Row],[REC]]*0.5)</f>
        <v>0</v>
      </c>
    </row>
    <row r="140" spans="16:41" x14ac:dyDescent="0.25">
      <c r="P140" s="58">
        <v>139</v>
      </c>
      <c r="Q140" s="58">
        <f>VLOOKUP(TableRBRanks31413539[[#This Row],[RK]],Rankings!A:AY,38,FALSE)</f>
        <v>0</v>
      </c>
      <c r="R140" s="58" t="str">
        <f>IFERROR(INDEX(TableRBCalcPts[TM],MATCH(TableRBRanks31413539[[#This Row],[Player]],TableRBCalcPts[PLAYER],0)),"")</f>
        <v/>
      </c>
      <c r="S140" s="58" t="str">
        <f>IFERROR(INDEX(TableRBCalcPts[BYE],MATCH(TableRBRanks31413539[[#This Row],[Player]],TableRBCalcPts[PLAYER],0)),"")</f>
        <v/>
      </c>
      <c r="T140" s="100">
        <f>VLOOKUP(TableRBRanks31413539[[#This Row],[Player]],RB!B:O,4,FALSE)</f>
        <v>0</v>
      </c>
      <c r="U140" s="100">
        <f>VLOOKUP(TableRBRanks31413539[[#This Row],[Player]],RB!B:O,5,FALSE)</f>
        <v>0</v>
      </c>
      <c r="V140" s="100">
        <f>VLOOKUP(TableRBRanks31413539[[#This Row],[Player]],RB!B:O,6,FALSE)</f>
        <v>0</v>
      </c>
      <c r="W140" s="100">
        <f>VLOOKUP(TableRBRanks31413539[[#This Row],[Player]],RB!B:O,7,FALSE)</f>
        <v>0</v>
      </c>
      <c r="X140" s="100">
        <f>VLOOKUP(TableRBRanks31413539[[#This Row],[Player]],RB!B:O,8,FALSE)</f>
        <v>0</v>
      </c>
      <c r="Y140" s="100">
        <f>VLOOKUP(TableRBRanks31413539[[#This Row],[Player]],RB!B:O,9,FALSE)</f>
        <v>0</v>
      </c>
      <c r="Z140" s="100">
        <f>VLOOKUP(TableRBRanks31413539[[#This Row],[Player]],RB!B:O,10,FALSE)</f>
        <v>0</v>
      </c>
      <c r="AA140" s="95">
        <f>VLOOKUP(TableRBRanks31413539[[#This Row],[Player]],RB!B:O,14,FALSE)</f>
        <v>0</v>
      </c>
      <c r="AB140" s="190">
        <f>TableRBRanks31413539[[#This Row],[FPS]]-(TableRBRanks31413539[[#This Row],[REC]]*0.5)</f>
        <v>0</v>
      </c>
      <c r="AD140" s="58">
        <v>139</v>
      </c>
      <c r="AE140" s="58">
        <f>VLOOKUP(TableWRRanks32423644[[#This Row],[RK]],Rankings!A:AZ,43,FALSE)</f>
        <v>0</v>
      </c>
      <c r="AF140" s="58" t="str">
        <f>IFERROR(INDEX(TableWRCalcPts[TM],MATCH(TableWRRanks32423644[[#This Row],[Player]],TableWRCalcPts[PLAYER],0)),"")</f>
        <v/>
      </c>
      <c r="AG140" s="58" t="str">
        <f>IFERROR(INDEX(TableWRCalcPts[BYE],MATCH(TableWRRanks32423644[[#This Row],[Player]],TableWRCalcPts[PLAYER],0)),"")</f>
        <v/>
      </c>
      <c r="AH140" s="100">
        <f>VLOOKUP(TableWRRanks32423644[[#This Row],[Player]],WR!B:O,4,FALSE)</f>
        <v>0</v>
      </c>
      <c r="AI140" s="100">
        <f>VLOOKUP(TableWRRanks32423644[[#This Row],[Player]],WR!B:O,5,FALSE)</f>
        <v>0</v>
      </c>
      <c r="AJ140" s="100">
        <f>VLOOKUP(TableWRRanks32423644[[#This Row],[Player]],WR!B:O,6,FALSE)</f>
        <v>0</v>
      </c>
      <c r="AK140" s="100">
        <f>VLOOKUP(TableWRRanks32423644[[#This Row],[Player]],WR!B:O,7,FALSE)</f>
        <v>0</v>
      </c>
      <c r="AL140" s="100">
        <f>VLOOKUP(TableWRRanks32423644[[#This Row],[Player]],WR!B:O,8,FALSE)</f>
        <v>0</v>
      </c>
      <c r="AM140" s="100">
        <f>VLOOKUP(TableWRRanks32423644[[#This Row],[Player]],WR!B:O,9,FALSE)</f>
        <v>0</v>
      </c>
      <c r="AN140" s="95">
        <f>VLOOKUP(TableWRRanks32423644[[#This Row],[Player]],WR!B:O,13,FALSE)</f>
        <v>0</v>
      </c>
      <c r="AO140" s="190">
        <f>TableWRRanks32423644[[#This Row],[FPS]]-(TableWRRanks32423644[[#This Row],[REC]]*0.5)</f>
        <v>0</v>
      </c>
    </row>
    <row r="141" spans="16:41" x14ac:dyDescent="0.25">
      <c r="P141" s="58">
        <v>140</v>
      </c>
      <c r="Q141" s="58">
        <f>VLOOKUP(TableRBRanks31413539[[#This Row],[RK]],Rankings!A:AY,38,FALSE)</f>
        <v>0</v>
      </c>
      <c r="R141" s="58" t="str">
        <f>IFERROR(INDEX(TableRBCalcPts[TM],MATCH(TableRBRanks31413539[[#This Row],[Player]],TableRBCalcPts[PLAYER],0)),"")</f>
        <v/>
      </c>
      <c r="S141" s="58" t="str">
        <f>IFERROR(INDEX(TableRBCalcPts[BYE],MATCH(TableRBRanks31413539[[#This Row],[Player]],TableRBCalcPts[PLAYER],0)),"")</f>
        <v/>
      </c>
      <c r="T141" s="100">
        <f>VLOOKUP(TableRBRanks31413539[[#This Row],[Player]],RB!B:O,4,FALSE)</f>
        <v>0</v>
      </c>
      <c r="U141" s="100">
        <f>VLOOKUP(TableRBRanks31413539[[#This Row],[Player]],RB!B:O,5,FALSE)</f>
        <v>0</v>
      </c>
      <c r="V141" s="100">
        <f>VLOOKUP(TableRBRanks31413539[[#This Row],[Player]],RB!B:O,6,FALSE)</f>
        <v>0</v>
      </c>
      <c r="W141" s="100">
        <f>VLOOKUP(TableRBRanks31413539[[#This Row],[Player]],RB!B:O,7,FALSE)</f>
        <v>0</v>
      </c>
      <c r="X141" s="100">
        <f>VLOOKUP(TableRBRanks31413539[[#This Row],[Player]],RB!B:O,8,FALSE)</f>
        <v>0</v>
      </c>
      <c r="Y141" s="100">
        <f>VLOOKUP(TableRBRanks31413539[[#This Row],[Player]],RB!B:O,9,FALSE)</f>
        <v>0</v>
      </c>
      <c r="Z141" s="100">
        <f>VLOOKUP(TableRBRanks31413539[[#This Row],[Player]],RB!B:O,10,FALSE)</f>
        <v>0</v>
      </c>
      <c r="AA141" s="95">
        <f>VLOOKUP(TableRBRanks31413539[[#This Row],[Player]],RB!B:O,14,FALSE)</f>
        <v>0</v>
      </c>
      <c r="AB141" s="190">
        <f>TableRBRanks31413539[[#This Row],[FPS]]-(TableRBRanks31413539[[#This Row],[REC]]*0.5)</f>
        <v>0</v>
      </c>
      <c r="AD141" s="58">
        <v>140</v>
      </c>
      <c r="AE141" s="58">
        <f>VLOOKUP(TableWRRanks32423644[[#This Row],[RK]],Rankings!A:AZ,43,FALSE)</f>
        <v>0</v>
      </c>
      <c r="AF141" s="58" t="str">
        <f>IFERROR(INDEX(TableWRCalcPts[TM],MATCH(TableWRRanks32423644[[#This Row],[Player]],TableWRCalcPts[PLAYER],0)),"")</f>
        <v/>
      </c>
      <c r="AG141" s="58" t="str">
        <f>IFERROR(INDEX(TableWRCalcPts[BYE],MATCH(TableWRRanks32423644[[#This Row],[Player]],TableWRCalcPts[PLAYER],0)),"")</f>
        <v/>
      </c>
      <c r="AH141" s="100">
        <f>VLOOKUP(TableWRRanks32423644[[#This Row],[Player]],WR!B:O,4,FALSE)</f>
        <v>0</v>
      </c>
      <c r="AI141" s="100">
        <f>VLOOKUP(TableWRRanks32423644[[#This Row],[Player]],WR!B:O,5,FALSE)</f>
        <v>0</v>
      </c>
      <c r="AJ141" s="100">
        <f>VLOOKUP(TableWRRanks32423644[[#This Row],[Player]],WR!B:O,6,FALSE)</f>
        <v>0</v>
      </c>
      <c r="AK141" s="100">
        <f>VLOOKUP(TableWRRanks32423644[[#This Row],[Player]],WR!B:O,7,FALSE)</f>
        <v>0</v>
      </c>
      <c r="AL141" s="100">
        <f>VLOOKUP(TableWRRanks32423644[[#This Row],[Player]],WR!B:O,8,FALSE)</f>
        <v>0</v>
      </c>
      <c r="AM141" s="100">
        <f>VLOOKUP(TableWRRanks32423644[[#This Row],[Player]],WR!B:O,9,FALSE)</f>
        <v>0</v>
      </c>
      <c r="AN141" s="95">
        <f>VLOOKUP(TableWRRanks32423644[[#This Row],[Player]],WR!B:O,13,FALSE)</f>
        <v>0</v>
      </c>
      <c r="AO141" s="190">
        <f>TableWRRanks32423644[[#This Row],[FPS]]-(TableWRRanks32423644[[#This Row],[REC]]*0.5)</f>
        <v>0</v>
      </c>
    </row>
    <row r="142" spans="16:41" x14ac:dyDescent="0.25">
      <c r="P142" s="58">
        <v>141</v>
      </c>
      <c r="Q142" s="58">
        <f>VLOOKUP(TableRBRanks31413539[[#This Row],[RK]],Rankings!A:AY,38,FALSE)</f>
        <v>0</v>
      </c>
      <c r="R142" s="58" t="str">
        <f>IFERROR(INDEX(TableRBCalcPts[TM],MATCH(TableRBRanks31413539[[#This Row],[Player]],TableRBCalcPts[PLAYER],0)),"")</f>
        <v/>
      </c>
      <c r="S142" s="58" t="str">
        <f>IFERROR(INDEX(TableRBCalcPts[BYE],MATCH(TableRBRanks31413539[[#This Row],[Player]],TableRBCalcPts[PLAYER],0)),"")</f>
        <v/>
      </c>
      <c r="T142" s="100">
        <f>VLOOKUP(TableRBRanks31413539[[#This Row],[Player]],RB!B:O,4,FALSE)</f>
        <v>0</v>
      </c>
      <c r="U142" s="100">
        <f>VLOOKUP(TableRBRanks31413539[[#This Row],[Player]],RB!B:O,5,FALSE)</f>
        <v>0</v>
      </c>
      <c r="V142" s="100">
        <f>VLOOKUP(TableRBRanks31413539[[#This Row],[Player]],RB!B:O,6,FALSE)</f>
        <v>0</v>
      </c>
      <c r="W142" s="100">
        <f>VLOOKUP(TableRBRanks31413539[[#This Row],[Player]],RB!B:O,7,FALSE)</f>
        <v>0</v>
      </c>
      <c r="X142" s="100">
        <f>VLOOKUP(TableRBRanks31413539[[#This Row],[Player]],RB!B:O,8,FALSE)</f>
        <v>0</v>
      </c>
      <c r="Y142" s="100">
        <f>VLOOKUP(TableRBRanks31413539[[#This Row],[Player]],RB!B:O,9,FALSE)</f>
        <v>0</v>
      </c>
      <c r="Z142" s="100">
        <f>VLOOKUP(TableRBRanks31413539[[#This Row],[Player]],RB!B:O,10,FALSE)</f>
        <v>0</v>
      </c>
      <c r="AA142" s="95">
        <f>VLOOKUP(TableRBRanks31413539[[#This Row],[Player]],RB!B:O,14,FALSE)</f>
        <v>0</v>
      </c>
      <c r="AB142" s="190">
        <f>TableRBRanks31413539[[#This Row],[FPS]]-(TableRBRanks31413539[[#This Row],[REC]]*0.5)</f>
        <v>0</v>
      </c>
      <c r="AD142" s="58">
        <v>141</v>
      </c>
      <c r="AE142" s="58">
        <f>VLOOKUP(TableWRRanks32423644[[#This Row],[RK]],Rankings!A:AZ,43,FALSE)</f>
        <v>0</v>
      </c>
      <c r="AF142" s="58" t="str">
        <f>IFERROR(INDEX(TableWRCalcPts[TM],MATCH(TableWRRanks32423644[[#This Row],[Player]],TableWRCalcPts[PLAYER],0)),"")</f>
        <v/>
      </c>
      <c r="AG142" s="58" t="str">
        <f>IFERROR(INDEX(TableWRCalcPts[BYE],MATCH(TableWRRanks32423644[[#This Row],[Player]],TableWRCalcPts[PLAYER],0)),"")</f>
        <v/>
      </c>
      <c r="AH142" s="100">
        <f>VLOOKUP(TableWRRanks32423644[[#This Row],[Player]],WR!B:O,4,FALSE)</f>
        <v>0</v>
      </c>
      <c r="AI142" s="100">
        <f>VLOOKUP(TableWRRanks32423644[[#This Row],[Player]],WR!B:O,5,FALSE)</f>
        <v>0</v>
      </c>
      <c r="AJ142" s="100">
        <f>VLOOKUP(TableWRRanks32423644[[#This Row],[Player]],WR!B:O,6,FALSE)</f>
        <v>0</v>
      </c>
      <c r="AK142" s="100">
        <f>VLOOKUP(TableWRRanks32423644[[#This Row],[Player]],WR!B:O,7,FALSE)</f>
        <v>0</v>
      </c>
      <c r="AL142" s="100">
        <f>VLOOKUP(TableWRRanks32423644[[#This Row],[Player]],WR!B:O,8,FALSE)</f>
        <v>0</v>
      </c>
      <c r="AM142" s="100">
        <f>VLOOKUP(TableWRRanks32423644[[#This Row],[Player]],WR!B:O,9,FALSE)</f>
        <v>0</v>
      </c>
      <c r="AN142" s="95">
        <f>VLOOKUP(TableWRRanks32423644[[#This Row],[Player]],WR!B:O,13,FALSE)</f>
        <v>0</v>
      </c>
      <c r="AO142" s="190">
        <f>TableWRRanks32423644[[#This Row],[FPS]]-(TableWRRanks32423644[[#This Row],[REC]]*0.5)</f>
        <v>0</v>
      </c>
    </row>
    <row r="143" spans="16:41" x14ac:dyDescent="0.25">
      <c r="P143" s="58">
        <v>142</v>
      </c>
      <c r="Q143" s="58">
        <f>VLOOKUP(TableRBRanks31413539[[#This Row],[RK]],Rankings!A:AY,38,FALSE)</f>
        <v>0</v>
      </c>
      <c r="R143" s="58" t="str">
        <f>IFERROR(INDEX(TableRBCalcPts[TM],MATCH(TableRBRanks31413539[[#This Row],[Player]],TableRBCalcPts[PLAYER],0)),"")</f>
        <v/>
      </c>
      <c r="S143" s="58" t="str">
        <f>IFERROR(INDEX(TableRBCalcPts[BYE],MATCH(TableRBRanks31413539[[#This Row],[Player]],TableRBCalcPts[PLAYER],0)),"")</f>
        <v/>
      </c>
      <c r="T143" s="100">
        <f>VLOOKUP(TableRBRanks31413539[[#This Row],[Player]],RB!B:O,4,FALSE)</f>
        <v>0</v>
      </c>
      <c r="U143" s="100">
        <f>VLOOKUP(TableRBRanks31413539[[#This Row],[Player]],RB!B:O,5,FALSE)</f>
        <v>0</v>
      </c>
      <c r="V143" s="100">
        <f>VLOOKUP(TableRBRanks31413539[[#This Row],[Player]],RB!B:O,6,FALSE)</f>
        <v>0</v>
      </c>
      <c r="W143" s="100">
        <f>VLOOKUP(TableRBRanks31413539[[#This Row],[Player]],RB!B:O,7,FALSE)</f>
        <v>0</v>
      </c>
      <c r="X143" s="100">
        <f>VLOOKUP(TableRBRanks31413539[[#This Row],[Player]],RB!B:O,8,FALSE)</f>
        <v>0</v>
      </c>
      <c r="Y143" s="100">
        <f>VLOOKUP(TableRBRanks31413539[[#This Row],[Player]],RB!B:O,9,FALSE)</f>
        <v>0</v>
      </c>
      <c r="Z143" s="100">
        <f>VLOOKUP(TableRBRanks31413539[[#This Row],[Player]],RB!B:O,10,FALSE)</f>
        <v>0</v>
      </c>
      <c r="AA143" s="95">
        <f>VLOOKUP(TableRBRanks31413539[[#This Row],[Player]],RB!B:O,14,FALSE)</f>
        <v>0</v>
      </c>
      <c r="AB143" s="190">
        <f>TableRBRanks31413539[[#This Row],[FPS]]-(TableRBRanks31413539[[#This Row],[REC]]*0.5)</f>
        <v>0</v>
      </c>
      <c r="AD143" s="58">
        <v>142</v>
      </c>
      <c r="AE143" s="58">
        <f>VLOOKUP(TableWRRanks32423644[[#This Row],[RK]],Rankings!A:AZ,43,FALSE)</f>
        <v>0</v>
      </c>
      <c r="AF143" s="58" t="str">
        <f>IFERROR(INDEX(TableWRCalcPts[TM],MATCH(TableWRRanks32423644[[#This Row],[Player]],TableWRCalcPts[PLAYER],0)),"")</f>
        <v/>
      </c>
      <c r="AG143" s="58" t="str">
        <f>IFERROR(INDEX(TableWRCalcPts[BYE],MATCH(TableWRRanks32423644[[#This Row],[Player]],TableWRCalcPts[PLAYER],0)),"")</f>
        <v/>
      </c>
      <c r="AH143" s="100">
        <f>VLOOKUP(TableWRRanks32423644[[#This Row],[Player]],WR!B:O,4,FALSE)</f>
        <v>0</v>
      </c>
      <c r="AI143" s="100">
        <f>VLOOKUP(TableWRRanks32423644[[#This Row],[Player]],WR!B:O,5,FALSE)</f>
        <v>0</v>
      </c>
      <c r="AJ143" s="100">
        <f>VLOOKUP(TableWRRanks32423644[[#This Row],[Player]],WR!B:O,6,FALSE)</f>
        <v>0</v>
      </c>
      <c r="AK143" s="100">
        <f>VLOOKUP(TableWRRanks32423644[[#This Row],[Player]],WR!B:O,7,FALSE)</f>
        <v>0</v>
      </c>
      <c r="AL143" s="100">
        <f>VLOOKUP(TableWRRanks32423644[[#This Row],[Player]],WR!B:O,8,FALSE)</f>
        <v>0</v>
      </c>
      <c r="AM143" s="100">
        <f>VLOOKUP(TableWRRanks32423644[[#This Row],[Player]],WR!B:O,9,FALSE)</f>
        <v>0</v>
      </c>
      <c r="AN143" s="95">
        <f>VLOOKUP(TableWRRanks32423644[[#This Row],[Player]],WR!B:O,13,FALSE)</f>
        <v>0</v>
      </c>
      <c r="AO143" s="190">
        <f>TableWRRanks32423644[[#This Row],[FPS]]-(TableWRRanks32423644[[#This Row],[REC]]*0.5)</f>
        <v>0</v>
      </c>
    </row>
    <row r="144" spans="16:41" x14ac:dyDescent="0.25">
      <c r="P144" s="58">
        <v>143</v>
      </c>
      <c r="Q144" s="58">
        <f>VLOOKUP(TableRBRanks31413539[[#This Row],[RK]],Rankings!A:AY,38,FALSE)</f>
        <v>0</v>
      </c>
      <c r="R144" s="58" t="str">
        <f>IFERROR(INDEX(TableRBCalcPts[TM],MATCH(TableRBRanks31413539[[#This Row],[Player]],TableRBCalcPts[PLAYER],0)),"")</f>
        <v/>
      </c>
      <c r="S144" s="58" t="str">
        <f>IFERROR(INDEX(TableRBCalcPts[BYE],MATCH(TableRBRanks31413539[[#This Row],[Player]],TableRBCalcPts[PLAYER],0)),"")</f>
        <v/>
      </c>
      <c r="T144" s="100">
        <f>VLOOKUP(TableRBRanks31413539[[#This Row],[Player]],RB!B:O,4,FALSE)</f>
        <v>0</v>
      </c>
      <c r="U144" s="100">
        <f>VLOOKUP(TableRBRanks31413539[[#This Row],[Player]],RB!B:O,5,FALSE)</f>
        <v>0</v>
      </c>
      <c r="V144" s="100">
        <f>VLOOKUP(TableRBRanks31413539[[#This Row],[Player]],RB!B:O,6,FALSE)</f>
        <v>0</v>
      </c>
      <c r="W144" s="100">
        <f>VLOOKUP(TableRBRanks31413539[[#This Row],[Player]],RB!B:O,7,FALSE)</f>
        <v>0</v>
      </c>
      <c r="X144" s="100">
        <f>VLOOKUP(TableRBRanks31413539[[#This Row],[Player]],RB!B:O,8,FALSE)</f>
        <v>0</v>
      </c>
      <c r="Y144" s="100">
        <f>VLOOKUP(TableRBRanks31413539[[#This Row],[Player]],RB!B:O,9,FALSE)</f>
        <v>0</v>
      </c>
      <c r="Z144" s="100">
        <f>VLOOKUP(TableRBRanks31413539[[#This Row],[Player]],RB!B:O,10,FALSE)</f>
        <v>0</v>
      </c>
      <c r="AA144" s="95">
        <f>VLOOKUP(TableRBRanks31413539[[#This Row],[Player]],RB!B:O,14,FALSE)</f>
        <v>0</v>
      </c>
      <c r="AB144" s="190">
        <f>TableRBRanks31413539[[#This Row],[FPS]]-(TableRBRanks31413539[[#This Row],[REC]]*0.5)</f>
        <v>0</v>
      </c>
      <c r="AD144" s="58">
        <v>143</v>
      </c>
      <c r="AE144" s="58">
        <f>VLOOKUP(TableWRRanks32423644[[#This Row],[RK]],Rankings!A:AZ,43,FALSE)</f>
        <v>0</v>
      </c>
      <c r="AF144" s="58" t="str">
        <f>IFERROR(INDEX(TableWRCalcPts[TM],MATCH(TableWRRanks32423644[[#This Row],[Player]],TableWRCalcPts[PLAYER],0)),"")</f>
        <v/>
      </c>
      <c r="AG144" s="58" t="str">
        <f>IFERROR(INDEX(TableWRCalcPts[BYE],MATCH(TableWRRanks32423644[[#This Row],[Player]],TableWRCalcPts[PLAYER],0)),"")</f>
        <v/>
      </c>
      <c r="AH144" s="100">
        <f>VLOOKUP(TableWRRanks32423644[[#This Row],[Player]],WR!B:O,4,FALSE)</f>
        <v>0</v>
      </c>
      <c r="AI144" s="100">
        <f>VLOOKUP(TableWRRanks32423644[[#This Row],[Player]],WR!B:O,5,FALSE)</f>
        <v>0</v>
      </c>
      <c r="AJ144" s="100">
        <f>VLOOKUP(TableWRRanks32423644[[#This Row],[Player]],WR!B:O,6,FALSE)</f>
        <v>0</v>
      </c>
      <c r="AK144" s="100">
        <f>VLOOKUP(TableWRRanks32423644[[#This Row],[Player]],WR!B:O,7,FALSE)</f>
        <v>0</v>
      </c>
      <c r="AL144" s="100">
        <f>VLOOKUP(TableWRRanks32423644[[#This Row],[Player]],WR!B:O,8,FALSE)</f>
        <v>0</v>
      </c>
      <c r="AM144" s="100">
        <f>VLOOKUP(TableWRRanks32423644[[#This Row],[Player]],WR!B:O,9,FALSE)</f>
        <v>0</v>
      </c>
      <c r="AN144" s="95">
        <f>VLOOKUP(TableWRRanks32423644[[#This Row],[Player]],WR!B:O,13,FALSE)</f>
        <v>0</v>
      </c>
      <c r="AO144" s="190">
        <f>TableWRRanks32423644[[#This Row],[FPS]]-(TableWRRanks32423644[[#This Row],[REC]]*0.5)</f>
        <v>0</v>
      </c>
    </row>
    <row r="145" spans="16:41" x14ac:dyDescent="0.25">
      <c r="P145" s="58">
        <v>144</v>
      </c>
      <c r="Q145" s="58">
        <f>VLOOKUP(TableRBRanks31413539[[#This Row],[RK]],Rankings!A:AY,38,FALSE)</f>
        <v>0</v>
      </c>
      <c r="R145" s="58" t="str">
        <f>IFERROR(INDEX(TableRBCalcPts[TM],MATCH(TableRBRanks31413539[[#This Row],[Player]],TableRBCalcPts[PLAYER],0)),"")</f>
        <v/>
      </c>
      <c r="S145" s="58" t="str">
        <f>IFERROR(INDEX(TableRBCalcPts[BYE],MATCH(TableRBRanks31413539[[#This Row],[Player]],TableRBCalcPts[PLAYER],0)),"")</f>
        <v/>
      </c>
      <c r="T145" s="100">
        <f>VLOOKUP(TableRBRanks31413539[[#This Row],[Player]],RB!B:O,4,FALSE)</f>
        <v>0</v>
      </c>
      <c r="U145" s="100">
        <f>VLOOKUP(TableRBRanks31413539[[#This Row],[Player]],RB!B:O,5,FALSE)</f>
        <v>0</v>
      </c>
      <c r="V145" s="100">
        <f>VLOOKUP(TableRBRanks31413539[[#This Row],[Player]],RB!B:O,6,FALSE)</f>
        <v>0</v>
      </c>
      <c r="W145" s="100">
        <f>VLOOKUP(TableRBRanks31413539[[#This Row],[Player]],RB!B:O,7,FALSE)</f>
        <v>0</v>
      </c>
      <c r="X145" s="100">
        <f>VLOOKUP(TableRBRanks31413539[[#This Row],[Player]],RB!B:O,8,FALSE)</f>
        <v>0</v>
      </c>
      <c r="Y145" s="100">
        <f>VLOOKUP(TableRBRanks31413539[[#This Row],[Player]],RB!B:O,9,FALSE)</f>
        <v>0</v>
      </c>
      <c r="Z145" s="100">
        <f>VLOOKUP(TableRBRanks31413539[[#This Row],[Player]],RB!B:O,10,FALSE)</f>
        <v>0</v>
      </c>
      <c r="AA145" s="95">
        <f>VLOOKUP(TableRBRanks31413539[[#This Row],[Player]],RB!B:O,14,FALSE)</f>
        <v>0</v>
      </c>
      <c r="AB145" s="190">
        <f>TableRBRanks31413539[[#This Row],[FPS]]-(TableRBRanks31413539[[#This Row],[REC]]*0.5)</f>
        <v>0</v>
      </c>
      <c r="AD145" s="58">
        <v>144</v>
      </c>
      <c r="AE145" s="58">
        <f>VLOOKUP(TableWRRanks32423644[[#This Row],[RK]],Rankings!A:AZ,43,FALSE)</f>
        <v>0</v>
      </c>
      <c r="AF145" s="58" t="str">
        <f>IFERROR(INDEX(TableWRCalcPts[TM],MATCH(TableWRRanks32423644[[#This Row],[Player]],TableWRCalcPts[PLAYER],0)),"")</f>
        <v/>
      </c>
      <c r="AG145" s="58" t="str">
        <f>IFERROR(INDEX(TableWRCalcPts[BYE],MATCH(TableWRRanks32423644[[#This Row],[Player]],TableWRCalcPts[PLAYER],0)),"")</f>
        <v/>
      </c>
      <c r="AH145" s="100">
        <f>VLOOKUP(TableWRRanks32423644[[#This Row],[Player]],WR!B:O,4,FALSE)</f>
        <v>0</v>
      </c>
      <c r="AI145" s="100">
        <f>VLOOKUP(TableWRRanks32423644[[#This Row],[Player]],WR!B:O,5,FALSE)</f>
        <v>0</v>
      </c>
      <c r="AJ145" s="100">
        <f>VLOOKUP(TableWRRanks32423644[[#This Row],[Player]],WR!B:O,6,FALSE)</f>
        <v>0</v>
      </c>
      <c r="AK145" s="100">
        <f>VLOOKUP(TableWRRanks32423644[[#This Row],[Player]],WR!B:O,7,FALSE)</f>
        <v>0</v>
      </c>
      <c r="AL145" s="100">
        <f>VLOOKUP(TableWRRanks32423644[[#This Row],[Player]],WR!B:O,8,FALSE)</f>
        <v>0</v>
      </c>
      <c r="AM145" s="100">
        <f>VLOOKUP(TableWRRanks32423644[[#This Row],[Player]],WR!B:O,9,FALSE)</f>
        <v>0</v>
      </c>
      <c r="AN145" s="95">
        <f>VLOOKUP(TableWRRanks32423644[[#This Row],[Player]],WR!B:O,13,FALSE)</f>
        <v>0</v>
      </c>
      <c r="AO145" s="190">
        <f>TableWRRanks32423644[[#This Row],[FPS]]-(TableWRRanks32423644[[#This Row],[REC]]*0.5)</f>
        <v>0</v>
      </c>
    </row>
    <row r="146" spans="16:41" x14ac:dyDescent="0.25">
      <c r="P146" s="58">
        <v>145</v>
      </c>
      <c r="Q146" s="58">
        <f>VLOOKUP(TableRBRanks31413539[[#This Row],[RK]],Rankings!A:AY,38,FALSE)</f>
        <v>0</v>
      </c>
      <c r="R146" s="58" t="str">
        <f>IFERROR(INDEX(TableRBCalcPts[TM],MATCH(TableRBRanks31413539[[#This Row],[Player]],TableRBCalcPts[PLAYER],0)),"")</f>
        <v/>
      </c>
      <c r="S146" s="58" t="str">
        <f>IFERROR(INDEX(TableRBCalcPts[BYE],MATCH(TableRBRanks31413539[[#This Row],[Player]],TableRBCalcPts[PLAYER],0)),"")</f>
        <v/>
      </c>
      <c r="T146" s="100">
        <f>VLOOKUP(TableRBRanks31413539[[#This Row],[Player]],RB!B:O,4,FALSE)</f>
        <v>0</v>
      </c>
      <c r="U146" s="100">
        <f>VLOOKUP(TableRBRanks31413539[[#This Row],[Player]],RB!B:O,5,FALSE)</f>
        <v>0</v>
      </c>
      <c r="V146" s="100">
        <f>VLOOKUP(TableRBRanks31413539[[#This Row],[Player]],RB!B:O,6,FALSE)</f>
        <v>0</v>
      </c>
      <c r="W146" s="100">
        <f>VLOOKUP(TableRBRanks31413539[[#This Row],[Player]],RB!B:O,7,FALSE)</f>
        <v>0</v>
      </c>
      <c r="X146" s="100">
        <f>VLOOKUP(TableRBRanks31413539[[#This Row],[Player]],RB!B:O,8,FALSE)</f>
        <v>0</v>
      </c>
      <c r="Y146" s="100">
        <f>VLOOKUP(TableRBRanks31413539[[#This Row],[Player]],RB!B:O,9,FALSE)</f>
        <v>0</v>
      </c>
      <c r="Z146" s="100">
        <f>VLOOKUP(TableRBRanks31413539[[#This Row],[Player]],RB!B:O,10,FALSE)</f>
        <v>0</v>
      </c>
      <c r="AA146" s="95">
        <f>VLOOKUP(TableRBRanks31413539[[#This Row],[Player]],RB!B:O,14,FALSE)</f>
        <v>0</v>
      </c>
      <c r="AB146" s="190">
        <f>TableRBRanks31413539[[#This Row],[FPS]]-(TableRBRanks31413539[[#This Row],[REC]]*0.5)</f>
        <v>0</v>
      </c>
      <c r="AD146" s="58">
        <v>145</v>
      </c>
      <c r="AE146" s="58">
        <f>VLOOKUP(TableWRRanks32423644[[#This Row],[RK]],Rankings!A:AZ,43,FALSE)</f>
        <v>0</v>
      </c>
      <c r="AF146" s="58" t="str">
        <f>IFERROR(INDEX(TableWRCalcPts[TM],MATCH(TableWRRanks32423644[[#This Row],[Player]],TableWRCalcPts[PLAYER],0)),"")</f>
        <v/>
      </c>
      <c r="AG146" s="58" t="str">
        <f>IFERROR(INDEX(TableWRCalcPts[BYE],MATCH(TableWRRanks32423644[[#This Row],[Player]],TableWRCalcPts[PLAYER],0)),"")</f>
        <v/>
      </c>
      <c r="AH146" s="100">
        <f>VLOOKUP(TableWRRanks32423644[[#This Row],[Player]],WR!B:O,4,FALSE)</f>
        <v>0</v>
      </c>
      <c r="AI146" s="100">
        <f>VLOOKUP(TableWRRanks32423644[[#This Row],[Player]],WR!B:O,5,FALSE)</f>
        <v>0</v>
      </c>
      <c r="AJ146" s="100">
        <f>VLOOKUP(TableWRRanks32423644[[#This Row],[Player]],WR!B:O,6,FALSE)</f>
        <v>0</v>
      </c>
      <c r="AK146" s="100">
        <f>VLOOKUP(TableWRRanks32423644[[#This Row],[Player]],WR!B:O,7,FALSE)</f>
        <v>0</v>
      </c>
      <c r="AL146" s="100">
        <f>VLOOKUP(TableWRRanks32423644[[#This Row],[Player]],WR!B:O,8,FALSE)</f>
        <v>0</v>
      </c>
      <c r="AM146" s="100">
        <f>VLOOKUP(TableWRRanks32423644[[#This Row],[Player]],WR!B:O,9,FALSE)</f>
        <v>0</v>
      </c>
      <c r="AN146" s="95">
        <f>VLOOKUP(TableWRRanks32423644[[#This Row],[Player]],WR!B:O,13,FALSE)</f>
        <v>0</v>
      </c>
      <c r="AO146" s="190">
        <f>TableWRRanks32423644[[#This Row],[FPS]]-(TableWRRanks32423644[[#This Row],[REC]]*0.5)</f>
        <v>0</v>
      </c>
    </row>
    <row r="147" spans="16:41" x14ac:dyDescent="0.25">
      <c r="P147" s="58">
        <v>146</v>
      </c>
      <c r="Q147" s="58">
        <f>VLOOKUP(TableRBRanks31413539[[#This Row],[RK]],Rankings!A:AY,38,FALSE)</f>
        <v>0</v>
      </c>
      <c r="R147" s="58" t="str">
        <f>IFERROR(INDEX(TableRBCalcPts[TM],MATCH(TableRBRanks31413539[[#This Row],[Player]],TableRBCalcPts[PLAYER],0)),"")</f>
        <v/>
      </c>
      <c r="S147" s="58" t="str">
        <f>IFERROR(INDEX(TableRBCalcPts[BYE],MATCH(TableRBRanks31413539[[#This Row],[Player]],TableRBCalcPts[PLAYER],0)),"")</f>
        <v/>
      </c>
      <c r="T147" s="100">
        <f>VLOOKUP(TableRBRanks31413539[[#This Row],[Player]],RB!B:O,4,FALSE)</f>
        <v>0</v>
      </c>
      <c r="U147" s="100">
        <f>VLOOKUP(TableRBRanks31413539[[#This Row],[Player]],RB!B:O,5,FALSE)</f>
        <v>0</v>
      </c>
      <c r="V147" s="100">
        <f>VLOOKUP(TableRBRanks31413539[[#This Row],[Player]],RB!B:O,6,FALSE)</f>
        <v>0</v>
      </c>
      <c r="W147" s="100">
        <f>VLOOKUP(TableRBRanks31413539[[#This Row],[Player]],RB!B:O,7,FALSE)</f>
        <v>0</v>
      </c>
      <c r="X147" s="100">
        <f>VLOOKUP(TableRBRanks31413539[[#This Row],[Player]],RB!B:O,8,FALSE)</f>
        <v>0</v>
      </c>
      <c r="Y147" s="100">
        <f>VLOOKUP(TableRBRanks31413539[[#This Row],[Player]],RB!B:O,9,FALSE)</f>
        <v>0</v>
      </c>
      <c r="Z147" s="100">
        <f>VLOOKUP(TableRBRanks31413539[[#This Row],[Player]],RB!B:O,10,FALSE)</f>
        <v>0</v>
      </c>
      <c r="AA147" s="95">
        <f>VLOOKUP(TableRBRanks31413539[[#This Row],[Player]],RB!B:O,14,FALSE)</f>
        <v>0</v>
      </c>
      <c r="AB147" s="190">
        <f>TableRBRanks31413539[[#This Row],[FPS]]-(TableRBRanks31413539[[#This Row],[REC]]*0.5)</f>
        <v>0</v>
      </c>
      <c r="AD147" s="58">
        <v>146</v>
      </c>
      <c r="AE147" s="58">
        <f>VLOOKUP(TableWRRanks32423644[[#This Row],[RK]],Rankings!A:AZ,43,FALSE)</f>
        <v>0</v>
      </c>
      <c r="AF147" s="58" t="str">
        <f>IFERROR(INDEX(TableWRCalcPts[TM],MATCH(TableWRRanks32423644[[#This Row],[Player]],TableWRCalcPts[PLAYER],0)),"")</f>
        <v/>
      </c>
      <c r="AG147" s="58" t="str">
        <f>IFERROR(INDEX(TableWRCalcPts[BYE],MATCH(TableWRRanks32423644[[#This Row],[Player]],TableWRCalcPts[PLAYER],0)),"")</f>
        <v/>
      </c>
      <c r="AH147" s="100">
        <f>VLOOKUP(TableWRRanks32423644[[#This Row],[Player]],WR!B:O,4,FALSE)</f>
        <v>0</v>
      </c>
      <c r="AI147" s="100">
        <f>VLOOKUP(TableWRRanks32423644[[#This Row],[Player]],WR!B:O,5,FALSE)</f>
        <v>0</v>
      </c>
      <c r="AJ147" s="100">
        <f>VLOOKUP(TableWRRanks32423644[[#This Row],[Player]],WR!B:O,6,FALSE)</f>
        <v>0</v>
      </c>
      <c r="AK147" s="100">
        <f>VLOOKUP(TableWRRanks32423644[[#This Row],[Player]],WR!B:O,7,FALSE)</f>
        <v>0</v>
      </c>
      <c r="AL147" s="100">
        <f>VLOOKUP(TableWRRanks32423644[[#This Row],[Player]],WR!B:O,8,FALSE)</f>
        <v>0</v>
      </c>
      <c r="AM147" s="100">
        <f>VLOOKUP(TableWRRanks32423644[[#This Row],[Player]],WR!B:O,9,FALSE)</f>
        <v>0</v>
      </c>
      <c r="AN147" s="95">
        <f>VLOOKUP(TableWRRanks32423644[[#This Row],[Player]],WR!B:O,13,FALSE)</f>
        <v>0</v>
      </c>
      <c r="AO147" s="190">
        <f>TableWRRanks32423644[[#This Row],[FPS]]-(TableWRRanks32423644[[#This Row],[REC]]*0.5)</f>
        <v>0</v>
      </c>
    </row>
    <row r="148" spans="16:41" x14ac:dyDescent="0.25">
      <c r="P148" s="58">
        <v>147</v>
      </c>
      <c r="Q148" s="58">
        <f>VLOOKUP(TableRBRanks31413539[[#This Row],[RK]],Rankings!A:AY,38,FALSE)</f>
        <v>0</v>
      </c>
      <c r="R148" s="58" t="str">
        <f>IFERROR(INDEX(TableRBCalcPts[TM],MATCH(TableRBRanks31413539[[#This Row],[Player]],TableRBCalcPts[PLAYER],0)),"")</f>
        <v/>
      </c>
      <c r="S148" s="58" t="str">
        <f>IFERROR(INDEX(TableRBCalcPts[BYE],MATCH(TableRBRanks31413539[[#This Row],[Player]],TableRBCalcPts[PLAYER],0)),"")</f>
        <v/>
      </c>
      <c r="T148" s="100">
        <f>VLOOKUP(TableRBRanks31413539[[#This Row],[Player]],RB!B:O,4,FALSE)</f>
        <v>0</v>
      </c>
      <c r="U148" s="100">
        <f>VLOOKUP(TableRBRanks31413539[[#This Row],[Player]],RB!B:O,5,FALSE)</f>
        <v>0</v>
      </c>
      <c r="V148" s="100">
        <f>VLOOKUP(TableRBRanks31413539[[#This Row],[Player]],RB!B:O,6,FALSE)</f>
        <v>0</v>
      </c>
      <c r="W148" s="100">
        <f>VLOOKUP(TableRBRanks31413539[[#This Row],[Player]],RB!B:O,7,FALSE)</f>
        <v>0</v>
      </c>
      <c r="X148" s="100">
        <f>VLOOKUP(TableRBRanks31413539[[#This Row],[Player]],RB!B:O,8,FALSE)</f>
        <v>0</v>
      </c>
      <c r="Y148" s="100">
        <f>VLOOKUP(TableRBRanks31413539[[#This Row],[Player]],RB!B:O,9,FALSE)</f>
        <v>0</v>
      </c>
      <c r="Z148" s="100">
        <f>VLOOKUP(TableRBRanks31413539[[#This Row],[Player]],RB!B:O,10,FALSE)</f>
        <v>0</v>
      </c>
      <c r="AA148" s="95">
        <f>VLOOKUP(TableRBRanks31413539[[#This Row],[Player]],RB!B:O,14,FALSE)</f>
        <v>0</v>
      </c>
      <c r="AB148" s="190">
        <f>TableRBRanks31413539[[#This Row],[FPS]]-(TableRBRanks31413539[[#This Row],[REC]]*0.5)</f>
        <v>0</v>
      </c>
      <c r="AD148" s="58">
        <v>147</v>
      </c>
      <c r="AE148" s="58">
        <f>VLOOKUP(TableWRRanks32423644[[#This Row],[RK]],Rankings!A:AZ,43,FALSE)</f>
        <v>0</v>
      </c>
      <c r="AF148" s="58" t="str">
        <f>IFERROR(INDEX(TableWRCalcPts[TM],MATCH(TableWRRanks32423644[[#This Row],[Player]],TableWRCalcPts[PLAYER],0)),"")</f>
        <v/>
      </c>
      <c r="AG148" s="58" t="str">
        <f>IFERROR(INDEX(TableWRCalcPts[BYE],MATCH(TableWRRanks32423644[[#This Row],[Player]],TableWRCalcPts[PLAYER],0)),"")</f>
        <v/>
      </c>
      <c r="AH148" s="100">
        <f>VLOOKUP(TableWRRanks32423644[[#This Row],[Player]],WR!B:O,4,FALSE)</f>
        <v>0</v>
      </c>
      <c r="AI148" s="100">
        <f>VLOOKUP(TableWRRanks32423644[[#This Row],[Player]],WR!B:O,5,FALSE)</f>
        <v>0</v>
      </c>
      <c r="AJ148" s="100">
        <f>VLOOKUP(TableWRRanks32423644[[#This Row],[Player]],WR!B:O,6,FALSE)</f>
        <v>0</v>
      </c>
      <c r="AK148" s="100">
        <f>VLOOKUP(TableWRRanks32423644[[#This Row],[Player]],WR!B:O,7,FALSE)</f>
        <v>0</v>
      </c>
      <c r="AL148" s="100">
        <f>VLOOKUP(TableWRRanks32423644[[#This Row],[Player]],WR!B:O,8,FALSE)</f>
        <v>0</v>
      </c>
      <c r="AM148" s="100">
        <f>VLOOKUP(TableWRRanks32423644[[#This Row],[Player]],WR!B:O,9,FALSE)</f>
        <v>0</v>
      </c>
      <c r="AN148" s="95">
        <f>VLOOKUP(TableWRRanks32423644[[#This Row],[Player]],WR!B:O,13,FALSE)</f>
        <v>0</v>
      </c>
      <c r="AO148" s="190">
        <f>TableWRRanks32423644[[#This Row],[FPS]]-(TableWRRanks32423644[[#This Row],[REC]]*0.5)</f>
        <v>0</v>
      </c>
    </row>
    <row r="149" spans="16:41" x14ac:dyDescent="0.25">
      <c r="P149" s="58">
        <v>148</v>
      </c>
      <c r="Q149" s="58">
        <f>VLOOKUP(TableRBRanks31413539[[#This Row],[RK]],Rankings!A:AY,38,FALSE)</f>
        <v>0</v>
      </c>
      <c r="R149" s="58" t="str">
        <f>IFERROR(INDEX(TableRBCalcPts[TM],MATCH(TableRBRanks31413539[[#This Row],[Player]],TableRBCalcPts[PLAYER],0)),"")</f>
        <v/>
      </c>
      <c r="S149" s="58" t="str">
        <f>IFERROR(INDEX(TableRBCalcPts[BYE],MATCH(TableRBRanks31413539[[#This Row],[Player]],TableRBCalcPts[PLAYER],0)),"")</f>
        <v/>
      </c>
      <c r="T149" s="100">
        <f>VLOOKUP(TableRBRanks31413539[[#This Row],[Player]],RB!B:O,4,FALSE)</f>
        <v>0</v>
      </c>
      <c r="U149" s="100">
        <f>VLOOKUP(TableRBRanks31413539[[#This Row],[Player]],RB!B:O,5,FALSE)</f>
        <v>0</v>
      </c>
      <c r="V149" s="100">
        <f>VLOOKUP(TableRBRanks31413539[[#This Row],[Player]],RB!B:O,6,FALSE)</f>
        <v>0</v>
      </c>
      <c r="W149" s="100">
        <f>VLOOKUP(TableRBRanks31413539[[#This Row],[Player]],RB!B:O,7,FALSE)</f>
        <v>0</v>
      </c>
      <c r="X149" s="100">
        <f>VLOOKUP(TableRBRanks31413539[[#This Row],[Player]],RB!B:O,8,FALSE)</f>
        <v>0</v>
      </c>
      <c r="Y149" s="100">
        <f>VLOOKUP(TableRBRanks31413539[[#This Row],[Player]],RB!B:O,9,FALSE)</f>
        <v>0</v>
      </c>
      <c r="Z149" s="100">
        <f>VLOOKUP(TableRBRanks31413539[[#This Row],[Player]],RB!B:O,10,FALSE)</f>
        <v>0</v>
      </c>
      <c r="AA149" s="95">
        <f>VLOOKUP(TableRBRanks31413539[[#This Row],[Player]],RB!B:O,14,FALSE)</f>
        <v>0</v>
      </c>
      <c r="AB149" s="190">
        <f>TableRBRanks31413539[[#This Row],[FPS]]-(TableRBRanks31413539[[#This Row],[REC]]*0.5)</f>
        <v>0</v>
      </c>
      <c r="AD149" s="58">
        <v>148</v>
      </c>
      <c r="AE149" s="58">
        <f>VLOOKUP(TableWRRanks32423644[[#This Row],[RK]],Rankings!A:AZ,43,FALSE)</f>
        <v>0</v>
      </c>
      <c r="AF149" s="58" t="str">
        <f>IFERROR(INDEX(TableWRCalcPts[TM],MATCH(TableWRRanks32423644[[#This Row],[Player]],TableWRCalcPts[PLAYER],0)),"")</f>
        <v/>
      </c>
      <c r="AG149" s="58" t="str">
        <f>IFERROR(INDEX(TableWRCalcPts[BYE],MATCH(TableWRRanks32423644[[#This Row],[Player]],TableWRCalcPts[PLAYER],0)),"")</f>
        <v/>
      </c>
      <c r="AH149" s="100">
        <f>VLOOKUP(TableWRRanks32423644[[#This Row],[Player]],WR!B:O,4,FALSE)</f>
        <v>0</v>
      </c>
      <c r="AI149" s="100">
        <f>VLOOKUP(TableWRRanks32423644[[#This Row],[Player]],WR!B:O,5,FALSE)</f>
        <v>0</v>
      </c>
      <c r="AJ149" s="100">
        <f>VLOOKUP(TableWRRanks32423644[[#This Row],[Player]],WR!B:O,6,FALSE)</f>
        <v>0</v>
      </c>
      <c r="AK149" s="100">
        <f>VLOOKUP(TableWRRanks32423644[[#This Row],[Player]],WR!B:O,7,FALSE)</f>
        <v>0</v>
      </c>
      <c r="AL149" s="100">
        <f>VLOOKUP(TableWRRanks32423644[[#This Row],[Player]],WR!B:O,8,FALSE)</f>
        <v>0</v>
      </c>
      <c r="AM149" s="100">
        <f>VLOOKUP(TableWRRanks32423644[[#This Row],[Player]],WR!B:O,9,FALSE)</f>
        <v>0</v>
      </c>
      <c r="AN149" s="95">
        <f>VLOOKUP(TableWRRanks32423644[[#This Row],[Player]],WR!B:O,13,FALSE)</f>
        <v>0</v>
      </c>
      <c r="AO149" s="190">
        <f>TableWRRanks32423644[[#This Row],[FPS]]-(TableWRRanks32423644[[#This Row],[REC]]*0.5)</f>
        <v>0</v>
      </c>
    </row>
    <row r="150" spans="16:41" x14ac:dyDescent="0.25">
      <c r="P150" s="58">
        <v>149</v>
      </c>
      <c r="Q150" s="58">
        <f>VLOOKUP(TableRBRanks31413539[[#This Row],[RK]],Rankings!A:AY,38,FALSE)</f>
        <v>0</v>
      </c>
      <c r="R150" s="58" t="str">
        <f>IFERROR(INDEX(TableRBCalcPts[TM],MATCH(TableRBRanks31413539[[#This Row],[Player]],TableRBCalcPts[PLAYER],0)),"")</f>
        <v/>
      </c>
      <c r="S150" s="58" t="str">
        <f>IFERROR(INDEX(TableRBCalcPts[BYE],MATCH(TableRBRanks31413539[[#This Row],[Player]],TableRBCalcPts[PLAYER],0)),"")</f>
        <v/>
      </c>
      <c r="T150" s="100">
        <f>VLOOKUP(TableRBRanks31413539[[#This Row],[Player]],RB!B:O,4,FALSE)</f>
        <v>0</v>
      </c>
      <c r="U150" s="100">
        <f>VLOOKUP(TableRBRanks31413539[[#This Row],[Player]],RB!B:O,5,FALSE)</f>
        <v>0</v>
      </c>
      <c r="V150" s="100">
        <f>VLOOKUP(TableRBRanks31413539[[#This Row],[Player]],RB!B:O,6,FALSE)</f>
        <v>0</v>
      </c>
      <c r="W150" s="100">
        <f>VLOOKUP(TableRBRanks31413539[[#This Row],[Player]],RB!B:O,7,FALSE)</f>
        <v>0</v>
      </c>
      <c r="X150" s="100">
        <f>VLOOKUP(TableRBRanks31413539[[#This Row],[Player]],RB!B:O,8,FALSE)</f>
        <v>0</v>
      </c>
      <c r="Y150" s="100">
        <f>VLOOKUP(TableRBRanks31413539[[#This Row],[Player]],RB!B:O,9,FALSE)</f>
        <v>0</v>
      </c>
      <c r="Z150" s="100">
        <f>VLOOKUP(TableRBRanks31413539[[#This Row],[Player]],RB!B:O,10,FALSE)</f>
        <v>0</v>
      </c>
      <c r="AA150" s="95">
        <f>VLOOKUP(TableRBRanks31413539[[#This Row],[Player]],RB!B:O,14,FALSE)</f>
        <v>0</v>
      </c>
      <c r="AB150" s="190">
        <f>TableRBRanks31413539[[#This Row],[FPS]]-(TableRBRanks31413539[[#This Row],[REC]]*0.5)</f>
        <v>0</v>
      </c>
      <c r="AD150" s="58">
        <v>149</v>
      </c>
      <c r="AE150" s="58">
        <f>VLOOKUP(TableWRRanks32423644[[#This Row],[RK]],Rankings!A:AZ,43,FALSE)</f>
        <v>0</v>
      </c>
      <c r="AF150" s="58" t="str">
        <f>IFERROR(INDEX(TableWRCalcPts[TM],MATCH(TableWRRanks32423644[[#This Row],[Player]],TableWRCalcPts[PLAYER],0)),"")</f>
        <v/>
      </c>
      <c r="AG150" s="58" t="str">
        <f>IFERROR(INDEX(TableWRCalcPts[BYE],MATCH(TableWRRanks32423644[[#This Row],[Player]],TableWRCalcPts[PLAYER],0)),"")</f>
        <v/>
      </c>
      <c r="AH150" s="100">
        <f>VLOOKUP(TableWRRanks32423644[[#This Row],[Player]],WR!B:O,4,FALSE)</f>
        <v>0</v>
      </c>
      <c r="AI150" s="100">
        <f>VLOOKUP(TableWRRanks32423644[[#This Row],[Player]],WR!B:O,5,FALSE)</f>
        <v>0</v>
      </c>
      <c r="AJ150" s="100">
        <f>VLOOKUP(TableWRRanks32423644[[#This Row],[Player]],WR!B:O,6,FALSE)</f>
        <v>0</v>
      </c>
      <c r="AK150" s="100">
        <f>VLOOKUP(TableWRRanks32423644[[#This Row],[Player]],WR!B:O,7,FALSE)</f>
        <v>0</v>
      </c>
      <c r="AL150" s="100">
        <f>VLOOKUP(TableWRRanks32423644[[#This Row],[Player]],WR!B:O,8,FALSE)</f>
        <v>0</v>
      </c>
      <c r="AM150" s="100">
        <f>VLOOKUP(TableWRRanks32423644[[#This Row],[Player]],WR!B:O,9,FALSE)</f>
        <v>0</v>
      </c>
      <c r="AN150" s="95">
        <f>VLOOKUP(TableWRRanks32423644[[#This Row],[Player]],WR!B:O,13,FALSE)</f>
        <v>0</v>
      </c>
      <c r="AO150" s="190">
        <f>TableWRRanks32423644[[#This Row],[FPS]]-(TableWRRanks32423644[[#This Row],[REC]]*0.5)</f>
        <v>0</v>
      </c>
    </row>
    <row r="151" spans="16:41" x14ac:dyDescent="0.25">
      <c r="P151" s="58">
        <v>150</v>
      </c>
      <c r="Q151" s="58">
        <f>VLOOKUP(TableRBRanks31413539[[#This Row],[RK]],Rankings!A:AY,38,FALSE)</f>
        <v>0</v>
      </c>
      <c r="R151" s="58" t="str">
        <f>IFERROR(INDEX(TableRBCalcPts[TM],MATCH(TableRBRanks31413539[[#This Row],[Player]],TableRBCalcPts[PLAYER],0)),"")</f>
        <v/>
      </c>
      <c r="S151" s="58" t="str">
        <f>IFERROR(INDEX(TableRBCalcPts[BYE],MATCH(TableRBRanks31413539[[#This Row],[Player]],TableRBCalcPts[PLAYER],0)),"")</f>
        <v/>
      </c>
      <c r="T151" s="100">
        <f>VLOOKUP(TableRBRanks31413539[[#This Row],[Player]],RB!B:O,4,FALSE)</f>
        <v>0</v>
      </c>
      <c r="U151" s="100">
        <f>VLOOKUP(TableRBRanks31413539[[#This Row],[Player]],RB!B:O,5,FALSE)</f>
        <v>0</v>
      </c>
      <c r="V151" s="100">
        <f>VLOOKUP(TableRBRanks31413539[[#This Row],[Player]],RB!B:O,6,FALSE)</f>
        <v>0</v>
      </c>
      <c r="W151" s="100">
        <f>VLOOKUP(TableRBRanks31413539[[#This Row],[Player]],RB!B:O,7,FALSE)</f>
        <v>0</v>
      </c>
      <c r="X151" s="100">
        <f>VLOOKUP(TableRBRanks31413539[[#This Row],[Player]],RB!B:O,8,FALSE)</f>
        <v>0</v>
      </c>
      <c r="Y151" s="100">
        <f>VLOOKUP(TableRBRanks31413539[[#This Row],[Player]],RB!B:O,9,FALSE)</f>
        <v>0</v>
      </c>
      <c r="Z151" s="100">
        <f>VLOOKUP(TableRBRanks31413539[[#This Row],[Player]],RB!B:O,10,FALSE)</f>
        <v>0</v>
      </c>
      <c r="AA151" s="95">
        <f>VLOOKUP(TableRBRanks31413539[[#This Row],[Player]],RB!B:O,14,FALSE)</f>
        <v>0</v>
      </c>
      <c r="AB151" s="190">
        <f>TableRBRanks31413539[[#This Row],[FPS]]-(TableRBRanks31413539[[#This Row],[REC]]*0.5)</f>
        <v>0</v>
      </c>
      <c r="AD151" s="58">
        <v>150</v>
      </c>
      <c r="AE151" s="58">
        <f>VLOOKUP(TableWRRanks32423644[[#This Row],[RK]],Rankings!A:AZ,43,FALSE)</f>
        <v>0</v>
      </c>
      <c r="AF151" s="58" t="str">
        <f>IFERROR(INDEX(TableWRCalcPts[TM],MATCH(TableWRRanks32423644[[#This Row],[Player]],TableWRCalcPts[PLAYER],0)),"")</f>
        <v/>
      </c>
      <c r="AG151" s="58" t="str">
        <f>IFERROR(INDEX(TableWRCalcPts[BYE],MATCH(TableWRRanks32423644[[#This Row],[Player]],TableWRCalcPts[PLAYER],0)),"")</f>
        <v/>
      </c>
      <c r="AH151" s="100">
        <f>VLOOKUP(TableWRRanks32423644[[#This Row],[Player]],WR!B:O,4,FALSE)</f>
        <v>0</v>
      </c>
      <c r="AI151" s="100">
        <f>VLOOKUP(TableWRRanks32423644[[#This Row],[Player]],WR!B:O,5,FALSE)</f>
        <v>0</v>
      </c>
      <c r="AJ151" s="100">
        <f>VLOOKUP(TableWRRanks32423644[[#This Row],[Player]],WR!B:O,6,FALSE)</f>
        <v>0</v>
      </c>
      <c r="AK151" s="100">
        <f>VLOOKUP(TableWRRanks32423644[[#This Row],[Player]],WR!B:O,7,FALSE)</f>
        <v>0</v>
      </c>
      <c r="AL151" s="100">
        <f>VLOOKUP(TableWRRanks32423644[[#This Row],[Player]],WR!B:O,8,FALSE)</f>
        <v>0</v>
      </c>
      <c r="AM151" s="100">
        <f>VLOOKUP(TableWRRanks32423644[[#This Row],[Player]],WR!B:O,9,FALSE)</f>
        <v>0</v>
      </c>
      <c r="AN151" s="95">
        <f>VLOOKUP(TableWRRanks32423644[[#This Row],[Player]],WR!B:O,13,FALSE)</f>
        <v>0</v>
      </c>
      <c r="AO151" s="190">
        <f>TableWRRanks32423644[[#This Row],[FPS]]-(TableWRRanks32423644[[#This Row],[REC]]*0.5)</f>
        <v>0</v>
      </c>
    </row>
    <row r="152" spans="16:41" x14ac:dyDescent="0.25">
      <c r="P152" s="58">
        <v>151</v>
      </c>
      <c r="Q152" s="58">
        <f>VLOOKUP(TableRBRanks31413539[[#This Row],[RK]],Rankings!A:AY,38,FALSE)</f>
        <v>0</v>
      </c>
      <c r="R152" s="58" t="str">
        <f>IFERROR(INDEX(TableRBCalcPts[TM],MATCH(TableRBRanks31413539[[#This Row],[Player]],TableRBCalcPts[PLAYER],0)),"")</f>
        <v/>
      </c>
      <c r="S152" s="58" t="str">
        <f>IFERROR(INDEX(TableRBCalcPts[BYE],MATCH(TableRBRanks31413539[[#This Row],[Player]],TableRBCalcPts[PLAYER],0)),"")</f>
        <v/>
      </c>
      <c r="T152" s="100">
        <f>VLOOKUP(TableRBRanks31413539[[#This Row],[Player]],RB!B:O,4,FALSE)</f>
        <v>0</v>
      </c>
      <c r="U152" s="100">
        <f>VLOOKUP(TableRBRanks31413539[[#This Row],[Player]],RB!B:O,5,FALSE)</f>
        <v>0</v>
      </c>
      <c r="V152" s="100">
        <f>VLOOKUP(TableRBRanks31413539[[#This Row],[Player]],RB!B:O,6,FALSE)</f>
        <v>0</v>
      </c>
      <c r="W152" s="100">
        <f>VLOOKUP(TableRBRanks31413539[[#This Row],[Player]],RB!B:O,7,FALSE)</f>
        <v>0</v>
      </c>
      <c r="X152" s="100">
        <f>VLOOKUP(TableRBRanks31413539[[#This Row],[Player]],RB!B:O,8,FALSE)</f>
        <v>0</v>
      </c>
      <c r="Y152" s="100">
        <f>VLOOKUP(TableRBRanks31413539[[#This Row],[Player]],RB!B:O,9,FALSE)</f>
        <v>0</v>
      </c>
      <c r="Z152" s="100">
        <f>VLOOKUP(TableRBRanks31413539[[#This Row],[Player]],RB!B:O,10,FALSE)</f>
        <v>0</v>
      </c>
      <c r="AA152" s="95">
        <f>VLOOKUP(TableRBRanks31413539[[#This Row],[Player]],RB!B:O,14,FALSE)</f>
        <v>0</v>
      </c>
      <c r="AB152" s="190">
        <f>TableRBRanks31413539[[#This Row],[FPS]]-(TableRBRanks31413539[[#This Row],[REC]]*0.5)</f>
        <v>0</v>
      </c>
      <c r="AD152" s="58">
        <v>151</v>
      </c>
      <c r="AE152" s="58">
        <f>VLOOKUP(TableWRRanks32423644[[#This Row],[RK]],Rankings!A:AZ,43,FALSE)</f>
        <v>0</v>
      </c>
      <c r="AF152" s="58" t="str">
        <f>IFERROR(INDEX(TableWRCalcPts[TM],MATCH(TableWRRanks32423644[[#This Row],[Player]],TableWRCalcPts[PLAYER],0)),"")</f>
        <v/>
      </c>
      <c r="AG152" s="58" t="str">
        <f>IFERROR(INDEX(TableWRCalcPts[BYE],MATCH(TableWRRanks32423644[[#This Row],[Player]],TableWRCalcPts[PLAYER],0)),"")</f>
        <v/>
      </c>
      <c r="AH152" s="100">
        <f>VLOOKUP(TableWRRanks32423644[[#This Row],[Player]],WR!B:O,4,FALSE)</f>
        <v>0</v>
      </c>
      <c r="AI152" s="100">
        <f>VLOOKUP(TableWRRanks32423644[[#This Row],[Player]],WR!B:O,5,FALSE)</f>
        <v>0</v>
      </c>
      <c r="AJ152" s="100">
        <f>VLOOKUP(TableWRRanks32423644[[#This Row],[Player]],WR!B:O,6,FALSE)</f>
        <v>0</v>
      </c>
      <c r="AK152" s="100">
        <f>VLOOKUP(TableWRRanks32423644[[#This Row],[Player]],WR!B:O,7,FALSE)</f>
        <v>0</v>
      </c>
      <c r="AL152" s="100">
        <f>VLOOKUP(TableWRRanks32423644[[#This Row],[Player]],WR!B:O,8,FALSE)</f>
        <v>0</v>
      </c>
      <c r="AM152" s="100">
        <f>VLOOKUP(TableWRRanks32423644[[#This Row],[Player]],WR!B:O,9,FALSE)</f>
        <v>0</v>
      </c>
      <c r="AN152" s="95">
        <f>VLOOKUP(TableWRRanks32423644[[#This Row],[Player]],WR!B:O,13,FALSE)</f>
        <v>0</v>
      </c>
      <c r="AO152" s="190">
        <f>TableWRRanks32423644[[#This Row],[FPS]]-(TableWRRanks32423644[[#This Row],[REC]]*0.5)</f>
        <v>0</v>
      </c>
    </row>
    <row r="153" spans="16:41" x14ac:dyDescent="0.25">
      <c r="P153" s="58">
        <v>152</v>
      </c>
      <c r="Q153" s="58">
        <f>VLOOKUP(TableRBRanks31413539[[#This Row],[RK]],Rankings!A:AY,38,FALSE)</f>
        <v>0</v>
      </c>
      <c r="R153" s="58" t="str">
        <f>IFERROR(INDEX(TableRBCalcPts[TM],MATCH(TableRBRanks31413539[[#This Row],[Player]],TableRBCalcPts[PLAYER],0)),"")</f>
        <v/>
      </c>
      <c r="S153" s="58" t="str">
        <f>IFERROR(INDEX(TableRBCalcPts[BYE],MATCH(TableRBRanks31413539[[#This Row],[Player]],TableRBCalcPts[PLAYER],0)),"")</f>
        <v/>
      </c>
      <c r="T153" s="100">
        <f>VLOOKUP(TableRBRanks31413539[[#This Row],[Player]],RB!B:O,4,FALSE)</f>
        <v>0</v>
      </c>
      <c r="U153" s="100">
        <f>VLOOKUP(TableRBRanks31413539[[#This Row],[Player]],RB!B:O,5,FALSE)</f>
        <v>0</v>
      </c>
      <c r="V153" s="100">
        <f>VLOOKUP(TableRBRanks31413539[[#This Row],[Player]],RB!B:O,6,FALSE)</f>
        <v>0</v>
      </c>
      <c r="W153" s="100">
        <f>VLOOKUP(TableRBRanks31413539[[#This Row],[Player]],RB!B:O,7,FALSE)</f>
        <v>0</v>
      </c>
      <c r="X153" s="100">
        <f>VLOOKUP(TableRBRanks31413539[[#This Row],[Player]],RB!B:O,8,FALSE)</f>
        <v>0</v>
      </c>
      <c r="Y153" s="100">
        <f>VLOOKUP(TableRBRanks31413539[[#This Row],[Player]],RB!B:O,9,FALSE)</f>
        <v>0</v>
      </c>
      <c r="Z153" s="100">
        <f>VLOOKUP(TableRBRanks31413539[[#This Row],[Player]],RB!B:O,10,FALSE)</f>
        <v>0</v>
      </c>
      <c r="AA153" s="95">
        <f>VLOOKUP(TableRBRanks31413539[[#This Row],[Player]],RB!B:O,14,FALSE)</f>
        <v>0</v>
      </c>
      <c r="AB153" s="190">
        <f>TableRBRanks31413539[[#This Row],[FPS]]-(TableRBRanks31413539[[#This Row],[REC]]*0.5)</f>
        <v>0</v>
      </c>
      <c r="AD153" s="58">
        <v>152</v>
      </c>
      <c r="AE153" s="58">
        <f>VLOOKUP(TableWRRanks32423644[[#This Row],[RK]],Rankings!A:AZ,43,FALSE)</f>
        <v>0</v>
      </c>
      <c r="AF153" s="58" t="str">
        <f>IFERROR(INDEX(TableWRCalcPts[TM],MATCH(TableWRRanks32423644[[#This Row],[Player]],TableWRCalcPts[PLAYER],0)),"")</f>
        <v/>
      </c>
      <c r="AG153" s="58" t="str">
        <f>IFERROR(INDEX(TableWRCalcPts[BYE],MATCH(TableWRRanks32423644[[#This Row],[Player]],TableWRCalcPts[PLAYER],0)),"")</f>
        <v/>
      </c>
      <c r="AH153" s="100">
        <f>VLOOKUP(TableWRRanks32423644[[#This Row],[Player]],WR!B:O,4,FALSE)</f>
        <v>0</v>
      </c>
      <c r="AI153" s="100">
        <f>VLOOKUP(TableWRRanks32423644[[#This Row],[Player]],WR!B:O,5,FALSE)</f>
        <v>0</v>
      </c>
      <c r="AJ153" s="100">
        <f>VLOOKUP(TableWRRanks32423644[[#This Row],[Player]],WR!B:O,6,FALSE)</f>
        <v>0</v>
      </c>
      <c r="AK153" s="100">
        <f>VLOOKUP(TableWRRanks32423644[[#This Row],[Player]],WR!B:O,7,FALSE)</f>
        <v>0</v>
      </c>
      <c r="AL153" s="100">
        <f>VLOOKUP(TableWRRanks32423644[[#This Row],[Player]],WR!B:O,8,FALSE)</f>
        <v>0</v>
      </c>
      <c r="AM153" s="100">
        <f>VLOOKUP(TableWRRanks32423644[[#This Row],[Player]],WR!B:O,9,FALSE)</f>
        <v>0</v>
      </c>
      <c r="AN153" s="95">
        <f>VLOOKUP(TableWRRanks32423644[[#This Row],[Player]],WR!B:O,13,FALSE)</f>
        <v>0</v>
      </c>
      <c r="AO153" s="190">
        <f>TableWRRanks32423644[[#This Row],[FPS]]-(TableWRRanks32423644[[#This Row],[REC]]*0.5)</f>
        <v>0</v>
      </c>
    </row>
    <row r="154" spans="16:41" x14ac:dyDescent="0.25">
      <c r="P154" s="58">
        <v>153</v>
      </c>
      <c r="Q154" s="58">
        <f>VLOOKUP(TableRBRanks31413539[[#This Row],[RK]],Rankings!A:AY,38,FALSE)</f>
        <v>0</v>
      </c>
      <c r="R154" s="58" t="str">
        <f>IFERROR(INDEX(TableRBCalcPts[TM],MATCH(TableRBRanks31413539[[#This Row],[Player]],TableRBCalcPts[PLAYER],0)),"")</f>
        <v/>
      </c>
      <c r="S154" s="58" t="str">
        <f>IFERROR(INDEX(TableRBCalcPts[BYE],MATCH(TableRBRanks31413539[[#This Row],[Player]],TableRBCalcPts[PLAYER],0)),"")</f>
        <v/>
      </c>
      <c r="T154" s="100">
        <f>VLOOKUP(TableRBRanks31413539[[#This Row],[Player]],RB!B:O,4,FALSE)</f>
        <v>0</v>
      </c>
      <c r="U154" s="100">
        <f>VLOOKUP(TableRBRanks31413539[[#This Row],[Player]],RB!B:O,5,FALSE)</f>
        <v>0</v>
      </c>
      <c r="V154" s="100">
        <f>VLOOKUP(TableRBRanks31413539[[#This Row],[Player]],RB!B:O,6,FALSE)</f>
        <v>0</v>
      </c>
      <c r="W154" s="100">
        <f>VLOOKUP(TableRBRanks31413539[[#This Row],[Player]],RB!B:O,7,FALSE)</f>
        <v>0</v>
      </c>
      <c r="X154" s="100">
        <f>VLOOKUP(TableRBRanks31413539[[#This Row],[Player]],RB!B:O,8,FALSE)</f>
        <v>0</v>
      </c>
      <c r="Y154" s="100">
        <f>VLOOKUP(TableRBRanks31413539[[#This Row],[Player]],RB!B:O,9,FALSE)</f>
        <v>0</v>
      </c>
      <c r="Z154" s="100">
        <f>VLOOKUP(TableRBRanks31413539[[#This Row],[Player]],RB!B:O,10,FALSE)</f>
        <v>0</v>
      </c>
      <c r="AA154" s="95">
        <f>VLOOKUP(TableRBRanks31413539[[#This Row],[Player]],RB!B:O,14,FALSE)</f>
        <v>0</v>
      </c>
      <c r="AB154" s="190">
        <f>TableRBRanks31413539[[#This Row],[FPS]]-(TableRBRanks31413539[[#This Row],[REC]]*0.5)</f>
        <v>0</v>
      </c>
      <c r="AD154" s="58">
        <v>153</v>
      </c>
      <c r="AE154" s="58">
        <f>VLOOKUP(TableWRRanks32423644[[#This Row],[RK]],Rankings!A:AZ,43,FALSE)</f>
        <v>0</v>
      </c>
      <c r="AF154" s="58" t="str">
        <f>IFERROR(INDEX(TableWRCalcPts[TM],MATCH(TableWRRanks32423644[[#This Row],[Player]],TableWRCalcPts[PLAYER],0)),"")</f>
        <v/>
      </c>
      <c r="AG154" s="58" t="str">
        <f>IFERROR(INDEX(TableWRCalcPts[BYE],MATCH(TableWRRanks32423644[[#This Row],[Player]],TableWRCalcPts[PLAYER],0)),"")</f>
        <v/>
      </c>
      <c r="AH154" s="100">
        <f>VLOOKUP(TableWRRanks32423644[[#This Row],[Player]],WR!B:O,4,FALSE)</f>
        <v>0</v>
      </c>
      <c r="AI154" s="100">
        <f>VLOOKUP(TableWRRanks32423644[[#This Row],[Player]],WR!B:O,5,FALSE)</f>
        <v>0</v>
      </c>
      <c r="AJ154" s="100">
        <f>VLOOKUP(TableWRRanks32423644[[#This Row],[Player]],WR!B:O,6,FALSE)</f>
        <v>0</v>
      </c>
      <c r="AK154" s="100">
        <f>VLOOKUP(TableWRRanks32423644[[#This Row],[Player]],WR!B:O,7,FALSE)</f>
        <v>0</v>
      </c>
      <c r="AL154" s="100">
        <f>VLOOKUP(TableWRRanks32423644[[#This Row],[Player]],WR!B:O,8,FALSE)</f>
        <v>0</v>
      </c>
      <c r="AM154" s="100">
        <f>VLOOKUP(TableWRRanks32423644[[#This Row],[Player]],WR!B:O,9,FALSE)</f>
        <v>0</v>
      </c>
      <c r="AN154" s="95">
        <f>VLOOKUP(TableWRRanks32423644[[#This Row],[Player]],WR!B:O,13,FALSE)</f>
        <v>0</v>
      </c>
      <c r="AO154" s="190">
        <f>TableWRRanks32423644[[#This Row],[FPS]]-(TableWRRanks32423644[[#This Row],[REC]]*0.5)</f>
        <v>0</v>
      </c>
    </row>
    <row r="155" spans="16:41" x14ac:dyDescent="0.25">
      <c r="P155" s="58">
        <v>154</v>
      </c>
      <c r="Q155" s="58">
        <f>VLOOKUP(TableRBRanks31413539[[#This Row],[RK]],Rankings!A:AY,38,FALSE)</f>
        <v>0</v>
      </c>
      <c r="R155" s="58" t="str">
        <f>IFERROR(INDEX(TableRBCalcPts[TM],MATCH(TableRBRanks31413539[[#This Row],[Player]],TableRBCalcPts[PLAYER],0)),"")</f>
        <v/>
      </c>
      <c r="S155" s="58" t="str">
        <f>IFERROR(INDEX(TableRBCalcPts[BYE],MATCH(TableRBRanks31413539[[#This Row],[Player]],TableRBCalcPts[PLAYER],0)),"")</f>
        <v/>
      </c>
      <c r="T155" s="100">
        <f>VLOOKUP(TableRBRanks31413539[[#This Row],[Player]],RB!B:O,4,FALSE)</f>
        <v>0</v>
      </c>
      <c r="U155" s="100">
        <f>VLOOKUP(TableRBRanks31413539[[#This Row],[Player]],RB!B:O,5,FALSE)</f>
        <v>0</v>
      </c>
      <c r="V155" s="100">
        <f>VLOOKUP(TableRBRanks31413539[[#This Row],[Player]],RB!B:O,6,FALSE)</f>
        <v>0</v>
      </c>
      <c r="W155" s="100">
        <f>VLOOKUP(TableRBRanks31413539[[#This Row],[Player]],RB!B:O,7,FALSE)</f>
        <v>0</v>
      </c>
      <c r="X155" s="100">
        <f>VLOOKUP(TableRBRanks31413539[[#This Row],[Player]],RB!B:O,8,FALSE)</f>
        <v>0</v>
      </c>
      <c r="Y155" s="100">
        <f>VLOOKUP(TableRBRanks31413539[[#This Row],[Player]],RB!B:O,9,FALSE)</f>
        <v>0</v>
      </c>
      <c r="Z155" s="100">
        <f>VLOOKUP(TableRBRanks31413539[[#This Row],[Player]],RB!B:O,10,FALSE)</f>
        <v>0</v>
      </c>
      <c r="AA155" s="95">
        <f>VLOOKUP(TableRBRanks31413539[[#This Row],[Player]],RB!B:O,14,FALSE)</f>
        <v>0</v>
      </c>
      <c r="AB155" s="190">
        <f>TableRBRanks31413539[[#This Row],[FPS]]-(TableRBRanks31413539[[#This Row],[REC]]*0.5)</f>
        <v>0</v>
      </c>
      <c r="AD155" s="58">
        <v>154</v>
      </c>
      <c r="AE155" s="58">
        <f>VLOOKUP(TableWRRanks32423644[[#This Row],[RK]],Rankings!A:AZ,43,FALSE)</f>
        <v>0</v>
      </c>
      <c r="AF155" s="58" t="str">
        <f>IFERROR(INDEX(TableWRCalcPts[TM],MATCH(TableWRRanks32423644[[#This Row],[Player]],TableWRCalcPts[PLAYER],0)),"")</f>
        <v/>
      </c>
      <c r="AG155" s="58" t="str">
        <f>IFERROR(INDEX(TableWRCalcPts[BYE],MATCH(TableWRRanks32423644[[#This Row],[Player]],TableWRCalcPts[PLAYER],0)),"")</f>
        <v/>
      </c>
      <c r="AH155" s="100">
        <f>VLOOKUP(TableWRRanks32423644[[#This Row],[Player]],WR!B:O,4,FALSE)</f>
        <v>0</v>
      </c>
      <c r="AI155" s="100">
        <f>VLOOKUP(TableWRRanks32423644[[#This Row],[Player]],WR!B:O,5,FALSE)</f>
        <v>0</v>
      </c>
      <c r="AJ155" s="100">
        <f>VLOOKUP(TableWRRanks32423644[[#This Row],[Player]],WR!B:O,6,FALSE)</f>
        <v>0</v>
      </c>
      <c r="AK155" s="100">
        <f>VLOOKUP(TableWRRanks32423644[[#This Row],[Player]],WR!B:O,7,FALSE)</f>
        <v>0</v>
      </c>
      <c r="AL155" s="100">
        <f>VLOOKUP(TableWRRanks32423644[[#This Row],[Player]],WR!B:O,8,FALSE)</f>
        <v>0</v>
      </c>
      <c r="AM155" s="100">
        <f>VLOOKUP(TableWRRanks32423644[[#This Row],[Player]],WR!B:O,9,FALSE)</f>
        <v>0</v>
      </c>
      <c r="AN155" s="95">
        <f>VLOOKUP(TableWRRanks32423644[[#This Row],[Player]],WR!B:O,13,FALSE)</f>
        <v>0</v>
      </c>
      <c r="AO155" s="190">
        <f>TableWRRanks32423644[[#This Row],[FPS]]-(TableWRRanks32423644[[#This Row],[REC]]*0.5)</f>
        <v>0</v>
      </c>
    </row>
    <row r="156" spans="16:41" x14ac:dyDescent="0.25">
      <c r="P156" s="58">
        <v>155</v>
      </c>
      <c r="Q156" s="58">
        <f>VLOOKUP(TableRBRanks31413539[[#This Row],[RK]],Rankings!A:AY,38,FALSE)</f>
        <v>0</v>
      </c>
      <c r="R156" s="58" t="str">
        <f>IFERROR(INDEX(TableRBCalcPts[TM],MATCH(TableRBRanks31413539[[#This Row],[Player]],TableRBCalcPts[PLAYER],0)),"")</f>
        <v/>
      </c>
      <c r="S156" s="58" t="str">
        <f>IFERROR(INDEX(TableRBCalcPts[BYE],MATCH(TableRBRanks31413539[[#This Row],[Player]],TableRBCalcPts[PLAYER],0)),"")</f>
        <v/>
      </c>
      <c r="T156" s="100">
        <f>VLOOKUP(TableRBRanks31413539[[#This Row],[Player]],RB!B:O,4,FALSE)</f>
        <v>0</v>
      </c>
      <c r="U156" s="100">
        <f>VLOOKUP(TableRBRanks31413539[[#This Row],[Player]],RB!B:O,5,FALSE)</f>
        <v>0</v>
      </c>
      <c r="V156" s="100">
        <f>VLOOKUP(TableRBRanks31413539[[#This Row],[Player]],RB!B:O,6,FALSE)</f>
        <v>0</v>
      </c>
      <c r="W156" s="100">
        <f>VLOOKUP(TableRBRanks31413539[[#This Row],[Player]],RB!B:O,7,FALSE)</f>
        <v>0</v>
      </c>
      <c r="X156" s="100">
        <f>VLOOKUP(TableRBRanks31413539[[#This Row],[Player]],RB!B:O,8,FALSE)</f>
        <v>0</v>
      </c>
      <c r="Y156" s="100">
        <f>VLOOKUP(TableRBRanks31413539[[#This Row],[Player]],RB!B:O,9,FALSE)</f>
        <v>0</v>
      </c>
      <c r="Z156" s="100">
        <f>VLOOKUP(TableRBRanks31413539[[#This Row],[Player]],RB!B:O,10,FALSE)</f>
        <v>0</v>
      </c>
      <c r="AA156" s="95">
        <f>VLOOKUP(TableRBRanks31413539[[#This Row],[Player]],RB!B:O,14,FALSE)</f>
        <v>0</v>
      </c>
      <c r="AB156" s="190">
        <f>TableRBRanks31413539[[#This Row],[FPS]]-(TableRBRanks31413539[[#This Row],[REC]]*0.5)</f>
        <v>0</v>
      </c>
      <c r="AD156" s="58">
        <v>155</v>
      </c>
      <c r="AE156" s="58">
        <f>VLOOKUP(TableWRRanks32423644[[#This Row],[RK]],Rankings!A:AZ,43,FALSE)</f>
        <v>0</v>
      </c>
      <c r="AF156" s="58" t="str">
        <f>IFERROR(INDEX(TableWRCalcPts[TM],MATCH(TableWRRanks32423644[[#This Row],[Player]],TableWRCalcPts[PLAYER],0)),"")</f>
        <v/>
      </c>
      <c r="AG156" s="58" t="str">
        <f>IFERROR(INDEX(TableWRCalcPts[BYE],MATCH(TableWRRanks32423644[[#This Row],[Player]],TableWRCalcPts[PLAYER],0)),"")</f>
        <v/>
      </c>
      <c r="AH156" s="100">
        <f>VLOOKUP(TableWRRanks32423644[[#This Row],[Player]],WR!B:O,4,FALSE)</f>
        <v>0</v>
      </c>
      <c r="AI156" s="100">
        <f>VLOOKUP(TableWRRanks32423644[[#This Row],[Player]],WR!B:O,5,FALSE)</f>
        <v>0</v>
      </c>
      <c r="AJ156" s="100">
        <f>VLOOKUP(TableWRRanks32423644[[#This Row],[Player]],WR!B:O,6,FALSE)</f>
        <v>0</v>
      </c>
      <c r="AK156" s="100">
        <f>VLOOKUP(TableWRRanks32423644[[#This Row],[Player]],WR!B:O,7,FALSE)</f>
        <v>0</v>
      </c>
      <c r="AL156" s="100">
        <f>VLOOKUP(TableWRRanks32423644[[#This Row],[Player]],WR!B:O,8,FALSE)</f>
        <v>0</v>
      </c>
      <c r="AM156" s="100">
        <f>VLOOKUP(TableWRRanks32423644[[#This Row],[Player]],WR!B:O,9,FALSE)</f>
        <v>0</v>
      </c>
      <c r="AN156" s="95">
        <f>VLOOKUP(TableWRRanks32423644[[#This Row],[Player]],WR!B:O,13,FALSE)</f>
        <v>0</v>
      </c>
      <c r="AO156" s="190">
        <f>TableWRRanks32423644[[#This Row],[FPS]]-(TableWRRanks32423644[[#This Row],[REC]]*0.5)</f>
        <v>0</v>
      </c>
    </row>
    <row r="157" spans="16:41" x14ac:dyDescent="0.25">
      <c r="P157" s="58">
        <v>156</v>
      </c>
      <c r="Q157" s="58">
        <f>VLOOKUP(TableRBRanks31413539[[#This Row],[RK]],Rankings!A:AY,38,FALSE)</f>
        <v>0</v>
      </c>
      <c r="R157" s="58" t="str">
        <f>IFERROR(INDEX(TableRBCalcPts[TM],MATCH(TableRBRanks31413539[[#This Row],[Player]],TableRBCalcPts[PLAYER],0)),"")</f>
        <v/>
      </c>
      <c r="S157" s="58" t="str">
        <f>IFERROR(INDEX(TableRBCalcPts[BYE],MATCH(TableRBRanks31413539[[#This Row],[Player]],TableRBCalcPts[PLAYER],0)),"")</f>
        <v/>
      </c>
      <c r="T157" s="100">
        <f>VLOOKUP(TableRBRanks31413539[[#This Row],[Player]],RB!B:O,4,FALSE)</f>
        <v>0</v>
      </c>
      <c r="U157" s="100">
        <f>VLOOKUP(TableRBRanks31413539[[#This Row],[Player]],RB!B:O,5,FALSE)</f>
        <v>0</v>
      </c>
      <c r="V157" s="100">
        <f>VLOOKUP(TableRBRanks31413539[[#This Row],[Player]],RB!B:O,6,FALSE)</f>
        <v>0</v>
      </c>
      <c r="W157" s="100">
        <f>VLOOKUP(TableRBRanks31413539[[#This Row],[Player]],RB!B:O,7,FALSE)</f>
        <v>0</v>
      </c>
      <c r="X157" s="100">
        <f>VLOOKUP(TableRBRanks31413539[[#This Row],[Player]],RB!B:O,8,FALSE)</f>
        <v>0</v>
      </c>
      <c r="Y157" s="100">
        <f>VLOOKUP(TableRBRanks31413539[[#This Row],[Player]],RB!B:O,9,FALSE)</f>
        <v>0</v>
      </c>
      <c r="Z157" s="100">
        <f>VLOOKUP(TableRBRanks31413539[[#This Row],[Player]],RB!B:O,10,FALSE)</f>
        <v>0</v>
      </c>
      <c r="AA157" s="95">
        <f>VLOOKUP(TableRBRanks31413539[[#This Row],[Player]],RB!B:O,14,FALSE)</f>
        <v>0</v>
      </c>
      <c r="AB157" s="190">
        <f>TableRBRanks31413539[[#This Row],[FPS]]-(TableRBRanks31413539[[#This Row],[REC]]*0.5)</f>
        <v>0</v>
      </c>
      <c r="AD157" s="58">
        <v>156</v>
      </c>
      <c r="AE157" s="58">
        <f>VLOOKUP(TableWRRanks32423644[[#This Row],[RK]],Rankings!A:AZ,43,FALSE)</f>
        <v>0</v>
      </c>
      <c r="AF157" s="58" t="str">
        <f>IFERROR(INDEX(TableWRCalcPts[TM],MATCH(TableWRRanks32423644[[#This Row],[Player]],TableWRCalcPts[PLAYER],0)),"")</f>
        <v/>
      </c>
      <c r="AG157" s="58" t="str">
        <f>IFERROR(INDEX(TableWRCalcPts[BYE],MATCH(TableWRRanks32423644[[#This Row],[Player]],TableWRCalcPts[PLAYER],0)),"")</f>
        <v/>
      </c>
      <c r="AH157" s="100">
        <f>VLOOKUP(TableWRRanks32423644[[#This Row],[Player]],WR!B:O,4,FALSE)</f>
        <v>0</v>
      </c>
      <c r="AI157" s="100">
        <f>VLOOKUP(TableWRRanks32423644[[#This Row],[Player]],WR!B:O,5,FALSE)</f>
        <v>0</v>
      </c>
      <c r="AJ157" s="100">
        <f>VLOOKUP(TableWRRanks32423644[[#This Row],[Player]],WR!B:O,6,FALSE)</f>
        <v>0</v>
      </c>
      <c r="AK157" s="100">
        <f>VLOOKUP(TableWRRanks32423644[[#This Row],[Player]],WR!B:O,7,FALSE)</f>
        <v>0</v>
      </c>
      <c r="AL157" s="100">
        <f>VLOOKUP(TableWRRanks32423644[[#This Row],[Player]],WR!B:O,8,FALSE)</f>
        <v>0</v>
      </c>
      <c r="AM157" s="100">
        <f>VLOOKUP(TableWRRanks32423644[[#This Row],[Player]],WR!B:O,9,FALSE)</f>
        <v>0</v>
      </c>
      <c r="AN157" s="95">
        <f>VLOOKUP(TableWRRanks32423644[[#This Row],[Player]],WR!B:O,13,FALSE)</f>
        <v>0</v>
      </c>
      <c r="AO157" s="190">
        <f>TableWRRanks32423644[[#This Row],[FPS]]-(TableWRRanks32423644[[#This Row],[REC]]*0.5)</f>
        <v>0</v>
      </c>
    </row>
    <row r="158" spans="16:41" x14ac:dyDescent="0.25">
      <c r="P158" s="58">
        <v>157</v>
      </c>
      <c r="Q158" s="58">
        <f>VLOOKUP(TableRBRanks31413539[[#This Row],[RK]],Rankings!A:AY,38,FALSE)</f>
        <v>0</v>
      </c>
      <c r="R158" s="58" t="str">
        <f>IFERROR(INDEX(TableRBCalcPts[TM],MATCH(TableRBRanks31413539[[#This Row],[Player]],TableRBCalcPts[PLAYER],0)),"")</f>
        <v/>
      </c>
      <c r="S158" s="58" t="str">
        <f>IFERROR(INDEX(TableRBCalcPts[BYE],MATCH(TableRBRanks31413539[[#This Row],[Player]],TableRBCalcPts[PLAYER],0)),"")</f>
        <v/>
      </c>
      <c r="T158" s="100">
        <f>VLOOKUP(TableRBRanks31413539[[#This Row],[Player]],RB!B:O,4,FALSE)</f>
        <v>0</v>
      </c>
      <c r="U158" s="100">
        <f>VLOOKUP(TableRBRanks31413539[[#This Row],[Player]],RB!B:O,5,FALSE)</f>
        <v>0</v>
      </c>
      <c r="V158" s="100">
        <f>VLOOKUP(TableRBRanks31413539[[#This Row],[Player]],RB!B:O,6,FALSE)</f>
        <v>0</v>
      </c>
      <c r="W158" s="100">
        <f>VLOOKUP(TableRBRanks31413539[[#This Row],[Player]],RB!B:O,7,FALSE)</f>
        <v>0</v>
      </c>
      <c r="X158" s="100">
        <f>VLOOKUP(TableRBRanks31413539[[#This Row],[Player]],RB!B:O,8,FALSE)</f>
        <v>0</v>
      </c>
      <c r="Y158" s="100">
        <f>VLOOKUP(TableRBRanks31413539[[#This Row],[Player]],RB!B:O,9,FALSE)</f>
        <v>0</v>
      </c>
      <c r="Z158" s="100">
        <f>VLOOKUP(TableRBRanks31413539[[#This Row],[Player]],RB!B:O,10,FALSE)</f>
        <v>0</v>
      </c>
      <c r="AA158" s="95">
        <f>VLOOKUP(TableRBRanks31413539[[#This Row],[Player]],RB!B:O,14,FALSE)</f>
        <v>0</v>
      </c>
      <c r="AB158" s="190">
        <f>TableRBRanks31413539[[#This Row],[FPS]]-(TableRBRanks31413539[[#This Row],[REC]]*0.5)</f>
        <v>0</v>
      </c>
      <c r="AD158" s="58">
        <v>157</v>
      </c>
      <c r="AE158" s="58">
        <f>VLOOKUP(TableWRRanks32423644[[#This Row],[RK]],Rankings!A:AZ,43,FALSE)</f>
        <v>0</v>
      </c>
      <c r="AF158" s="58" t="str">
        <f>IFERROR(INDEX(TableWRCalcPts[TM],MATCH(TableWRRanks32423644[[#This Row],[Player]],TableWRCalcPts[PLAYER],0)),"")</f>
        <v/>
      </c>
      <c r="AG158" s="58" t="str">
        <f>IFERROR(INDEX(TableWRCalcPts[BYE],MATCH(TableWRRanks32423644[[#This Row],[Player]],TableWRCalcPts[PLAYER],0)),"")</f>
        <v/>
      </c>
      <c r="AH158" s="100">
        <f>VLOOKUP(TableWRRanks32423644[[#This Row],[Player]],WR!B:O,4,FALSE)</f>
        <v>0</v>
      </c>
      <c r="AI158" s="100">
        <f>VLOOKUP(TableWRRanks32423644[[#This Row],[Player]],WR!B:O,5,FALSE)</f>
        <v>0</v>
      </c>
      <c r="AJ158" s="100">
        <f>VLOOKUP(TableWRRanks32423644[[#This Row],[Player]],WR!B:O,6,FALSE)</f>
        <v>0</v>
      </c>
      <c r="AK158" s="100">
        <f>VLOOKUP(TableWRRanks32423644[[#This Row],[Player]],WR!B:O,7,FALSE)</f>
        <v>0</v>
      </c>
      <c r="AL158" s="100">
        <f>VLOOKUP(TableWRRanks32423644[[#This Row],[Player]],WR!B:O,8,FALSE)</f>
        <v>0</v>
      </c>
      <c r="AM158" s="100">
        <f>VLOOKUP(TableWRRanks32423644[[#This Row],[Player]],WR!B:O,9,FALSE)</f>
        <v>0</v>
      </c>
      <c r="AN158" s="95">
        <f>VLOOKUP(TableWRRanks32423644[[#This Row],[Player]],WR!B:O,13,FALSE)</f>
        <v>0</v>
      </c>
      <c r="AO158" s="190">
        <f>TableWRRanks32423644[[#This Row],[FPS]]-(TableWRRanks32423644[[#This Row],[REC]]*0.5)</f>
        <v>0</v>
      </c>
    </row>
    <row r="159" spans="16:41" x14ac:dyDescent="0.25">
      <c r="P159" s="58">
        <v>158</v>
      </c>
      <c r="Q159" s="58">
        <f>VLOOKUP(TableRBRanks31413539[[#This Row],[RK]],Rankings!A:AY,38,FALSE)</f>
        <v>0</v>
      </c>
      <c r="R159" s="58" t="str">
        <f>IFERROR(INDEX(TableRBCalcPts[TM],MATCH(TableRBRanks31413539[[#This Row],[Player]],TableRBCalcPts[PLAYER],0)),"")</f>
        <v/>
      </c>
      <c r="S159" s="58" t="str">
        <f>IFERROR(INDEX(TableRBCalcPts[BYE],MATCH(TableRBRanks31413539[[#This Row],[Player]],TableRBCalcPts[PLAYER],0)),"")</f>
        <v/>
      </c>
      <c r="T159" s="100">
        <f>VLOOKUP(TableRBRanks31413539[[#This Row],[Player]],RB!B:O,4,FALSE)</f>
        <v>0</v>
      </c>
      <c r="U159" s="100">
        <f>VLOOKUP(TableRBRanks31413539[[#This Row],[Player]],RB!B:O,5,FALSE)</f>
        <v>0</v>
      </c>
      <c r="V159" s="100">
        <f>VLOOKUP(TableRBRanks31413539[[#This Row],[Player]],RB!B:O,6,FALSE)</f>
        <v>0</v>
      </c>
      <c r="W159" s="100">
        <f>VLOOKUP(TableRBRanks31413539[[#This Row],[Player]],RB!B:O,7,FALSE)</f>
        <v>0</v>
      </c>
      <c r="X159" s="100">
        <f>VLOOKUP(TableRBRanks31413539[[#This Row],[Player]],RB!B:O,8,FALSE)</f>
        <v>0</v>
      </c>
      <c r="Y159" s="100">
        <f>VLOOKUP(TableRBRanks31413539[[#This Row],[Player]],RB!B:O,9,FALSE)</f>
        <v>0</v>
      </c>
      <c r="Z159" s="100">
        <f>VLOOKUP(TableRBRanks31413539[[#This Row],[Player]],RB!B:O,10,FALSE)</f>
        <v>0</v>
      </c>
      <c r="AA159" s="95">
        <f>VLOOKUP(TableRBRanks31413539[[#This Row],[Player]],RB!B:O,14,FALSE)</f>
        <v>0</v>
      </c>
      <c r="AB159" s="190">
        <f>TableRBRanks31413539[[#This Row],[FPS]]-(TableRBRanks31413539[[#This Row],[REC]]*0.5)</f>
        <v>0</v>
      </c>
      <c r="AD159" s="58">
        <v>158</v>
      </c>
      <c r="AE159" s="58">
        <f>VLOOKUP(TableWRRanks32423644[[#This Row],[RK]],Rankings!A:AZ,43,FALSE)</f>
        <v>0</v>
      </c>
      <c r="AF159" s="58" t="str">
        <f>IFERROR(INDEX(TableWRCalcPts[TM],MATCH(TableWRRanks32423644[[#This Row],[Player]],TableWRCalcPts[PLAYER],0)),"")</f>
        <v/>
      </c>
      <c r="AG159" s="58" t="str">
        <f>IFERROR(INDEX(TableWRCalcPts[BYE],MATCH(TableWRRanks32423644[[#This Row],[Player]],TableWRCalcPts[PLAYER],0)),"")</f>
        <v/>
      </c>
      <c r="AH159" s="100">
        <f>VLOOKUP(TableWRRanks32423644[[#This Row],[Player]],WR!B:O,4,FALSE)</f>
        <v>0</v>
      </c>
      <c r="AI159" s="100">
        <f>VLOOKUP(TableWRRanks32423644[[#This Row],[Player]],WR!B:O,5,FALSE)</f>
        <v>0</v>
      </c>
      <c r="AJ159" s="100">
        <f>VLOOKUP(TableWRRanks32423644[[#This Row],[Player]],WR!B:O,6,FALSE)</f>
        <v>0</v>
      </c>
      <c r="AK159" s="100">
        <f>VLOOKUP(TableWRRanks32423644[[#This Row],[Player]],WR!B:O,7,FALSE)</f>
        <v>0</v>
      </c>
      <c r="AL159" s="100">
        <f>VLOOKUP(TableWRRanks32423644[[#This Row],[Player]],WR!B:O,8,FALSE)</f>
        <v>0</v>
      </c>
      <c r="AM159" s="100">
        <f>VLOOKUP(TableWRRanks32423644[[#This Row],[Player]],WR!B:O,9,FALSE)</f>
        <v>0</v>
      </c>
      <c r="AN159" s="95">
        <f>VLOOKUP(TableWRRanks32423644[[#This Row],[Player]],WR!B:O,13,FALSE)</f>
        <v>0</v>
      </c>
      <c r="AO159" s="190">
        <f>TableWRRanks32423644[[#This Row],[FPS]]-(TableWRRanks32423644[[#This Row],[REC]]*0.5)</f>
        <v>0</v>
      </c>
    </row>
    <row r="160" spans="16:41" x14ac:dyDescent="0.25">
      <c r="P160" s="58">
        <v>159</v>
      </c>
      <c r="Q160" s="58">
        <f>VLOOKUP(TableRBRanks31413539[[#This Row],[RK]],Rankings!A:AY,38,FALSE)</f>
        <v>0</v>
      </c>
      <c r="R160" s="58" t="str">
        <f>IFERROR(INDEX(TableRBCalcPts[TM],MATCH(TableRBRanks31413539[[#This Row],[Player]],TableRBCalcPts[PLAYER],0)),"")</f>
        <v/>
      </c>
      <c r="S160" s="58" t="str">
        <f>IFERROR(INDEX(TableRBCalcPts[BYE],MATCH(TableRBRanks31413539[[#This Row],[Player]],TableRBCalcPts[PLAYER],0)),"")</f>
        <v/>
      </c>
      <c r="T160" s="100">
        <f>VLOOKUP(TableRBRanks31413539[[#This Row],[Player]],RB!B:O,4,FALSE)</f>
        <v>0</v>
      </c>
      <c r="U160" s="100">
        <f>VLOOKUP(TableRBRanks31413539[[#This Row],[Player]],RB!B:O,5,FALSE)</f>
        <v>0</v>
      </c>
      <c r="V160" s="100">
        <f>VLOOKUP(TableRBRanks31413539[[#This Row],[Player]],RB!B:O,6,FALSE)</f>
        <v>0</v>
      </c>
      <c r="W160" s="100">
        <f>VLOOKUP(TableRBRanks31413539[[#This Row],[Player]],RB!B:O,7,FALSE)</f>
        <v>0</v>
      </c>
      <c r="X160" s="100">
        <f>VLOOKUP(TableRBRanks31413539[[#This Row],[Player]],RB!B:O,8,FALSE)</f>
        <v>0</v>
      </c>
      <c r="Y160" s="100">
        <f>VLOOKUP(TableRBRanks31413539[[#This Row],[Player]],RB!B:O,9,FALSE)</f>
        <v>0</v>
      </c>
      <c r="Z160" s="100">
        <f>VLOOKUP(TableRBRanks31413539[[#This Row],[Player]],RB!B:O,10,FALSE)</f>
        <v>0</v>
      </c>
      <c r="AA160" s="95">
        <f>VLOOKUP(TableRBRanks31413539[[#This Row],[Player]],RB!B:O,14,FALSE)</f>
        <v>0</v>
      </c>
      <c r="AB160" s="190">
        <f>TableRBRanks31413539[[#This Row],[FPS]]-(TableRBRanks31413539[[#This Row],[REC]]*0.5)</f>
        <v>0</v>
      </c>
      <c r="AD160" s="58">
        <v>159</v>
      </c>
      <c r="AE160" s="58">
        <f>VLOOKUP(TableWRRanks32423644[[#This Row],[RK]],Rankings!A:AZ,43,FALSE)</f>
        <v>0</v>
      </c>
      <c r="AF160" s="58" t="str">
        <f>IFERROR(INDEX(TableWRCalcPts[TM],MATCH(TableWRRanks32423644[[#This Row],[Player]],TableWRCalcPts[PLAYER],0)),"")</f>
        <v/>
      </c>
      <c r="AG160" s="58" t="str">
        <f>IFERROR(INDEX(TableWRCalcPts[BYE],MATCH(TableWRRanks32423644[[#This Row],[Player]],TableWRCalcPts[PLAYER],0)),"")</f>
        <v/>
      </c>
      <c r="AH160" s="100">
        <f>VLOOKUP(TableWRRanks32423644[[#This Row],[Player]],WR!B:O,4,FALSE)</f>
        <v>0</v>
      </c>
      <c r="AI160" s="100">
        <f>VLOOKUP(TableWRRanks32423644[[#This Row],[Player]],WR!B:O,5,FALSE)</f>
        <v>0</v>
      </c>
      <c r="AJ160" s="100">
        <f>VLOOKUP(TableWRRanks32423644[[#This Row],[Player]],WR!B:O,6,FALSE)</f>
        <v>0</v>
      </c>
      <c r="AK160" s="100">
        <f>VLOOKUP(TableWRRanks32423644[[#This Row],[Player]],WR!B:O,7,FALSE)</f>
        <v>0</v>
      </c>
      <c r="AL160" s="100">
        <f>VLOOKUP(TableWRRanks32423644[[#This Row],[Player]],WR!B:O,8,FALSE)</f>
        <v>0</v>
      </c>
      <c r="AM160" s="100">
        <f>VLOOKUP(TableWRRanks32423644[[#This Row],[Player]],WR!B:O,9,FALSE)</f>
        <v>0</v>
      </c>
      <c r="AN160" s="95">
        <f>VLOOKUP(TableWRRanks32423644[[#This Row],[Player]],WR!B:O,13,FALSE)</f>
        <v>0</v>
      </c>
      <c r="AO160" s="190">
        <f>TableWRRanks32423644[[#This Row],[FPS]]-(TableWRRanks32423644[[#This Row],[REC]]*0.5)</f>
        <v>0</v>
      </c>
    </row>
    <row r="161" spans="16:41" x14ac:dyDescent="0.25">
      <c r="P161" s="58">
        <v>160</v>
      </c>
      <c r="Q161" s="58">
        <f>VLOOKUP(TableRBRanks31413539[[#This Row],[RK]],Rankings!A:AY,38,FALSE)</f>
        <v>0</v>
      </c>
      <c r="R161" s="58" t="str">
        <f>IFERROR(INDEX(TableRBCalcPts[TM],MATCH(TableRBRanks31413539[[#This Row],[Player]],TableRBCalcPts[PLAYER],0)),"")</f>
        <v/>
      </c>
      <c r="S161" s="58" t="str">
        <f>IFERROR(INDEX(TableRBCalcPts[BYE],MATCH(TableRBRanks31413539[[#This Row],[Player]],TableRBCalcPts[PLAYER],0)),"")</f>
        <v/>
      </c>
      <c r="T161" s="100">
        <f>VLOOKUP(TableRBRanks31413539[[#This Row],[Player]],RB!B:O,4,FALSE)</f>
        <v>0</v>
      </c>
      <c r="U161" s="100">
        <f>VLOOKUP(TableRBRanks31413539[[#This Row],[Player]],RB!B:O,5,FALSE)</f>
        <v>0</v>
      </c>
      <c r="V161" s="100">
        <f>VLOOKUP(TableRBRanks31413539[[#This Row],[Player]],RB!B:O,6,FALSE)</f>
        <v>0</v>
      </c>
      <c r="W161" s="100">
        <f>VLOOKUP(TableRBRanks31413539[[#This Row],[Player]],RB!B:O,7,FALSE)</f>
        <v>0</v>
      </c>
      <c r="X161" s="100">
        <f>VLOOKUP(TableRBRanks31413539[[#This Row],[Player]],RB!B:O,8,FALSE)</f>
        <v>0</v>
      </c>
      <c r="Y161" s="100">
        <f>VLOOKUP(TableRBRanks31413539[[#This Row],[Player]],RB!B:O,9,FALSE)</f>
        <v>0</v>
      </c>
      <c r="Z161" s="100">
        <f>VLOOKUP(TableRBRanks31413539[[#This Row],[Player]],RB!B:O,10,FALSE)</f>
        <v>0</v>
      </c>
      <c r="AA161" s="95">
        <f>VLOOKUP(TableRBRanks31413539[[#This Row],[Player]],RB!B:O,14,FALSE)</f>
        <v>0</v>
      </c>
      <c r="AB161" s="190">
        <f>TableRBRanks31413539[[#This Row],[FPS]]-(TableRBRanks31413539[[#This Row],[REC]]*0.5)</f>
        <v>0</v>
      </c>
      <c r="AD161" s="58">
        <v>160</v>
      </c>
      <c r="AE161" s="58">
        <f>VLOOKUP(TableWRRanks32423644[[#This Row],[RK]],Rankings!A:AZ,43,FALSE)</f>
        <v>0</v>
      </c>
      <c r="AF161" s="58" t="str">
        <f>IFERROR(INDEX(TableWRCalcPts[TM],MATCH(TableWRRanks32423644[[#This Row],[Player]],TableWRCalcPts[PLAYER],0)),"")</f>
        <v/>
      </c>
      <c r="AG161" s="58" t="str">
        <f>IFERROR(INDEX(TableWRCalcPts[BYE],MATCH(TableWRRanks32423644[[#This Row],[Player]],TableWRCalcPts[PLAYER],0)),"")</f>
        <v/>
      </c>
      <c r="AH161" s="100">
        <f>VLOOKUP(TableWRRanks32423644[[#This Row],[Player]],WR!B:O,4,FALSE)</f>
        <v>0</v>
      </c>
      <c r="AI161" s="100">
        <f>VLOOKUP(TableWRRanks32423644[[#This Row],[Player]],WR!B:O,5,FALSE)</f>
        <v>0</v>
      </c>
      <c r="AJ161" s="100">
        <f>VLOOKUP(TableWRRanks32423644[[#This Row],[Player]],WR!B:O,6,FALSE)</f>
        <v>0</v>
      </c>
      <c r="AK161" s="100">
        <f>VLOOKUP(TableWRRanks32423644[[#This Row],[Player]],WR!B:O,7,FALSE)</f>
        <v>0</v>
      </c>
      <c r="AL161" s="100">
        <f>VLOOKUP(TableWRRanks32423644[[#This Row],[Player]],WR!B:O,8,FALSE)</f>
        <v>0</v>
      </c>
      <c r="AM161" s="100">
        <f>VLOOKUP(TableWRRanks32423644[[#This Row],[Player]],WR!B:O,9,FALSE)</f>
        <v>0</v>
      </c>
      <c r="AN161" s="95">
        <f>VLOOKUP(TableWRRanks32423644[[#This Row],[Player]],WR!B:O,13,FALSE)</f>
        <v>0</v>
      </c>
      <c r="AO161" s="190">
        <f>TableWRRanks32423644[[#This Row],[FPS]]-(TableWRRanks32423644[[#This Row],[REC]]*0.5)</f>
        <v>0</v>
      </c>
    </row>
    <row r="162" spans="16:41" x14ac:dyDescent="0.25">
      <c r="P162" s="58">
        <v>161</v>
      </c>
      <c r="Q162" s="58">
        <f>VLOOKUP(TableRBRanks31413539[[#This Row],[RK]],Rankings!A:AY,38,FALSE)</f>
        <v>0</v>
      </c>
      <c r="R162" s="58" t="str">
        <f>IFERROR(INDEX(TableRBCalcPts[TM],MATCH(TableRBRanks31413539[[#This Row],[Player]],TableRBCalcPts[PLAYER],0)),"")</f>
        <v/>
      </c>
      <c r="S162" s="58" t="str">
        <f>IFERROR(INDEX(TableRBCalcPts[BYE],MATCH(TableRBRanks31413539[[#This Row],[Player]],TableRBCalcPts[PLAYER],0)),"")</f>
        <v/>
      </c>
      <c r="T162" s="100">
        <f>VLOOKUP(TableRBRanks31413539[[#This Row],[Player]],RB!B:O,4,FALSE)</f>
        <v>0</v>
      </c>
      <c r="U162" s="100">
        <f>VLOOKUP(TableRBRanks31413539[[#This Row],[Player]],RB!B:O,5,FALSE)</f>
        <v>0</v>
      </c>
      <c r="V162" s="100">
        <f>VLOOKUP(TableRBRanks31413539[[#This Row],[Player]],RB!B:O,6,FALSE)</f>
        <v>0</v>
      </c>
      <c r="W162" s="100">
        <f>VLOOKUP(TableRBRanks31413539[[#This Row],[Player]],RB!B:O,7,FALSE)</f>
        <v>0</v>
      </c>
      <c r="X162" s="100">
        <f>VLOOKUP(TableRBRanks31413539[[#This Row],[Player]],RB!B:O,8,FALSE)</f>
        <v>0</v>
      </c>
      <c r="Y162" s="100">
        <f>VLOOKUP(TableRBRanks31413539[[#This Row],[Player]],RB!B:O,9,FALSE)</f>
        <v>0</v>
      </c>
      <c r="Z162" s="100">
        <f>VLOOKUP(TableRBRanks31413539[[#This Row],[Player]],RB!B:O,10,FALSE)</f>
        <v>0</v>
      </c>
      <c r="AA162" s="95">
        <f>VLOOKUP(TableRBRanks31413539[[#This Row],[Player]],RB!B:O,14,FALSE)</f>
        <v>0</v>
      </c>
      <c r="AB162" s="190">
        <f>TableRBRanks31413539[[#This Row],[FPS]]-(TableRBRanks31413539[[#This Row],[REC]]*0.5)</f>
        <v>0</v>
      </c>
      <c r="AD162" s="58">
        <v>161</v>
      </c>
      <c r="AE162" s="58">
        <f>VLOOKUP(TableWRRanks32423644[[#This Row],[RK]],Rankings!A:AZ,43,FALSE)</f>
        <v>0</v>
      </c>
      <c r="AF162" s="58" t="str">
        <f>IFERROR(INDEX(TableWRCalcPts[TM],MATCH(TableWRRanks32423644[[#This Row],[Player]],TableWRCalcPts[PLAYER],0)),"")</f>
        <v/>
      </c>
      <c r="AG162" s="58" t="str">
        <f>IFERROR(INDEX(TableWRCalcPts[BYE],MATCH(TableWRRanks32423644[[#This Row],[Player]],TableWRCalcPts[PLAYER],0)),"")</f>
        <v/>
      </c>
      <c r="AH162" s="100">
        <f>VLOOKUP(TableWRRanks32423644[[#This Row],[Player]],WR!B:O,4,FALSE)</f>
        <v>0</v>
      </c>
      <c r="AI162" s="100">
        <f>VLOOKUP(TableWRRanks32423644[[#This Row],[Player]],WR!B:O,5,FALSE)</f>
        <v>0</v>
      </c>
      <c r="AJ162" s="100">
        <f>VLOOKUP(TableWRRanks32423644[[#This Row],[Player]],WR!B:O,6,FALSE)</f>
        <v>0</v>
      </c>
      <c r="AK162" s="100">
        <f>VLOOKUP(TableWRRanks32423644[[#This Row],[Player]],WR!B:O,7,FALSE)</f>
        <v>0</v>
      </c>
      <c r="AL162" s="100">
        <f>VLOOKUP(TableWRRanks32423644[[#This Row],[Player]],WR!B:O,8,FALSE)</f>
        <v>0</v>
      </c>
      <c r="AM162" s="100">
        <f>VLOOKUP(TableWRRanks32423644[[#This Row],[Player]],WR!B:O,9,FALSE)</f>
        <v>0</v>
      </c>
      <c r="AN162" s="95">
        <f>VLOOKUP(TableWRRanks32423644[[#This Row],[Player]],WR!B:O,13,FALSE)</f>
        <v>0</v>
      </c>
      <c r="AO162" s="190">
        <f>TableWRRanks32423644[[#This Row],[FPS]]-(TableWRRanks32423644[[#This Row],[REC]]*0.5)</f>
        <v>0</v>
      </c>
    </row>
    <row r="163" spans="16:41" x14ac:dyDescent="0.25">
      <c r="P163" s="58">
        <v>162</v>
      </c>
      <c r="Q163" s="58">
        <f>VLOOKUP(TableRBRanks31413539[[#This Row],[RK]],Rankings!A:AY,38,FALSE)</f>
        <v>0</v>
      </c>
      <c r="R163" s="58" t="str">
        <f>IFERROR(INDEX(TableRBCalcPts[TM],MATCH(TableRBRanks31413539[[#This Row],[Player]],TableRBCalcPts[PLAYER],0)),"")</f>
        <v/>
      </c>
      <c r="S163" s="58" t="str">
        <f>IFERROR(INDEX(TableRBCalcPts[BYE],MATCH(TableRBRanks31413539[[#This Row],[Player]],TableRBCalcPts[PLAYER],0)),"")</f>
        <v/>
      </c>
      <c r="T163" s="100">
        <f>VLOOKUP(TableRBRanks31413539[[#This Row],[Player]],RB!B:O,4,FALSE)</f>
        <v>0</v>
      </c>
      <c r="U163" s="100">
        <f>VLOOKUP(TableRBRanks31413539[[#This Row],[Player]],RB!B:O,5,FALSE)</f>
        <v>0</v>
      </c>
      <c r="V163" s="100">
        <f>VLOOKUP(TableRBRanks31413539[[#This Row],[Player]],RB!B:O,6,FALSE)</f>
        <v>0</v>
      </c>
      <c r="W163" s="100">
        <f>VLOOKUP(TableRBRanks31413539[[#This Row],[Player]],RB!B:O,7,FALSE)</f>
        <v>0</v>
      </c>
      <c r="X163" s="100">
        <f>VLOOKUP(TableRBRanks31413539[[#This Row],[Player]],RB!B:O,8,FALSE)</f>
        <v>0</v>
      </c>
      <c r="Y163" s="100">
        <f>VLOOKUP(TableRBRanks31413539[[#This Row],[Player]],RB!B:O,9,FALSE)</f>
        <v>0</v>
      </c>
      <c r="Z163" s="100">
        <f>VLOOKUP(TableRBRanks31413539[[#This Row],[Player]],RB!B:O,10,FALSE)</f>
        <v>0</v>
      </c>
      <c r="AA163" s="95">
        <f>VLOOKUP(TableRBRanks31413539[[#This Row],[Player]],RB!B:O,14,FALSE)</f>
        <v>0</v>
      </c>
      <c r="AB163" s="190">
        <f>TableRBRanks31413539[[#This Row],[FPS]]-(TableRBRanks31413539[[#This Row],[REC]]*0.5)</f>
        <v>0</v>
      </c>
      <c r="AD163" s="58">
        <v>162</v>
      </c>
      <c r="AE163" s="58">
        <f>VLOOKUP(TableWRRanks32423644[[#This Row],[RK]],Rankings!A:AZ,43,FALSE)</f>
        <v>0</v>
      </c>
      <c r="AF163" s="58" t="str">
        <f>IFERROR(INDEX(TableWRCalcPts[TM],MATCH(TableWRRanks32423644[[#This Row],[Player]],TableWRCalcPts[PLAYER],0)),"")</f>
        <v/>
      </c>
      <c r="AG163" s="58" t="str">
        <f>IFERROR(INDEX(TableWRCalcPts[BYE],MATCH(TableWRRanks32423644[[#This Row],[Player]],TableWRCalcPts[PLAYER],0)),"")</f>
        <v/>
      </c>
      <c r="AH163" s="100">
        <f>VLOOKUP(TableWRRanks32423644[[#This Row],[Player]],WR!B:O,4,FALSE)</f>
        <v>0</v>
      </c>
      <c r="AI163" s="100">
        <f>VLOOKUP(TableWRRanks32423644[[#This Row],[Player]],WR!B:O,5,FALSE)</f>
        <v>0</v>
      </c>
      <c r="AJ163" s="100">
        <f>VLOOKUP(TableWRRanks32423644[[#This Row],[Player]],WR!B:O,6,FALSE)</f>
        <v>0</v>
      </c>
      <c r="AK163" s="100">
        <f>VLOOKUP(TableWRRanks32423644[[#This Row],[Player]],WR!B:O,7,FALSE)</f>
        <v>0</v>
      </c>
      <c r="AL163" s="100">
        <f>VLOOKUP(TableWRRanks32423644[[#This Row],[Player]],WR!B:O,8,FALSE)</f>
        <v>0</v>
      </c>
      <c r="AM163" s="100">
        <f>VLOOKUP(TableWRRanks32423644[[#This Row],[Player]],WR!B:O,9,FALSE)</f>
        <v>0</v>
      </c>
      <c r="AN163" s="95">
        <f>VLOOKUP(TableWRRanks32423644[[#This Row],[Player]],WR!B:O,13,FALSE)</f>
        <v>0</v>
      </c>
      <c r="AO163" s="190">
        <f>TableWRRanks32423644[[#This Row],[FPS]]-(TableWRRanks32423644[[#This Row],[REC]]*0.5)</f>
        <v>0</v>
      </c>
    </row>
    <row r="164" spans="16:41" x14ac:dyDescent="0.25">
      <c r="P164" s="58">
        <v>163</v>
      </c>
      <c r="Q164" s="58">
        <f>VLOOKUP(TableRBRanks31413539[[#This Row],[RK]],Rankings!A:AY,38,FALSE)</f>
        <v>0</v>
      </c>
      <c r="R164" s="58" t="str">
        <f>IFERROR(INDEX(TableRBCalcPts[TM],MATCH(TableRBRanks31413539[[#This Row],[Player]],TableRBCalcPts[PLAYER],0)),"")</f>
        <v/>
      </c>
      <c r="S164" s="58" t="str">
        <f>IFERROR(INDEX(TableRBCalcPts[BYE],MATCH(TableRBRanks31413539[[#This Row],[Player]],TableRBCalcPts[PLAYER],0)),"")</f>
        <v/>
      </c>
      <c r="T164" s="100">
        <f>VLOOKUP(TableRBRanks31413539[[#This Row],[Player]],RB!B:O,4,FALSE)</f>
        <v>0</v>
      </c>
      <c r="U164" s="100">
        <f>VLOOKUP(TableRBRanks31413539[[#This Row],[Player]],RB!B:O,5,FALSE)</f>
        <v>0</v>
      </c>
      <c r="V164" s="100">
        <f>VLOOKUP(TableRBRanks31413539[[#This Row],[Player]],RB!B:O,6,FALSE)</f>
        <v>0</v>
      </c>
      <c r="W164" s="100">
        <f>VLOOKUP(TableRBRanks31413539[[#This Row],[Player]],RB!B:O,7,FALSE)</f>
        <v>0</v>
      </c>
      <c r="X164" s="100">
        <f>VLOOKUP(TableRBRanks31413539[[#This Row],[Player]],RB!B:O,8,FALSE)</f>
        <v>0</v>
      </c>
      <c r="Y164" s="100">
        <f>VLOOKUP(TableRBRanks31413539[[#This Row],[Player]],RB!B:O,9,FALSE)</f>
        <v>0</v>
      </c>
      <c r="Z164" s="100">
        <f>VLOOKUP(TableRBRanks31413539[[#This Row],[Player]],RB!B:O,10,FALSE)</f>
        <v>0</v>
      </c>
      <c r="AA164" s="95">
        <f>VLOOKUP(TableRBRanks31413539[[#This Row],[Player]],RB!B:O,14,FALSE)</f>
        <v>0</v>
      </c>
      <c r="AB164" s="190">
        <f>TableRBRanks31413539[[#This Row],[FPS]]-(TableRBRanks31413539[[#This Row],[REC]]*0.5)</f>
        <v>0</v>
      </c>
      <c r="AD164" s="58">
        <v>163</v>
      </c>
      <c r="AE164" s="58">
        <f>VLOOKUP(TableWRRanks32423644[[#This Row],[RK]],Rankings!A:AZ,43,FALSE)</f>
        <v>0</v>
      </c>
      <c r="AF164" s="58" t="str">
        <f>IFERROR(INDEX(TableWRCalcPts[TM],MATCH(TableWRRanks32423644[[#This Row],[Player]],TableWRCalcPts[PLAYER],0)),"")</f>
        <v/>
      </c>
      <c r="AG164" s="58" t="str">
        <f>IFERROR(INDEX(TableWRCalcPts[BYE],MATCH(TableWRRanks32423644[[#This Row],[Player]],TableWRCalcPts[PLAYER],0)),"")</f>
        <v/>
      </c>
      <c r="AH164" s="100">
        <f>VLOOKUP(TableWRRanks32423644[[#This Row],[Player]],WR!B:O,4,FALSE)</f>
        <v>0</v>
      </c>
      <c r="AI164" s="100">
        <f>VLOOKUP(TableWRRanks32423644[[#This Row],[Player]],WR!B:O,5,FALSE)</f>
        <v>0</v>
      </c>
      <c r="AJ164" s="100">
        <f>VLOOKUP(TableWRRanks32423644[[#This Row],[Player]],WR!B:O,6,FALSE)</f>
        <v>0</v>
      </c>
      <c r="AK164" s="100">
        <f>VLOOKUP(TableWRRanks32423644[[#This Row],[Player]],WR!B:O,7,FALSE)</f>
        <v>0</v>
      </c>
      <c r="AL164" s="100">
        <f>VLOOKUP(TableWRRanks32423644[[#This Row],[Player]],WR!B:O,8,FALSE)</f>
        <v>0</v>
      </c>
      <c r="AM164" s="100">
        <f>VLOOKUP(TableWRRanks32423644[[#This Row],[Player]],WR!B:O,9,FALSE)</f>
        <v>0</v>
      </c>
      <c r="AN164" s="95">
        <f>VLOOKUP(TableWRRanks32423644[[#This Row],[Player]],WR!B:O,13,FALSE)</f>
        <v>0</v>
      </c>
      <c r="AO164" s="190">
        <f>TableWRRanks32423644[[#This Row],[FPS]]-(TableWRRanks32423644[[#This Row],[REC]]*0.5)</f>
        <v>0</v>
      </c>
    </row>
    <row r="165" spans="16:41" x14ac:dyDescent="0.25">
      <c r="P165" s="58">
        <v>164</v>
      </c>
      <c r="Q165" s="58">
        <f>VLOOKUP(TableRBRanks31413539[[#This Row],[RK]],Rankings!A:AY,38,FALSE)</f>
        <v>0</v>
      </c>
      <c r="R165" s="58" t="str">
        <f>IFERROR(INDEX(TableRBCalcPts[TM],MATCH(TableRBRanks31413539[[#This Row],[Player]],TableRBCalcPts[PLAYER],0)),"")</f>
        <v/>
      </c>
      <c r="S165" s="58" t="str">
        <f>IFERROR(INDEX(TableRBCalcPts[BYE],MATCH(TableRBRanks31413539[[#This Row],[Player]],TableRBCalcPts[PLAYER],0)),"")</f>
        <v/>
      </c>
      <c r="T165" s="100">
        <f>VLOOKUP(TableRBRanks31413539[[#This Row],[Player]],RB!B:O,4,FALSE)</f>
        <v>0</v>
      </c>
      <c r="U165" s="100">
        <f>VLOOKUP(TableRBRanks31413539[[#This Row],[Player]],RB!B:O,5,FALSE)</f>
        <v>0</v>
      </c>
      <c r="V165" s="100">
        <f>VLOOKUP(TableRBRanks31413539[[#This Row],[Player]],RB!B:O,6,FALSE)</f>
        <v>0</v>
      </c>
      <c r="W165" s="100">
        <f>VLOOKUP(TableRBRanks31413539[[#This Row],[Player]],RB!B:O,7,FALSE)</f>
        <v>0</v>
      </c>
      <c r="X165" s="100">
        <f>VLOOKUP(TableRBRanks31413539[[#This Row],[Player]],RB!B:O,8,FALSE)</f>
        <v>0</v>
      </c>
      <c r="Y165" s="100">
        <f>VLOOKUP(TableRBRanks31413539[[#This Row],[Player]],RB!B:O,9,FALSE)</f>
        <v>0</v>
      </c>
      <c r="Z165" s="100">
        <f>VLOOKUP(TableRBRanks31413539[[#This Row],[Player]],RB!B:O,10,FALSE)</f>
        <v>0</v>
      </c>
      <c r="AA165" s="95">
        <f>VLOOKUP(TableRBRanks31413539[[#This Row],[Player]],RB!B:O,14,FALSE)</f>
        <v>0</v>
      </c>
      <c r="AB165" s="190">
        <f>TableRBRanks31413539[[#This Row],[FPS]]-(TableRBRanks31413539[[#This Row],[REC]]*0.5)</f>
        <v>0</v>
      </c>
      <c r="AD165" s="58">
        <v>164</v>
      </c>
      <c r="AE165" s="58">
        <f>VLOOKUP(TableWRRanks32423644[[#This Row],[RK]],Rankings!A:AZ,43,FALSE)</f>
        <v>0</v>
      </c>
      <c r="AF165" s="58" t="str">
        <f>IFERROR(INDEX(TableWRCalcPts[TM],MATCH(TableWRRanks32423644[[#This Row],[Player]],TableWRCalcPts[PLAYER],0)),"")</f>
        <v/>
      </c>
      <c r="AG165" s="58" t="str">
        <f>IFERROR(INDEX(TableWRCalcPts[BYE],MATCH(TableWRRanks32423644[[#This Row],[Player]],TableWRCalcPts[PLAYER],0)),"")</f>
        <v/>
      </c>
      <c r="AH165" s="100">
        <f>VLOOKUP(TableWRRanks32423644[[#This Row],[Player]],WR!B:O,4,FALSE)</f>
        <v>0</v>
      </c>
      <c r="AI165" s="100">
        <f>VLOOKUP(TableWRRanks32423644[[#This Row],[Player]],WR!B:O,5,FALSE)</f>
        <v>0</v>
      </c>
      <c r="AJ165" s="100">
        <f>VLOOKUP(TableWRRanks32423644[[#This Row],[Player]],WR!B:O,6,FALSE)</f>
        <v>0</v>
      </c>
      <c r="AK165" s="100">
        <f>VLOOKUP(TableWRRanks32423644[[#This Row],[Player]],WR!B:O,7,FALSE)</f>
        <v>0</v>
      </c>
      <c r="AL165" s="100">
        <f>VLOOKUP(TableWRRanks32423644[[#This Row],[Player]],WR!B:O,8,FALSE)</f>
        <v>0</v>
      </c>
      <c r="AM165" s="100">
        <f>VLOOKUP(TableWRRanks32423644[[#This Row],[Player]],WR!B:O,9,FALSE)</f>
        <v>0</v>
      </c>
      <c r="AN165" s="95">
        <f>VLOOKUP(TableWRRanks32423644[[#This Row],[Player]],WR!B:O,13,FALSE)</f>
        <v>0</v>
      </c>
      <c r="AO165" s="190">
        <f>TableWRRanks32423644[[#This Row],[FPS]]-(TableWRRanks32423644[[#This Row],[REC]]*0.5)</f>
        <v>0</v>
      </c>
    </row>
    <row r="166" spans="16:41" x14ac:dyDescent="0.25">
      <c r="P166" s="58">
        <v>165</v>
      </c>
      <c r="Q166" s="58">
        <f>VLOOKUP(TableRBRanks31413539[[#This Row],[RK]],Rankings!A:AY,38,FALSE)</f>
        <v>0</v>
      </c>
      <c r="R166" s="58" t="str">
        <f>IFERROR(INDEX(TableRBCalcPts[TM],MATCH(TableRBRanks31413539[[#This Row],[Player]],TableRBCalcPts[PLAYER],0)),"")</f>
        <v/>
      </c>
      <c r="S166" s="58" t="str">
        <f>IFERROR(INDEX(TableRBCalcPts[BYE],MATCH(TableRBRanks31413539[[#This Row],[Player]],TableRBCalcPts[PLAYER],0)),"")</f>
        <v/>
      </c>
      <c r="T166" s="100">
        <f>VLOOKUP(TableRBRanks31413539[[#This Row],[Player]],RB!B:O,4,FALSE)</f>
        <v>0</v>
      </c>
      <c r="U166" s="100">
        <f>VLOOKUP(TableRBRanks31413539[[#This Row],[Player]],RB!B:O,5,FALSE)</f>
        <v>0</v>
      </c>
      <c r="V166" s="100">
        <f>VLOOKUP(TableRBRanks31413539[[#This Row],[Player]],RB!B:O,6,FALSE)</f>
        <v>0</v>
      </c>
      <c r="W166" s="100">
        <f>VLOOKUP(TableRBRanks31413539[[#This Row],[Player]],RB!B:O,7,FALSE)</f>
        <v>0</v>
      </c>
      <c r="X166" s="100">
        <f>VLOOKUP(TableRBRanks31413539[[#This Row],[Player]],RB!B:O,8,FALSE)</f>
        <v>0</v>
      </c>
      <c r="Y166" s="100">
        <f>VLOOKUP(TableRBRanks31413539[[#This Row],[Player]],RB!B:O,9,FALSE)</f>
        <v>0</v>
      </c>
      <c r="Z166" s="100">
        <f>VLOOKUP(TableRBRanks31413539[[#This Row],[Player]],RB!B:O,10,FALSE)</f>
        <v>0</v>
      </c>
      <c r="AA166" s="95">
        <f>VLOOKUP(TableRBRanks31413539[[#This Row],[Player]],RB!B:O,14,FALSE)</f>
        <v>0</v>
      </c>
      <c r="AB166" s="190">
        <f>TableRBRanks31413539[[#This Row],[FPS]]-(TableRBRanks31413539[[#This Row],[REC]]*0.5)</f>
        <v>0</v>
      </c>
      <c r="AD166" s="58">
        <v>165</v>
      </c>
      <c r="AE166" s="58">
        <f>VLOOKUP(TableWRRanks32423644[[#This Row],[RK]],Rankings!A:AZ,43,FALSE)</f>
        <v>0</v>
      </c>
      <c r="AF166" s="58" t="str">
        <f>IFERROR(INDEX(TableWRCalcPts[TM],MATCH(TableWRRanks32423644[[#This Row],[Player]],TableWRCalcPts[PLAYER],0)),"")</f>
        <v/>
      </c>
      <c r="AG166" s="58" t="str">
        <f>IFERROR(INDEX(TableWRCalcPts[BYE],MATCH(TableWRRanks32423644[[#This Row],[Player]],TableWRCalcPts[PLAYER],0)),"")</f>
        <v/>
      </c>
      <c r="AH166" s="100">
        <f>VLOOKUP(TableWRRanks32423644[[#This Row],[Player]],WR!B:O,4,FALSE)</f>
        <v>0</v>
      </c>
      <c r="AI166" s="100">
        <f>VLOOKUP(TableWRRanks32423644[[#This Row],[Player]],WR!B:O,5,FALSE)</f>
        <v>0</v>
      </c>
      <c r="AJ166" s="100">
        <f>VLOOKUP(TableWRRanks32423644[[#This Row],[Player]],WR!B:O,6,FALSE)</f>
        <v>0</v>
      </c>
      <c r="AK166" s="100">
        <f>VLOOKUP(TableWRRanks32423644[[#This Row],[Player]],WR!B:O,7,FALSE)</f>
        <v>0</v>
      </c>
      <c r="AL166" s="100">
        <f>VLOOKUP(TableWRRanks32423644[[#This Row],[Player]],WR!B:O,8,FALSE)</f>
        <v>0</v>
      </c>
      <c r="AM166" s="100">
        <f>VLOOKUP(TableWRRanks32423644[[#This Row],[Player]],WR!B:O,9,FALSE)</f>
        <v>0</v>
      </c>
      <c r="AN166" s="95">
        <f>VLOOKUP(TableWRRanks32423644[[#This Row],[Player]],WR!B:O,13,FALSE)</f>
        <v>0</v>
      </c>
      <c r="AO166" s="190">
        <f>TableWRRanks32423644[[#This Row],[FPS]]-(TableWRRanks32423644[[#This Row],[REC]]*0.5)</f>
        <v>0</v>
      </c>
    </row>
    <row r="167" spans="16:41" x14ac:dyDescent="0.25">
      <c r="P167" s="58">
        <v>166</v>
      </c>
      <c r="Q167" s="58">
        <f>VLOOKUP(TableRBRanks31413539[[#This Row],[RK]],Rankings!A:AY,38,FALSE)</f>
        <v>0</v>
      </c>
      <c r="R167" s="58" t="str">
        <f>IFERROR(INDEX(TableRBCalcPts[TM],MATCH(TableRBRanks31413539[[#This Row],[Player]],TableRBCalcPts[PLAYER],0)),"")</f>
        <v/>
      </c>
      <c r="S167" s="58" t="str">
        <f>IFERROR(INDEX(TableRBCalcPts[BYE],MATCH(TableRBRanks31413539[[#This Row],[Player]],TableRBCalcPts[PLAYER],0)),"")</f>
        <v/>
      </c>
      <c r="T167" s="100">
        <f>VLOOKUP(TableRBRanks31413539[[#This Row],[Player]],RB!B:O,4,FALSE)</f>
        <v>0</v>
      </c>
      <c r="U167" s="100">
        <f>VLOOKUP(TableRBRanks31413539[[#This Row],[Player]],RB!B:O,5,FALSE)</f>
        <v>0</v>
      </c>
      <c r="V167" s="100">
        <f>VLOOKUP(TableRBRanks31413539[[#This Row],[Player]],RB!B:O,6,FALSE)</f>
        <v>0</v>
      </c>
      <c r="W167" s="100">
        <f>VLOOKUP(TableRBRanks31413539[[#This Row],[Player]],RB!B:O,7,FALSE)</f>
        <v>0</v>
      </c>
      <c r="X167" s="100">
        <f>VLOOKUP(TableRBRanks31413539[[#This Row],[Player]],RB!B:O,8,FALSE)</f>
        <v>0</v>
      </c>
      <c r="Y167" s="100">
        <f>VLOOKUP(TableRBRanks31413539[[#This Row],[Player]],RB!B:O,9,FALSE)</f>
        <v>0</v>
      </c>
      <c r="Z167" s="100">
        <f>VLOOKUP(TableRBRanks31413539[[#This Row],[Player]],RB!B:O,10,FALSE)</f>
        <v>0</v>
      </c>
      <c r="AA167" s="95">
        <f>VLOOKUP(TableRBRanks31413539[[#This Row],[Player]],RB!B:O,14,FALSE)</f>
        <v>0</v>
      </c>
      <c r="AB167" s="190">
        <f>TableRBRanks31413539[[#This Row],[FPS]]-(TableRBRanks31413539[[#This Row],[REC]]*0.5)</f>
        <v>0</v>
      </c>
      <c r="AD167" s="58">
        <v>166</v>
      </c>
      <c r="AE167" s="58">
        <f>VLOOKUP(TableWRRanks32423644[[#This Row],[RK]],Rankings!A:AZ,43,FALSE)</f>
        <v>0</v>
      </c>
      <c r="AF167" s="58" t="str">
        <f>IFERROR(INDEX(TableWRCalcPts[TM],MATCH(TableWRRanks32423644[[#This Row],[Player]],TableWRCalcPts[PLAYER],0)),"")</f>
        <v/>
      </c>
      <c r="AG167" s="58" t="str">
        <f>IFERROR(INDEX(TableWRCalcPts[BYE],MATCH(TableWRRanks32423644[[#This Row],[Player]],TableWRCalcPts[PLAYER],0)),"")</f>
        <v/>
      </c>
      <c r="AH167" s="100">
        <f>VLOOKUP(TableWRRanks32423644[[#This Row],[Player]],WR!B:O,4,FALSE)</f>
        <v>0</v>
      </c>
      <c r="AI167" s="100">
        <f>VLOOKUP(TableWRRanks32423644[[#This Row],[Player]],WR!B:O,5,FALSE)</f>
        <v>0</v>
      </c>
      <c r="AJ167" s="100">
        <f>VLOOKUP(TableWRRanks32423644[[#This Row],[Player]],WR!B:O,6,FALSE)</f>
        <v>0</v>
      </c>
      <c r="AK167" s="100">
        <f>VLOOKUP(TableWRRanks32423644[[#This Row],[Player]],WR!B:O,7,FALSE)</f>
        <v>0</v>
      </c>
      <c r="AL167" s="100">
        <f>VLOOKUP(TableWRRanks32423644[[#This Row],[Player]],WR!B:O,8,FALSE)</f>
        <v>0</v>
      </c>
      <c r="AM167" s="100">
        <f>VLOOKUP(TableWRRanks32423644[[#This Row],[Player]],WR!B:O,9,FALSE)</f>
        <v>0</v>
      </c>
      <c r="AN167" s="95">
        <f>VLOOKUP(TableWRRanks32423644[[#This Row],[Player]],WR!B:O,13,FALSE)</f>
        <v>0</v>
      </c>
      <c r="AO167" s="190">
        <f>TableWRRanks32423644[[#This Row],[FPS]]-(TableWRRanks32423644[[#This Row],[REC]]*0.5)</f>
        <v>0</v>
      </c>
    </row>
    <row r="168" spans="16:41" x14ac:dyDescent="0.25">
      <c r="P168" s="58">
        <v>167</v>
      </c>
      <c r="Q168" s="58">
        <f>VLOOKUP(TableRBRanks31413539[[#This Row],[RK]],Rankings!A:AY,38,FALSE)</f>
        <v>0</v>
      </c>
      <c r="R168" s="58" t="str">
        <f>IFERROR(INDEX(TableRBCalcPts[TM],MATCH(TableRBRanks31413539[[#This Row],[Player]],TableRBCalcPts[PLAYER],0)),"")</f>
        <v/>
      </c>
      <c r="S168" s="58" t="str">
        <f>IFERROR(INDEX(TableRBCalcPts[BYE],MATCH(TableRBRanks31413539[[#This Row],[Player]],TableRBCalcPts[PLAYER],0)),"")</f>
        <v/>
      </c>
      <c r="T168" s="100">
        <f>VLOOKUP(TableRBRanks31413539[[#This Row],[Player]],RB!B:O,4,FALSE)</f>
        <v>0</v>
      </c>
      <c r="U168" s="100">
        <f>VLOOKUP(TableRBRanks31413539[[#This Row],[Player]],RB!B:O,5,FALSE)</f>
        <v>0</v>
      </c>
      <c r="V168" s="100">
        <f>VLOOKUP(TableRBRanks31413539[[#This Row],[Player]],RB!B:O,6,FALSE)</f>
        <v>0</v>
      </c>
      <c r="W168" s="100">
        <f>VLOOKUP(TableRBRanks31413539[[#This Row],[Player]],RB!B:O,7,FALSE)</f>
        <v>0</v>
      </c>
      <c r="X168" s="100">
        <f>VLOOKUP(TableRBRanks31413539[[#This Row],[Player]],RB!B:O,8,FALSE)</f>
        <v>0</v>
      </c>
      <c r="Y168" s="100">
        <f>VLOOKUP(TableRBRanks31413539[[#This Row],[Player]],RB!B:O,9,FALSE)</f>
        <v>0</v>
      </c>
      <c r="Z168" s="100">
        <f>VLOOKUP(TableRBRanks31413539[[#This Row],[Player]],RB!B:O,10,FALSE)</f>
        <v>0</v>
      </c>
      <c r="AA168" s="95">
        <f>VLOOKUP(TableRBRanks31413539[[#This Row],[Player]],RB!B:O,14,FALSE)</f>
        <v>0</v>
      </c>
      <c r="AB168" s="190">
        <f>TableRBRanks31413539[[#This Row],[FPS]]-(TableRBRanks31413539[[#This Row],[REC]]*0.5)</f>
        <v>0</v>
      </c>
      <c r="AD168" s="58">
        <v>167</v>
      </c>
      <c r="AE168" s="58">
        <f>VLOOKUP(TableWRRanks32423644[[#This Row],[RK]],Rankings!A:AZ,43,FALSE)</f>
        <v>0</v>
      </c>
      <c r="AF168" s="58" t="str">
        <f>IFERROR(INDEX(TableWRCalcPts[TM],MATCH(TableWRRanks32423644[[#This Row],[Player]],TableWRCalcPts[PLAYER],0)),"")</f>
        <v/>
      </c>
      <c r="AG168" s="58" t="str">
        <f>IFERROR(INDEX(TableWRCalcPts[BYE],MATCH(TableWRRanks32423644[[#This Row],[Player]],TableWRCalcPts[PLAYER],0)),"")</f>
        <v/>
      </c>
      <c r="AH168" s="100">
        <f>VLOOKUP(TableWRRanks32423644[[#This Row],[Player]],WR!B:O,4,FALSE)</f>
        <v>0</v>
      </c>
      <c r="AI168" s="100">
        <f>VLOOKUP(TableWRRanks32423644[[#This Row],[Player]],WR!B:O,5,FALSE)</f>
        <v>0</v>
      </c>
      <c r="AJ168" s="100">
        <f>VLOOKUP(TableWRRanks32423644[[#This Row],[Player]],WR!B:O,6,FALSE)</f>
        <v>0</v>
      </c>
      <c r="AK168" s="100">
        <f>VLOOKUP(TableWRRanks32423644[[#This Row],[Player]],WR!B:O,7,FALSE)</f>
        <v>0</v>
      </c>
      <c r="AL168" s="100">
        <f>VLOOKUP(TableWRRanks32423644[[#This Row],[Player]],WR!B:O,8,FALSE)</f>
        <v>0</v>
      </c>
      <c r="AM168" s="100">
        <f>VLOOKUP(TableWRRanks32423644[[#This Row],[Player]],WR!B:O,9,FALSE)</f>
        <v>0</v>
      </c>
      <c r="AN168" s="95">
        <f>VLOOKUP(TableWRRanks32423644[[#This Row],[Player]],WR!B:O,13,FALSE)</f>
        <v>0</v>
      </c>
      <c r="AO168" s="190">
        <f>TableWRRanks32423644[[#This Row],[FPS]]-(TableWRRanks32423644[[#This Row],[REC]]*0.5)</f>
        <v>0</v>
      </c>
    </row>
    <row r="169" spans="16:41" x14ac:dyDescent="0.25">
      <c r="P169" s="58">
        <v>168</v>
      </c>
      <c r="Q169" s="58">
        <f>VLOOKUP(TableRBRanks31413539[[#This Row],[RK]],Rankings!A:AY,38,FALSE)</f>
        <v>0</v>
      </c>
      <c r="R169" s="58" t="str">
        <f>IFERROR(INDEX(TableRBCalcPts[TM],MATCH(TableRBRanks31413539[[#This Row],[Player]],TableRBCalcPts[PLAYER],0)),"")</f>
        <v/>
      </c>
      <c r="S169" s="58" t="str">
        <f>IFERROR(INDEX(TableRBCalcPts[BYE],MATCH(TableRBRanks31413539[[#This Row],[Player]],TableRBCalcPts[PLAYER],0)),"")</f>
        <v/>
      </c>
      <c r="T169" s="100">
        <f>VLOOKUP(TableRBRanks31413539[[#This Row],[Player]],RB!B:O,4,FALSE)</f>
        <v>0</v>
      </c>
      <c r="U169" s="100">
        <f>VLOOKUP(TableRBRanks31413539[[#This Row],[Player]],RB!B:O,5,FALSE)</f>
        <v>0</v>
      </c>
      <c r="V169" s="100">
        <f>VLOOKUP(TableRBRanks31413539[[#This Row],[Player]],RB!B:O,6,FALSE)</f>
        <v>0</v>
      </c>
      <c r="W169" s="100">
        <f>VLOOKUP(TableRBRanks31413539[[#This Row],[Player]],RB!B:O,7,FALSE)</f>
        <v>0</v>
      </c>
      <c r="X169" s="100">
        <f>VLOOKUP(TableRBRanks31413539[[#This Row],[Player]],RB!B:O,8,FALSE)</f>
        <v>0</v>
      </c>
      <c r="Y169" s="100">
        <f>VLOOKUP(TableRBRanks31413539[[#This Row],[Player]],RB!B:O,9,FALSE)</f>
        <v>0</v>
      </c>
      <c r="Z169" s="100">
        <f>VLOOKUP(TableRBRanks31413539[[#This Row],[Player]],RB!B:O,10,FALSE)</f>
        <v>0</v>
      </c>
      <c r="AA169" s="95">
        <f>VLOOKUP(TableRBRanks31413539[[#This Row],[Player]],RB!B:O,14,FALSE)</f>
        <v>0</v>
      </c>
      <c r="AB169" s="190">
        <f>TableRBRanks31413539[[#This Row],[FPS]]-(TableRBRanks31413539[[#This Row],[REC]]*0.5)</f>
        <v>0</v>
      </c>
      <c r="AD169" s="58">
        <v>168</v>
      </c>
      <c r="AE169" s="58">
        <f>VLOOKUP(TableWRRanks32423644[[#This Row],[RK]],Rankings!A:AZ,43,FALSE)</f>
        <v>0</v>
      </c>
      <c r="AF169" s="58" t="str">
        <f>IFERROR(INDEX(TableWRCalcPts[TM],MATCH(TableWRRanks32423644[[#This Row],[Player]],TableWRCalcPts[PLAYER],0)),"")</f>
        <v/>
      </c>
      <c r="AG169" s="58" t="str">
        <f>IFERROR(INDEX(TableWRCalcPts[BYE],MATCH(TableWRRanks32423644[[#This Row],[Player]],TableWRCalcPts[PLAYER],0)),"")</f>
        <v/>
      </c>
      <c r="AH169" s="100">
        <f>VLOOKUP(TableWRRanks32423644[[#This Row],[Player]],WR!B:O,4,FALSE)</f>
        <v>0</v>
      </c>
      <c r="AI169" s="100">
        <f>VLOOKUP(TableWRRanks32423644[[#This Row],[Player]],WR!B:O,5,FALSE)</f>
        <v>0</v>
      </c>
      <c r="AJ169" s="100">
        <f>VLOOKUP(TableWRRanks32423644[[#This Row],[Player]],WR!B:O,6,FALSE)</f>
        <v>0</v>
      </c>
      <c r="AK169" s="100">
        <f>VLOOKUP(TableWRRanks32423644[[#This Row],[Player]],WR!B:O,7,FALSE)</f>
        <v>0</v>
      </c>
      <c r="AL169" s="100">
        <f>VLOOKUP(TableWRRanks32423644[[#This Row],[Player]],WR!B:O,8,FALSE)</f>
        <v>0</v>
      </c>
      <c r="AM169" s="100">
        <f>VLOOKUP(TableWRRanks32423644[[#This Row],[Player]],WR!B:O,9,FALSE)</f>
        <v>0</v>
      </c>
      <c r="AN169" s="95">
        <f>VLOOKUP(TableWRRanks32423644[[#This Row],[Player]],WR!B:O,13,FALSE)</f>
        <v>0</v>
      </c>
      <c r="AO169" s="190">
        <f>TableWRRanks32423644[[#This Row],[FPS]]-(TableWRRanks32423644[[#This Row],[REC]]*0.5)</f>
        <v>0</v>
      </c>
    </row>
    <row r="170" spans="16:41" x14ac:dyDescent="0.25">
      <c r="P170" s="58">
        <v>169</v>
      </c>
      <c r="Q170" s="58">
        <f>VLOOKUP(TableRBRanks31413539[[#This Row],[RK]],Rankings!A:AY,38,FALSE)</f>
        <v>0</v>
      </c>
      <c r="R170" s="58" t="str">
        <f>IFERROR(INDEX(TableRBCalcPts[TM],MATCH(TableRBRanks31413539[[#This Row],[Player]],TableRBCalcPts[PLAYER],0)),"")</f>
        <v/>
      </c>
      <c r="S170" s="58" t="str">
        <f>IFERROR(INDEX(TableRBCalcPts[BYE],MATCH(TableRBRanks31413539[[#This Row],[Player]],TableRBCalcPts[PLAYER],0)),"")</f>
        <v/>
      </c>
      <c r="T170" s="100">
        <f>VLOOKUP(TableRBRanks31413539[[#This Row],[Player]],RB!B:O,4,FALSE)</f>
        <v>0</v>
      </c>
      <c r="U170" s="100">
        <f>VLOOKUP(TableRBRanks31413539[[#This Row],[Player]],RB!B:O,5,FALSE)</f>
        <v>0</v>
      </c>
      <c r="V170" s="100">
        <f>VLOOKUP(TableRBRanks31413539[[#This Row],[Player]],RB!B:O,6,FALSE)</f>
        <v>0</v>
      </c>
      <c r="W170" s="100">
        <f>VLOOKUP(TableRBRanks31413539[[#This Row],[Player]],RB!B:O,7,FALSE)</f>
        <v>0</v>
      </c>
      <c r="X170" s="100">
        <f>VLOOKUP(TableRBRanks31413539[[#This Row],[Player]],RB!B:O,8,FALSE)</f>
        <v>0</v>
      </c>
      <c r="Y170" s="100">
        <f>VLOOKUP(TableRBRanks31413539[[#This Row],[Player]],RB!B:O,9,FALSE)</f>
        <v>0</v>
      </c>
      <c r="Z170" s="100">
        <f>VLOOKUP(TableRBRanks31413539[[#This Row],[Player]],RB!B:O,10,FALSE)</f>
        <v>0</v>
      </c>
      <c r="AA170" s="95">
        <f>VLOOKUP(TableRBRanks31413539[[#This Row],[Player]],RB!B:O,14,FALSE)</f>
        <v>0</v>
      </c>
      <c r="AB170" s="190">
        <f>TableRBRanks31413539[[#This Row],[FPS]]-(TableRBRanks31413539[[#This Row],[REC]]*0.5)</f>
        <v>0</v>
      </c>
      <c r="AD170" s="58">
        <v>169</v>
      </c>
      <c r="AE170" s="58">
        <f>VLOOKUP(TableWRRanks32423644[[#This Row],[RK]],Rankings!A:AZ,43,FALSE)</f>
        <v>0</v>
      </c>
      <c r="AF170" s="58" t="str">
        <f>IFERROR(INDEX(TableWRCalcPts[TM],MATCH(TableWRRanks32423644[[#This Row],[Player]],TableWRCalcPts[PLAYER],0)),"")</f>
        <v/>
      </c>
      <c r="AG170" s="58" t="str">
        <f>IFERROR(INDEX(TableWRCalcPts[BYE],MATCH(TableWRRanks32423644[[#This Row],[Player]],TableWRCalcPts[PLAYER],0)),"")</f>
        <v/>
      </c>
      <c r="AH170" s="100">
        <f>VLOOKUP(TableWRRanks32423644[[#This Row],[Player]],WR!B:O,4,FALSE)</f>
        <v>0</v>
      </c>
      <c r="AI170" s="100">
        <f>VLOOKUP(TableWRRanks32423644[[#This Row],[Player]],WR!B:O,5,FALSE)</f>
        <v>0</v>
      </c>
      <c r="AJ170" s="100">
        <f>VLOOKUP(TableWRRanks32423644[[#This Row],[Player]],WR!B:O,6,FALSE)</f>
        <v>0</v>
      </c>
      <c r="AK170" s="100">
        <f>VLOOKUP(TableWRRanks32423644[[#This Row],[Player]],WR!B:O,7,FALSE)</f>
        <v>0</v>
      </c>
      <c r="AL170" s="100">
        <f>VLOOKUP(TableWRRanks32423644[[#This Row],[Player]],WR!B:O,8,FALSE)</f>
        <v>0</v>
      </c>
      <c r="AM170" s="100">
        <f>VLOOKUP(TableWRRanks32423644[[#This Row],[Player]],WR!B:O,9,FALSE)</f>
        <v>0</v>
      </c>
      <c r="AN170" s="95">
        <f>VLOOKUP(TableWRRanks32423644[[#This Row],[Player]],WR!B:O,13,FALSE)</f>
        <v>0</v>
      </c>
      <c r="AO170" s="190">
        <f>TableWRRanks32423644[[#This Row],[FPS]]-(TableWRRanks32423644[[#This Row],[REC]]*0.5)</f>
        <v>0</v>
      </c>
    </row>
    <row r="171" spans="16:41" x14ac:dyDescent="0.25">
      <c r="P171" s="58">
        <v>170</v>
      </c>
      <c r="Q171" s="58">
        <f>VLOOKUP(TableRBRanks31413539[[#This Row],[RK]],Rankings!A:AY,38,FALSE)</f>
        <v>0</v>
      </c>
      <c r="R171" s="58" t="str">
        <f>IFERROR(INDEX(TableRBCalcPts[TM],MATCH(TableRBRanks31413539[[#This Row],[Player]],TableRBCalcPts[PLAYER],0)),"")</f>
        <v/>
      </c>
      <c r="S171" s="58" t="str">
        <f>IFERROR(INDEX(TableRBCalcPts[BYE],MATCH(TableRBRanks31413539[[#This Row],[Player]],TableRBCalcPts[PLAYER],0)),"")</f>
        <v/>
      </c>
      <c r="T171" s="100">
        <f>VLOOKUP(TableRBRanks31413539[[#This Row],[Player]],RB!B:O,4,FALSE)</f>
        <v>0</v>
      </c>
      <c r="U171" s="100">
        <f>VLOOKUP(TableRBRanks31413539[[#This Row],[Player]],RB!B:O,5,FALSE)</f>
        <v>0</v>
      </c>
      <c r="V171" s="100">
        <f>VLOOKUP(TableRBRanks31413539[[#This Row],[Player]],RB!B:O,6,FALSE)</f>
        <v>0</v>
      </c>
      <c r="W171" s="100">
        <f>VLOOKUP(TableRBRanks31413539[[#This Row],[Player]],RB!B:O,7,FALSE)</f>
        <v>0</v>
      </c>
      <c r="X171" s="100">
        <f>VLOOKUP(TableRBRanks31413539[[#This Row],[Player]],RB!B:O,8,FALSE)</f>
        <v>0</v>
      </c>
      <c r="Y171" s="100">
        <f>VLOOKUP(TableRBRanks31413539[[#This Row],[Player]],RB!B:O,9,FALSE)</f>
        <v>0</v>
      </c>
      <c r="Z171" s="100">
        <f>VLOOKUP(TableRBRanks31413539[[#This Row],[Player]],RB!B:O,10,FALSE)</f>
        <v>0</v>
      </c>
      <c r="AA171" s="95">
        <f>VLOOKUP(TableRBRanks31413539[[#This Row],[Player]],RB!B:O,14,FALSE)</f>
        <v>0</v>
      </c>
      <c r="AB171" s="190">
        <f>TableRBRanks31413539[[#This Row],[FPS]]-(TableRBRanks31413539[[#This Row],[REC]]*0.5)</f>
        <v>0</v>
      </c>
      <c r="AD171" s="58">
        <v>170</v>
      </c>
      <c r="AE171" s="58">
        <f>VLOOKUP(TableWRRanks32423644[[#This Row],[RK]],Rankings!A:AZ,43,FALSE)</f>
        <v>0</v>
      </c>
      <c r="AF171" s="58" t="str">
        <f>IFERROR(INDEX(TableWRCalcPts[TM],MATCH(TableWRRanks32423644[[#This Row],[Player]],TableWRCalcPts[PLAYER],0)),"")</f>
        <v/>
      </c>
      <c r="AG171" s="58" t="str">
        <f>IFERROR(INDEX(TableWRCalcPts[BYE],MATCH(TableWRRanks32423644[[#This Row],[Player]],TableWRCalcPts[PLAYER],0)),"")</f>
        <v/>
      </c>
      <c r="AH171" s="100">
        <f>VLOOKUP(TableWRRanks32423644[[#This Row],[Player]],WR!B:O,4,FALSE)</f>
        <v>0</v>
      </c>
      <c r="AI171" s="100">
        <f>VLOOKUP(TableWRRanks32423644[[#This Row],[Player]],WR!B:O,5,FALSE)</f>
        <v>0</v>
      </c>
      <c r="AJ171" s="100">
        <f>VLOOKUP(TableWRRanks32423644[[#This Row],[Player]],WR!B:O,6,FALSE)</f>
        <v>0</v>
      </c>
      <c r="AK171" s="100">
        <f>VLOOKUP(TableWRRanks32423644[[#This Row],[Player]],WR!B:O,7,FALSE)</f>
        <v>0</v>
      </c>
      <c r="AL171" s="100">
        <f>VLOOKUP(TableWRRanks32423644[[#This Row],[Player]],WR!B:O,8,FALSE)</f>
        <v>0</v>
      </c>
      <c r="AM171" s="100">
        <f>VLOOKUP(TableWRRanks32423644[[#This Row],[Player]],WR!B:O,9,FALSE)</f>
        <v>0</v>
      </c>
      <c r="AN171" s="95">
        <f>VLOOKUP(TableWRRanks32423644[[#This Row],[Player]],WR!B:O,13,FALSE)</f>
        <v>0</v>
      </c>
      <c r="AO171" s="190">
        <f>TableWRRanks32423644[[#This Row],[FPS]]-(TableWRRanks32423644[[#This Row],[REC]]*0.5)</f>
        <v>0</v>
      </c>
    </row>
    <row r="172" spans="16:41" x14ac:dyDescent="0.25">
      <c r="AD172" s="58">
        <v>171</v>
      </c>
      <c r="AE172" s="58">
        <f>VLOOKUP(TableWRRanks32423644[[#This Row],[RK]],Rankings!A:AZ,43,FALSE)</f>
        <v>0</v>
      </c>
      <c r="AF172" s="58" t="str">
        <f>IFERROR(INDEX(TableWRCalcPts[TM],MATCH(TableWRRanks32423644[[#This Row],[Player]],TableWRCalcPts[PLAYER],0)),"")</f>
        <v/>
      </c>
      <c r="AG172" s="58" t="str">
        <f>IFERROR(INDEX(TableWRCalcPts[BYE],MATCH(TableWRRanks32423644[[#This Row],[Player]],TableWRCalcPts[PLAYER],0)),"")</f>
        <v/>
      </c>
      <c r="AH172" s="100">
        <f>VLOOKUP(TableWRRanks32423644[[#This Row],[Player]],WR!B:O,4,FALSE)</f>
        <v>0</v>
      </c>
      <c r="AI172" s="100">
        <f>VLOOKUP(TableWRRanks32423644[[#This Row],[Player]],WR!B:O,5,FALSE)</f>
        <v>0</v>
      </c>
      <c r="AJ172" s="100">
        <f>VLOOKUP(TableWRRanks32423644[[#This Row],[Player]],WR!B:O,6,FALSE)</f>
        <v>0</v>
      </c>
      <c r="AK172" s="100">
        <f>VLOOKUP(TableWRRanks32423644[[#This Row],[Player]],WR!B:O,7,FALSE)</f>
        <v>0</v>
      </c>
      <c r="AL172" s="100">
        <f>VLOOKUP(TableWRRanks32423644[[#This Row],[Player]],WR!B:O,8,FALSE)</f>
        <v>0</v>
      </c>
      <c r="AM172" s="100">
        <f>VLOOKUP(TableWRRanks32423644[[#This Row],[Player]],WR!B:O,9,FALSE)</f>
        <v>0</v>
      </c>
      <c r="AN172" s="95">
        <f>VLOOKUP(TableWRRanks32423644[[#This Row],[Player]],WR!B:O,13,FALSE)</f>
        <v>0</v>
      </c>
      <c r="AO172" s="190">
        <f>TableWRRanks32423644[[#This Row],[FPS]]-(TableWRRanks32423644[[#This Row],[REC]]*0.5)</f>
        <v>0</v>
      </c>
    </row>
    <row r="173" spans="16:41" x14ac:dyDescent="0.25">
      <c r="AD173" s="58">
        <v>172</v>
      </c>
      <c r="AE173" s="58">
        <f>VLOOKUP(TableWRRanks32423644[[#This Row],[RK]],Rankings!A:AZ,43,FALSE)</f>
        <v>0</v>
      </c>
      <c r="AF173" s="58" t="str">
        <f>IFERROR(INDEX(TableWRCalcPts[TM],MATCH(TableWRRanks32423644[[#This Row],[Player]],TableWRCalcPts[PLAYER],0)),"")</f>
        <v/>
      </c>
      <c r="AG173" s="58" t="str">
        <f>IFERROR(INDEX(TableWRCalcPts[BYE],MATCH(TableWRRanks32423644[[#This Row],[Player]],TableWRCalcPts[PLAYER],0)),"")</f>
        <v/>
      </c>
      <c r="AH173" s="100">
        <f>VLOOKUP(TableWRRanks32423644[[#This Row],[Player]],WR!B:O,4,FALSE)</f>
        <v>0</v>
      </c>
      <c r="AI173" s="100">
        <f>VLOOKUP(TableWRRanks32423644[[#This Row],[Player]],WR!B:O,5,FALSE)</f>
        <v>0</v>
      </c>
      <c r="AJ173" s="100">
        <f>VLOOKUP(TableWRRanks32423644[[#This Row],[Player]],WR!B:O,6,FALSE)</f>
        <v>0</v>
      </c>
      <c r="AK173" s="100">
        <f>VLOOKUP(TableWRRanks32423644[[#This Row],[Player]],WR!B:O,7,FALSE)</f>
        <v>0</v>
      </c>
      <c r="AL173" s="100">
        <f>VLOOKUP(TableWRRanks32423644[[#This Row],[Player]],WR!B:O,8,FALSE)</f>
        <v>0</v>
      </c>
      <c r="AM173" s="100">
        <f>VLOOKUP(TableWRRanks32423644[[#This Row],[Player]],WR!B:O,9,FALSE)</f>
        <v>0</v>
      </c>
      <c r="AN173" s="95">
        <f>VLOOKUP(TableWRRanks32423644[[#This Row],[Player]],WR!B:O,13,FALSE)</f>
        <v>0</v>
      </c>
      <c r="AO173" s="190">
        <f>TableWRRanks32423644[[#This Row],[FPS]]-(TableWRRanks32423644[[#This Row],[REC]]*0.5)</f>
        <v>0</v>
      </c>
    </row>
    <row r="174" spans="16:41" x14ac:dyDescent="0.25">
      <c r="AD174" s="58">
        <v>173</v>
      </c>
      <c r="AE174" s="58">
        <f>VLOOKUP(TableWRRanks32423644[[#This Row],[RK]],Rankings!A:AZ,43,FALSE)</f>
        <v>0</v>
      </c>
      <c r="AF174" s="58" t="str">
        <f>IFERROR(INDEX(TableWRCalcPts[TM],MATCH(TableWRRanks32423644[[#This Row],[Player]],TableWRCalcPts[PLAYER],0)),"")</f>
        <v/>
      </c>
      <c r="AG174" s="58" t="str">
        <f>IFERROR(INDEX(TableWRCalcPts[BYE],MATCH(TableWRRanks32423644[[#This Row],[Player]],TableWRCalcPts[PLAYER],0)),"")</f>
        <v/>
      </c>
      <c r="AH174" s="100">
        <f>VLOOKUP(TableWRRanks32423644[[#This Row],[Player]],WR!B:O,4,FALSE)</f>
        <v>0</v>
      </c>
      <c r="AI174" s="100">
        <f>VLOOKUP(TableWRRanks32423644[[#This Row],[Player]],WR!B:O,5,FALSE)</f>
        <v>0</v>
      </c>
      <c r="AJ174" s="100">
        <f>VLOOKUP(TableWRRanks32423644[[#This Row],[Player]],WR!B:O,6,FALSE)</f>
        <v>0</v>
      </c>
      <c r="AK174" s="100">
        <f>VLOOKUP(TableWRRanks32423644[[#This Row],[Player]],WR!B:O,7,FALSE)</f>
        <v>0</v>
      </c>
      <c r="AL174" s="100">
        <f>VLOOKUP(TableWRRanks32423644[[#This Row],[Player]],WR!B:O,8,FALSE)</f>
        <v>0</v>
      </c>
      <c r="AM174" s="100">
        <f>VLOOKUP(TableWRRanks32423644[[#This Row],[Player]],WR!B:O,9,FALSE)</f>
        <v>0</v>
      </c>
      <c r="AN174" s="95">
        <f>VLOOKUP(TableWRRanks32423644[[#This Row],[Player]],WR!B:O,13,FALSE)</f>
        <v>0</v>
      </c>
      <c r="AO174" s="190">
        <f>TableWRRanks32423644[[#This Row],[FPS]]-(TableWRRanks32423644[[#This Row],[REC]]*0.5)</f>
        <v>0</v>
      </c>
    </row>
    <row r="175" spans="16:41" x14ac:dyDescent="0.25">
      <c r="AD175" s="58">
        <v>174</v>
      </c>
      <c r="AE175" s="58">
        <f>VLOOKUP(TableWRRanks32423644[[#This Row],[RK]],Rankings!A:AZ,43,FALSE)</f>
        <v>0</v>
      </c>
      <c r="AF175" s="58" t="str">
        <f>IFERROR(INDEX(TableWRCalcPts[TM],MATCH(TableWRRanks32423644[[#This Row],[Player]],TableWRCalcPts[PLAYER],0)),"")</f>
        <v/>
      </c>
      <c r="AG175" s="58" t="str">
        <f>IFERROR(INDEX(TableWRCalcPts[BYE],MATCH(TableWRRanks32423644[[#This Row],[Player]],TableWRCalcPts[PLAYER],0)),"")</f>
        <v/>
      </c>
      <c r="AH175" s="100">
        <f>VLOOKUP(TableWRRanks32423644[[#This Row],[Player]],WR!B:O,4,FALSE)</f>
        <v>0</v>
      </c>
      <c r="AI175" s="100">
        <f>VLOOKUP(TableWRRanks32423644[[#This Row],[Player]],WR!B:O,5,FALSE)</f>
        <v>0</v>
      </c>
      <c r="AJ175" s="100">
        <f>VLOOKUP(TableWRRanks32423644[[#This Row],[Player]],WR!B:O,6,FALSE)</f>
        <v>0</v>
      </c>
      <c r="AK175" s="100">
        <f>VLOOKUP(TableWRRanks32423644[[#This Row],[Player]],WR!B:O,7,FALSE)</f>
        <v>0</v>
      </c>
      <c r="AL175" s="100">
        <f>VLOOKUP(TableWRRanks32423644[[#This Row],[Player]],WR!B:O,8,FALSE)</f>
        <v>0</v>
      </c>
      <c r="AM175" s="100">
        <f>VLOOKUP(TableWRRanks32423644[[#This Row],[Player]],WR!B:O,9,FALSE)</f>
        <v>0</v>
      </c>
      <c r="AN175" s="95">
        <f>VLOOKUP(TableWRRanks32423644[[#This Row],[Player]],WR!B:O,13,FALSE)</f>
        <v>0</v>
      </c>
      <c r="AO175" s="190">
        <f>TableWRRanks32423644[[#This Row],[FPS]]-(TableWRRanks32423644[[#This Row],[REC]]*0.5)</f>
        <v>0</v>
      </c>
    </row>
    <row r="176" spans="16:41" x14ac:dyDescent="0.25">
      <c r="AD176" s="58">
        <v>175</v>
      </c>
      <c r="AE176" s="58">
        <f>VLOOKUP(TableWRRanks32423644[[#This Row],[RK]],Rankings!A:AZ,43,FALSE)</f>
        <v>0</v>
      </c>
      <c r="AF176" s="58" t="str">
        <f>IFERROR(INDEX(TableWRCalcPts[TM],MATCH(TableWRRanks32423644[[#This Row],[Player]],TableWRCalcPts[PLAYER],0)),"")</f>
        <v/>
      </c>
      <c r="AG176" s="58" t="str">
        <f>IFERROR(INDEX(TableWRCalcPts[BYE],MATCH(TableWRRanks32423644[[#This Row],[Player]],TableWRCalcPts[PLAYER],0)),"")</f>
        <v/>
      </c>
      <c r="AH176" s="100">
        <f>VLOOKUP(TableWRRanks32423644[[#This Row],[Player]],WR!B:O,4,FALSE)</f>
        <v>0</v>
      </c>
      <c r="AI176" s="100">
        <f>VLOOKUP(TableWRRanks32423644[[#This Row],[Player]],WR!B:O,5,FALSE)</f>
        <v>0</v>
      </c>
      <c r="AJ176" s="100">
        <f>VLOOKUP(TableWRRanks32423644[[#This Row],[Player]],WR!B:O,6,FALSE)</f>
        <v>0</v>
      </c>
      <c r="AK176" s="100">
        <f>VLOOKUP(TableWRRanks32423644[[#This Row],[Player]],WR!B:O,7,FALSE)</f>
        <v>0</v>
      </c>
      <c r="AL176" s="100">
        <f>VLOOKUP(TableWRRanks32423644[[#This Row],[Player]],WR!B:O,8,FALSE)</f>
        <v>0</v>
      </c>
      <c r="AM176" s="100">
        <f>VLOOKUP(TableWRRanks32423644[[#This Row],[Player]],WR!B:O,9,FALSE)</f>
        <v>0</v>
      </c>
      <c r="AN176" s="95">
        <f>VLOOKUP(TableWRRanks32423644[[#This Row],[Player]],WR!B:O,13,FALSE)</f>
        <v>0</v>
      </c>
      <c r="AO176" s="190">
        <f>TableWRRanks32423644[[#This Row],[FPS]]-(TableWRRanks32423644[[#This Row],[REC]]*0.5)</f>
        <v>0</v>
      </c>
    </row>
    <row r="177" spans="30:41" x14ac:dyDescent="0.25">
      <c r="AD177" s="58">
        <v>176</v>
      </c>
      <c r="AE177" s="58">
        <f>VLOOKUP(TableWRRanks32423644[[#This Row],[RK]],Rankings!A:AZ,43,FALSE)</f>
        <v>0</v>
      </c>
      <c r="AF177" s="58" t="str">
        <f>IFERROR(INDEX(TableWRCalcPts[TM],MATCH(TableWRRanks32423644[[#This Row],[Player]],TableWRCalcPts[PLAYER],0)),"")</f>
        <v/>
      </c>
      <c r="AG177" s="58" t="str">
        <f>IFERROR(INDEX(TableWRCalcPts[BYE],MATCH(TableWRRanks32423644[[#This Row],[Player]],TableWRCalcPts[PLAYER],0)),"")</f>
        <v/>
      </c>
      <c r="AH177" s="100">
        <f>VLOOKUP(TableWRRanks32423644[[#This Row],[Player]],WR!B:O,4,FALSE)</f>
        <v>0</v>
      </c>
      <c r="AI177" s="100">
        <f>VLOOKUP(TableWRRanks32423644[[#This Row],[Player]],WR!B:O,5,FALSE)</f>
        <v>0</v>
      </c>
      <c r="AJ177" s="100">
        <f>VLOOKUP(TableWRRanks32423644[[#This Row],[Player]],WR!B:O,6,FALSE)</f>
        <v>0</v>
      </c>
      <c r="AK177" s="100">
        <f>VLOOKUP(TableWRRanks32423644[[#This Row],[Player]],WR!B:O,7,FALSE)</f>
        <v>0</v>
      </c>
      <c r="AL177" s="100">
        <f>VLOOKUP(TableWRRanks32423644[[#This Row],[Player]],WR!B:O,8,FALSE)</f>
        <v>0</v>
      </c>
      <c r="AM177" s="100">
        <f>VLOOKUP(TableWRRanks32423644[[#This Row],[Player]],WR!B:O,9,FALSE)</f>
        <v>0</v>
      </c>
      <c r="AN177" s="95">
        <f>VLOOKUP(TableWRRanks32423644[[#This Row],[Player]],WR!B:O,13,FALSE)</f>
        <v>0</v>
      </c>
      <c r="AO177" s="190">
        <f>TableWRRanks32423644[[#This Row],[FPS]]-(TableWRRanks32423644[[#This Row],[REC]]*0.5)</f>
        <v>0</v>
      </c>
    </row>
    <row r="178" spans="30:41" x14ac:dyDescent="0.25">
      <c r="AD178" s="58">
        <v>177</v>
      </c>
      <c r="AE178" s="58">
        <f>VLOOKUP(TableWRRanks32423644[[#This Row],[RK]],Rankings!A:AZ,43,FALSE)</f>
        <v>0</v>
      </c>
      <c r="AF178" s="58" t="str">
        <f>IFERROR(INDEX(TableWRCalcPts[TM],MATCH(TableWRRanks32423644[[#This Row],[Player]],TableWRCalcPts[PLAYER],0)),"")</f>
        <v/>
      </c>
      <c r="AG178" s="58" t="str">
        <f>IFERROR(INDEX(TableWRCalcPts[BYE],MATCH(TableWRRanks32423644[[#This Row],[Player]],TableWRCalcPts[PLAYER],0)),"")</f>
        <v/>
      </c>
      <c r="AH178" s="100">
        <f>VLOOKUP(TableWRRanks32423644[[#This Row],[Player]],WR!B:O,4,FALSE)</f>
        <v>0</v>
      </c>
      <c r="AI178" s="100">
        <f>VLOOKUP(TableWRRanks32423644[[#This Row],[Player]],WR!B:O,5,FALSE)</f>
        <v>0</v>
      </c>
      <c r="AJ178" s="100">
        <f>VLOOKUP(TableWRRanks32423644[[#This Row],[Player]],WR!B:O,6,FALSE)</f>
        <v>0</v>
      </c>
      <c r="AK178" s="100">
        <f>VLOOKUP(TableWRRanks32423644[[#This Row],[Player]],WR!B:O,7,FALSE)</f>
        <v>0</v>
      </c>
      <c r="AL178" s="100">
        <f>VLOOKUP(TableWRRanks32423644[[#This Row],[Player]],WR!B:O,8,FALSE)</f>
        <v>0</v>
      </c>
      <c r="AM178" s="100">
        <f>VLOOKUP(TableWRRanks32423644[[#This Row],[Player]],WR!B:O,9,FALSE)</f>
        <v>0</v>
      </c>
      <c r="AN178" s="95">
        <f>VLOOKUP(TableWRRanks32423644[[#This Row],[Player]],WR!B:O,13,FALSE)</f>
        <v>0</v>
      </c>
      <c r="AO178" s="190">
        <f>TableWRRanks32423644[[#This Row],[FPS]]-(TableWRRanks32423644[[#This Row],[REC]]*0.5)</f>
        <v>0</v>
      </c>
    </row>
    <row r="179" spans="30:41" x14ac:dyDescent="0.25">
      <c r="AD179" s="58">
        <v>178</v>
      </c>
      <c r="AE179" s="58">
        <f>VLOOKUP(TableWRRanks32423644[[#This Row],[RK]],Rankings!A:AZ,43,FALSE)</f>
        <v>0</v>
      </c>
      <c r="AF179" s="58" t="str">
        <f>IFERROR(INDEX(TableWRCalcPts[TM],MATCH(TableWRRanks32423644[[#This Row],[Player]],TableWRCalcPts[PLAYER],0)),"")</f>
        <v/>
      </c>
      <c r="AG179" s="58" t="str">
        <f>IFERROR(INDEX(TableWRCalcPts[BYE],MATCH(TableWRRanks32423644[[#This Row],[Player]],TableWRCalcPts[PLAYER],0)),"")</f>
        <v/>
      </c>
      <c r="AH179" s="100">
        <f>VLOOKUP(TableWRRanks32423644[[#This Row],[Player]],WR!B:O,4,FALSE)</f>
        <v>0</v>
      </c>
      <c r="AI179" s="100">
        <f>VLOOKUP(TableWRRanks32423644[[#This Row],[Player]],WR!B:O,5,FALSE)</f>
        <v>0</v>
      </c>
      <c r="AJ179" s="100">
        <f>VLOOKUP(TableWRRanks32423644[[#This Row],[Player]],WR!B:O,6,FALSE)</f>
        <v>0</v>
      </c>
      <c r="AK179" s="100">
        <f>VLOOKUP(TableWRRanks32423644[[#This Row],[Player]],WR!B:O,7,FALSE)</f>
        <v>0</v>
      </c>
      <c r="AL179" s="100">
        <f>VLOOKUP(TableWRRanks32423644[[#This Row],[Player]],WR!B:O,8,FALSE)</f>
        <v>0</v>
      </c>
      <c r="AM179" s="100">
        <f>VLOOKUP(TableWRRanks32423644[[#This Row],[Player]],WR!B:O,9,FALSE)</f>
        <v>0</v>
      </c>
      <c r="AN179" s="95">
        <f>VLOOKUP(TableWRRanks32423644[[#This Row],[Player]],WR!B:O,13,FALSE)</f>
        <v>0</v>
      </c>
      <c r="AO179" s="190">
        <f>TableWRRanks32423644[[#This Row],[FPS]]-(TableWRRanks32423644[[#This Row],[REC]]*0.5)</f>
        <v>0</v>
      </c>
    </row>
    <row r="180" spans="30:41" x14ac:dyDescent="0.25">
      <c r="AD180" s="58">
        <v>179</v>
      </c>
      <c r="AE180" s="58">
        <f>VLOOKUP(TableWRRanks32423644[[#This Row],[RK]],Rankings!A:AZ,43,FALSE)</f>
        <v>0</v>
      </c>
      <c r="AF180" s="58" t="str">
        <f>IFERROR(INDEX(TableWRCalcPts[TM],MATCH(TableWRRanks32423644[[#This Row],[Player]],TableWRCalcPts[PLAYER],0)),"")</f>
        <v/>
      </c>
      <c r="AG180" s="58" t="str">
        <f>IFERROR(INDEX(TableWRCalcPts[BYE],MATCH(TableWRRanks32423644[[#This Row],[Player]],TableWRCalcPts[PLAYER],0)),"")</f>
        <v/>
      </c>
      <c r="AH180" s="100">
        <f>VLOOKUP(TableWRRanks32423644[[#This Row],[Player]],WR!B:O,4,FALSE)</f>
        <v>0</v>
      </c>
      <c r="AI180" s="100">
        <f>VLOOKUP(TableWRRanks32423644[[#This Row],[Player]],WR!B:O,5,FALSE)</f>
        <v>0</v>
      </c>
      <c r="AJ180" s="100">
        <f>VLOOKUP(TableWRRanks32423644[[#This Row],[Player]],WR!B:O,6,FALSE)</f>
        <v>0</v>
      </c>
      <c r="AK180" s="100">
        <f>VLOOKUP(TableWRRanks32423644[[#This Row],[Player]],WR!B:O,7,FALSE)</f>
        <v>0</v>
      </c>
      <c r="AL180" s="100">
        <f>VLOOKUP(TableWRRanks32423644[[#This Row],[Player]],WR!B:O,8,FALSE)</f>
        <v>0</v>
      </c>
      <c r="AM180" s="100">
        <f>VLOOKUP(TableWRRanks32423644[[#This Row],[Player]],WR!B:O,9,FALSE)</f>
        <v>0</v>
      </c>
      <c r="AN180" s="95">
        <f>VLOOKUP(TableWRRanks32423644[[#This Row],[Player]],WR!B:O,13,FALSE)</f>
        <v>0</v>
      </c>
      <c r="AO180" s="190">
        <f>TableWRRanks32423644[[#This Row],[FPS]]-(TableWRRanks32423644[[#This Row],[REC]]*0.5)</f>
        <v>0</v>
      </c>
    </row>
    <row r="181" spans="30:41" x14ac:dyDescent="0.25">
      <c r="AD181" s="58">
        <v>180</v>
      </c>
      <c r="AE181" s="58">
        <f>VLOOKUP(TableWRRanks32423644[[#This Row],[RK]],Rankings!A:AZ,43,FALSE)</f>
        <v>0</v>
      </c>
      <c r="AF181" s="58" t="str">
        <f>IFERROR(INDEX(TableWRCalcPts[TM],MATCH(TableWRRanks32423644[[#This Row],[Player]],TableWRCalcPts[PLAYER],0)),"")</f>
        <v/>
      </c>
      <c r="AG181" s="58" t="str">
        <f>IFERROR(INDEX(TableWRCalcPts[BYE],MATCH(TableWRRanks32423644[[#This Row],[Player]],TableWRCalcPts[PLAYER],0)),"")</f>
        <v/>
      </c>
      <c r="AH181" s="100">
        <f>VLOOKUP(TableWRRanks32423644[[#This Row],[Player]],WR!B:O,4,FALSE)</f>
        <v>0</v>
      </c>
      <c r="AI181" s="100">
        <f>VLOOKUP(TableWRRanks32423644[[#This Row],[Player]],WR!B:O,5,FALSE)</f>
        <v>0</v>
      </c>
      <c r="AJ181" s="100">
        <f>VLOOKUP(TableWRRanks32423644[[#This Row],[Player]],WR!B:O,6,FALSE)</f>
        <v>0</v>
      </c>
      <c r="AK181" s="100">
        <f>VLOOKUP(TableWRRanks32423644[[#This Row],[Player]],WR!B:O,7,FALSE)</f>
        <v>0</v>
      </c>
      <c r="AL181" s="100">
        <f>VLOOKUP(TableWRRanks32423644[[#This Row],[Player]],WR!B:O,8,FALSE)</f>
        <v>0</v>
      </c>
      <c r="AM181" s="100">
        <f>VLOOKUP(TableWRRanks32423644[[#This Row],[Player]],WR!B:O,9,FALSE)</f>
        <v>0</v>
      </c>
      <c r="AN181" s="95">
        <f>VLOOKUP(TableWRRanks32423644[[#This Row],[Player]],WR!B:O,13,FALSE)</f>
        <v>0</v>
      </c>
      <c r="AO181" s="190">
        <f>TableWRRanks32423644[[#This Row],[FPS]]-(TableWRRanks32423644[[#This Row],[REC]]*0.5)</f>
        <v>0</v>
      </c>
    </row>
    <row r="182" spans="30:41" x14ac:dyDescent="0.25">
      <c r="AD182" s="58">
        <v>181</v>
      </c>
      <c r="AE182" s="58">
        <f>VLOOKUP(TableWRRanks32423644[[#This Row],[RK]],Rankings!A:AZ,43,FALSE)</f>
        <v>0</v>
      </c>
      <c r="AF182" s="58" t="str">
        <f>IFERROR(INDEX(TableWRCalcPts[TM],MATCH(TableWRRanks32423644[[#This Row],[Player]],TableWRCalcPts[PLAYER],0)),"")</f>
        <v/>
      </c>
      <c r="AG182" s="58" t="str">
        <f>IFERROR(INDEX(TableWRCalcPts[BYE],MATCH(TableWRRanks32423644[[#This Row],[Player]],TableWRCalcPts[PLAYER],0)),"")</f>
        <v/>
      </c>
      <c r="AH182" s="100">
        <f>VLOOKUP(TableWRRanks32423644[[#This Row],[Player]],WR!B:O,4,FALSE)</f>
        <v>0</v>
      </c>
      <c r="AI182" s="100">
        <f>VLOOKUP(TableWRRanks32423644[[#This Row],[Player]],WR!B:O,5,FALSE)</f>
        <v>0</v>
      </c>
      <c r="AJ182" s="100">
        <f>VLOOKUP(TableWRRanks32423644[[#This Row],[Player]],WR!B:O,6,FALSE)</f>
        <v>0</v>
      </c>
      <c r="AK182" s="100">
        <f>VLOOKUP(TableWRRanks32423644[[#This Row],[Player]],WR!B:O,7,FALSE)</f>
        <v>0</v>
      </c>
      <c r="AL182" s="100">
        <f>VLOOKUP(TableWRRanks32423644[[#This Row],[Player]],WR!B:O,8,FALSE)</f>
        <v>0</v>
      </c>
      <c r="AM182" s="100">
        <f>VLOOKUP(TableWRRanks32423644[[#This Row],[Player]],WR!B:O,9,FALSE)</f>
        <v>0</v>
      </c>
      <c r="AN182" s="95">
        <f>VLOOKUP(TableWRRanks32423644[[#This Row],[Player]],WR!B:O,13,FALSE)</f>
        <v>0</v>
      </c>
      <c r="AO182" s="190">
        <f>TableWRRanks32423644[[#This Row],[FPS]]-(TableWRRanks32423644[[#This Row],[REC]]*0.5)</f>
        <v>0</v>
      </c>
    </row>
    <row r="183" spans="30:41" x14ac:dyDescent="0.25">
      <c r="AD183" s="58">
        <v>182</v>
      </c>
      <c r="AE183" s="58">
        <f>VLOOKUP(TableWRRanks32423644[[#This Row],[RK]],Rankings!A:AZ,43,FALSE)</f>
        <v>0</v>
      </c>
      <c r="AF183" s="58" t="str">
        <f>IFERROR(INDEX(TableWRCalcPts[TM],MATCH(TableWRRanks32423644[[#This Row],[Player]],TableWRCalcPts[PLAYER],0)),"")</f>
        <v/>
      </c>
      <c r="AG183" s="58" t="str">
        <f>IFERROR(INDEX(TableWRCalcPts[BYE],MATCH(TableWRRanks32423644[[#This Row],[Player]],TableWRCalcPts[PLAYER],0)),"")</f>
        <v/>
      </c>
      <c r="AH183" s="100">
        <f>VLOOKUP(TableWRRanks32423644[[#This Row],[Player]],WR!B:O,4,FALSE)</f>
        <v>0</v>
      </c>
      <c r="AI183" s="100">
        <f>VLOOKUP(TableWRRanks32423644[[#This Row],[Player]],WR!B:O,5,FALSE)</f>
        <v>0</v>
      </c>
      <c r="AJ183" s="100">
        <f>VLOOKUP(TableWRRanks32423644[[#This Row],[Player]],WR!B:O,6,FALSE)</f>
        <v>0</v>
      </c>
      <c r="AK183" s="100">
        <f>VLOOKUP(TableWRRanks32423644[[#This Row],[Player]],WR!B:O,7,FALSE)</f>
        <v>0</v>
      </c>
      <c r="AL183" s="100">
        <f>VLOOKUP(TableWRRanks32423644[[#This Row],[Player]],WR!B:O,8,FALSE)</f>
        <v>0</v>
      </c>
      <c r="AM183" s="100">
        <f>VLOOKUP(TableWRRanks32423644[[#This Row],[Player]],WR!B:O,9,FALSE)</f>
        <v>0</v>
      </c>
      <c r="AN183" s="95">
        <f>VLOOKUP(TableWRRanks32423644[[#This Row],[Player]],WR!B:O,13,FALSE)</f>
        <v>0</v>
      </c>
      <c r="AO183" s="190">
        <f>TableWRRanks32423644[[#This Row],[FPS]]-(TableWRRanks32423644[[#This Row],[REC]]*0.5)</f>
        <v>0</v>
      </c>
    </row>
    <row r="184" spans="30:41" x14ac:dyDescent="0.25">
      <c r="AD184" s="58">
        <v>183</v>
      </c>
      <c r="AE184" s="58">
        <f>VLOOKUP(TableWRRanks32423644[[#This Row],[RK]],Rankings!A:AZ,43,FALSE)</f>
        <v>0</v>
      </c>
      <c r="AF184" s="58" t="str">
        <f>IFERROR(INDEX(TableWRCalcPts[TM],MATCH(TableWRRanks32423644[[#This Row],[Player]],TableWRCalcPts[PLAYER],0)),"")</f>
        <v/>
      </c>
      <c r="AG184" s="58" t="str">
        <f>IFERROR(INDEX(TableWRCalcPts[BYE],MATCH(TableWRRanks32423644[[#This Row],[Player]],TableWRCalcPts[PLAYER],0)),"")</f>
        <v/>
      </c>
      <c r="AH184" s="100">
        <f>VLOOKUP(TableWRRanks32423644[[#This Row],[Player]],WR!B:O,4,FALSE)</f>
        <v>0</v>
      </c>
      <c r="AI184" s="100">
        <f>VLOOKUP(TableWRRanks32423644[[#This Row],[Player]],WR!B:O,5,FALSE)</f>
        <v>0</v>
      </c>
      <c r="AJ184" s="100">
        <f>VLOOKUP(TableWRRanks32423644[[#This Row],[Player]],WR!B:O,6,FALSE)</f>
        <v>0</v>
      </c>
      <c r="AK184" s="100">
        <f>VLOOKUP(TableWRRanks32423644[[#This Row],[Player]],WR!B:O,7,FALSE)</f>
        <v>0</v>
      </c>
      <c r="AL184" s="100">
        <f>VLOOKUP(TableWRRanks32423644[[#This Row],[Player]],WR!B:O,8,FALSE)</f>
        <v>0</v>
      </c>
      <c r="AM184" s="100">
        <f>VLOOKUP(TableWRRanks32423644[[#This Row],[Player]],WR!B:O,9,FALSE)</f>
        <v>0</v>
      </c>
      <c r="AN184" s="95">
        <f>VLOOKUP(TableWRRanks32423644[[#This Row],[Player]],WR!B:O,13,FALSE)</f>
        <v>0</v>
      </c>
      <c r="AO184" s="190">
        <f>TableWRRanks32423644[[#This Row],[FPS]]-(TableWRRanks32423644[[#This Row],[REC]]*0.5)</f>
        <v>0</v>
      </c>
    </row>
    <row r="185" spans="30:41" x14ac:dyDescent="0.25">
      <c r="AD185" s="58">
        <v>184</v>
      </c>
      <c r="AE185" s="58">
        <f>VLOOKUP(TableWRRanks32423644[[#This Row],[RK]],Rankings!A:AZ,43,FALSE)</f>
        <v>0</v>
      </c>
      <c r="AF185" s="58" t="str">
        <f>IFERROR(INDEX(TableWRCalcPts[TM],MATCH(TableWRRanks32423644[[#This Row],[Player]],TableWRCalcPts[PLAYER],0)),"")</f>
        <v/>
      </c>
      <c r="AG185" s="58" t="str">
        <f>IFERROR(INDEX(TableWRCalcPts[BYE],MATCH(TableWRRanks32423644[[#This Row],[Player]],TableWRCalcPts[PLAYER],0)),"")</f>
        <v/>
      </c>
      <c r="AH185" s="100">
        <f>VLOOKUP(TableWRRanks32423644[[#This Row],[Player]],WR!B:O,4,FALSE)</f>
        <v>0</v>
      </c>
      <c r="AI185" s="100">
        <f>VLOOKUP(TableWRRanks32423644[[#This Row],[Player]],WR!B:O,5,FALSE)</f>
        <v>0</v>
      </c>
      <c r="AJ185" s="100">
        <f>VLOOKUP(TableWRRanks32423644[[#This Row],[Player]],WR!B:O,6,FALSE)</f>
        <v>0</v>
      </c>
      <c r="AK185" s="100">
        <f>VLOOKUP(TableWRRanks32423644[[#This Row],[Player]],WR!B:O,7,FALSE)</f>
        <v>0</v>
      </c>
      <c r="AL185" s="100">
        <f>VLOOKUP(TableWRRanks32423644[[#This Row],[Player]],WR!B:O,8,FALSE)</f>
        <v>0</v>
      </c>
      <c r="AM185" s="100">
        <f>VLOOKUP(TableWRRanks32423644[[#This Row],[Player]],WR!B:O,9,FALSE)</f>
        <v>0</v>
      </c>
      <c r="AN185" s="95">
        <f>VLOOKUP(TableWRRanks32423644[[#This Row],[Player]],WR!B:O,13,FALSE)</f>
        <v>0</v>
      </c>
      <c r="AO185" s="190">
        <f>TableWRRanks32423644[[#This Row],[FPS]]-(TableWRRanks32423644[[#This Row],[REC]]*0.5)</f>
        <v>0</v>
      </c>
    </row>
    <row r="186" spans="30:41" x14ac:dyDescent="0.25">
      <c r="AD186" s="58">
        <v>185</v>
      </c>
      <c r="AE186" s="58">
        <f>VLOOKUP(TableWRRanks32423644[[#This Row],[RK]],Rankings!A:AZ,43,FALSE)</f>
        <v>0</v>
      </c>
      <c r="AF186" s="58" t="str">
        <f>IFERROR(INDEX(TableWRCalcPts[TM],MATCH(TableWRRanks32423644[[#This Row],[Player]],TableWRCalcPts[PLAYER],0)),"")</f>
        <v/>
      </c>
      <c r="AG186" s="58" t="str">
        <f>IFERROR(INDEX(TableWRCalcPts[BYE],MATCH(TableWRRanks32423644[[#This Row],[Player]],TableWRCalcPts[PLAYER],0)),"")</f>
        <v/>
      </c>
      <c r="AH186" s="100">
        <f>VLOOKUP(TableWRRanks32423644[[#This Row],[Player]],WR!B:O,4,FALSE)</f>
        <v>0</v>
      </c>
      <c r="AI186" s="100">
        <f>VLOOKUP(TableWRRanks32423644[[#This Row],[Player]],WR!B:O,5,FALSE)</f>
        <v>0</v>
      </c>
      <c r="AJ186" s="100">
        <f>VLOOKUP(TableWRRanks32423644[[#This Row],[Player]],WR!B:O,6,FALSE)</f>
        <v>0</v>
      </c>
      <c r="AK186" s="100">
        <f>VLOOKUP(TableWRRanks32423644[[#This Row],[Player]],WR!B:O,7,FALSE)</f>
        <v>0</v>
      </c>
      <c r="AL186" s="100">
        <f>VLOOKUP(TableWRRanks32423644[[#This Row],[Player]],WR!B:O,8,FALSE)</f>
        <v>0</v>
      </c>
      <c r="AM186" s="100">
        <f>VLOOKUP(TableWRRanks32423644[[#This Row],[Player]],WR!B:O,9,FALSE)</f>
        <v>0</v>
      </c>
      <c r="AN186" s="95">
        <f>VLOOKUP(TableWRRanks32423644[[#This Row],[Player]],WR!B:O,13,FALSE)</f>
        <v>0</v>
      </c>
      <c r="AO186" s="190">
        <f>TableWRRanks32423644[[#This Row],[FPS]]-(TableWRRanks32423644[[#This Row],[REC]]*0.5)</f>
        <v>0</v>
      </c>
    </row>
    <row r="187" spans="30:41" x14ac:dyDescent="0.25">
      <c r="AD187" s="58">
        <v>186</v>
      </c>
      <c r="AE187" s="58" t="e">
        <f>VLOOKUP(TableWRRanks32423644[[#This Row],[RK]],Rankings!A:AZ,43,FALSE)</f>
        <v>#N/A</v>
      </c>
      <c r="AF187" s="58" t="str">
        <f>IFERROR(INDEX(TableWRCalcPts[TM],MATCH(TableWRRanks32423644[[#This Row],[Player]],TableWRCalcPts[PLAYER],0)),"")</f>
        <v/>
      </c>
      <c r="AG187" s="58" t="str">
        <f>IFERROR(INDEX(TableWRCalcPts[BYE],MATCH(TableWRRanks32423644[[#This Row],[Player]],TableWRCalcPts[PLAYER],0)),"")</f>
        <v/>
      </c>
      <c r="AH187" s="100" t="e">
        <f>VLOOKUP(TableWRRanks32423644[[#This Row],[Player]],WR!B:O,4,FALSE)</f>
        <v>#N/A</v>
      </c>
      <c r="AI187" s="100" t="e">
        <f>VLOOKUP(TableWRRanks32423644[[#This Row],[Player]],WR!B:O,5,FALSE)</f>
        <v>#N/A</v>
      </c>
      <c r="AJ187" s="100" t="e">
        <f>VLOOKUP(TableWRRanks32423644[[#This Row],[Player]],WR!B:O,6,FALSE)</f>
        <v>#N/A</v>
      </c>
      <c r="AK187" s="100" t="e">
        <f>VLOOKUP(TableWRRanks32423644[[#This Row],[Player]],WR!B:O,7,FALSE)</f>
        <v>#N/A</v>
      </c>
      <c r="AL187" s="100" t="e">
        <f>VLOOKUP(TableWRRanks32423644[[#This Row],[Player]],WR!B:O,8,FALSE)</f>
        <v>#N/A</v>
      </c>
      <c r="AM187" s="100" t="e">
        <f>VLOOKUP(TableWRRanks32423644[[#This Row],[Player]],WR!B:O,9,FALSE)</f>
        <v>#N/A</v>
      </c>
      <c r="AN187" s="95" t="e">
        <f>VLOOKUP(TableWRRanks32423644[[#This Row],[Player]],WR!B:O,13,FALSE)</f>
        <v>#N/A</v>
      </c>
      <c r="AO187" s="190" t="e">
        <f>TableWRRanks32423644[[#This Row],[FPS]]-(TableWRRanks32423644[[#This Row],[REC]]*0.5)</f>
        <v>#N/A</v>
      </c>
    </row>
    <row r="188" spans="30:41" x14ac:dyDescent="0.25">
      <c r="AD188" s="58">
        <v>187</v>
      </c>
      <c r="AE188" s="58" t="e">
        <f>VLOOKUP(TableWRRanks32423644[[#This Row],[RK]],Rankings!A:AZ,43,FALSE)</f>
        <v>#N/A</v>
      </c>
      <c r="AF188" s="58" t="str">
        <f>IFERROR(INDEX(TableWRCalcPts[TM],MATCH(TableWRRanks32423644[[#This Row],[Player]],TableWRCalcPts[PLAYER],0)),"")</f>
        <v/>
      </c>
      <c r="AG188" s="58" t="str">
        <f>IFERROR(INDEX(TableWRCalcPts[BYE],MATCH(TableWRRanks32423644[[#This Row],[Player]],TableWRCalcPts[PLAYER],0)),"")</f>
        <v/>
      </c>
      <c r="AH188" s="100" t="e">
        <f>VLOOKUP(TableWRRanks32423644[[#This Row],[Player]],WR!B:O,4,FALSE)</f>
        <v>#N/A</v>
      </c>
      <c r="AI188" s="100" t="e">
        <f>VLOOKUP(TableWRRanks32423644[[#This Row],[Player]],WR!B:O,5,FALSE)</f>
        <v>#N/A</v>
      </c>
      <c r="AJ188" s="100" t="e">
        <f>VLOOKUP(TableWRRanks32423644[[#This Row],[Player]],WR!B:O,6,FALSE)</f>
        <v>#N/A</v>
      </c>
      <c r="AK188" s="100" t="e">
        <f>VLOOKUP(TableWRRanks32423644[[#This Row],[Player]],WR!B:O,7,FALSE)</f>
        <v>#N/A</v>
      </c>
      <c r="AL188" s="100" t="e">
        <f>VLOOKUP(TableWRRanks32423644[[#This Row],[Player]],WR!B:O,8,FALSE)</f>
        <v>#N/A</v>
      </c>
      <c r="AM188" s="100" t="e">
        <f>VLOOKUP(TableWRRanks32423644[[#This Row],[Player]],WR!B:O,9,FALSE)</f>
        <v>#N/A</v>
      </c>
      <c r="AN188" s="95" t="e">
        <f>VLOOKUP(TableWRRanks32423644[[#This Row],[Player]],WR!B:O,13,FALSE)</f>
        <v>#N/A</v>
      </c>
      <c r="AO188" s="190" t="e">
        <f>TableWRRanks32423644[[#This Row],[FPS]]-(TableWRRanks32423644[[#This Row],[REC]]*0.5)</f>
        <v>#N/A</v>
      </c>
    </row>
    <row r="189" spans="30:41" x14ac:dyDescent="0.25">
      <c r="AD189" s="58">
        <v>188</v>
      </c>
      <c r="AE189" s="58" t="e">
        <f>VLOOKUP(TableWRRanks32423644[[#This Row],[RK]],Rankings!A:AZ,43,FALSE)</f>
        <v>#N/A</v>
      </c>
      <c r="AF189" s="58" t="str">
        <f>IFERROR(INDEX(TableWRCalcPts[TM],MATCH(TableWRRanks32423644[[#This Row],[Player]],TableWRCalcPts[PLAYER],0)),"")</f>
        <v/>
      </c>
      <c r="AG189" s="58" t="str">
        <f>IFERROR(INDEX(TableWRCalcPts[BYE],MATCH(TableWRRanks32423644[[#This Row],[Player]],TableWRCalcPts[PLAYER],0)),"")</f>
        <v/>
      </c>
      <c r="AH189" s="100" t="e">
        <f>VLOOKUP(TableWRRanks32423644[[#This Row],[Player]],WR!B:O,4,FALSE)</f>
        <v>#N/A</v>
      </c>
      <c r="AI189" s="100" t="e">
        <f>VLOOKUP(TableWRRanks32423644[[#This Row],[Player]],WR!B:O,5,FALSE)</f>
        <v>#N/A</v>
      </c>
      <c r="AJ189" s="100" t="e">
        <f>VLOOKUP(TableWRRanks32423644[[#This Row],[Player]],WR!B:O,6,FALSE)</f>
        <v>#N/A</v>
      </c>
      <c r="AK189" s="100" t="e">
        <f>VLOOKUP(TableWRRanks32423644[[#This Row],[Player]],WR!B:O,7,FALSE)</f>
        <v>#N/A</v>
      </c>
      <c r="AL189" s="100" t="e">
        <f>VLOOKUP(TableWRRanks32423644[[#This Row],[Player]],WR!B:O,8,FALSE)</f>
        <v>#N/A</v>
      </c>
      <c r="AM189" s="100" t="e">
        <f>VLOOKUP(TableWRRanks32423644[[#This Row],[Player]],WR!B:O,9,FALSE)</f>
        <v>#N/A</v>
      </c>
      <c r="AN189" s="95" t="e">
        <f>VLOOKUP(TableWRRanks32423644[[#This Row],[Player]],WR!B:O,13,FALSE)</f>
        <v>#N/A</v>
      </c>
      <c r="AO189" s="190" t="e">
        <f>TableWRRanks32423644[[#This Row],[FPS]]-(TableWRRanks32423644[[#This Row],[REC]]*0.5)</f>
        <v>#N/A</v>
      </c>
    </row>
    <row r="190" spans="30:41" x14ac:dyDescent="0.25">
      <c r="AD190" s="58">
        <v>189</v>
      </c>
      <c r="AE190" s="58" t="e">
        <f>VLOOKUP(TableWRRanks32423644[[#This Row],[RK]],Rankings!A:AZ,43,FALSE)</f>
        <v>#N/A</v>
      </c>
      <c r="AF190" s="58" t="str">
        <f>IFERROR(INDEX(TableWRCalcPts[TM],MATCH(TableWRRanks32423644[[#This Row],[Player]],TableWRCalcPts[PLAYER],0)),"")</f>
        <v/>
      </c>
      <c r="AG190" s="58" t="str">
        <f>IFERROR(INDEX(TableWRCalcPts[BYE],MATCH(TableWRRanks32423644[[#This Row],[Player]],TableWRCalcPts[PLAYER],0)),"")</f>
        <v/>
      </c>
      <c r="AH190" s="100" t="e">
        <f>VLOOKUP(TableWRRanks32423644[[#This Row],[Player]],WR!B:O,4,FALSE)</f>
        <v>#N/A</v>
      </c>
      <c r="AI190" s="100" t="e">
        <f>VLOOKUP(TableWRRanks32423644[[#This Row],[Player]],WR!B:O,5,FALSE)</f>
        <v>#N/A</v>
      </c>
      <c r="AJ190" s="100" t="e">
        <f>VLOOKUP(TableWRRanks32423644[[#This Row],[Player]],WR!B:O,6,FALSE)</f>
        <v>#N/A</v>
      </c>
      <c r="AK190" s="100" t="e">
        <f>VLOOKUP(TableWRRanks32423644[[#This Row],[Player]],WR!B:O,7,FALSE)</f>
        <v>#N/A</v>
      </c>
      <c r="AL190" s="100" t="e">
        <f>VLOOKUP(TableWRRanks32423644[[#This Row],[Player]],WR!B:O,8,FALSE)</f>
        <v>#N/A</v>
      </c>
      <c r="AM190" s="100" t="e">
        <f>VLOOKUP(TableWRRanks32423644[[#This Row],[Player]],WR!B:O,9,FALSE)</f>
        <v>#N/A</v>
      </c>
      <c r="AN190" s="95" t="e">
        <f>VLOOKUP(TableWRRanks32423644[[#This Row],[Player]],WR!B:O,13,FALSE)</f>
        <v>#N/A</v>
      </c>
      <c r="AO190" s="190" t="e">
        <f>TableWRRanks32423644[[#This Row],[FPS]]-(TableWRRanks32423644[[#This Row],[REC]]*0.5)</f>
        <v>#N/A</v>
      </c>
    </row>
    <row r="191" spans="30:41" x14ac:dyDescent="0.25">
      <c r="AD191" s="58">
        <v>190</v>
      </c>
      <c r="AE191" s="58" t="e">
        <f>VLOOKUP(TableWRRanks32423644[[#This Row],[RK]],Rankings!A:AZ,43,FALSE)</f>
        <v>#N/A</v>
      </c>
      <c r="AF191" s="58" t="str">
        <f>IFERROR(INDEX(TableWRCalcPts[TM],MATCH(TableWRRanks32423644[[#This Row],[Player]],TableWRCalcPts[PLAYER],0)),"")</f>
        <v/>
      </c>
      <c r="AG191" s="58" t="str">
        <f>IFERROR(INDEX(TableWRCalcPts[BYE],MATCH(TableWRRanks32423644[[#This Row],[Player]],TableWRCalcPts[PLAYER],0)),"")</f>
        <v/>
      </c>
      <c r="AH191" s="100" t="e">
        <f>VLOOKUP(TableWRRanks32423644[[#This Row],[Player]],WR!B:O,4,FALSE)</f>
        <v>#N/A</v>
      </c>
      <c r="AI191" s="100" t="e">
        <f>VLOOKUP(TableWRRanks32423644[[#This Row],[Player]],WR!B:O,5,FALSE)</f>
        <v>#N/A</v>
      </c>
      <c r="AJ191" s="100" t="e">
        <f>VLOOKUP(TableWRRanks32423644[[#This Row],[Player]],WR!B:O,6,FALSE)</f>
        <v>#N/A</v>
      </c>
      <c r="AK191" s="100" t="e">
        <f>VLOOKUP(TableWRRanks32423644[[#This Row],[Player]],WR!B:O,7,FALSE)</f>
        <v>#N/A</v>
      </c>
      <c r="AL191" s="100" t="e">
        <f>VLOOKUP(TableWRRanks32423644[[#This Row],[Player]],WR!B:O,8,FALSE)</f>
        <v>#N/A</v>
      </c>
      <c r="AM191" s="100" t="e">
        <f>VLOOKUP(TableWRRanks32423644[[#This Row],[Player]],WR!B:O,9,FALSE)</f>
        <v>#N/A</v>
      </c>
      <c r="AN191" s="95" t="e">
        <f>VLOOKUP(TableWRRanks32423644[[#This Row],[Player]],WR!B:O,13,FALSE)</f>
        <v>#N/A</v>
      </c>
      <c r="AO191" s="190" t="e">
        <f>TableWRRanks32423644[[#This Row],[FPS]]-(TableWRRanks32423644[[#This Row],[REC]]*0.5)</f>
        <v>#N/A</v>
      </c>
    </row>
    <row r="192" spans="30:41" x14ac:dyDescent="0.25">
      <c r="AD192" s="58">
        <v>191</v>
      </c>
      <c r="AE192" s="58" t="e">
        <f>VLOOKUP(TableWRRanks32423644[[#This Row],[RK]],Rankings!A:AZ,43,FALSE)</f>
        <v>#N/A</v>
      </c>
      <c r="AF192" s="58" t="str">
        <f>IFERROR(INDEX(TableWRCalcPts[TM],MATCH(TableWRRanks32423644[[#This Row],[Player]],TableWRCalcPts[PLAYER],0)),"")</f>
        <v/>
      </c>
      <c r="AG192" s="58" t="str">
        <f>IFERROR(INDEX(TableWRCalcPts[BYE],MATCH(TableWRRanks32423644[[#This Row],[Player]],TableWRCalcPts[PLAYER],0)),"")</f>
        <v/>
      </c>
      <c r="AH192" s="100" t="e">
        <f>VLOOKUP(TableWRRanks32423644[[#This Row],[Player]],WR!B:O,4,FALSE)</f>
        <v>#N/A</v>
      </c>
      <c r="AI192" s="100" t="e">
        <f>VLOOKUP(TableWRRanks32423644[[#This Row],[Player]],WR!B:O,5,FALSE)</f>
        <v>#N/A</v>
      </c>
      <c r="AJ192" s="100" t="e">
        <f>VLOOKUP(TableWRRanks32423644[[#This Row],[Player]],WR!B:O,6,FALSE)</f>
        <v>#N/A</v>
      </c>
      <c r="AK192" s="100" t="e">
        <f>VLOOKUP(TableWRRanks32423644[[#This Row],[Player]],WR!B:O,7,FALSE)</f>
        <v>#N/A</v>
      </c>
      <c r="AL192" s="100" t="e">
        <f>VLOOKUP(TableWRRanks32423644[[#This Row],[Player]],WR!B:O,8,FALSE)</f>
        <v>#N/A</v>
      </c>
      <c r="AM192" s="100" t="e">
        <f>VLOOKUP(TableWRRanks32423644[[#This Row],[Player]],WR!B:O,9,FALSE)</f>
        <v>#N/A</v>
      </c>
      <c r="AN192" s="95" t="e">
        <f>VLOOKUP(TableWRRanks32423644[[#This Row],[Player]],WR!B:O,13,FALSE)</f>
        <v>#N/A</v>
      </c>
      <c r="AO192" s="190" t="e">
        <f>TableWRRanks32423644[[#This Row],[FPS]]-(TableWRRanks32423644[[#This Row],[REC]]*0.5)</f>
        <v>#N/A</v>
      </c>
    </row>
    <row r="193" spans="30:41" x14ac:dyDescent="0.25">
      <c r="AD193" s="58">
        <v>192</v>
      </c>
      <c r="AE193" s="58" t="e">
        <f>VLOOKUP(TableWRRanks32423644[[#This Row],[RK]],Rankings!A:AZ,43,FALSE)</f>
        <v>#N/A</v>
      </c>
      <c r="AF193" s="58" t="str">
        <f>IFERROR(INDEX(TableWRCalcPts[TM],MATCH(TableWRRanks32423644[[#This Row],[Player]],TableWRCalcPts[PLAYER],0)),"")</f>
        <v/>
      </c>
      <c r="AG193" s="58" t="str">
        <f>IFERROR(INDEX(TableWRCalcPts[BYE],MATCH(TableWRRanks32423644[[#This Row],[Player]],TableWRCalcPts[PLAYER],0)),"")</f>
        <v/>
      </c>
      <c r="AH193" s="100" t="e">
        <f>VLOOKUP(TableWRRanks32423644[[#This Row],[Player]],WR!B:O,4,FALSE)</f>
        <v>#N/A</v>
      </c>
      <c r="AI193" s="100" t="e">
        <f>VLOOKUP(TableWRRanks32423644[[#This Row],[Player]],WR!B:O,5,FALSE)</f>
        <v>#N/A</v>
      </c>
      <c r="AJ193" s="100" t="e">
        <f>VLOOKUP(TableWRRanks32423644[[#This Row],[Player]],WR!B:O,6,FALSE)</f>
        <v>#N/A</v>
      </c>
      <c r="AK193" s="100" t="e">
        <f>VLOOKUP(TableWRRanks32423644[[#This Row],[Player]],WR!B:O,7,FALSE)</f>
        <v>#N/A</v>
      </c>
      <c r="AL193" s="100" t="e">
        <f>VLOOKUP(TableWRRanks32423644[[#This Row],[Player]],WR!B:O,8,FALSE)</f>
        <v>#N/A</v>
      </c>
      <c r="AM193" s="100" t="e">
        <f>VLOOKUP(TableWRRanks32423644[[#This Row],[Player]],WR!B:O,9,FALSE)</f>
        <v>#N/A</v>
      </c>
      <c r="AN193" s="95" t="e">
        <f>VLOOKUP(TableWRRanks32423644[[#This Row],[Player]],WR!B:O,13,FALSE)</f>
        <v>#N/A</v>
      </c>
      <c r="AO193" s="190" t="e">
        <f>TableWRRanks32423644[[#This Row],[FPS]]-(TableWRRanks32423644[[#This Row],[REC]]*0.5)</f>
        <v>#N/A</v>
      </c>
    </row>
    <row r="194" spans="30:41" x14ac:dyDescent="0.25">
      <c r="AD194" s="58">
        <v>193</v>
      </c>
      <c r="AE194" s="58" t="e">
        <f>VLOOKUP(TableWRRanks32423644[[#This Row],[RK]],Rankings!A:AZ,43,FALSE)</f>
        <v>#N/A</v>
      </c>
      <c r="AF194" s="58" t="str">
        <f>IFERROR(INDEX(TableWRCalcPts[TM],MATCH(TableWRRanks32423644[[#This Row],[Player]],TableWRCalcPts[PLAYER],0)),"")</f>
        <v/>
      </c>
      <c r="AG194" s="58" t="str">
        <f>IFERROR(INDEX(TableWRCalcPts[BYE],MATCH(TableWRRanks32423644[[#This Row],[Player]],TableWRCalcPts[PLAYER],0)),"")</f>
        <v/>
      </c>
      <c r="AH194" s="100" t="e">
        <f>VLOOKUP(TableWRRanks32423644[[#This Row],[Player]],WR!B:O,4,FALSE)</f>
        <v>#N/A</v>
      </c>
      <c r="AI194" s="100" t="e">
        <f>VLOOKUP(TableWRRanks32423644[[#This Row],[Player]],WR!B:O,5,FALSE)</f>
        <v>#N/A</v>
      </c>
      <c r="AJ194" s="100" t="e">
        <f>VLOOKUP(TableWRRanks32423644[[#This Row],[Player]],WR!B:O,6,FALSE)</f>
        <v>#N/A</v>
      </c>
      <c r="AK194" s="100" t="e">
        <f>VLOOKUP(TableWRRanks32423644[[#This Row],[Player]],WR!B:O,7,FALSE)</f>
        <v>#N/A</v>
      </c>
      <c r="AL194" s="100" t="e">
        <f>VLOOKUP(TableWRRanks32423644[[#This Row],[Player]],WR!B:O,8,FALSE)</f>
        <v>#N/A</v>
      </c>
      <c r="AM194" s="100" t="e">
        <f>VLOOKUP(TableWRRanks32423644[[#This Row],[Player]],WR!B:O,9,FALSE)</f>
        <v>#N/A</v>
      </c>
      <c r="AN194" s="95" t="e">
        <f>VLOOKUP(TableWRRanks32423644[[#This Row],[Player]],WR!B:O,13,FALSE)</f>
        <v>#N/A</v>
      </c>
      <c r="AO194" s="190" t="e">
        <f>TableWRRanks32423644[[#This Row],[FPS]]-(TableWRRanks32423644[[#This Row],[REC]]*0.5)</f>
        <v>#N/A</v>
      </c>
    </row>
    <row r="195" spans="30:41" x14ac:dyDescent="0.25">
      <c r="AD195" s="58">
        <v>194</v>
      </c>
      <c r="AE195" s="58" t="e">
        <f>VLOOKUP(TableWRRanks32423644[[#This Row],[RK]],Rankings!A:AZ,43,FALSE)</f>
        <v>#N/A</v>
      </c>
      <c r="AF195" s="58" t="str">
        <f>IFERROR(INDEX(TableWRCalcPts[TM],MATCH(TableWRRanks32423644[[#This Row],[Player]],TableWRCalcPts[PLAYER],0)),"")</f>
        <v/>
      </c>
      <c r="AG195" s="58" t="str">
        <f>IFERROR(INDEX(TableWRCalcPts[BYE],MATCH(TableWRRanks32423644[[#This Row],[Player]],TableWRCalcPts[PLAYER],0)),"")</f>
        <v/>
      </c>
      <c r="AH195" s="100" t="e">
        <f>VLOOKUP(TableWRRanks32423644[[#This Row],[Player]],WR!B:O,4,FALSE)</f>
        <v>#N/A</v>
      </c>
      <c r="AI195" s="100" t="e">
        <f>VLOOKUP(TableWRRanks32423644[[#This Row],[Player]],WR!B:O,5,FALSE)</f>
        <v>#N/A</v>
      </c>
      <c r="AJ195" s="100" t="e">
        <f>VLOOKUP(TableWRRanks32423644[[#This Row],[Player]],WR!B:O,6,FALSE)</f>
        <v>#N/A</v>
      </c>
      <c r="AK195" s="100" t="e">
        <f>VLOOKUP(TableWRRanks32423644[[#This Row],[Player]],WR!B:O,7,FALSE)</f>
        <v>#N/A</v>
      </c>
      <c r="AL195" s="100" t="e">
        <f>VLOOKUP(TableWRRanks32423644[[#This Row],[Player]],WR!B:O,8,FALSE)</f>
        <v>#N/A</v>
      </c>
      <c r="AM195" s="100" t="e">
        <f>VLOOKUP(TableWRRanks32423644[[#This Row],[Player]],WR!B:O,9,FALSE)</f>
        <v>#N/A</v>
      </c>
      <c r="AN195" s="95" t="e">
        <f>VLOOKUP(TableWRRanks32423644[[#This Row],[Player]],WR!B:O,13,FALSE)</f>
        <v>#N/A</v>
      </c>
      <c r="AO195" s="190" t="e">
        <f>TableWRRanks32423644[[#This Row],[FPS]]-(TableWRRanks32423644[[#This Row],[REC]]*0.5)</f>
        <v>#N/A</v>
      </c>
    </row>
    <row r="196" spans="30:41" x14ac:dyDescent="0.25">
      <c r="AD196" s="58">
        <v>195</v>
      </c>
      <c r="AE196" s="58" t="e">
        <f>VLOOKUP(TableWRRanks32423644[[#This Row],[RK]],Rankings!A:AZ,43,FALSE)</f>
        <v>#N/A</v>
      </c>
      <c r="AF196" s="58" t="str">
        <f>IFERROR(INDEX(TableWRCalcPts[TM],MATCH(TableWRRanks32423644[[#This Row],[Player]],TableWRCalcPts[PLAYER],0)),"")</f>
        <v/>
      </c>
      <c r="AG196" s="58" t="str">
        <f>IFERROR(INDEX(TableWRCalcPts[BYE],MATCH(TableWRRanks32423644[[#This Row],[Player]],TableWRCalcPts[PLAYER],0)),"")</f>
        <v/>
      </c>
      <c r="AH196" s="100" t="e">
        <f>VLOOKUP(TableWRRanks32423644[[#This Row],[Player]],WR!B:O,4,FALSE)</f>
        <v>#N/A</v>
      </c>
      <c r="AI196" s="100" t="e">
        <f>VLOOKUP(TableWRRanks32423644[[#This Row],[Player]],WR!B:O,5,FALSE)</f>
        <v>#N/A</v>
      </c>
      <c r="AJ196" s="100" t="e">
        <f>VLOOKUP(TableWRRanks32423644[[#This Row],[Player]],WR!B:O,6,FALSE)</f>
        <v>#N/A</v>
      </c>
      <c r="AK196" s="100" t="e">
        <f>VLOOKUP(TableWRRanks32423644[[#This Row],[Player]],WR!B:O,7,FALSE)</f>
        <v>#N/A</v>
      </c>
      <c r="AL196" s="100" t="e">
        <f>VLOOKUP(TableWRRanks32423644[[#This Row],[Player]],WR!B:O,8,FALSE)</f>
        <v>#N/A</v>
      </c>
      <c r="AM196" s="100" t="e">
        <f>VLOOKUP(TableWRRanks32423644[[#This Row],[Player]],WR!B:O,9,FALSE)</f>
        <v>#N/A</v>
      </c>
      <c r="AN196" s="95" t="e">
        <f>VLOOKUP(TableWRRanks32423644[[#This Row],[Player]],WR!B:O,13,FALSE)</f>
        <v>#N/A</v>
      </c>
      <c r="AO196" s="190" t="e">
        <f>TableWRRanks32423644[[#This Row],[FPS]]-(TableWRRanks32423644[[#This Row],[REC]]*0.5)</f>
        <v>#N/A</v>
      </c>
    </row>
    <row r="197" spans="30:41" x14ac:dyDescent="0.25">
      <c r="AD197" s="58">
        <v>196</v>
      </c>
      <c r="AE197" s="58" t="e">
        <f>VLOOKUP(TableWRRanks32423644[[#This Row],[RK]],Rankings!A:AZ,43,FALSE)</f>
        <v>#N/A</v>
      </c>
      <c r="AF197" s="58" t="str">
        <f>IFERROR(INDEX(TableWRCalcPts[TM],MATCH(TableWRRanks32423644[[#This Row],[Player]],TableWRCalcPts[PLAYER],0)),"")</f>
        <v/>
      </c>
      <c r="AG197" s="58" t="str">
        <f>IFERROR(INDEX(TableWRCalcPts[BYE],MATCH(TableWRRanks32423644[[#This Row],[Player]],TableWRCalcPts[PLAYER],0)),"")</f>
        <v/>
      </c>
      <c r="AH197" s="100" t="e">
        <f>VLOOKUP(TableWRRanks32423644[[#This Row],[Player]],WR!B:O,4,FALSE)</f>
        <v>#N/A</v>
      </c>
      <c r="AI197" s="100" t="e">
        <f>VLOOKUP(TableWRRanks32423644[[#This Row],[Player]],WR!B:O,5,FALSE)</f>
        <v>#N/A</v>
      </c>
      <c r="AJ197" s="100" t="e">
        <f>VLOOKUP(TableWRRanks32423644[[#This Row],[Player]],WR!B:O,6,FALSE)</f>
        <v>#N/A</v>
      </c>
      <c r="AK197" s="100" t="e">
        <f>VLOOKUP(TableWRRanks32423644[[#This Row],[Player]],WR!B:O,7,FALSE)</f>
        <v>#N/A</v>
      </c>
      <c r="AL197" s="100" t="e">
        <f>VLOOKUP(TableWRRanks32423644[[#This Row],[Player]],WR!B:O,8,FALSE)</f>
        <v>#N/A</v>
      </c>
      <c r="AM197" s="100" t="e">
        <f>VLOOKUP(TableWRRanks32423644[[#This Row],[Player]],WR!B:O,9,FALSE)</f>
        <v>#N/A</v>
      </c>
      <c r="AN197" s="95" t="e">
        <f>VLOOKUP(TableWRRanks32423644[[#This Row],[Player]],WR!B:O,13,FALSE)</f>
        <v>#N/A</v>
      </c>
      <c r="AO197" s="190" t="e">
        <f>TableWRRanks32423644[[#This Row],[FPS]]-(TableWRRanks32423644[[#This Row],[REC]]*0.5)</f>
        <v>#N/A</v>
      </c>
    </row>
    <row r="198" spans="30:41" x14ac:dyDescent="0.25">
      <c r="AD198" s="58">
        <v>197</v>
      </c>
      <c r="AE198" s="58" t="e">
        <f>VLOOKUP(TableWRRanks32423644[[#This Row],[RK]],Rankings!A:AZ,43,FALSE)</f>
        <v>#N/A</v>
      </c>
      <c r="AF198" s="58" t="str">
        <f>IFERROR(INDEX(TableWRCalcPts[TM],MATCH(TableWRRanks32423644[[#This Row],[Player]],TableWRCalcPts[PLAYER],0)),"")</f>
        <v/>
      </c>
      <c r="AG198" s="58" t="str">
        <f>IFERROR(INDEX(TableWRCalcPts[BYE],MATCH(TableWRRanks32423644[[#This Row],[Player]],TableWRCalcPts[PLAYER],0)),"")</f>
        <v/>
      </c>
      <c r="AH198" s="100" t="e">
        <f>VLOOKUP(TableWRRanks32423644[[#This Row],[Player]],WR!B:O,4,FALSE)</f>
        <v>#N/A</v>
      </c>
      <c r="AI198" s="100" t="e">
        <f>VLOOKUP(TableWRRanks32423644[[#This Row],[Player]],WR!B:O,5,FALSE)</f>
        <v>#N/A</v>
      </c>
      <c r="AJ198" s="100" t="e">
        <f>VLOOKUP(TableWRRanks32423644[[#This Row],[Player]],WR!B:O,6,FALSE)</f>
        <v>#N/A</v>
      </c>
      <c r="AK198" s="100" t="e">
        <f>VLOOKUP(TableWRRanks32423644[[#This Row],[Player]],WR!B:O,7,FALSE)</f>
        <v>#N/A</v>
      </c>
      <c r="AL198" s="100" t="e">
        <f>VLOOKUP(TableWRRanks32423644[[#This Row],[Player]],WR!B:O,8,FALSE)</f>
        <v>#N/A</v>
      </c>
      <c r="AM198" s="100" t="e">
        <f>VLOOKUP(TableWRRanks32423644[[#This Row],[Player]],WR!B:O,9,FALSE)</f>
        <v>#N/A</v>
      </c>
      <c r="AN198" s="95" t="e">
        <f>VLOOKUP(TableWRRanks32423644[[#This Row],[Player]],WR!B:O,13,FALSE)</f>
        <v>#N/A</v>
      </c>
      <c r="AO198" s="190" t="e">
        <f>TableWRRanks32423644[[#This Row],[FPS]]-(TableWRRanks32423644[[#This Row],[REC]]*0.5)</f>
        <v>#N/A</v>
      </c>
    </row>
    <row r="199" spans="30:41" x14ac:dyDescent="0.25">
      <c r="AD199" s="58">
        <v>198</v>
      </c>
      <c r="AE199" s="58" t="e">
        <f>VLOOKUP(TableWRRanks32423644[[#This Row],[RK]],Rankings!A:AZ,43,FALSE)</f>
        <v>#N/A</v>
      </c>
      <c r="AF199" s="58" t="str">
        <f>IFERROR(INDEX(TableWRCalcPts[TM],MATCH(TableWRRanks32423644[[#This Row],[Player]],TableWRCalcPts[PLAYER],0)),"")</f>
        <v/>
      </c>
      <c r="AG199" s="58" t="str">
        <f>IFERROR(INDEX(TableWRCalcPts[BYE],MATCH(TableWRRanks32423644[[#This Row],[Player]],TableWRCalcPts[PLAYER],0)),"")</f>
        <v/>
      </c>
      <c r="AH199" s="100" t="e">
        <f>VLOOKUP(TableWRRanks32423644[[#This Row],[Player]],WR!B:O,4,FALSE)</f>
        <v>#N/A</v>
      </c>
      <c r="AI199" s="100" t="e">
        <f>VLOOKUP(TableWRRanks32423644[[#This Row],[Player]],WR!B:O,5,FALSE)</f>
        <v>#N/A</v>
      </c>
      <c r="AJ199" s="100" t="e">
        <f>VLOOKUP(TableWRRanks32423644[[#This Row],[Player]],WR!B:O,6,FALSE)</f>
        <v>#N/A</v>
      </c>
      <c r="AK199" s="100" t="e">
        <f>VLOOKUP(TableWRRanks32423644[[#This Row],[Player]],WR!B:O,7,FALSE)</f>
        <v>#N/A</v>
      </c>
      <c r="AL199" s="100" t="e">
        <f>VLOOKUP(TableWRRanks32423644[[#This Row],[Player]],WR!B:O,8,FALSE)</f>
        <v>#N/A</v>
      </c>
      <c r="AM199" s="100" t="e">
        <f>VLOOKUP(TableWRRanks32423644[[#This Row],[Player]],WR!B:O,9,FALSE)</f>
        <v>#N/A</v>
      </c>
      <c r="AN199" s="95" t="e">
        <f>VLOOKUP(TableWRRanks32423644[[#This Row],[Player]],WR!B:O,13,FALSE)</f>
        <v>#N/A</v>
      </c>
      <c r="AO199" s="190" t="e">
        <f>TableWRRanks32423644[[#This Row],[FPS]]-(TableWRRanks32423644[[#This Row],[REC]]*0.5)</f>
        <v>#N/A</v>
      </c>
    </row>
    <row r="200" spans="30:41" x14ac:dyDescent="0.25">
      <c r="AD200" s="58">
        <v>199</v>
      </c>
      <c r="AE200" s="58" t="e">
        <f>VLOOKUP(TableWRRanks32423644[[#This Row],[RK]],Rankings!A:AZ,43,FALSE)</f>
        <v>#N/A</v>
      </c>
      <c r="AF200" s="58" t="str">
        <f>IFERROR(INDEX(TableWRCalcPts[TM],MATCH(TableWRRanks32423644[[#This Row],[Player]],TableWRCalcPts[PLAYER],0)),"")</f>
        <v/>
      </c>
      <c r="AG200" s="58" t="str">
        <f>IFERROR(INDEX(TableWRCalcPts[BYE],MATCH(TableWRRanks32423644[[#This Row],[Player]],TableWRCalcPts[PLAYER],0)),"")</f>
        <v/>
      </c>
      <c r="AH200" s="100" t="e">
        <f>VLOOKUP(TableWRRanks32423644[[#This Row],[Player]],WR!B:O,4,FALSE)</f>
        <v>#N/A</v>
      </c>
      <c r="AI200" s="100" t="e">
        <f>VLOOKUP(TableWRRanks32423644[[#This Row],[Player]],WR!B:O,5,FALSE)</f>
        <v>#N/A</v>
      </c>
      <c r="AJ200" s="100" t="e">
        <f>VLOOKUP(TableWRRanks32423644[[#This Row],[Player]],WR!B:O,6,FALSE)</f>
        <v>#N/A</v>
      </c>
      <c r="AK200" s="100" t="e">
        <f>VLOOKUP(TableWRRanks32423644[[#This Row],[Player]],WR!B:O,7,FALSE)</f>
        <v>#N/A</v>
      </c>
      <c r="AL200" s="100" t="e">
        <f>VLOOKUP(TableWRRanks32423644[[#This Row],[Player]],WR!B:O,8,FALSE)</f>
        <v>#N/A</v>
      </c>
      <c r="AM200" s="100" t="e">
        <f>VLOOKUP(TableWRRanks32423644[[#This Row],[Player]],WR!B:O,9,FALSE)</f>
        <v>#N/A</v>
      </c>
      <c r="AN200" s="95" t="e">
        <f>VLOOKUP(TableWRRanks32423644[[#This Row],[Player]],WR!B:O,13,FALSE)</f>
        <v>#N/A</v>
      </c>
      <c r="AO200" s="190" t="e">
        <f>TableWRRanks32423644[[#This Row],[FPS]]-(TableWRRanks32423644[[#This Row],[REC]]*0.5)</f>
        <v>#N/A</v>
      </c>
    </row>
    <row r="201" spans="30:41" x14ac:dyDescent="0.25">
      <c r="AD201" s="58">
        <v>200</v>
      </c>
      <c r="AE201" s="58" t="e">
        <f>VLOOKUP(TableWRRanks32423644[[#This Row],[RK]],Rankings!A:AZ,43,FALSE)</f>
        <v>#N/A</v>
      </c>
      <c r="AF201" s="58" t="str">
        <f>IFERROR(INDEX(TableWRCalcPts[TM],MATCH(TableWRRanks32423644[[#This Row],[Player]],TableWRCalcPts[PLAYER],0)),"")</f>
        <v/>
      </c>
      <c r="AG201" s="58" t="str">
        <f>IFERROR(INDEX(TableWRCalcPts[BYE],MATCH(TableWRRanks32423644[[#This Row],[Player]],TableWRCalcPts[PLAYER],0)),"")</f>
        <v/>
      </c>
      <c r="AH201" s="100" t="e">
        <f>VLOOKUP(TableWRRanks32423644[[#This Row],[Player]],WR!B:O,4,FALSE)</f>
        <v>#N/A</v>
      </c>
      <c r="AI201" s="100" t="e">
        <f>VLOOKUP(TableWRRanks32423644[[#This Row],[Player]],WR!B:O,5,FALSE)</f>
        <v>#N/A</v>
      </c>
      <c r="AJ201" s="100" t="e">
        <f>VLOOKUP(TableWRRanks32423644[[#This Row],[Player]],WR!B:O,6,FALSE)</f>
        <v>#N/A</v>
      </c>
      <c r="AK201" s="100" t="e">
        <f>VLOOKUP(TableWRRanks32423644[[#This Row],[Player]],WR!B:O,7,FALSE)</f>
        <v>#N/A</v>
      </c>
      <c r="AL201" s="100" t="e">
        <f>VLOOKUP(TableWRRanks32423644[[#This Row],[Player]],WR!B:O,8,FALSE)</f>
        <v>#N/A</v>
      </c>
      <c r="AM201" s="100" t="e">
        <f>VLOOKUP(TableWRRanks32423644[[#This Row],[Player]],WR!B:O,9,FALSE)</f>
        <v>#N/A</v>
      </c>
      <c r="AN201" s="95" t="e">
        <f>VLOOKUP(TableWRRanks32423644[[#This Row],[Player]],WR!B:O,13,FALSE)</f>
        <v>#N/A</v>
      </c>
      <c r="AO201" s="190" t="e">
        <f>TableWRRanks32423644[[#This Row],[FPS]]-(TableWRRanks32423644[[#This Row],[REC]]*0.5)</f>
        <v>#N/A</v>
      </c>
    </row>
    <row r="202" spans="30:41" x14ac:dyDescent="0.25">
      <c r="AD202" s="58">
        <v>201</v>
      </c>
      <c r="AE202" s="58" t="e">
        <f>VLOOKUP(TableWRRanks32423644[[#This Row],[RK]],Rankings!A:AZ,43,FALSE)</f>
        <v>#N/A</v>
      </c>
      <c r="AF202" s="58" t="str">
        <f>IFERROR(INDEX(TableWRCalcPts[TM],MATCH(TableWRRanks32423644[[#This Row],[Player]],TableWRCalcPts[PLAYER],0)),"")</f>
        <v/>
      </c>
      <c r="AG202" s="58" t="str">
        <f>IFERROR(INDEX(TableWRCalcPts[BYE],MATCH(TableWRRanks32423644[[#This Row],[Player]],TableWRCalcPts[PLAYER],0)),"")</f>
        <v/>
      </c>
      <c r="AH202" s="100" t="e">
        <f>VLOOKUP(TableWRRanks32423644[[#This Row],[Player]],WR!B:O,4,FALSE)</f>
        <v>#N/A</v>
      </c>
      <c r="AI202" s="100" t="e">
        <f>VLOOKUP(TableWRRanks32423644[[#This Row],[Player]],WR!B:O,5,FALSE)</f>
        <v>#N/A</v>
      </c>
      <c r="AJ202" s="100" t="e">
        <f>VLOOKUP(TableWRRanks32423644[[#This Row],[Player]],WR!B:O,6,FALSE)</f>
        <v>#N/A</v>
      </c>
      <c r="AK202" s="100" t="e">
        <f>VLOOKUP(TableWRRanks32423644[[#This Row],[Player]],WR!B:O,7,FALSE)</f>
        <v>#N/A</v>
      </c>
      <c r="AL202" s="100" t="e">
        <f>VLOOKUP(TableWRRanks32423644[[#This Row],[Player]],WR!B:O,8,FALSE)</f>
        <v>#N/A</v>
      </c>
      <c r="AM202" s="100" t="e">
        <f>VLOOKUP(TableWRRanks32423644[[#This Row],[Player]],WR!B:O,9,FALSE)</f>
        <v>#N/A</v>
      </c>
      <c r="AN202" s="95" t="e">
        <f>VLOOKUP(TableWRRanks32423644[[#This Row],[Player]],WR!B:O,13,FALSE)</f>
        <v>#N/A</v>
      </c>
      <c r="AO202" s="190" t="e">
        <f>TableWRRanks32423644[[#This Row],[FPS]]-(TableWRRanks32423644[[#This Row],[REC]]*0.5)</f>
        <v>#N/A</v>
      </c>
    </row>
    <row r="203" spans="30:41" x14ac:dyDescent="0.25">
      <c r="AD203" s="58">
        <v>202</v>
      </c>
      <c r="AE203" s="58" t="e">
        <f>VLOOKUP(TableWRRanks32423644[[#This Row],[RK]],Rankings!A:AZ,43,FALSE)</f>
        <v>#N/A</v>
      </c>
      <c r="AF203" s="58" t="str">
        <f>IFERROR(INDEX(TableWRCalcPts[TM],MATCH(TableWRRanks32423644[[#This Row],[Player]],TableWRCalcPts[PLAYER],0)),"")</f>
        <v/>
      </c>
      <c r="AG203" s="58" t="str">
        <f>IFERROR(INDEX(TableWRCalcPts[BYE],MATCH(TableWRRanks32423644[[#This Row],[Player]],TableWRCalcPts[PLAYER],0)),"")</f>
        <v/>
      </c>
      <c r="AH203" s="100" t="e">
        <f>VLOOKUP(TableWRRanks32423644[[#This Row],[Player]],WR!B:O,4,FALSE)</f>
        <v>#N/A</v>
      </c>
      <c r="AI203" s="100" t="e">
        <f>VLOOKUP(TableWRRanks32423644[[#This Row],[Player]],WR!B:O,5,FALSE)</f>
        <v>#N/A</v>
      </c>
      <c r="AJ203" s="100" t="e">
        <f>VLOOKUP(TableWRRanks32423644[[#This Row],[Player]],WR!B:O,6,FALSE)</f>
        <v>#N/A</v>
      </c>
      <c r="AK203" s="100" t="e">
        <f>VLOOKUP(TableWRRanks32423644[[#This Row],[Player]],WR!B:O,7,FALSE)</f>
        <v>#N/A</v>
      </c>
      <c r="AL203" s="100" t="e">
        <f>VLOOKUP(TableWRRanks32423644[[#This Row],[Player]],WR!B:O,8,FALSE)</f>
        <v>#N/A</v>
      </c>
      <c r="AM203" s="100" t="e">
        <f>VLOOKUP(TableWRRanks32423644[[#This Row],[Player]],WR!B:O,9,FALSE)</f>
        <v>#N/A</v>
      </c>
      <c r="AN203" s="95" t="e">
        <f>VLOOKUP(TableWRRanks32423644[[#This Row],[Player]],WR!B:O,13,FALSE)</f>
        <v>#N/A</v>
      </c>
      <c r="AO203" s="190" t="e">
        <f>TableWRRanks32423644[[#This Row],[FPS]]-(TableWRRanks32423644[[#This Row],[REC]]*0.5)</f>
        <v>#N/A</v>
      </c>
    </row>
    <row r="204" spans="30:41" x14ac:dyDescent="0.25">
      <c r="AD204" s="58">
        <v>203</v>
      </c>
      <c r="AE204" s="58" t="e">
        <f>VLOOKUP(TableWRRanks32423644[[#This Row],[RK]],Rankings!A:AZ,43,FALSE)</f>
        <v>#N/A</v>
      </c>
      <c r="AF204" s="58" t="str">
        <f>IFERROR(INDEX(TableWRCalcPts[TM],MATCH(TableWRRanks32423644[[#This Row],[Player]],TableWRCalcPts[PLAYER],0)),"")</f>
        <v/>
      </c>
      <c r="AG204" s="58" t="str">
        <f>IFERROR(INDEX(TableWRCalcPts[BYE],MATCH(TableWRRanks32423644[[#This Row],[Player]],TableWRCalcPts[PLAYER],0)),"")</f>
        <v/>
      </c>
      <c r="AH204" s="100" t="e">
        <f>VLOOKUP(TableWRRanks32423644[[#This Row],[Player]],WR!B:O,4,FALSE)</f>
        <v>#N/A</v>
      </c>
      <c r="AI204" s="100" t="e">
        <f>VLOOKUP(TableWRRanks32423644[[#This Row],[Player]],WR!B:O,5,FALSE)</f>
        <v>#N/A</v>
      </c>
      <c r="AJ204" s="100" t="e">
        <f>VLOOKUP(TableWRRanks32423644[[#This Row],[Player]],WR!B:O,6,FALSE)</f>
        <v>#N/A</v>
      </c>
      <c r="AK204" s="100" t="e">
        <f>VLOOKUP(TableWRRanks32423644[[#This Row],[Player]],WR!B:O,7,FALSE)</f>
        <v>#N/A</v>
      </c>
      <c r="AL204" s="100" t="e">
        <f>VLOOKUP(TableWRRanks32423644[[#This Row],[Player]],WR!B:O,8,FALSE)</f>
        <v>#N/A</v>
      </c>
      <c r="AM204" s="100" t="e">
        <f>VLOOKUP(TableWRRanks32423644[[#This Row],[Player]],WR!B:O,9,FALSE)</f>
        <v>#N/A</v>
      </c>
      <c r="AN204" s="95" t="e">
        <f>VLOOKUP(TableWRRanks32423644[[#This Row],[Player]],WR!B:O,13,FALSE)</f>
        <v>#N/A</v>
      </c>
      <c r="AO204" s="190" t="e">
        <f>TableWRRanks32423644[[#This Row],[FPS]]-(TableWRRanks32423644[[#This Row],[REC]]*0.5)</f>
        <v>#N/A</v>
      </c>
    </row>
    <row r="205" spans="30:41" x14ac:dyDescent="0.25">
      <c r="AD205" s="58">
        <v>204</v>
      </c>
      <c r="AE205" s="58" t="e">
        <f>VLOOKUP(TableWRRanks32423644[[#This Row],[RK]],Rankings!A:AZ,43,FALSE)</f>
        <v>#N/A</v>
      </c>
      <c r="AF205" s="58" t="str">
        <f>IFERROR(INDEX(TableWRCalcPts[TM],MATCH(TableWRRanks32423644[[#This Row],[Player]],TableWRCalcPts[PLAYER],0)),"")</f>
        <v/>
      </c>
      <c r="AG205" s="58" t="str">
        <f>IFERROR(INDEX(TableWRCalcPts[BYE],MATCH(TableWRRanks32423644[[#This Row],[Player]],TableWRCalcPts[PLAYER],0)),"")</f>
        <v/>
      </c>
      <c r="AH205" s="100" t="e">
        <f>VLOOKUP(TableWRRanks32423644[[#This Row],[Player]],WR!B:O,4,FALSE)</f>
        <v>#N/A</v>
      </c>
      <c r="AI205" s="100" t="e">
        <f>VLOOKUP(TableWRRanks32423644[[#This Row],[Player]],WR!B:O,5,FALSE)</f>
        <v>#N/A</v>
      </c>
      <c r="AJ205" s="100" t="e">
        <f>VLOOKUP(TableWRRanks32423644[[#This Row],[Player]],WR!B:O,6,FALSE)</f>
        <v>#N/A</v>
      </c>
      <c r="AK205" s="100" t="e">
        <f>VLOOKUP(TableWRRanks32423644[[#This Row],[Player]],WR!B:O,7,FALSE)</f>
        <v>#N/A</v>
      </c>
      <c r="AL205" s="100" t="e">
        <f>VLOOKUP(TableWRRanks32423644[[#This Row],[Player]],WR!B:O,8,FALSE)</f>
        <v>#N/A</v>
      </c>
      <c r="AM205" s="100" t="e">
        <f>VLOOKUP(TableWRRanks32423644[[#This Row],[Player]],WR!B:O,9,FALSE)</f>
        <v>#N/A</v>
      </c>
      <c r="AN205" s="95" t="e">
        <f>VLOOKUP(TableWRRanks32423644[[#This Row],[Player]],WR!B:O,13,FALSE)</f>
        <v>#N/A</v>
      </c>
      <c r="AO205" s="190" t="e">
        <f>TableWRRanks32423644[[#This Row],[FPS]]-(TableWRRanks32423644[[#This Row],[REC]]*0.5)</f>
        <v>#N/A</v>
      </c>
    </row>
    <row r="206" spans="30:41" x14ac:dyDescent="0.25">
      <c r="AD206" s="58">
        <v>205</v>
      </c>
      <c r="AE206" s="58" t="e">
        <f>VLOOKUP(TableWRRanks32423644[[#This Row],[RK]],Rankings!A:AZ,43,FALSE)</f>
        <v>#N/A</v>
      </c>
      <c r="AF206" s="58" t="str">
        <f>IFERROR(INDEX(TableWRCalcPts[TM],MATCH(TableWRRanks32423644[[#This Row],[Player]],TableWRCalcPts[PLAYER],0)),"")</f>
        <v/>
      </c>
      <c r="AG206" s="58" t="str">
        <f>IFERROR(INDEX(TableWRCalcPts[BYE],MATCH(TableWRRanks32423644[[#This Row],[Player]],TableWRCalcPts[PLAYER],0)),"")</f>
        <v/>
      </c>
      <c r="AH206" s="100" t="e">
        <f>VLOOKUP(TableWRRanks32423644[[#This Row],[Player]],WR!B:O,4,FALSE)</f>
        <v>#N/A</v>
      </c>
      <c r="AI206" s="100" t="e">
        <f>VLOOKUP(TableWRRanks32423644[[#This Row],[Player]],WR!B:O,5,FALSE)</f>
        <v>#N/A</v>
      </c>
      <c r="AJ206" s="100" t="e">
        <f>VLOOKUP(TableWRRanks32423644[[#This Row],[Player]],WR!B:O,6,FALSE)</f>
        <v>#N/A</v>
      </c>
      <c r="AK206" s="100" t="e">
        <f>VLOOKUP(TableWRRanks32423644[[#This Row],[Player]],WR!B:O,7,FALSE)</f>
        <v>#N/A</v>
      </c>
      <c r="AL206" s="100" t="e">
        <f>VLOOKUP(TableWRRanks32423644[[#This Row],[Player]],WR!B:O,8,FALSE)</f>
        <v>#N/A</v>
      </c>
      <c r="AM206" s="100" t="e">
        <f>VLOOKUP(TableWRRanks32423644[[#This Row],[Player]],WR!B:O,9,FALSE)</f>
        <v>#N/A</v>
      </c>
      <c r="AN206" s="95" t="e">
        <f>VLOOKUP(TableWRRanks32423644[[#This Row],[Player]],WR!B:O,13,FALSE)</f>
        <v>#N/A</v>
      </c>
      <c r="AO206" s="190" t="e">
        <f>TableWRRanks32423644[[#This Row],[FPS]]-(TableWRRanks32423644[[#This Row],[REC]]*0.5)</f>
        <v>#N/A</v>
      </c>
    </row>
    <row r="207" spans="30:41" x14ac:dyDescent="0.25">
      <c r="AD207" s="58">
        <v>206</v>
      </c>
      <c r="AE207" s="58" t="e">
        <f>VLOOKUP(TableWRRanks32423644[[#This Row],[RK]],Rankings!A:AZ,43,FALSE)</f>
        <v>#N/A</v>
      </c>
      <c r="AF207" s="58" t="str">
        <f>IFERROR(INDEX(TableWRCalcPts[TM],MATCH(TableWRRanks32423644[[#This Row],[Player]],TableWRCalcPts[PLAYER],0)),"")</f>
        <v/>
      </c>
      <c r="AG207" s="58" t="str">
        <f>IFERROR(INDEX(TableWRCalcPts[BYE],MATCH(TableWRRanks32423644[[#This Row],[Player]],TableWRCalcPts[PLAYER],0)),"")</f>
        <v/>
      </c>
      <c r="AH207" s="100" t="e">
        <f>VLOOKUP(TableWRRanks32423644[[#This Row],[Player]],WR!B:O,4,FALSE)</f>
        <v>#N/A</v>
      </c>
      <c r="AI207" s="100" t="e">
        <f>VLOOKUP(TableWRRanks32423644[[#This Row],[Player]],WR!B:O,5,FALSE)</f>
        <v>#N/A</v>
      </c>
      <c r="AJ207" s="100" t="e">
        <f>VLOOKUP(TableWRRanks32423644[[#This Row],[Player]],WR!B:O,6,FALSE)</f>
        <v>#N/A</v>
      </c>
      <c r="AK207" s="100" t="e">
        <f>VLOOKUP(TableWRRanks32423644[[#This Row],[Player]],WR!B:O,7,FALSE)</f>
        <v>#N/A</v>
      </c>
      <c r="AL207" s="100" t="e">
        <f>VLOOKUP(TableWRRanks32423644[[#This Row],[Player]],WR!B:O,8,FALSE)</f>
        <v>#N/A</v>
      </c>
      <c r="AM207" s="100" t="e">
        <f>VLOOKUP(TableWRRanks32423644[[#This Row],[Player]],WR!B:O,9,FALSE)</f>
        <v>#N/A</v>
      </c>
      <c r="AN207" s="95" t="e">
        <f>VLOOKUP(TableWRRanks32423644[[#This Row],[Player]],WR!B:O,13,FALSE)</f>
        <v>#N/A</v>
      </c>
      <c r="AO207" s="190" t="e">
        <f>TableWRRanks32423644[[#This Row],[FPS]]-(TableWRRanks32423644[[#This Row],[REC]]*0.5)</f>
        <v>#N/A</v>
      </c>
    </row>
    <row r="208" spans="30:41" x14ac:dyDescent="0.25">
      <c r="AD208" s="58">
        <v>207</v>
      </c>
      <c r="AE208" s="58" t="e">
        <f>VLOOKUP(TableWRRanks32423644[[#This Row],[RK]],Rankings!A:AZ,43,FALSE)</f>
        <v>#N/A</v>
      </c>
      <c r="AF208" s="58" t="str">
        <f>IFERROR(INDEX(TableWRCalcPts[TM],MATCH(TableWRRanks32423644[[#This Row],[Player]],TableWRCalcPts[PLAYER],0)),"")</f>
        <v/>
      </c>
      <c r="AG208" s="58" t="str">
        <f>IFERROR(INDEX(TableWRCalcPts[BYE],MATCH(TableWRRanks32423644[[#This Row],[Player]],TableWRCalcPts[PLAYER],0)),"")</f>
        <v/>
      </c>
      <c r="AH208" s="100" t="e">
        <f>VLOOKUP(TableWRRanks32423644[[#This Row],[Player]],WR!B:O,4,FALSE)</f>
        <v>#N/A</v>
      </c>
      <c r="AI208" s="100" t="e">
        <f>VLOOKUP(TableWRRanks32423644[[#This Row],[Player]],WR!B:O,5,FALSE)</f>
        <v>#N/A</v>
      </c>
      <c r="AJ208" s="100" t="e">
        <f>VLOOKUP(TableWRRanks32423644[[#This Row],[Player]],WR!B:O,6,FALSE)</f>
        <v>#N/A</v>
      </c>
      <c r="AK208" s="100" t="e">
        <f>VLOOKUP(TableWRRanks32423644[[#This Row],[Player]],WR!B:O,7,FALSE)</f>
        <v>#N/A</v>
      </c>
      <c r="AL208" s="100" t="e">
        <f>VLOOKUP(TableWRRanks32423644[[#This Row],[Player]],WR!B:O,8,FALSE)</f>
        <v>#N/A</v>
      </c>
      <c r="AM208" s="100" t="e">
        <f>VLOOKUP(TableWRRanks32423644[[#This Row],[Player]],WR!B:O,9,FALSE)</f>
        <v>#N/A</v>
      </c>
      <c r="AN208" s="95" t="e">
        <f>VLOOKUP(TableWRRanks32423644[[#This Row],[Player]],WR!B:O,13,FALSE)</f>
        <v>#N/A</v>
      </c>
      <c r="AO208" s="190" t="e">
        <f>TableWRRanks32423644[[#This Row],[FPS]]-(TableWRRanks32423644[[#This Row],[REC]]*0.5)</f>
        <v>#N/A</v>
      </c>
    </row>
    <row r="209" spans="30:41" x14ac:dyDescent="0.25">
      <c r="AD209" s="58">
        <v>208</v>
      </c>
      <c r="AE209" s="58" t="e">
        <f>VLOOKUP(TableWRRanks32423644[[#This Row],[RK]],Rankings!A:AZ,43,FALSE)</f>
        <v>#N/A</v>
      </c>
      <c r="AF209" s="58" t="str">
        <f>IFERROR(INDEX(TableWRCalcPts[TM],MATCH(TableWRRanks32423644[[#This Row],[Player]],TableWRCalcPts[PLAYER],0)),"")</f>
        <v/>
      </c>
      <c r="AG209" s="58" t="str">
        <f>IFERROR(INDEX(TableWRCalcPts[BYE],MATCH(TableWRRanks32423644[[#This Row],[Player]],TableWRCalcPts[PLAYER],0)),"")</f>
        <v/>
      </c>
      <c r="AH209" s="100" t="e">
        <f>VLOOKUP(TableWRRanks32423644[[#This Row],[Player]],WR!B:O,4,FALSE)</f>
        <v>#N/A</v>
      </c>
      <c r="AI209" s="100" t="e">
        <f>VLOOKUP(TableWRRanks32423644[[#This Row],[Player]],WR!B:O,5,FALSE)</f>
        <v>#N/A</v>
      </c>
      <c r="AJ209" s="100" t="e">
        <f>VLOOKUP(TableWRRanks32423644[[#This Row],[Player]],WR!B:O,6,FALSE)</f>
        <v>#N/A</v>
      </c>
      <c r="AK209" s="100" t="e">
        <f>VLOOKUP(TableWRRanks32423644[[#This Row],[Player]],WR!B:O,7,FALSE)</f>
        <v>#N/A</v>
      </c>
      <c r="AL209" s="100" t="e">
        <f>VLOOKUP(TableWRRanks32423644[[#This Row],[Player]],WR!B:O,8,FALSE)</f>
        <v>#N/A</v>
      </c>
      <c r="AM209" s="100" t="e">
        <f>VLOOKUP(TableWRRanks32423644[[#This Row],[Player]],WR!B:O,9,FALSE)</f>
        <v>#N/A</v>
      </c>
      <c r="AN209" s="95" t="e">
        <f>VLOOKUP(TableWRRanks32423644[[#This Row],[Player]],WR!B:O,13,FALSE)</f>
        <v>#N/A</v>
      </c>
      <c r="AO209" s="190" t="e">
        <f>TableWRRanks32423644[[#This Row],[FPS]]-(TableWRRanks32423644[[#This Row],[REC]]*0.5)</f>
        <v>#N/A</v>
      </c>
    </row>
    <row r="210" spans="30:41" x14ac:dyDescent="0.25">
      <c r="AD210" s="58">
        <v>209</v>
      </c>
      <c r="AE210" s="58" t="e">
        <f>VLOOKUP(TableWRRanks32423644[[#This Row],[RK]],Rankings!A:AZ,43,FALSE)</f>
        <v>#N/A</v>
      </c>
      <c r="AF210" s="58" t="str">
        <f>IFERROR(INDEX(TableWRCalcPts[TM],MATCH(TableWRRanks32423644[[#This Row],[Player]],TableWRCalcPts[PLAYER],0)),"")</f>
        <v/>
      </c>
      <c r="AG210" s="58" t="str">
        <f>IFERROR(INDEX(TableWRCalcPts[BYE],MATCH(TableWRRanks32423644[[#This Row],[Player]],TableWRCalcPts[PLAYER],0)),"")</f>
        <v/>
      </c>
      <c r="AH210" s="100" t="e">
        <f>VLOOKUP(TableWRRanks32423644[[#This Row],[Player]],WR!B:O,4,FALSE)</f>
        <v>#N/A</v>
      </c>
      <c r="AI210" s="100" t="e">
        <f>VLOOKUP(TableWRRanks32423644[[#This Row],[Player]],WR!B:O,5,FALSE)</f>
        <v>#N/A</v>
      </c>
      <c r="AJ210" s="100" t="e">
        <f>VLOOKUP(TableWRRanks32423644[[#This Row],[Player]],WR!B:O,6,FALSE)</f>
        <v>#N/A</v>
      </c>
      <c r="AK210" s="100" t="e">
        <f>VLOOKUP(TableWRRanks32423644[[#This Row],[Player]],WR!B:O,7,FALSE)</f>
        <v>#N/A</v>
      </c>
      <c r="AL210" s="100" t="e">
        <f>VLOOKUP(TableWRRanks32423644[[#This Row],[Player]],WR!B:O,8,FALSE)</f>
        <v>#N/A</v>
      </c>
      <c r="AM210" s="100" t="e">
        <f>VLOOKUP(TableWRRanks32423644[[#This Row],[Player]],WR!B:O,9,FALSE)</f>
        <v>#N/A</v>
      </c>
      <c r="AN210" s="95" t="e">
        <f>VLOOKUP(TableWRRanks32423644[[#This Row],[Player]],WR!B:O,13,FALSE)</f>
        <v>#N/A</v>
      </c>
      <c r="AO210" s="190" t="e">
        <f>TableWRRanks32423644[[#This Row],[FPS]]-(TableWRRanks32423644[[#This Row],[REC]]*0.5)</f>
        <v>#N/A</v>
      </c>
    </row>
    <row r="211" spans="30:41" x14ac:dyDescent="0.25">
      <c r="AD211" s="58">
        <v>210</v>
      </c>
      <c r="AE211" s="58" t="e">
        <f>VLOOKUP(TableWRRanks32423644[[#This Row],[RK]],Rankings!A:AZ,43,FALSE)</f>
        <v>#N/A</v>
      </c>
      <c r="AF211" s="58" t="str">
        <f>IFERROR(INDEX(TableWRCalcPts[TM],MATCH(TableWRRanks32423644[[#This Row],[Player]],TableWRCalcPts[PLAYER],0)),"")</f>
        <v/>
      </c>
      <c r="AG211" s="58" t="str">
        <f>IFERROR(INDEX(TableWRCalcPts[BYE],MATCH(TableWRRanks32423644[[#This Row],[Player]],TableWRCalcPts[PLAYER],0)),"")</f>
        <v/>
      </c>
      <c r="AH211" s="100" t="e">
        <f>VLOOKUP(TableWRRanks32423644[[#This Row],[Player]],WR!B:O,4,FALSE)</f>
        <v>#N/A</v>
      </c>
      <c r="AI211" s="100" t="e">
        <f>VLOOKUP(TableWRRanks32423644[[#This Row],[Player]],WR!B:O,5,FALSE)</f>
        <v>#N/A</v>
      </c>
      <c r="AJ211" s="100" t="e">
        <f>VLOOKUP(TableWRRanks32423644[[#This Row],[Player]],WR!B:O,6,FALSE)</f>
        <v>#N/A</v>
      </c>
      <c r="AK211" s="100" t="e">
        <f>VLOOKUP(TableWRRanks32423644[[#This Row],[Player]],WR!B:O,7,FALSE)</f>
        <v>#N/A</v>
      </c>
      <c r="AL211" s="100" t="e">
        <f>VLOOKUP(TableWRRanks32423644[[#This Row],[Player]],WR!B:O,8,FALSE)</f>
        <v>#N/A</v>
      </c>
      <c r="AM211" s="100" t="e">
        <f>VLOOKUP(TableWRRanks32423644[[#This Row],[Player]],WR!B:O,9,FALSE)</f>
        <v>#N/A</v>
      </c>
      <c r="AN211" s="95" t="e">
        <f>VLOOKUP(TableWRRanks32423644[[#This Row],[Player]],WR!B:O,13,FALSE)</f>
        <v>#N/A</v>
      </c>
      <c r="AO211" s="190" t="e">
        <f>TableWRRanks32423644[[#This Row],[FPS]]-(TableWRRanks32423644[[#This Row],[REC]]*0.5)</f>
        <v>#N/A</v>
      </c>
    </row>
    <row r="212" spans="30:41" x14ac:dyDescent="0.25">
      <c r="AD212" s="58">
        <v>211</v>
      </c>
      <c r="AE212" s="58" t="e">
        <f>VLOOKUP(TableWRRanks32423644[[#This Row],[RK]],Rankings!A:AZ,43,FALSE)</f>
        <v>#N/A</v>
      </c>
      <c r="AF212" s="58" t="str">
        <f>IFERROR(INDEX(TableWRCalcPts[TM],MATCH(TableWRRanks32423644[[#This Row],[Player]],TableWRCalcPts[PLAYER],0)),"")</f>
        <v/>
      </c>
      <c r="AG212" s="58" t="str">
        <f>IFERROR(INDEX(TableWRCalcPts[BYE],MATCH(TableWRRanks32423644[[#This Row],[Player]],TableWRCalcPts[PLAYER],0)),"")</f>
        <v/>
      </c>
      <c r="AH212" s="100" t="e">
        <f>VLOOKUP(TableWRRanks32423644[[#This Row],[Player]],WR!B:O,4,FALSE)</f>
        <v>#N/A</v>
      </c>
      <c r="AI212" s="100" t="e">
        <f>VLOOKUP(TableWRRanks32423644[[#This Row],[Player]],WR!B:O,5,FALSE)</f>
        <v>#N/A</v>
      </c>
      <c r="AJ212" s="100" t="e">
        <f>VLOOKUP(TableWRRanks32423644[[#This Row],[Player]],WR!B:O,6,FALSE)</f>
        <v>#N/A</v>
      </c>
      <c r="AK212" s="100" t="e">
        <f>VLOOKUP(TableWRRanks32423644[[#This Row],[Player]],WR!B:O,7,FALSE)</f>
        <v>#N/A</v>
      </c>
      <c r="AL212" s="100" t="e">
        <f>VLOOKUP(TableWRRanks32423644[[#This Row],[Player]],WR!B:O,8,FALSE)</f>
        <v>#N/A</v>
      </c>
      <c r="AM212" s="100" t="e">
        <f>VLOOKUP(TableWRRanks32423644[[#This Row],[Player]],WR!B:O,9,FALSE)</f>
        <v>#N/A</v>
      </c>
      <c r="AN212" s="95" t="e">
        <f>VLOOKUP(TableWRRanks32423644[[#This Row],[Player]],WR!B:O,13,FALSE)</f>
        <v>#N/A</v>
      </c>
      <c r="AO212" s="190" t="e">
        <f>TableWRRanks32423644[[#This Row],[FPS]]-(TableWRRanks32423644[[#This Row],[REC]]*0.5)</f>
        <v>#N/A</v>
      </c>
    </row>
    <row r="213" spans="30:41" x14ac:dyDescent="0.25">
      <c r="AD213" s="58">
        <v>212</v>
      </c>
      <c r="AE213" s="58" t="e">
        <f>VLOOKUP(TableWRRanks32423644[[#This Row],[RK]],Rankings!A:AZ,43,FALSE)</f>
        <v>#N/A</v>
      </c>
      <c r="AF213" s="58" t="str">
        <f>IFERROR(INDEX(TableWRCalcPts[TM],MATCH(TableWRRanks32423644[[#This Row],[Player]],TableWRCalcPts[PLAYER],0)),"")</f>
        <v/>
      </c>
      <c r="AG213" s="58" t="str">
        <f>IFERROR(INDEX(TableWRCalcPts[BYE],MATCH(TableWRRanks32423644[[#This Row],[Player]],TableWRCalcPts[PLAYER],0)),"")</f>
        <v/>
      </c>
      <c r="AH213" s="100" t="e">
        <f>VLOOKUP(TableWRRanks32423644[[#This Row],[Player]],WR!B:O,4,FALSE)</f>
        <v>#N/A</v>
      </c>
      <c r="AI213" s="100" t="e">
        <f>VLOOKUP(TableWRRanks32423644[[#This Row],[Player]],WR!B:O,5,FALSE)</f>
        <v>#N/A</v>
      </c>
      <c r="AJ213" s="100" t="e">
        <f>VLOOKUP(TableWRRanks32423644[[#This Row],[Player]],WR!B:O,6,FALSE)</f>
        <v>#N/A</v>
      </c>
      <c r="AK213" s="100" t="e">
        <f>VLOOKUP(TableWRRanks32423644[[#This Row],[Player]],WR!B:O,7,FALSE)</f>
        <v>#N/A</v>
      </c>
      <c r="AL213" s="100" t="e">
        <f>VLOOKUP(TableWRRanks32423644[[#This Row],[Player]],WR!B:O,8,FALSE)</f>
        <v>#N/A</v>
      </c>
      <c r="AM213" s="100" t="e">
        <f>VLOOKUP(TableWRRanks32423644[[#This Row],[Player]],WR!B:O,9,FALSE)</f>
        <v>#N/A</v>
      </c>
      <c r="AN213" s="95" t="e">
        <f>VLOOKUP(TableWRRanks32423644[[#This Row],[Player]],WR!B:O,13,FALSE)</f>
        <v>#N/A</v>
      </c>
      <c r="AO213" s="190" t="e">
        <f>TableWRRanks32423644[[#This Row],[FPS]]-(TableWRRanks32423644[[#This Row],[REC]]*0.5)</f>
        <v>#N/A</v>
      </c>
    </row>
    <row r="214" spans="30:41" x14ac:dyDescent="0.25">
      <c r="AD214" s="58">
        <v>213</v>
      </c>
      <c r="AE214" s="58" t="e">
        <f>VLOOKUP(TableWRRanks32423644[[#This Row],[RK]],Rankings!A:AZ,43,FALSE)</f>
        <v>#N/A</v>
      </c>
      <c r="AF214" s="58" t="str">
        <f>IFERROR(INDEX(TableWRCalcPts[TM],MATCH(TableWRRanks32423644[[#This Row],[Player]],TableWRCalcPts[PLAYER],0)),"")</f>
        <v/>
      </c>
      <c r="AG214" s="58" t="str">
        <f>IFERROR(INDEX(TableWRCalcPts[BYE],MATCH(TableWRRanks32423644[[#This Row],[Player]],TableWRCalcPts[PLAYER],0)),"")</f>
        <v/>
      </c>
      <c r="AH214" s="100" t="e">
        <f>VLOOKUP(TableWRRanks32423644[[#This Row],[Player]],WR!B:O,4,FALSE)</f>
        <v>#N/A</v>
      </c>
      <c r="AI214" s="100" t="e">
        <f>VLOOKUP(TableWRRanks32423644[[#This Row],[Player]],WR!B:O,5,FALSE)</f>
        <v>#N/A</v>
      </c>
      <c r="AJ214" s="100" t="e">
        <f>VLOOKUP(TableWRRanks32423644[[#This Row],[Player]],WR!B:O,6,FALSE)</f>
        <v>#N/A</v>
      </c>
      <c r="AK214" s="100" t="e">
        <f>VLOOKUP(TableWRRanks32423644[[#This Row],[Player]],WR!B:O,7,FALSE)</f>
        <v>#N/A</v>
      </c>
      <c r="AL214" s="100" t="e">
        <f>VLOOKUP(TableWRRanks32423644[[#This Row],[Player]],WR!B:O,8,FALSE)</f>
        <v>#N/A</v>
      </c>
      <c r="AM214" s="100" t="e">
        <f>VLOOKUP(TableWRRanks32423644[[#This Row],[Player]],WR!B:O,9,FALSE)</f>
        <v>#N/A</v>
      </c>
      <c r="AN214" s="95" t="e">
        <f>VLOOKUP(TableWRRanks32423644[[#This Row],[Player]],WR!B:O,13,FALSE)</f>
        <v>#N/A</v>
      </c>
      <c r="AO214" s="190" t="e">
        <f>TableWRRanks32423644[[#This Row],[FPS]]-(TableWRRanks32423644[[#This Row],[REC]]*0.5)</f>
        <v>#N/A</v>
      </c>
    </row>
    <row r="215" spans="30:41" x14ac:dyDescent="0.25">
      <c r="AD215" s="58">
        <v>214</v>
      </c>
      <c r="AE215" s="58" t="e">
        <f>VLOOKUP(TableWRRanks32423644[[#This Row],[RK]],Rankings!A:AZ,43,FALSE)</f>
        <v>#N/A</v>
      </c>
      <c r="AF215" s="58" t="str">
        <f>IFERROR(INDEX(TableWRCalcPts[TM],MATCH(TableWRRanks32423644[[#This Row],[Player]],TableWRCalcPts[PLAYER],0)),"")</f>
        <v/>
      </c>
      <c r="AG215" s="58" t="str">
        <f>IFERROR(INDEX(TableWRCalcPts[BYE],MATCH(TableWRRanks32423644[[#This Row],[Player]],TableWRCalcPts[PLAYER],0)),"")</f>
        <v/>
      </c>
      <c r="AH215" s="100" t="e">
        <f>VLOOKUP(TableWRRanks32423644[[#This Row],[Player]],WR!B:O,4,FALSE)</f>
        <v>#N/A</v>
      </c>
      <c r="AI215" s="100" t="e">
        <f>VLOOKUP(TableWRRanks32423644[[#This Row],[Player]],WR!B:O,5,FALSE)</f>
        <v>#N/A</v>
      </c>
      <c r="AJ215" s="100" t="e">
        <f>VLOOKUP(TableWRRanks32423644[[#This Row],[Player]],WR!B:O,6,FALSE)</f>
        <v>#N/A</v>
      </c>
      <c r="AK215" s="100" t="e">
        <f>VLOOKUP(TableWRRanks32423644[[#This Row],[Player]],WR!B:O,7,FALSE)</f>
        <v>#N/A</v>
      </c>
      <c r="AL215" s="100" t="e">
        <f>VLOOKUP(TableWRRanks32423644[[#This Row],[Player]],WR!B:O,8,FALSE)</f>
        <v>#N/A</v>
      </c>
      <c r="AM215" s="100" t="e">
        <f>VLOOKUP(TableWRRanks32423644[[#This Row],[Player]],WR!B:O,9,FALSE)</f>
        <v>#N/A</v>
      </c>
      <c r="AN215" s="95" t="e">
        <f>VLOOKUP(TableWRRanks32423644[[#This Row],[Player]],WR!B:O,13,FALSE)</f>
        <v>#N/A</v>
      </c>
      <c r="AO215" s="190" t="e">
        <f>TableWRRanks32423644[[#This Row],[FPS]]-(TableWRRanks32423644[[#This Row],[REC]]*0.5)</f>
        <v>#N/A</v>
      </c>
    </row>
    <row r="216" spans="30:41" x14ac:dyDescent="0.25">
      <c r="AD216" s="58">
        <v>215</v>
      </c>
      <c r="AE216" s="58" t="e">
        <f>VLOOKUP(TableWRRanks32423644[[#This Row],[RK]],Rankings!A:AZ,43,FALSE)</f>
        <v>#N/A</v>
      </c>
      <c r="AF216" s="58" t="str">
        <f>IFERROR(INDEX(TableWRCalcPts[TM],MATCH(TableWRRanks32423644[[#This Row],[Player]],TableWRCalcPts[PLAYER],0)),"")</f>
        <v/>
      </c>
      <c r="AG216" s="58" t="str">
        <f>IFERROR(INDEX(TableWRCalcPts[BYE],MATCH(TableWRRanks32423644[[#This Row],[Player]],TableWRCalcPts[PLAYER],0)),"")</f>
        <v/>
      </c>
      <c r="AH216" s="100" t="e">
        <f>VLOOKUP(TableWRRanks32423644[[#This Row],[Player]],WR!B:O,4,FALSE)</f>
        <v>#N/A</v>
      </c>
      <c r="AI216" s="100" t="e">
        <f>VLOOKUP(TableWRRanks32423644[[#This Row],[Player]],WR!B:O,5,FALSE)</f>
        <v>#N/A</v>
      </c>
      <c r="AJ216" s="100" t="e">
        <f>VLOOKUP(TableWRRanks32423644[[#This Row],[Player]],WR!B:O,6,FALSE)</f>
        <v>#N/A</v>
      </c>
      <c r="AK216" s="100" t="e">
        <f>VLOOKUP(TableWRRanks32423644[[#This Row],[Player]],WR!B:O,7,FALSE)</f>
        <v>#N/A</v>
      </c>
      <c r="AL216" s="100" t="e">
        <f>VLOOKUP(TableWRRanks32423644[[#This Row],[Player]],WR!B:O,8,FALSE)</f>
        <v>#N/A</v>
      </c>
      <c r="AM216" s="100" t="e">
        <f>VLOOKUP(TableWRRanks32423644[[#This Row],[Player]],WR!B:O,9,FALSE)</f>
        <v>#N/A</v>
      </c>
      <c r="AN216" s="95" t="e">
        <f>VLOOKUP(TableWRRanks32423644[[#This Row],[Player]],WR!B:O,13,FALSE)</f>
        <v>#N/A</v>
      </c>
      <c r="AO216" s="190" t="e">
        <f>TableWRRanks32423644[[#This Row],[FPS]]-(TableWRRanks32423644[[#This Row],[REC]]*0.5)</f>
        <v>#N/A</v>
      </c>
    </row>
    <row r="217" spans="30:41" x14ac:dyDescent="0.25">
      <c r="AD217" s="58">
        <v>216</v>
      </c>
      <c r="AE217" s="58" t="e">
        <f>VLOOKUP(TableWRRanks32423644[[#This Row],[RK]],Rankings!A:AZ,43,FALSE)</f>
        <v>#N/A</v>
      </c>
      <c r="AF217" s="58" t="str">
        <f>IFERROR(INDEX(TableWRCalcPts[TM],MATCH(TableWRRanks32423644[[#This Row],[Player]],TableWRCalcPts[PLAYER],0)),"")</f>
        <v/>
      </c>
      <c r="AG217" s="58" t="str">
        <f>IFERROR(INDEX(TableWRCalcPts[BYE],MATCH(TableWRRanks32423644[[#This Row],[Player]],TableWRCalcPts[PLAYER],0)),"")</f>
        <v/>
      </c>
      <c r="AH217" s="100" t="e">
        <f>VLOOKUP(TableWRRanks32423644[[#This Row],[Player]],WR!B:O,4,FALSE)</f>
        <v>#N/A</v>
      </c>
      <c r="AI217" s="100" t="e">
        <f>VLOOKUP(TableWRRanks32423644[[#This Row],[Player]],WR!B:O,5,FALSE)</f>
        <v>#N/A</v>
      </c>
      <c r="AJ217" s="100" t="e">
        <f>VLOOKUP(TableWRRanks32423644[[#This Row],[Player]],WR!B:O,6,FALSE)</f>
        <v>#N/A</v>
      </c>
      <c r="AK217" s="100" t="e">
        <f>VLOOKUP(TableWRRanks32423644[[#This Row],[Player]],WR!B:O,7,FALSE)</f>
        <v>#N/A</v>
      </c>
      <c r="AL217" s="100" t="e">
        <f>VLOOKUP(TableWRRanks32423644[[#This Row],[Player]],WR!B:O,8,FALSE)</f>
        <v>#N/A</v>
      </c>
      <c r="AM217" s="100" t="e">
        <f>VLOOKUP(TableWRRanks32423644[[#This Row],[Player]],WR!B:O,9,FALSE)</f>
        <v>#N/A</v>
      </c>
      <c r="AN217" s="95" t="e">
        <f>VLOOKUP(TableWRRanks32423644[[#This Row],[Player]],WR!B:O,13,FALSE)</f>
        <v>#N/A</v>
      </c>
      <c r="AO217" s="190" t="e">
        <f>TableWRRanks32423644[[#This Row],[FPS]]-(TableWRRanks32423644[[#This Row],[REC]]*0.5)</f>
        <v>#N/A</v>
      </c>
    </row>
    <row r="218" spans="30:41" x14ac:dyDescent="0.25">
      <c r="AD218" s="58">
        <v>217</v>
      </c>
      <c r="AE218" s="58" t="e">
        <f>VLOOKUP(TableWRRanks32423644[[#This Row],[RK]],Rankings!A:AZ,43,FALSE)</f>
        <v>#N/A</v>
      </c>
      <c r="AF218" s="58" t="str">
        <f>IFERROR(INDEX(TableWRCalcPts[TM],MATCH(TableWRRanks32423644[[#This Row],[Player]],TableWRCalcPts[PLAYER],0)),"")</f>
        <v/>
      </c>
      <c r="AG218" s="58" t="str">
        <f>IFERROR(INDEX(TableWRCalcPts[BYE],MATCH(TableWRRanks32423644[[#This Row],[Player]],TableWRCalcPts[PLAYER],0)),"")</f>
        <v/>
      </c>
      <c r="AH218" s="100" t="e">
        <f>VLOOKUP(TableWRRanks32423644[[#This Row],[Player]],WR!B:O,4,FALSE)</f>
        <v>#N/A</v>
      </c>
      <c r="AI218" s="100" t="e">
        <f>VLOOKUP(TableWRRanks32423644[[#This Row],[Player]],WR!B:O,5,FALSE)</f>
        <v>#N/A</v>
      </c>
      <c r="AJ218" s="100" t="e">
        <f>VLOOKUP(TableWRRanks32423644[[#This Row],[Player]],WR!B:O,6,FALSE)</f>
        <v>#N/A</v>
      </c>
      <c r="AK218" s="100" t="e">
        <f>VLOOKUP(TableWRRanks32423644[[#This Row],[Player]],WR!B:O,7,FALSE)</f>
        <v>#N/A</v>
      </c>
      <c r="AL218" s="100" t="e">
        <f>VLOOKUP(TableWRRanks32423644[[#This Row],[Player]],WR!B:O,8,FALSE)</f>
        <v>#N/A</v>
      </c>
      <c r="AM218" s="100" t="e">
        <f>VLOOKUP(TableWRRanks32423644[[#This Row],[Player]],WR!B:O,9,FALSE)</f>
        <v>#N/A</v>
      </c>
      <c r="AN218" s="95" t="e">
        <f>VLOOKUP(TableWRRanks32423644[[#This Row],[Player]],WR!B:O,13,FALSE)</f>
        <v>#N/A</v>
      </c>
      <c r="AO218" s="190" t="e">
        <f>TableWRRanks32423644[[#This Row],[FPS]]-(TableWRRanks32423644[[#This Row],[REC]]*0.5)</f>
        <v>#N/A</v>
      </c>
    </row>
    <row r="219" spans="30:41" x14ac:dyDescent="0.25">
      <c r="AD219" s="58">
        <v>218</v>
      </c>
      <c r="AE219" s="58" t="e">
        <f>VLOOKUP(TableWRRanks32423644[[#This Row],[RK]],Rankings!A:AZ,43,FALSE)</f>
        <v>#N/A</v>
      </c>
      <c r="AF219" s="58" t="str">
        <f>IFERROR(INDEX(TableWRCalcPts[TM],MATCH(TableWRRanks32423644[[#This Row],[Player]],TableWRCalcPts[PLAYER],0)),"")</f>
        <v/>
      </c>
      <c r="AG219" s="58" t="str">
        <f>IFERROR(INDEX(TableWRCalcPts[BYE],MATCH(TableWRRanks32423644[[#This Row],[Player]],TableWRCalcPts[PLAYER],0)),"")</f>
        <v/>
      </c>
      <c r="AH219" s="100" t="e">
        <f>VLOOKUP(TableWRRanks32423644[[#This Row],[Player]],WR!B:O,4,FALSE)</f>
        <v>#N/A</v>
      </c>
      <c r="AI219" s="100" t="e">
        <f>VLOOKUP(TableWRRanks32423644[[#This Row],[Player]],WR!B:O,5,FALSE)</f>
        <v>#N/A</v>
      </c>
      <c r="AJ219" s="100" t="e">
        <f>VLOOKUP(TableWRRanks32423644[[#This Row],[Player]],WR!B:O,6,FALSE)</f>
        <v>#N/A</v>
      </c>
      <c r="AK219" s="100" t="e">
        <f>VLOOKUP(TableWRRanks32423644[[#This Row],[Player]],WR!B:O,7,FALSE)</f>
        <v>#N/A</v>
      </c>
      <c r="AL219" s="100" t="e">
        <f>VLOOKUP(TableWRRanks32423644[[#This Row],[Player]],WR!B:O,8,FALSE)</f>
        <v>#N/A</v>
      </c>
      <c r="AM219" s="100" t="e">
        <f>VLOOKUP(TableWRRanks32423644[[#This Row],[Player]],WR!B:O,9,FALSE)</f>
        <v>#N/A</v>
      </c>
      <c r="AN219" s="95" t="e">
        <f>VLOOKUP(TableWRRanks32423644[[#This Row],[Player]],WR!B:O,13,FALSE)</f>
        <v>#N/A</v>
      </c>
      <c r="AO219" s="190" t="e">
        <f>TableWRRanks32423644[[#This Row],[FPS]]-(TableWRRanks32423644[[#This Row],[REC]]*0.5)</f>
        <v>#N/A</v>
      </c>
    </row>
    <row r="220" spans="30:41" x14ac:dyDescent="0.25">
      <c r="AD220" s="58">
        <v>219</v>
      </c>
      <c r="AE220" s="58" t="e">
        <f>VLOOKUP(TableWRRanks32423644[[#This Row],[RK]],Rankings!A:AZ,43,FALSE)</f>
        <v>#N/A</v>
      </c>
      <c r="AF220" s="58" t="str">
        <f>IFERROR(INDEX(TableWRCalcPts[TM],MATCH(TableWRRanks32423644[[#This Row],[Player]],TableWRCalcPts[PLAYER],0)),"")</f>
        <v/>
      </c>
      <c r="AG220" s="58" t="str">
        <f>IFERROR(INDEX(TableWRCalcPts[BYE],MATCH(TableWRRanks32423644[[#This Row],[Player]],TableWRCalcPts[PLAYER],0)),"")</f>
        <v/>
      </c>
      <c r="AH220" s="100" t="e">
        <f>VLOOKUP(TableWRRanks32423644[[#This Row],[Player]],WR!B:O,4,FALSE)</f>
        <v>#N/A</v>
      </c>
      <c r="AI220" s="100" t="e">
        <f>VLOOKUP(TableWRRanks32423644[[#This Row],[Player]],WR!B:O,5,FALSE)</f>
        <v>#N/A</v>
      </c>
      <c r="AJ220" s="100" t="e">
        <f>VLOOKUP(TableWRRanks32423644[[#This Row],[Player]],WR!B:O,6,FALSE)</f>
        <v>#N/A</v>
      </c>
      <c r="AK220" s="100" t="e">
        <f>VLOOKUP(TableWRRanks32423644[[#This Row],[Player]],WR!B:O,7,FALSE)</f>
        <v>#N/A</v>
      </c>
      <c r="AL220" s="100" t="e">
        <f>VLOOKUP(TableWRRanks32423644[[#This Row],[Player]],WR!B:O,8,FALSE)</f>
        <v>#N/A</v>
      </c>
      <c r="AM220" s="100" t="e">
        <f>VLOOKUP(TableWRRanks32423644[[#This Row],[Player]],WR!B:O,9,FALSE)</f>
        <v>#N/A</v>
      </c>
      <c r="AN220" s="95" t="e">
        <f>VLOOKUP(TableWRRanks32423644[[#This Row],[Player]],WR!B:O,13,FALSE)</f>
        <v>#N/A</v>
      </c>
      <c r="AO220" s="190" t="e">
        <f>TableWRRanks32423644[[#This Row],[FPS]]-(TableWRRanks32423644[[#This Row],[REC]]*0.5)</f>
        <v>#N/A</v>
      </c>
    </row>
    <row r="221" spans="30:41" x14ac:dyDescent="0.25">
      <c r="AD221" s="58">
        <v>220</v>
      </c>
      <c r="AE221" s="58" t="e">
        <f>VLOOKUP(TableWRRanks32423644[[#This Row],[RK]],Rankings!A:AZ,43,FALSE)</f>
        <v>#N/A</v>
      </c>
      <c r="AF221" s="58" t="str">
        <f>IFERROR(INDEX(TableWRCalcPts[TM],MATCH(TableWRRanks32423644[[#This Row],[Player]],TableWRCalcPts[PLAYER],0)),"")</f>
        <v/>
      </c>
      <c r="AG221" s="58" t="str">
        <f>IFERROR(INDEX(TableWRCalcPts[BYE],MATCH(TableWRRanks32423644[[#This Row],[Player]],TableWRCalcPts[PLAYER],0)),"")</f>
        <v/>
      </c>
      <c r="AH221" s="100" t="e">
        <f>VLOOKUP(TableWRRanks32423644[[#This Row],[Player]],WR!B:O,4,FALSE)</f>
        <v>#N/A</v>
      </c>
      <c r="AI221" s="100" t="e">
        <f>VLOOKUP(TableWRRanks32423644[[#This Row],[Player]],WR!B:O,5,FALSE)</f>
        <v>#N/A</v>
      </c>
      <c r="AJ221" s="100" t="e">
        <f>VLOOKUP(TableWRRanks32423644[[#This Row],[Player]],WR!B:O,6,FALSE)</f>
        <v>#N/A</v>
      </c>
      <c r="AK221" s="100" t="e">
        <f>VLOOKUP(TableWRRanks32423644[[#This Row],[Player]],WR!B:O,7,FALSE)</f>
        <v>#N/A</v>
      </c>
      <c r="AL221" s="100" t="e">
        <f>VLOOKUP(TableWRRanks32423644[[#This Row],[Player]],WR!B:O,8,FALSE)</f>
        <v>#N/A</v>
      </c>
      <c r="AM221" s="100" t="e">
        <f>VLOOKUP(TableWRRanks32423644[[#This Row],[Player]],WR!B:O,9,FALSE)</f>
        <v>#N/A</v>
      </c>
      <c r="AN221" s="95" t="e">
        <f>VLOOKUP(TableWRRanks32423644[[#This Row],[Player]],WR!B:O,13,FALSE)</f>
        <v>#N/A</v>
      </c>
      <c r="AO221" s="190" t="e">
        <f>TableWRRanks32423644[[#This Row],[FPS]]-(TableWRRanks32423644[[#This Row],[REC]]*0.5)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9"/>
  <dimension ref="A1:AP327"/>
  <sheetViews>
    <sheetView showGridLines="0" zoomScale="85" zoomScaleNormal="85" workbookViewId="0">
      <pane ySplit="2" topLeftCell="A3" activePane="bottomLeft" state="frozen"/>
      <selection activeCell="A3" sqref="A3"/>
      <selection pane="bottomLeft" activeCell="AE28" sqref="AE28"/>
    </sheetView>
  </sheetViews>
  <sheetFormatPr defaultColWidth="5.85546875" defaultRowHeight="15" x14ac:dyDescent="0.25"/>
  <cols>
    <col min="1" max="1" width="3.5703125" style="2" bestFit="1" customWidth="1"/>
    <col min="2" max="2" width="5" style="2" customWidth="1"/>
    <col min="3" max="3" width="27.5703125" style="2" bestFit="1" customWidth="1"/>
    <col min="4" max="4" width="5.140625" style="2" bestFit="1" customWidth="1"/>
    <col min="5" max="5" width="4.140625" style="2" bestFit="1" customWidth="1"/>
    <col min="6" max="6" width="7.85546875" style="2" bestFit="1" customWidth="1"/>
    <col min="7" max="7" width="5.85546875" style="2"/>
    <col min="8" max="8" width="4.140625" style="2" bestFit="1" customWidth="1"/>
    <col min="9" max="9" width="6.42578125" style="2" customWidth="1"/>
    <col min="10" max="10" width="22.140625" style="2" bestFit="1" customWidth="1"/>
    <col min="11" max="11" width="5.140625" style="2" bestFit="1" customWidth="1"/>
    <col min="12" max="12" width="4.140625" style="2" bestFit="1" customWidth="1"/>
    <col min="13" max="13" width="7.85546875" style="2" bestFit="1" customWidth="1"/>
    <col min="14" max="14" width="5.85546875" style="2"/>
    <col min="15" max="15" width="4.140625" style="2" bestFit="1" customWidth="1"/>
    <col min="16" max="16" width="7.140625" style="2" bestFit="1" customWidth="1"/>
    <col min="17" max="17" width="25.5703125" style="2" bestFit="1" customWidth="1"/>
    <col min="18" max="18" width="5.140625" style="2" bestFit="1" customWidth="1"/>
    <col min="19" max="19" width="4.140625" style="2" bestFit="1" customWidth="1"/>
    <col min="20" max="20" width="7.85546875" style="2" bestFit="1" customWidth="1"/>
    <col min="21" max="21" width="5.85546875" style="2"/>
    <col min="22" max="22" width="3.5703125" style="2" bestFit="1" customWidth="1"/>
    <col min="23" max="23" width="6" style="2" bestFit="1" customWidth="1"/>
    <col min="24" max="24" width="21.42578125" style="2" bestFit="1" customWidth="1"/>
    <col min="25" max="25" width="5.140625" style="2" bestFit="1" customWidth="1"/>
    <col min="26" max="26" width="4.140625" style="2" bestFit="1" customWidth="1"/>
    <col min="27" max="27" width="7.85546875" style="2" bestFit="1" customWidth="1"/>
    <col min="28" max="28" width="5.85546875" style="2"/>
    <col min="29" max="29" width="3.5703125" style="2" bestFit="1" customWidth="1"/>
    <col min="30" max="30" width="7.42578125" style="2" bestFit="1" customWidth="1"/>
    <col min="31" max="31" width="26.5703125" style="2" bestFit="1" customWidth="1"/>
    <col min="32" max="32" width="4.140625" style="2" bestFit="1" customWidth="1"/>
    <col min="33" max="33" width="7.85546875" style="2" bestFit="1" customWidth="1"/>
    <col min="34" max="34" width="5.85546875" style="2"/>
    <col min="35" max="35" width="4.5703125" style="2" bestFit="1" customWidth="1"/>
    <col min="36" max="36" width="4.140625" style="2" bestFit="1" customWidth="1"/>
    <col min="37" max="37" width="7.5703125" style="2" bestFit="1" customWidth="1"/>
    <col min="38" max="38" width="25.5703125" style="2" bestFit="1" customWidth="1"/>
    <col min="39" max="39" width="7.42578125" style="2" bestFit="1" customWidth="1"/>
    <col min="40" max="40" width="5.140625" style="2" bestFit="1" customWidth="1"/>
    <col min="41" max="41" width="4.140625" style="2" bestFit="1" customWidth="1"/>
    <col min="42" max="42" width="7.85546875" style="2" bestFit="1" customWidth="1"/>
    <col min="43" max="16384" width="5.85546875" style="2"/>
  </cols>
  <sheetData>
    <row r="1" spans="1:42" x14ac:dyDescent="0.25">
      <c r="B1" s="17" t="s">
        <v>305</v>
      </c>
    </row>
    <row r="2" spans="1:42" s="1" customFormat="1" x14ac:dyDescent="0.25">
      <c r="A2" s="1" t="s">
        <v>98</v>
      </c>
      <c r="B2" s="1" t="s">
        <v>287</v>
      </c>
      <c r="C2" s="1" t="s">
        <v>0</v>
      </c>
      <c r="D2" s="1" t="s">
        <v>51</v>
      </c>
      <c r="E2" s="1" t="s">
        <v>87</v>
      </c>
      <c r="F2" s="1" t="s">
        <v>249</v>
      </c>
      <c r="H2" s="1" t="s">
        <v>98</v>
      </c>
      <c r="I2" s="1" t="s">
        <v>288</v>
      </c>
      <c r="J2" s="1" t="s">
        <v>0</v>
      </c>
      <c r="K2" s="1" t="s">
        <v>51</v>
      </c>
      <c r="L2" s="1" t="s">
        <v>87</v>
      </c>
      <c r="M2" s="1" t="s">
        <v>249</v>
      </c>
      <c r="O2" s="1" t="s">
        <v>98</v>
      </c>
      <c r="P2" s="1" t="s">
        <v>289</v>
      </c>
      <c r="Q2" s="1" t="s">
        <v>0</v>
      </c>
      <c r="R2" s="1" t="s">
        <v>51</v>
      </c>
      <c r="S2" s="1" t="s">
        <v>87</v>
      </c>
      <c r="T2" s="1" t="s">
        <v>249</v>
      </c>
      <c r="V2" s="1" t="s">
        <v>98</v>
      </c>
      <c r="W2" s="1" t="s">
        <v>290</v>
      </c>
      <c r="X2" s="1" t="s">
        <v>0</v>
      </c>
      <c r="Y2" s="1" t="s">
        <v>51</v>
      </c>
      <c r="Z2" s="1" t="s">
        <v>87</v>
      </c>
      <c r="AA2" s="1" t="s">
        <v>249</v>
      </c>
      <c r="AC2" s="1" t="s">
        <v>98</v>
      </c>
      <c r="AD2" s="1" t="s">
        <v>291</v>
      </c>
      <c r="AE2" s="1" t="s">
        <v>0</v>
      </c>
      <c r="AF2" s="1" t="s">
        <v>87</v>
      </c>
      <c r="AG2" s="1" t="s">
        <v>249</v>
      </c>
      <c r="AI2" s="1" t="s">
        <v>6</v>
      </c>
      <c r="AJ2" s="1" t="s">
        <v>98</v>
      </c>
      <c r="AK2" s="1" t="s">
        <v>307</v>
      </c>
      <c r="AL2" s="1" t="s">
        <v>0</v>
      </c>
      <c r="AM2" s="1" t="s">
        <v>306</v>
      </c>
      <c r="AN2" s="1" t="s">
        <v>51</v>
      </c>
      <c r="AO2" s="1" t="s">
        <v>87</v>
      </c>
      <c r="AP2" s="1" t="s">
        <v>249</v>
      </c>
    </row>
    <row r="3" spans="1:42" x14ac:dyDescent="0.25">
      <c r="A3" s="4">
        <f>IFERROR(RANK(TableQBCalcPts[[#This Row],[Custom]],TableQBCalcPts[Custom])+COUNTIF($F$3:F3,F3)-1,"")</f>
        <v>28</v>
      </c>
      <c r="B3" s="2">
        <v>1</v>
      </c>
      <c r="C3" s="2" t="str">
        <f>IFERROR(INDEX(TableQBMaster[Player],MATCH(TableQBCalcPts[[#This Row],[QBRef]],TableQBMaster[QBRef],0)),"")</f>
        <v>Jacoby Brissett</v>
      </c>
      <c r="D3" s="2" t="str">
        <f>IFERROR(INDEX(TableQBMaster[TM],MATCH(TableQBCalcPts[[#This Row],[QBRef]],TableQBMaster[QBRef],0)),"")</f>
        <v>ARI</v>
      </c>
      <c r="E3" s="2">
        <f>IFERROR(INDEX(TableQBMaster[BYE],MATCH(TableQBCalcPts[[#This Row],[QBRef]],TableQBMaster[QBRef],0)),"")</f>
        <v>14</v>
      </c>
      <c r="F3" s="3">
        <f>IFERROR(INDEX(TableQBMaster[Custom],MATCH(TableQBCalcPts[[#This Row],[QBRef]],TableQBMaster[QBRef],0)),"")</f>
        <v>311.67500095651786</v>
      </c>
      <c r="H3" s="2">
        <f>IFERROR(RANK(TableRBCalcPts[[#This Row],[Custom]],TableRBCalcPts[Custom])+COUNTIF($M$3:M3,M3)-1,"")</f>
        <v>18</v>
      </c>
      <c r="I3" s="2">
        <v>1</v>
      </c>
      <c r="J3" s="2" t="str">
        <f>IFERROR(INDEX(TableRBMaster[Player],MATCH(TableRBCalcPts[[#This Row],[RBRef]],TableRBMaster[RBRef],0)),"")</f>
        <v>Jeremiyah Love</v>
      </c>
      <c r="K3" s="2" t="str">
        <f>IFERROR(INDEX(TableRBMaster[TM],MATCH(TableRBCalcPts[[#This Row],[RBRef]],TableRBMaster[RBRef],0)),"")</f>
        <v>ARI</v>
      </c>
      <c r="L3" s="2">
        <f>IFERROR(INDEX(TableRBMaster[BYE],MATCH(TableRBCalcPts[[#This Row],[RBRef]],TableRBMaster[RBRef],0)),"")</f>
        <v>14</v>
      </c>
      <c r="M3" s="3">
        <f>IFERROR(INDEX(TableRBMaster[Custom],MATCH(TableRBCalcPts[[#This Row],[RBRef]],TableRBMaster[RBRef],0)),"")</f>
        <v>214.72193089157778</v>
      </c>
      <c r="O3" s="2">
        <f>IFERROR(RANK(TableWRCalcPts[[#This Row],[Custom]],TableWRCalcPts[Custom])+COUNTIF($T$3:T3,T3)-1,"")</f>
        <v>39</v>
      </c>
      <c r="P3" s="2">
        <v>1</v>
      </c>
      <c r="Q3" s="2" t="str">
        <f>IFERROR(INDEX(TableWRMaster[Player],MATCH(TableWRCalcPts[[#This Row],[WRRef]],TableWRMaster[WRRef],0)),"")</f>
        <v>Marvin Harrison</v>
      </c>
      <c r="R3" s="2" t="str">
        <f>IFERROR(INDEX(TableWRMaster[TM],MATCH(TableWRCalcPts[[#This Row],[WRRef]],TableWRMaster[WRRef],0)),"")</f>
        <v>ARI</v>
      </c>
      <c r="S3" s="2">
        <f>IFERROR(INDEX(TableWRMaster[BYE],MATCH(TableWRCalcPts[[#This Row],[WRRef]],TableWRMaster[WRRef],0)),"")</f>
        <v>14</v>
      </c>
      <c r="T3" s="3">
        <f>IFERROR(INDEX(TableWRMaster[Custom],MATCH(TableWRCalcPts[[#This Row],[WRRef]],TableWRMaster[WRRef],0)),"")</f>
        <v>159.00760212908483</v>
      </c>
      <c r="V3" s="2">
        <f>IFERROR(RANK(TableTECalcPts[[#This Row],[Custom]],TableTECalcPts[Custom])+COUNTIF($AA$3:AA3,AA3)-1,"")</f>
        <v>3</v>
      </c>
      <c r="W3" s="2">
        <v>1</v>
      </c>
      <c r="X3" s="2" t="str">
        <f>IFERROR(INDEX(TableTEMaster[Player],MATCH(TableTECalcPts[[#This Row],[TERef]],TableTEMaster[TERef],0)),"")</f>
        <v>Trey McBride</v>
      </c>
      <c r="Y3" s="2" t="str">
        <f>IFERROR(INDEX(TableTEMaster[TM],MATCH(TableTECalcPts[[#This Row],[TERef]],TableTEMaster[TERef],0)),"")</f>
        <v>ARI</v>
      </c>
      <c r="Z3" s="2">
        <f>IFERROR(INDEX(TableTEMaster[BYE],MATCH(TableTECalcPts[[#This Row],[TERef]],TableTEMaster[TERef],0)),"")</f>
        <v>14</v>
      </c>
      <c r="AA3" s="3">
        <f>IFERROR(INDEX(TableTEMaster[Custom],MATCH(TableTECalcPts[[#This Row],[TERef]],TableTEMaster[TERef],0)),"")</f>
        <v>183.17818580821358</v>
      </c>
      <c r="AC3" s="2">
        <f>IFERROR(RANK(TableDSTCalcPts[[#This Row],[Custom]],TableDSTCalcPts[Custom],0),"")</f>
        <v>31</v>
      </c>
      <c r="AD3" s="2">
        <v>1</v>
      </c>
      <c r="AE3" s="2" t="str">
        <f>IFERROR(INDEX(TableDSTMaster[Player],MATCH(TableDSTCalcPts[[#This Row],[DSTRef]],TableDSTMaster[DSTRef],0)),"")</f>
        <v>Arizona Cardinals</v>
      </c>
      <c r="AF3" s="2">
        <f>IFERROR(INDEX(TableDSTMaster[BYE],MATCH(TableDSTCalcPts[[#This Row],[DSTRef]],TableDSTMaster[DSTRef],0)),"")</f>
        <v>14</v>
      </c>
      <c r="AG3" s="3">
        <f>IFERROR(INDEX(TableDSTMaster[Custom],MATCH(TableDSTCalcPts[[#This Row],[DSTRef]],TableDSTMaster[DSTRef],0)),"")</f>
        <v>101.91904761904763</v>
      </c>
      <c r="AI3" s="2" t="s">
        <v>8</v>
      </c>
      <c r="AJ3" s="2">
        <f>IFERROR(RANK(TableWRTECalcPts[[#This Row],[Custom]],TableWRTECalcPts[Custom])+COUNTIF($AP$3:AP3,AP3)-1,"")</f>
        <v>31</v>
      </c>
      <c r="AK3" s="2">
        <v>1</v>
      </c>
      <c r="AL3" s="2" t="str">
        <f>IFERROR(INDEX(TableTEMaster[Player],MATCH(TableWRTECalcPts[[#This Row],[POSRef]],TableTEMaster[TERef],0)),"")</f>
        <v>Trey McBride</v>
      </c>
      <c r="AM3" s="2" t="str">
        <f>IFERROR(_xlfn.CONCAT(TableWRTECalcPts[[#This Row],[POS]],INDEX(TableTERanks[RK],MATCH(TableWRTECalcPts[[#This Row],[PLAYER]],TableTERanks[Player],0))),"")</f>
        <v>TE3</v>
      </c>
      <c r="AN3" s="2" t="str">
        <f>IFERROR(INDEX(TableTEMaster[TM],MATCH(TableWRTECalcPts[[#This Row],[POSRef]],TableTEMaster[TERef],0)),"")</f>
        <v>ARI</v>
      </c>
      <c r="AO3" s="2">
        <f>IFERROR(INDEX(TableTEMaster[BYE],MATCH(TableWRTECalcPts[[#This Row],[POSRef]],TableTEMaster[TERef],0)),"")</f>
        <v>14</v>
      </c>
      <c r="AP3" s="3">
        <f>IFERROR(INDEX(TableTEMaster[Custom],MATCH(TableWRTECalcPts[[#This Row],[POSRef]],TableTEMaster[TERef],0)),"")</f>
        <v>183.17818580821358</v>
      </c>
    </row>
    <row r="4" spans="1:42" x14ac:dyDescent="0.25">
      <c r="A4" s="4">
        <f>IFERROR(RANK(TableQBCalcPts[[#This Row],[Custom]],TableQBCalcPts[Custom])+COUNTIF($F$3:F4,F4)-1,"")</f>
        <v>55</v>
      </c>
      <c r="B4" s="2">
        <v>2</v>
      </c>
      <c r="C4" s="2" t="str">
        <f>IFERROR(INDEX(TableQBMaster[Player],MATCH(TableQBCalcPts[[#This Row],[QBRef]],TableQBMaster[QBRef],0)),"")</f>
        <v>Gardner Minshew</v>
      </c>
      <c r="D4" s="2" t="str">
        <f>IFERROR(INDEX(TableQBMaster[TM],MATCH(TableQBCalcPts[[#This Row],[QBRef]],TableQBMaster[QBRef],0)),"")</f>
        <v>ARI</v>
      </c>
      <c r="E4" s="2">
        <f>IFERROR(INDEX(TableQBMaster[BYE],MATCH(TableQBCalcPts[[#This Row],[QBRef]],TableQBMaster[QBRef],0)),"")</f>
        <v>14</v>
      </c>
      <c r="F4" s="3">
        <f>IFERROR(INDEX(TableQBMaster[Custom],MATCH(TableQBCalcPts[[#This Row],[QBRef]],TableQBMaster[QBRef],0)),"")</f>
        <v>6.7286604282314109</v>
      </c>
      <c r="H4" s="2">
        <f>IFERROR(RANK(TableRBCalcPts[[#This Row],[Custom]],TableRBCalcPts[Custom])+COUNTIF($M$3:M4,M4)-1,"")</f>
        <v>53</v>
      </c>
      <c r="I4" s="2">
        <v>2</v>
      </c>
      <c r="J4" s="2" t="str">
        <f>IFERROR(INDEX(TableRBMaster[Player],MATCH(TableRBCalcPts[[#This Row],[RBRef]],TableRBMaster[RBRef],0)),"")</f>
        <v>Tyler Allgeier</v>
      </c>
      <c r="K4" s="2" t="str">
        <f>IFERROR(INDEX(TableRBMaster[TM],MATCH(TableRBCalcPts[[#This Row],[RBRef]],TableRBMaster[RBRef],0)),"")</f>
        <v>ARI</v>
      </c>
      <c r="L4" s="2">
        <f>IFERROR(INDEX(TableRBMaster[BYE],MATCH(TableRBCalcPts[[#This Row],[RBRef]],TableRBMaster[RBRef],0)),"")</f>
        <v>14</v>
      </c>
      <c r="M4" s="3">
        <f>IFERROR(INDEX(TableRBMaster[Custom],MATCH(TableRBCalcPts[[#This Row],[RBRef]],TableRBMaster[RBRef],0)),"")</f>
        <v>80.229030693656966</v>
      </c>
      <c r="O4" s="2">
        <f>IFERROR(RANK(TableWRCalcPts[[#This Row],[Custom]],TableWRCalcPts[Custom])+COUNTIF($T$3:T4,T4)-1,"")</f>
        <v>48</v>
      </c>
      <c r="P4" s="2">
        <v>2</v>
      </c>
      <c r="Q4" s="2" t="str">
        <f>IFERROR(INDEX(TableWRMaster[Player],MATCH(TableWRCalcPts[[#This Row],[WRRef]],TableWRMaster[WRRef],0)),"")</f>
        <v>Michael Wilson</v>
      </c>
      <c r="R4" s="2" t="str">
        <f>IFERROR(INDEX(TableWRMaster[TM],MATCH(TableWRCalcPts[[#This Row],[WRRef]],TableWRMaster[WRRef],0)),"")</f>
        <v>ARI</v>
      </c>
      <c r="S4" s="2">
        <f>IFERROR(INDEX(TableWRMaster[BYE],MATCH(TableWRCalcPts[[#This Row],[WRRef]],TableWRMaster[WRRef],0)),"")</f>
        <v>14</v>
      </c>
      <c r="T4" s="3">
        <f>IFERROR(INDEX(TableWRMaster[Custom],MATCH(TableWRCalcPts[[#This Row],[WRRef]],TableWRMaster[WRRef],0)),"")</f>
        <v>143.41848778330626</v>
      </c>
      <c r="V4" s="2">
        <f>IFERROR(RANK(TableTECalcPts[[#This Row],[Custom]],TableTECalcPts[Custom])+COUNTIF($AA$3:AA4,AA4)-1,"")</f>
        <v>59</v>
      </c>
      <c r="W4" s="2">
        <v>2</v>
      </c>
      <c r="X4" s="2" t="str">
        <f>IFERROR(INDEX(TableTEMaster[Player],MATCH(TableTECalcPts[[#This Row],[TERef]],TableTEMaster[TERef],0)),"")</f>
        <v>Elijah Higgins</v>
      </c>
      <c r="Y4" s="2" t="str">
        <f>IFERROR(INDEX(TableTEMaster[TM],MATCH(TableTECalcPts[[#This Row],[TERef]],TableTEMaster[TERef],0)),"")</f>
        <v>ARI</v>
      </c>
      <c r="Z4" s="2">
        <f>IFERROR(INDEX(TableTEMaster[BYE],MATCH(TableTECalcPts[[#This Row],[TERef]],TableTEMaster[TERef],0)),"")</f>
        <v>14</v>
      </c>
      <c r="AA4" s="3">
        <f>IFERROR(INDEX(TableTEMaster[Custom],MATCH(TableTECalcPts[[#This Row],[TERef]],TableTEMaster[TERef],0)),"")</f>
        <v>20.467085864788103</v>
      </c>
      <c r="AC4" s="2">
        <f>IFERROR(RANK(TableDSTCalcPts[[#This Row],[Custom]],TableDSTCalcPts[Custom],0),"")</f>
        <v>11</v>
      </c>
      <c r="AD4" s="2">
        <v>2</v>
      </c>
      <c r="AE4" s="2" t="str">
        <f>IFERROR(INDEX(TableDSTMaster[Player],MATCH(TableDSTCalcPts[[#This Row],[DSTRef]],TableDSTMaster[DSTRef],0)),"")</f>
        <v>Atlanta Falcons</v>
      </c>
      <c r="AF4" s="2">
        <f>IFERROR(INDEX(TableDSTMaster[BYE],MATCH(TableDSTCalcPts[[#This Row],[DSTRef]],TableDSTMaster[DSTRef],0)),"")</f>
        <v>11</v>
      </c>
      <c r="AG4" s="3">
        <f>IFERROR(INDEX(TableDSTMaster[Custom],MATCH(TableDSTCalcPts[[#This Row],[DSTRef]],TableDSTMaster[DSTRef],0)),"")</f>
        <v>125.45</v>
      </c>
      <c r="AI4" s="2" t="s">
        <v>8</v>
      </c>
      <c r="AJ4" s="2">
        <f>IFERROR(RANK(TableWRTECalcPts[[#This Row],[Custom]],TableWRTECalcPts[Custom])+COUNTIF($AP$3:AP4,AP4)-1,"")</f>
        <v>187</v>
      </c>
      <c r="AK4" s="2">
        <v>2</v>
      </c>
      <c r="AL4" s="2" t="str">
        <f>IFERROR(INDEX(TableTEMaster[Player],MATCH(TableWRTECalcPts[[#This Row],[POSRef]],TableTEMaster[TERef],0)),"")</f>
        <v>Elijah Higgins</v>
      </c>
      <c r="AM4" s="2" t="str">
        <f>IFERROR(_xlfn.CONCAT(TableWRTECalcPts[[#This Row],[POS]],INDEX(TableTERanks[RK],MATCH(TableWRTECalcPts[[#This Row],[PLAYER]],TableTERanks[Player],0))),"")</f>
        <v>TE59</v>
      </c>
      <c r="AN4" s="2" t="str">
        <f>IFERROR(INDEX(TableTEMaster[TM],MATCH(TableWRTECalcPts[[#This Row],[POSRef]],TableTEMaster[TERef],0)),"")</f>
        <v>ARI</v>
      </c>
      <c r="AO4" s="2">
        <f>IFERROR(INDEX(TableTEMaster[BYE],MATCH(TableWRTECalcPts[[#This Row],[POSRef]],TableTEMaster[TERef],0)),"")</f>
        <v>14</v>
      </c>
      <c r="AP4" s="3">
        <f>IFERROR(INDEX(TableTEMaster[Custom],MATCH(TableWRTECalcPts[[#This Row],[POSRef]],TableTEMaster[TERef],0)),"")</f>
        <v>20.467085864788103</v>
      </c>
    </row>
    <row r="5" spans="1:42" x14ac:dyDescent="0.25">
      <c r="A5" s="4">
        <f>IFERROR(RANK(TableQBCalcPts[[#This Row],[Custom]],TableQBCalcPts[Custom])+COUNTIF($F$3:F5,F5)-1,"")</f>
        <v>37</v>
      </c>
      <c r="B5" s="2">
        <v>3</v>
      </c>
      <c r="C5" s="2" t="str">
        <f>IFERROR(INDEX(TableQBMaster[Player],MATCH(TableQBCalcPts[[#This Row],[QBRef]],TableQBMaster[QBRef],0)),"")</f>
        <v>Carson Beck</v>
      </c>
      <c r="D5" s="2" t="str">
        <f>IFERROR(INDEX(TableQBMaster[TM],MATCH(TableQBCalcPts[[#This Row],[QBRef]],TableQBMaster[QBRef],0)),"")</f>
        <v>ARI</v>
      </c>
      <c r="E5" s="2">
        <f>IFERROR(INDEX(TableQBMaster[BYE],MATCH(TableQBCalcPts[[#This Row],[QBRef]],TableQBMaster[QBRef],0)),"")</f>
        <v>14</v>
      </c>
      <c r="F5" s="3">
        <f>IFERROR(INDEX(TableQBMaster[Custom],MATCH(TableQBCalcPts[[#This Row],[QBRef]],TableQBMaster[QBRef],0)),"")</f>
        <v>22.154240727309414</v>
      </c>
      <c r="H5" s="2">
        <f>IFERROR(RANK(TableRBCalcPts[[#This Row],[Custom]],TableRBCalcPts[Custom])+COUNTIF($M$3:M5,M5)-1,"")</f>
        <v>75</v>
      </c>
      <c r="I5" s="2">
        <v>3</v>
      </c>
      <c r="J5" s="2" t="str">
        <f>IFERROR(INDEX(TableRBMaster[Player],MATCH(TableRBCalcPts[[#This Row],[RBRef]],TableRBMaster[RBRef],0)),"")</f>
        <v>Trey Benson</v>
      </c>
      <c r="K5" s="2" t="str">
        <f>IFERROR(INDEX(TableRBMaster[TM],MATCH(TableRBCalcPts[[#This Row],[RBRef]],TableRBMaster[RBRef],0)),"")</f>
        <v>ARI</v>
      </c>
      <c r="L5" s="2">
        <f>IFERROR(INDEX(TableRBMaster[BYE],MATCH(TableRBCalcPts[[#This Row],[RBRef]],TableRBMaster[RBRef],0)),"")</f>
        <v>14</v>
      </c>
      <c r="M5" s="3">
        <f>IFERROR(INDEX(TableRBMaster[Custom],MATCH(TableRBCalcPts[[#This Row],[RBRef]],TableRBMaster[RBRef],0)),"")</f>
        <v>35.444868379199995</v>
      </c>
      <c r="O5" s="2">
        <f>IFERROR(RANK(TableWRCalcPts[[#This Row],[Custom]],TableWRCalcPts[Custom])+COUNTIF($T$3:T5,T5)-1,"")</f>
        <v>96</v>
      </c>
      <c r="P5" s="2">
        <v>3</v>
      </c>
      <c r="Q5" s="2" t="str">
        <f>IFERROR(INDEX(TableWRMaster[Player],MATCH(TableWRCalcPts[[#This Row],[WRRef]],TableWRMaster[WRRef],0)),"")</f>
        <v>Kendrick Bourne</v>
      </c>
      <c r="R5" s="2" t="str">
        <f>IFERROR(INDEX(TableWRMaster[TM],MATCH(TableWRCalcPts[[#This Row],[WRRef]],TableWRMaster[WRRef],0)),"")</f>
        <v>ARI</v>
      </c>
      <c r="S5" s="2">
        <f>IFERROR(INDEX(TableWRMaster[BYE],MATCH(TableWRCalcPts[[#This Row],[WRRef]],TableWRMaster[WRRef],0)),"")</f>
        <v>14</v>
      </c>
      <c r="T5" s="3">
        <f>IFERROR(INDEX(TableWRMaster[Custom],MATCH(TableWRCalcPts[[#This Row],[WRRef]],TableWRMaster[WRRef],0)),"")</f>
        <v>53.352890943744001</v>
      </c>
      <c r="V5" s="2">
        <f>IFERROR(RANK(TableTECalcPts[[#This Row],[Custom]],TableTECalcPts[Custom])+COUNTIF($AA$3:AA5,AA5)-1,"")</f>
        <v>81</v>
      </c>
      <c r="W5" s="2">
        <v>3</v>
      </c>
      <c r="X5" s="2" t="str">
        <f>IFERROR(INDEX(TableTEMaster[Player],MATCH(TableTECalcPts[[#This Row],[TERef]],TableTEMaster[TERef],0)),"")</f>
        <v>Tip Reiman</v>
      </c>
      <c r="Y5" s="2" t="str">
        <f>IFERROR(INDEX(TableTEMaster[TM],MATCH(TableTECalcPts[[#This Row],[TERef]],TableTEMaster[TERef],0)),"")</f>
        <v>ARI</v>
      </c>
      <c r="Z5" s="2">
        <f>IFERROR(INDEX(TableTEMaster[BYE],MATCH(TableTECalcPts[[#This Row],[TERef]],TableTEMaster[TERef],0)),"")</f>
        <v>14</v>
      </c>
      <c r="AA5" s="3">
        <f>IFERROR(INDEX(TableTEMaster[Custom],MATCH(TableTECalcPts[[#This Row],[TERef]],TableTEMaster[TERef],0)),"")</f>
        <v>3.1609387125002493</v>
      </c>
      <c r="AC5" s="2">
        <f>IFERROR(RANK(TableDSTCalcPts[[#This Row],[Custom]],TableDSTCalcPts[Custom],0),"")</f>
        <v>13</v>
      </c>
      <c r="AD5" s="2">
        <v>3</v>
      </c>
      <c r="AE5" s="2" t="str">
        <f>IFERROR(INDEX(TableDSTMaster[Player],MATCH(TableDSTCalcPts[[#This Row],[DSTRef]],TableDSTMaster[DSTRef],0)),"")</f>
        <v>Baltimore Ravens</v>
      </c>
      <c r="AF5" s="2">
        <f>IFERROR(INDEX(TableDSTMaster[BYE],MATCH(TableDSTCalcPts[[#This Row],[DSTRef]],TableDSTMaster[DSTRef],0)),"")</f>
        <v>13</v>
      </c>
      <c r="AG5" s="3">
        <f>IFERROR(INDEX(TableDSTMaster[Custom],MATCH(TableDSTCalcPts[[#This Row],[DSTRef]],TableDSTMaster[DSTRef],0)),"")</f>
        <v>121.13571428571429</v>
      </c>
      <c r="AI5" s="2" t="s">
        <v>8</v>
      </c>
      <c r="AJ5" s="2">
        <f>IFERROR(RANK(TableWRTECalcPts[[#This Row],[Custom]],TableWRTECalcPts[Custom])+COUNTIF($AP$3:AP5,AP5)-1,"")</f>
        <v>260</v>
      </c>
      <c r="AK5" s="2">
        <v>3</v>
      </c>
      <c r="AL5" s="2" t="str">
        <f>IFERROR(INDEX(TableTEMaster[Player],MATCH(TableWRTECalcPts[[#This Row],[POSRef]],TableTEMaster[TERef],0)),"")</f>
        <v>Tip Reiman</v>
      </c>
      <c r="AM5" s="2" t="str">
        <f>IFERROR(_xlfn.CONCAT(TableWRTECalcPts[[#This Row],[POS]],INDEX(TableTERanks[RK],MATCH(TableWRTECalcPts[[#This Row],[PLAYER]],TableTERanks[Player],0))),"")</f>
        <v>TE81</v>
      </c>
      <c r="AN5" s="2" t="str">
        <f>IFERROR(INDEX(TableTEMaster[TM],MATCH(TableWRTECalcPts[[#This Row],[POSRef]],TableTEMaster[TERef],0)),"")</f>
        <v>ARI</v>
      </c>
      <c r="AO5" s="2">
        <f>IFERROR(INDEX(TableTEMaster[BYE],MATCH(TableWRTECalcPts[[#This Row],[POSRef]],TableTEMaster[TERef],0)),"")</f>
        <v>14</v>
      </c>
      <c r="AP5" s="3">
        <f>IFERROR(INDEX(TableTEMaster[Custom],MATCH(TableWRTECalcPts[[#This Row],[POSRef]],TableTEMaster[TERef],0)),"")</f>
        <v>3.1609387125002493</v>
      </c>
    </row>
    <row r="6" spans="1:42" x14ac:dyDescent="0.25">
      <c r="A6" s="4">
        <f>IFERROR(RANK(TableQBCalcPts[[#This Row],[Custom]],TableQBCalcPts[Custom])+COUNTIF($F$3:F6,F6)-1,"")</f>
        <v>30</v>
      </c>
      <c r="B6" s="2">
        <v>4</v>
      </c>
      <c r="C6" s="2" t="str">
        <f>IFERROR(INDEX(TableQBMaster[Player],MATCH(TableQBCalcPts[[#This Row],[QBRef]],TableQBMaster[QBRef],0)),"")</f>
        <v>Tua Tagovailoa</v>
      </c>
      <c r="D6" s="2" t="str">
        <f>IFERROR(INDEX(TableQBMaster[TM],MATCH(TableQBCalcPts[[#This Row],[QBRef]],TableQBMaster[QBRef],0)),"")</f>
        <v>ATL</v>
      </c>
      <c r="E6" s="2">
        <f>IFERROR(INDEX(TableQBMaster[BYE],MATCH(TableQBCalcPts[[#This Row],[QBRef]],TableQBMaster[QBRef],0)),"")</f>
        <v>11</v>
      </c>
      <c r="F6" s="3">
        <f>IFERROR(INDEX(TableQBMaster[Custom],MATCH(TableQBCalcPts[[#This Row],[QBRef]],TableQBMaster[QBRef],0)),"")</f>
        <v>304.17290688650468</v>
      </c>
      <c r="H6" s="2">
        <f>IFERROR(RANK(TableRBCalcPts[[#This Row],[Custom]],TableRBCalcPts[Custom])+COUNTIF($M$3:M6,M6)-1,"")</f>
        <v>96</v>
      </c>
      <c r="I6" s="2">
        <v>4</v>
      </c>
      <c r="J6" s="2" t="str">
        <f>IFERROR(INDEX(TableRBMaster[Player],MATCH(TableRBCalcPts[[#This Row],[RBRef]],TableRBMaster[RBRef],0)),"")</f>
        <v>James Conner</v>
      </c>
      <c r="K6" s="2" t="str">
        <f>IFERROR(INDEX(TableRBMaster[TM],MATCH(TableRBCalcPts[[#This Row],[RBRef]],TableRBMaster[RBRef],0)),"")</f>
        <v>ARI</v>
      </c>
      <c r="L6" s="2">
        <f>IFERROR(INDEX(TableRBMaster[BYE],MATCH(TableRBCalcPts[[#This Row],[RBRef]],TableRBMaster[RBRef],0)),"")</f>
        <v>14</v>
      </c>
      <c r="M6" s="3">
        <f>IFERROR(INDEX(TableRBMaster[Custom],MATCH(TableRBCalcPts[[#This Row],[RBRef]],TableRBMaster[RBRef],0)),"")</f>
        <v>13.772880264725597</v>
      </c>
      <c r="O6" s="2">
        <f>IFERROR(RANK(TableWRCalcPts[[#This Row],[Custom]],TableWRCalcPts[Custom])+COUNTIF($T$3:T6,T6)-1,"")</f>
        <v>157</v>
      </c>
      <c r="P6" s="2">
        <v>4</v>
      </c>
      <c r="Q6" s="2" t="str">
        <f>IFERROR(INDEX(TableWRMaster[Player],MATCH(TableWRCalcPts[[#This Row],[WRRef]],TableWRMaster[WRRef],0)),"")</f>
        <v>Reggie Virgil</v>
      </c>
      <c r="R6" s="2" t="str">
        <f>IFERROR(INDEX(TableWRMaster[TM],MATCH(TableWRCalcPts[[#This Row],[WRRef]],TableWRMaster[WRRef],0)),"")</f>
        <v>ARI</v>
      </c>
      <c r="S6" s="2">
        <f>IFERROR(INDEX(TableWRMaster[BYE],MATCH(TableWRCalcPts[[#This Row],[WRRef]],TableWRMaster[WRRef],0)),"")</f>
        <v>14</v>
      </c>
      <c r="T6" s="3">
        <f>IFERROR(INDEX(TableWRMaster[Custom],MATCH(TableWRCalcPts[[#This Row],[WRRef]],TableWRMaster[WRRef],0)),"")</f>
        <v>7.6309495955056024</v>
      </c>
      <c r="V6" s="2">
        <f>IFERROR(RANK(TableTECalcPts[[#This Row],[Custom]],TableTECalcPts[Custom])+COUNTIF($AA$3:AA6,AA6)-1,"")</f>
        <v>11</v>
      </c>
      <c r="W6" s="2">
        <v>4</v>
      </c>
      <c r="X6" s="2" t="str">
        <f>IFERROR(INDEX(TableTEMaster[Player],MATCH(TableTECalcPts[[#This Row],[TERef]],TableTEMaster[TERef],0)),"")</f>
        <v>Kyle Pitts</v>
      </c>
      <c r="Y6" s="2" t="str">
        <f>IFERROR(INDEX(TableTEMaster[TM],MATCH(TableTECalcPts[[#This Row],[TERef]],TableTEMaster[TERef],0)),"")</f>
        <v>ATL</v>
      </c>
      <c r="Z6" s="2">
        <f>IFERROR(INDEX(TableTEMaster[BYE],MATCH(TableTECalcPts[[#This Row],[TERef]],TableTEMaster[TERef],0)),"")</f>
        <v>11</v>
      </c>
      <c r="AA6" s="3">
        <f>IFERROR(INDEX(TableTEMaster[Custom],MATCH(TableTECalcPts[[#This Row],[TERef]],TableTEMaster[TERef],0)),"")</f>
        <v>141.2363715822917</v>
      </c>
      <c r="AC6" s="2">
        <f>IFERROR(RANK(TableDSTCalcPts[[#This Row],[Custom]],TableDSTCalcPts[Custom],0),"")</f>
        <v>14</v>
      </c>
      <c r="AD6" s="2">
        <v>4</v>
      </c>
      <c r="AE6" s="2" t="str">
        <f>IFERROR(INDEX(TableDSTMaster[Player],MATCH(TableDSTCalcPts[[#This Row],[DSTRef]],TableDSTMaster[DSTRef],0)),"")</f>
        <v>Buffalo Bills</v>
      </c>
      <c r="AF6" s="2">
        <f>IFERROR(INDEX(TableDSTMaster[BYE],MATCH(TableDSTCalcPts[[#This Row],[DSTRef]],TableDSTMaster[DSTRef],0)),"")</f>
        <v>7</v>
      </c>
      <c r="AG6" s="3">
        <f>IFERROR(INDEX(TableDSTMaster[Custom],MATCH(TableDSTCalcPts[[#This Row],[DSTRef]],TableDSTMaster[DSTRef],0)),"")</f>
        <v>120.82857142857142</v>
      </c>
      <c r="AI6" s="2" t="s">
        <v>8</v>
      </c>
      <c r="AJ6" s="2">
        <f>IFERROR(RANK(TableWRTECalcPts[[#This Row],[Custom]],TableWRTECalcPts[Custom])+COUNTIF($AP$3:AP6,AP6)-1,"")</f>
        <v>60</v>
      </c>
      <c r="AK6" s="2">
        <v>4</v>
      </c>
      <c r="AL6" s="2" t="str">
        <f>IFERROR(INDEX(TableTEMaster[Player],MATCH(TableWRTECalcPts[[#This Row],[POSRef]],TableTEMaster[TERef],0)),"")</f>
        <v>Kyle Pitts</v>
      </c>
      <c r="AM6" s="2" t="str">
        <f>IFERROR(_xlfn.CONCAT(TableWRTECalcPts[[#This Row],[POS]],INDEX(TableTERanks[RK],MATCH(TableWRTECalcPts[[#This Row],[PLAYER]],TableTERanks[Player],0))),"")</f>
        <v>TE11</v>
      </c>
      <c r="AN6" s="2" t="str">
        <f>IFERROR(INDEX(TableTEMaster[TM],MATCH(TableWRTECalcPts[[#This Row],[POSRef]],TableTEMaster[TERef],0)),"")</f>
        <v>ATL</v>
      </c>
      <c r="AO6" s="2">
        <f>IFERROR(INDEX(TableTEMaster[BYE],MATCH(TableWRTECalcPts[[#This Row],[POSRef]],TableTEMaster[TERef],0)),"")</f>
        <v>11</v>
      </c>
      <c r="AP6" s="3">
        <f>IFERROR(INDEX(TableTEMaster[Custom],MATCH(TableWRTECalcPts[[#This Row],[POSRef]],TableTEMaster[TERef],0)),"")</f>
        <v>141.2363715822917</v>
      </c>
    </row>
    <row r="7" spans="1:42" x14ac:dyDescent="0.25">
      <c r="A7" s="4">
        <f>IFERROR(RANK(TableQBCalcPts[[#This Row],[Custom]],TableQBCalcPts[Custom])+COUNTIF($F$3:F7,F7)-1,"")</f>
        <v>35</v>
      </c>
      <c r="B7" s="2">
        <v>5</v>
      </c>
      <c r="C7" s="2" t="str">
        <f>IFERROR(INDEX(TableQBMaster[Player],MATCH(TableQBCalcPts[[#This Row],[QBRef]],TableQBMaster[QBRef],0)),"")</f>
        <v>Michael Penix</v>
      </c>
      <c r="D7" s="2" t="str">
        <f>IFERROR(INDEX(TableQBMaster[TM],MATCH(TableQBCalcPts[[#This Row],[QBRef]],TableQBMaster[QBRef],0)),"")</f>
        <v>ATL</v>
      </c>
      <c r="E7" s="2">
        <f>IFERROR(INDEX(TableQBMaster[BYE],MATCH(TableQBCalcPts[[#This Row],[QBRef]],TableQBMaster[QBRef],0)),"")</f>
        <v>11</v>
      </c>
      <c r="F7" s="3">
        <f>IFERROR(INDEX(TableQBMaster[Custom],MATCH(TableQBCalcPts[[#This Row],[QBRef]],TableQBMaster[QBRef],0)),"")</f>
        <v>41.951258611673893</v>
      </c>
      <c r="H7" s="2">
        <f>IFERROR(RANK(TableRBCalcPts[[#This Row],[Custom]],TableRBCalcPts[Custom])+COUNTIF($M$3:M7,M7)-1,"")</f>
        <v>2</v>
      </c>
      <c r="I7" s="2">
        <v>5</v>
      </c>
      <c r="J7" s="2" t="str">
        <f>IFERROR(INDEX(TableRBMaster[Player],MATCH(TableRBCalcPts[[#This Row],[RBRef]],TableRBMaster[RBRef],0)),"")</f>
        <v>Bijan Robinson</v>
      </c>
      <c r="K7" s="2" t="str">
        <f>IFERROR(INDEX(TableRBMaster[TM],MATCH(TableRBCalcPts[[#This Row],[RBRef]],TableRBMaster[RBRef],0)),"")</f>
        <v>ATL</v>
      </c>
      <c r="L7" s="2">
        <f>IFERROR(INDEX(TableRBMaster[BYE],MATCH(TableRBCalcPts[[#This Row],[RBRef]],TableRBMaster[RBRef],0)),"")</f>
        <v>11</v>
      </c>
      <c r="M7" s="3">
        <f>IFERROR(INDEX(TableRBMaster[Custom],MATCH(TableRBCalcPts[[#This Row],[RBRef]],TableRBMaster[RBRef],0)),"")</f>
        <v>322.90400469051792</v>
      </c>
      <c r="O7" s="2">
        <f>IFERROR(RANK(TableWRCalcPts[[#This Row],[Custom]],TableWRCalcPts[Custom])+COUNTIF($T$3:T7,T7)-1,"")</f>
        <v>173</v>
      </c>
      <c r="P7" s="2">
        <v>5</v>
      </c>
      <c r="Q7" s="2" t="str">
        <f>IFERROR(INDEX(TableWRMaster[Player],MATCH(TableWRCalcPts[[#This Row],[WRRef]],TableWRMaster[WRRef],0)),"")</f>
        <v>Devin Duvernay</v>
      </c>
      <c r="R7" s="2" t="str">
        <f>IFERROR(INDEX(TableWRMaster[TM],MATCH(TableWRCalcPts[[#This Row],[WRRef]],TableWRMaster[WRRef],0)),"")</f>
        <v>ARI</v>
      </c>
      <c r="S7" s="2">
        <f>IFERROR(INDEX(TableWRMaster[BYE],MATCH(TableWRCalcPts[[#This Row],[WRRef]],TableWRMaster[WRRef],0)),"")</f>
        <v>14</v>
      </c>
      <c r="T7" s="3">
        <f>IFERROR(INDEX(TableWRMaster[Custom],MATCH(TableWRCalcPts[[#This Row],[WRRef]],TableWRMaster[WRRef],0)),"")</f>
        <v>5.4590765981733336</v>
      </c>
      <c r="V7" s="2">
        <f>IFERROR(RANK(TableTECalcPts[[#This Row],[Custom]],TableTECalcPts[Custom])+COUNTIF($AA$3:AA7,AA7)-1,"")</f>
        <v>46</v>
      </c>
      <c r="W7" s="2">
        <v>5</v>
      </c>
      <c r="X7" s="2" t="str">
        <f>IFERROR(INDEX(TableTEMaster[Player],MATCH(TableTECalcPts[[#This Row],[TERef]],TableTEMaster[TERef],0)),"")</f>
        <v>Austin Hooper</v>
      </c>
      <c r="Y7" s="2" t="str">
        <f>IFERROR(INDEX(TableTEMaster[TM],MATCH(TableTECalcPts[[#This Row],[TERef]],TableTEMaster[TERef],0)),"")</f>
        <v>ATL</v>
      </c>
      <c r="Z7" s="2">
        <f>IFERROR(INDEX(TableTEMaster[BYE],MATCH(TableTECalcPts[[#This Row],[TERef]],TableTEMaster[TERef],0)),"")</f>
        <v>11</v>
      </c>
      <c r="AA7" s="3">
        <f>IFERROR(INDEX(TableTEMaster[Custom],MATCH(TableTECalcPts[[#This Row],[TERef]],TableTEMaster[TERef],0)),"")</f>
        <v>33.184453283020098</v>
      </c>
      <c r="AC7" s="2">
        <f>IFERROR(RANK(TableDSTCalcPts[[#This Row],[Custom]],TableDSTCalcPts[Custom],0),"")</f>
        <v>29</v>
      </c>
      <c r="AD7" s="2">
        <v>5</v>
      </c>
      <c r="AE7" s="2" t="str">
        <f>IFERROR(INDEX(TableDSTMaster[Player],MATCH(TableDSTCalcPts[[#This Row],[DSTRef]],TableDSTMaster[DSTRef],0)),"")</f>
        <v>Carolina Panthers</v>
      </c>
      <c r="AF7" s="2">
        <f>IFERROR(INDEX(TableDSTMaster[BYE],MATCH(TableDSTCalcPts[[#This Row],[DSTRef]],TableDSTMaster[DSTRef],0)),"")</f>
        <v>5</v>
      </c>
      <c r="AG7" s="3">
        <f>IFERROR(INDEX(TableDSTMaster[Custom],MATCH(TableDSTCalcPts[[#This Row],[DSTRef]],TableDSTMaster[DSTRef],0)),"")</f>
        <v>104.10714285714286</v>
      </c>
      <c r="AI7" s="2" t="s">
        <v>8</v>
      </c>
      <c r="AJ7" s="2">
        <f>IFERROR(RANK(TableWRTECalcPts[[#This Row],[Custom]],TableWRTECalcPts[Custom])+COUNTIF($AP$3:AP7,AP7)-1,"")</f>
        <v>165</v>
      </c>
      <c r="AK7" s="2">
        <v>5</v>
      </c>
      <c r="AL7" s="2" t="str">
        <f>IFERROR(INDEX(TableTEMaster[Player],MATCH(TableWRTECalcPts[[#This Row],[POSRef]],TableTEMaster[TERef],0)),"")</f>
        <v>Austin Hooper</v>
      </c>
      <c r="AM7" s="2" t="str">
        <f>IFERROR(_xlfn.CONCAT(TableWRTECalcPts[[#This Row],[POS]],INDEX(TableTERanks[RK],MATCH(TableWRTECalcPts[[#This Row],[PLAYER]],TableTERanks[Player],0))),"")</f>
        <v>TE46</v>
      </c>
      <c r="AN7" s="2" t="str">
        <f>IFERROR(INDEX(TableTEMaster[TM],MATCH(TableWRTECalcPts[[#This Row],[POSRef]],TableTEMaster[TERef],0)),"")</f>
        <v>ATL</v>
      </c>
      <c r="AO7" s="2">
        <f>IFERROR(INDEX(TableTEMaster[BYE],MATCH(TableWRTECalcPts[[#This Row],[POSRef]],TableTEMaster[TERef],0)),"")</f>
        <v>11</v>
      </c>
      <c r="AP7" s="3">
        <f>IFERROR(INDEX(TableTEMaster[Custom],MATCH(TableWRTECalcPts[[#This Row],[POSRef]],TableTEMaster[TERef],0)),"")</f>
        <v>33.184453283020098</v>
      </c>
    </row>
    <row r="8" spans="1:42" x14ac:dyDescent="0.25">
      <c r="A8" s="4">
        <f>IFERROR(RANK(TableQBCalcPts[[#This Row],[Custom]],TableQBCalcPts[Custom])+COUNTIF($F$3:F8,F8)-1,"")</f>
        <v>4</v>
      </c>
      <c r="B8" s="2">
        <v>6</v>
      </c>
      <c r="C8" s="2" t="str">
        <f>IFERROR(INDEX(TableQBMaster[Player],MATCH(TableQBCalcPts[[#This Row],[QBRef]],TableQBMaster[QBRef],0)),"")</f>
        <v>Lamar Jackson</v>
      </c>
      <c r="D8" s="2" t="str">
        <f>IFERROR(INDEX(TableQBMaster[TM],MATCH(TableQBCalcPts[[#This Row],[QBRef]],TableQBMaster[QBRef],0)),"")</f>
        <v>BAL</v>
      </c>
      <c r="E8" s="2">
        <f>IFERROR(INDEX(TableQBMaster[BYE],MATCH(TableQBCalcPts[[#This Row],[QBRef]],TableQBMaster[QBRef],0)),"")</f>
        <v>13</v>
      </c>
      <c r="F8" s="3">
        <f>IFERROR(INDEX(TableQBMaster[Custom],MATCH(TableQBCalcPts[[#This Row],[QBRef]],TableQBMaster[QBRef],0)),"")</f>
        <v>425.38038576336101</v>
      </c>
      <c r="H8" s="2">
        <f>IFERROR(RANK(TableRBCalcPts[[#This Row],[Custom]],TableRBCalcPts[Custom])+COUNTIF($M$3:M8,M8)-1,"")</f>
        <v>52</v>
      </c>
      <c r="I8" s="2">
        <v>6</v>
      </c>
      <c r="J8" s="2" t="str">
        <f>IFERROR(INDEX(TableRBMaster[Player],MATCH(TableRBCalcPts[[#This Row],[RBRef]],TableRBMaster[RBRef],0)),"")</f>
        <v>Brian Robinson</v>
      </c>
      <c r="K8" s="2" t="str">
        <f>IFERROR(INDEX(TableRBMaster[TM],MATCH(TableRBCalcPts[[#This Row],[RBRef]],TableRBMaster[RBRef],0)),"")</f>
        <v>ATL</v>
      </c>
      <c r="L8" s="2">
        <f>IFERROR(INDEX(TableRBMaster[BYE],MATCH(TableRBCalcPts[[#This Row],[RBRef]],TableRBMaster[RBRef],0)),"")</f>
        <v>11</v>
      </c>
      <c r="M8" s="3">
        <f>IFERROR(INDEX(TableRBMaster[Custom],MATCH(TableRBCalcPts[[#This Row],[RBRef]],TableRBMaster[RBRef],0)),"")</f>
        <v>85.334523724566836</v>
      </c>
      <c r="O8" s="2">
        <f>IFERROR(RANK(TableWRCalcPts[[#This Row],[Custom]],TableWRCalcPts[Custom])+COUNTIF($T$3:T8,T8)-1,"")</f>
        <v>180</v>
      </c>
      <c r="P8" s="2">
        <v>6</v>
      </c>
      <c r="Q8" s="2" t="str">
        <f>IFERROR(INDEX(TableWRMaster[Player],MATCH(TableWRCalcPts[[#This Row],[WRRef]],TableWRMaster[WRRef],0)),"")</f>
        <v>Xavier Weaver</v>
      </c>
      <c r="R8" s="2" t="str">
        <f>IFERROR(INDEX(TableWRMaster[TM],MATCH(TableWRCalcPts[[#This Row],[WRRef]],TableWRMaster[WRRef],0)),"")</f>
        <v>ARI</v>
      </c>
      <c r="S8" s="2">
        <f>IFERROR(INDEX(TableWRMaster[BYE],MATCH(TableWRCalcPts[[#This Row],[WRRef]],TableWRMaster[WRRef],0)),"")</f>
        <v>14</v>
      </c>
      <c r="T8" s="3">
        <f>IFERROR(INDEX(TableWRMaster[Custom],MATCH(TableWRCalcPts[[#This Row],[WRRef]],TableWRMaster[WRRef],0)),"")</f>
        <v>3.0454781350000002</v>
      </c>
      <c r="V8" s="2">
        <f>IFERROR(RANK(TableTECalcPts[[#This Row],[Custom]],TableTECalcPts[Custom])+COUNTIF($AA$3:AA8,AA8)-1,"")</f>
        <v>77</v>
      </c>
      <c r="W8" s="2">
        <v>6</v>
      </c>
      <c r="X8" s="2" t="str">
        <f>IFERROR(INDEX(TableTEMaster[Player],MATCH(TableTECalcPts[[#This Row],[TERef]],TableTEMaster[TERef],0)),"")</f>
        <v>Charlie Woerner</v>
      </c>
      <c r="Y8" s="2" t="str">
        <f>IFERROR(INDEX(TableTEMaster[TM],MATCH(TableTECalcPts[[#This Row],[TERef]],TableTEMaster[TERef],0)),"")</f>
        <v>ATL</v>
      </c>
      <c r="Z8" s="2">
        <f>IFERROR(INDEX(TableTEMaster[BYE],MATCH(TableTECalcPts[[#This Row],[TERef]],TableTEMaster[TERef],0)),"")</f>
        <v>11</v>
      </c>
      <c r="AA8" s="3">
        <f>IFERROR(INDEX(TableTEMaster[Custom],MATCH(TableTECalcPts[[#This Row],[TERef]],TableTEMaster[TERef],0)),"")</f>
        <v>6.9441723627850118</v>
      </c>
      <c r="AC8" s="2">
        <f>IFERROR(RANK(TableDSTCalcPts[[#This Row],[Custom]],TableDSTCalcPts[Custom],0),"")</f>
        <v>7</v>
      </c>
      <c r="AD8" s="2">
        <v>6</v>
      </c>
      <c r="AE8" s="2" t="str">
        <f>IFERROR(INDEX(TableDSTMaster[Player],MATCH(TableDSTCalcPts[[#This Row],[DSTRef]],TableDSTMaster[DSTRef],0)),"")</f>
        <v>Chicago Bears</v>
      </c>
      <c r="AF8" s="2">
        <f>IFERROR(INDEX(TableDSTMaster[BYE],MATCH(TableDSTCalcPts[[#This Row],[DSTRef]],TableDSTMaster[DSTRef],0)),"")</f>
        <v>10</v>
      </c>
      <c r="AG8" s="3">
        <f>IFERROR(INDEX(TableDSTMaster[Custom],MATCH(TableDSTCalcPts[[#This Row],[DSTRef]],TableDSTMaster[DSTRef],0)),"")</f>
        <v>129.67380952380952</v>
      </c>
      <c r="AI8" s="2" t="s">
        <v>8</v>
      </c>
      <c r="AJ8" s="2">
        <f>IFERROR(RANK(TableWRTECalcPts[[#This Row],[Custom]],TableWRTECalcPts[Custom])+COUNTIF($AP$3:AP8,AP8)-1,"")</f>
        <v>239</v>
      </c>
      <c r="AK8" s="2">
        <v>6</v>
      </c>
      <c r="AL8" s="2" t="str">
        <f>IFERROR(INDEX(TableTEMaster[Player],MATCH(TableWRTECalcPts[[#This Row],[POSRef]],TableTEMaster[TERef],0)),"")</f>
        <v>Charlie Woerner</v>
      </c>
      <c r="AM8" s="2" t="str">
        <f>IFERROR(_xlfn.CONCAT(TableWRTECalcPts[[#This Row],[POS]],INDEX(TableTERanks[RK],MATCH(TableWRTECalcPts[[#This Row],[PLAYER]],TableTERanks[Player],0))),"")</f>
        <v>TE77</v>
      </c>
      <c r="AN8" s="2" t="str">
        <f>IFERROR(INDEX(TableTEMaster[TM],MATCH(TableWRTECalcPts[[#This Row],[POSRef]],TableTEMaster[TERef],0)),"")</f>
        <v>ATL</v>
      </c>
      <c r="AO8" s="2">
        <f>IFERROR(INDEX(TableTEMaster[BYE],MATCH(TableWRTECalcPts[[#This Row],[POSRef]],TableTEMaster[TERef],0)),"")</f>
        <v>11</v>
      </c>
      <c r="AP8" s="3">
        <f>IFERROR(INDEX(TableTEMaster[Custom],MATCH(TableWRTECalcPts[[#This Row],[POSRef]],TableTEMaster[TERef],0)),"")</f>
        <v>6.9441723627850118</v>
      </c>
    </row>
    <row r="9" spans="1:42" x14ac:dyDescent="0.25">
      <c r="A9" s="4">
        <f>IFERROR(RANK(TableQBCalcPts[[#This Row],[Custom]],TableQBCalcPts[Custom])+COUNTIF($F$3:F9,F9)-1,"")</f>
        <v>41</v>
      </c>
      <c r="B9" s="2">
        <v>7</v>
      </c>
      <c r="C9" s="2" t="str">
        <f>IFERROR(INDEX(TableQBMaster[Player],MATCH(TableQBCalcPts[[#This Row],[QBRef]],TableQBMaster[QBRef],0)),"")</f>
        <v>Tyler Huntley</v>
      </c>
      <c r="D9" s="2" t="str">
        <f>IFERROR(INDEX(TableQBMaster[TM],MATCH(TableQBCalcPts[[#This Row],[QBRef]],TableQBMaster[QBRef],0)),"")</f>
        <v>BAL</v>
      </c>
      <c r="E9" s="2">
        <f>IFERROR(INDEX(TableQBMaster[BYE],MATCH(TableQBCalcPts[[#This Row],[QBRef]],TableQBMaster[QBRef],0)),"")</f>
        <v>13</v>
      </c>
      <c r="F9" s="3">
        <f>IFERROR(INDEX(TableQBMaster[Custom],MATCH(TableQBCalcPts[[#This Row],[QBRef]],TableQBMaster[QBRef],0)),"")</f>
        <v>17.862362923229476</v>
      </c>
      <c r="H9" s="2">
        <f>IFERROR(RANK(TableRBCalcPts[[#This Row],[Custom]],TableRBCalcPts[Custom])+COUNTIF($M$3:M9,M9)-1,"")</f>
        <v>91</v>
      </c>
      <c r="I9" s="2">
        <v>7</v>
      </c>
      <c r="J9" s="2" t="str">
        <f>IFERROR(INDEX(TableRBMaster[Player],MATCH(TableRBCalcPts[[#This Row],[RBRef]],TableRBMaster[RBRef],0)),"")</f>
        <v>Tyler Goodson</v>
      </c>
      <c r="K9" s="2" t="str">
        <f>IFERROR(INDEX(TableRBMaster[TM],MATCH(TableRBCalcPts[[#This Row],[RBRef]],TableRBMaster[RBRef],0)),"")</f>
        <v>ATL</v>
      </c>
      <c r="L9" s="2">
        <f>IFERROR(INDEX(TableRBMaster[BYE],MATCH(TableRBCalcPts[[#This Row],[RBRef]],TableRBMaster[RBRef],0)),"")</f>
        <v>11</v>
      </c>
      <c r="M9" s="3">
        <f>IFERROR(INDEX(TableRBMaster[Custom],MATCH(TableRBCalcPts[[#This Row],[RBRef]],TableRBMaster[RBRef],0)),"")</f>
        <v>15.265039037157166</v>
      </c>
      <c r="O9" s="2">
        <f>IFERROR(RANK(TableWRCalcPts[[#This Row],[Custom]],TableWRCalcPts[Custom])+COUNTIF($T$3:T9,T9)-1,"")</f>
        <v>6</v>
      </c>
      <c r="P9" s="2">
        <v>7</v>
      </c>
      <c r="Q9" s="2" t="str">
        <f>IFERROR(INDEX(TableWRMaster[Player],MATCH(TableWRCalcPts[[#This Row],[WRRef]],TableWRMaster[WRRef],0)),"")</f>
        <v>Drake London</v>
      </c>
      <c r="R9" s="2" t="str">
        <f>IFERROR(INDEX(TableWRMaster[TM],MATCH(TableWRCalcPts[[#This Row],[WRRef]],TableWRMaster[WRRef],0)),"")</f>
        <v>ATL</v>
      </c>
      <c r="S9" s="2">
        <f>IFERROR(INDEX(TableWRMaster[BYE],MATCH(TableWRCalcPts[[#This Row],[WRRef]],TableWRMaster[WRRef],0)),"")</f>
        <v>11</v>
      </c>
      <c r="T9" s="3">
        <f>IFERROR(INDEX(TableWRMaster[Custom],MATCH(TableWRCalcPts[[#This Row],[WRRef]],TableWRMaster[WRRef],0)),"")</f>
        <v>228.86490868413486</v>
      </c>
      <c r="V9" s="2">
        <f>IFERROR(RANK(TableTECalcPts[[#This Row],[Custom]],TableTECalcPts[Custom])+COUNTIF($AA$3:AA9,AA9)-1,"")</f>
        <v>14</v>
      </c>
      <c r="W9" s="2">
        <v>7</v>
      </c>
      <c r="X9" s="2" t="str">
        <f>IFERROR(INDEX(TableTEMaster[Player],MATCH(TableTECalcPts[[#This Row],[TERef]],TableTEMaster[TERef],0)),"")</f>
        <v>Mark Andrews</v>
      </c>
      <c r="Y9" s="2" t="str">
        <f>IFERROR(INDEX(TableTEMaster[TM],MATCH(TableTECalcPts[[#This Row],[TERef]],TableTEMaster[TERef],0)),"")</f>
        <v>BAL</v>
      </c>
      <c r="Z9" s="2">
        <f>IFERROR(INDEX(TableTEMaster[BYE],MATCH(TableTECalcPts[[#This Row],[TERef]],TableTEMaster[TERef],0)),"")</f>
        <v>13</v>
      </c>
      <c r="AA9" s="3">
        <f>IFERROR(INDEX(TableTEMaster[Custom],MATCH(TableTECalcPts[[#This Row],[TERef]],TableTEMaster[TERef],0)),"")</f>
        <v>128.78263794049053</v>
      </c>
      <c r="AC9" s="2">
        <f>IFERROR(RANK(TableDSTCalcPts[[#This Row],[Custom]],TableDSTCalcPts[Custom],0),"")</f>
        <v>24</v>
      </c>
      <c r="AD9" s="2">
        <v>7</v>
      </c>
      <c r="AE9" s="2" t="str">
        <f>IFERROR(INDEX(TableDSTMaster[Player],MATCH(TableDSTCalcPts[[#This Row],[DSTRef]],TableDSTMaster[DSTRef],0)),"")</f>
        <v>Cincinnati Bengals</v>
      </c>
      <c r="AF9" s="2">
        <f>IFERROR(INDEX(TableDSTMaster[BYE],MATCH(TableDSTCalcPts[[#This Row],[DSTRef]],TableDSTMaster[DSTRef],0)),"")</f>
        <v>6</v>
      </c>
      <c r="AG9" s="3">
        <f>IFERROR(INDEX(TableDSTMaster[Custom],MATCH(TableDSTCalcPts[[#This Row],[DSTRef]],TableDSTMaster[DSTRef],0)),"")</f>
        <v>108.26904761904761</v>
      </c>
      <c r="AI9" s="2" t="s">
        <v>8</v>
      </c>
      <c r="AJ9" s="2">
        <f>IFERROR(RANK(TableWRTECalcPts[[#This Row],[Custom]],TableWRTECalcPts[Custom])+COUNTIF($AP$3:AP9,AP9)-1,"")</f>
        <v>67</v>
      </c>
      <c r="AK9" s="2">
        <v>7</v>
      </c>
      <c r="AL9" s="2" t="str">
        <f>IFERROR(INDEX(TableTEMaster[Player],MATCH(TableWRTECalcPts[[#This Row],[POSRef]],TableTEMaster[TERef],0)),"")</f>
        <v>Mark Andrews</v>
      </c>
      <c r="AM9" s="2" t="str">
        <f>IFERROR(_xlfn.CONCAT(TableWRTECalcPts[[#This Row],[POS]],INDEX(TableTERanks[RK],MATCH(TableWRTECalcPts[[#This Row],[PLAYER]],TableTERanks[Player],0))),"")</f>
        <v>TE14</v>
      </c>
      <c r="AN9" s="2" t="str">
        <f>IFERROR(INDEX(TableTEMaster[TM],MATCH(TableWRTECalcPts[[#This Row],[POSRef]],TableTEMaster[TERef],0)),"")</f>
        <v>BAL</v>
      </c>
      <c r="AO9" s="2">
        <f>IFERROR(INDEX(TableTEMaster[BYE],MATCH(TableWRTECalcPts[[#This Row],[POSRef]],TableTEMaster[TERef],0)),"")</f>
        <v>13</v>
      </c>
      <c r="AP9" s="3">
        <f>IFERROR(INDEX(TableTEMaster[Custom],MATCH(TableWRTECalcPts[[#This Row],[POSRef]],TableTEMaster[TERef],0)),"")</f>
        <v>128.78263794049053</v>
      </c>
    </row>
    <row r="10" spans="1:42" x14ac:dyDescent="0.25">
      <c r="A10" s="4">
        <f>IFERROR(RANK(TableQBCalcPts[[#This Row],[Custom]],TableQBCalcPts[Custom])+COUNTIF($F$3:F10,F10)-1,"")</f>
        <v>1</v>
      </c>
      <c r="B10" s="2">
        <v>8</v>
      </c>
      <c r="C10" s="2" t="str">
        <f>IFERROR(INDEX(TableQBMaster[Player],MATCH(TableQBCalcPts[[#This Row],[QBRef]],TableQBMaster[QBRef],0)),"")</f>
        <v>Josh Allen</v>
      </c>
      <c r="D10" s="2" t="str">
        <f>IFERROR(INDEX(TableQBMaster[TM],MATCH(TableQBCalcPts[[#This Row],[QBRef]],TableQBMaster[QBRef],0)),"")</f>
        <v>BUF</v>
      </c>
      <c r="E10" s="2">
        <f>IFERROR(INDEX(TableQBMaster[BYE],MATCH(TableQBCalcPts[[#This Row],[QBRef]],TableQBMaster[QBRef],0)),"")</f>
        <v>7</v>
      </c>
      <c r="F10" s="3">
        <f>IFERROR(INDEX(TableQBMaster[Custom],MATCH(TableQBCalcPts[[#This Row],[QBRef]],TableQBMaster[QBRef],0)),"")</f>
        <v>471.56584130967269</v>
      </c>
      <c r="H10" s="2">
        <f>IFERROR(RANK(TableRBCalcPts[[#This Row],[Custom]],TableRBCalcPts[Custom])+COUNTIF($M$3:M10,M10)-1,"")</f>
        <v>8</v>
      </c>
      <c r="I10" s="2">
        <v>8</v>
      </c>
      <c r="J10" s="2" t="str">
        <f>IFERROR(INDEX(TableRBMaster[Player],MATCH(TableRBCalcPts[[#This Row],[RBRef]],TableRBMaster[RBRef],0)),"")</f>
        <v>Derrick Henry</v>
      </c>
      <c r="K10" s="2" t="str">
        <f>IFERROR(INDEX(TableRBMaster[TM],MATCH(TableRBCalcPts[[#This Row],[RBRef]],TableRBMaster[RBRef],0)),"")</f>
        <v>BAL</v>
      </c>
      <c r="L10" s="2">
        <f>IFERROR(INDEX(TableRBMaster[BYE],MATCH(TableRBCalcPts[[#This Row],[RBRef]],TableRBMaster[RBRef],0)),"")</f>
        <v>13</v>
      </c>
      <c r="M10" s="3">
        <f>IFERROR(INDEX(TableRBMaster[Custom],MATCH(TableRBCalcPts[[#This Row],[RBRef]],TableRBMaster[RBRef],0)),"")</f>
        <v>240.81590204526415</v>
      </c>
      <c r="O10" s="2">
        <f>IFERROR(RANK(TableWRCalcPts[[#This Row],[Custom]],TableWRCalcPts[Custom])+COUNTIF($T$3:T10,T10)-1,"")</f>
        <v>80</v>
      </c>
      <c r="P10" s="2">
        <v>8</v>
      </c>
      <c r="Q10" s="2" t="str">
        <f>IFERROR(INDEX(TableWRMaster[Player],MATCH(TableWRCalcPts[[#This Row],[WRRef]],TableWRMaster[WRRef],0)),"")</f>
        <v>Zachariah Branch</v>
      </c>
      <c r="R10" s="2" t="str">
        <f>IFERROR(INDEX(TableWRMaster[TM],MATCH(TableWRCalcPts[[#This Row],[WRRef]],TableWRMaster[WRRef],0)),"")</f>
        <v>ATL</v>
      </c>
      <c r="S10" s="2">
        <f>IFERROR(INDEX(TableWRMaster[BYE],MATCH(TableWRCalcPts[[#This Row],[WRRef]],TableWRMaster[WRRef],0)),"")</f>
        <v>11</v>
      </c>
      <c r="T10" s="3">
        <f>IFERROR(INDEX(TableWRMaster[Custom],MATCH(TableWRCalcPts[[#This Row],[WRRef]],TableWRMaster[WRRef],0)),"")</f>
        <v>72.524694531828018</v>
      </c>
      <c r="V10" s="2">
        <f>IFERROR(RANK(TableTECalcPts[[#This Row],[Custom]],TableTECalcPts[Custom])+COUNTIF($AA$3:AA10,AA10)-1,"")</f>
        <v>56</v>
      </c>
      <c r="W10" s="2">
        <v>8</v>
      </c>
      <c r="X10" s="2" t="str">
        <f>IFERROR(INDEX(TableTEMaster[Player],MATCH(TableTECalcPts[[#This Row],[TERef]],TableTEMaster[TERef],0)),"")</f>
        <v>Durham Smythe</v>
      </c>
      <c r="Y10" s="2" t="str">
        <f>IFERROR(INDEX(TableTEMaster[TM],MATCH(TableTECalcPts[[#This Row],[TERef]],TableTEMaster[TERef],0)),"")</f>
        <v>BAL</v>
      </c>
      <c r="Z10" s="2">
        <f>IFERROR(INDEX(TableTEMaster[BYE],MATCH(TableTECalcPts[[#This Row],[TERef]],TableTEMaster[TERef],0)),"")</f>
        <v>13</v>
      </c>
      <c r="AA10" s="3">
        <f>IFERROR(INDEX(TableTEMaster[Custom],MATCH(TableTECalcPts[[#This Row],[TERef]],TableTEMaster[TERef],0)),"")</f>
        <v>23.244352303853336</v>
      </c>
      <c r="AC10" s="2">
        <f>IFERROR(RANK(TableDSTCalcPts[[#This Row],[Custom]],TableDSTCalcPts[Custom],0),"")</f>
        <v>17</v>
      </c>
      <c r="AD10" s="2">
        <v>8</v>
      </c>
      <c r="AE10" s="2" t="str">
        <f>IFERROR(INDEX(TableDSTMaster[Player],MATCH(TableDSTCalcPts[[#This Row],[DSTRef]],TableDSTMaster[DSTRef],0)),"")</f>
        <v>Cleveland Browns</v>
      </c>
      <c r="AF10" s="2">
        <f>IFERROR(INDEX(TableDSTMaster[BYE],MATCH(TableDSTCalcPts[[#This Row],[DSTRef]],TableDSTMaster[DSTRef],0)),"")</f>
        <v>11</v>
      </c>
      <c r="AG10" s="3">
        <f>IFERROR(INDEX(TableDSTMaster[Custom],MATCH(TableDSTCalcPts[[#This Row],[DSTRef]],TableDSTMaster[DSTRef],0)),"")</f>
        <v>119.90714285714287</v>
      </c>
      <c r="AI10" s="2" t="s">
        <v>8</v>
      </c>
      <c r="AJ10" s="2">
        <f>IFERROR(RANK(TableWRTECalcPts[[#This Row],[Custom]],TableWRTECalcPts[Custom])+COUNTIF($AP$3:AP10,AP10)-1,"")</f>
        <v>180</v>
      </c>
      <c r="AK10" s="2">
        <v>8</v>
      </c>
      <c r="AL10" s="2" t="str">
        <f>IFERROR(INDEX(TableTEMaster[Player],MATCH(TableWRTECalcPts[[#This Row],[POSRef]],TableTEMaster[TERef],0)),"")</f>
        <v>Durham Smythe</v>
      </c>
      <c r="AM10" s="2" t="str">
        <f>IFERROR(_xlfn.CONCAT(TableWRTECalcPts[[#This Row],[POS]],INDEX(TableTERanks[RK],MATCH(TableWRTECalcPts[[#This Row],[PLAYER]],TableTERanks[Player],0))),"")</f>
        <v>TE56</v>
      </c>
      <c r="AN10" s="2" t="str">
        <f>IFERROR(INDEX(TableTEMaster[TM],MATCH(TableWRTECalcPts[[#This Row],[POSRef]],TableTEMaster[TERef],0)),"")</f>
        <v>BAL</v>
      </c>
      <c r="AO10" s="2">
        <f>IFERROR(INDEX(TableTEMaster[BYE],MATCH(TableWRTECalcPts[[#This Row],[POSRef]],TableTEMaster[TERef],0)),"")</f>
        <v>13</v>
      </c>
      <c r="AP10" s="3">
        <f>IFERROR(INDEX(TableTEMaster[Custom],MATCH(TableWRTECalcPts[[#This Row],[POSRef]],TableTEMaster[TERef],0)),"")</f>
        <v>23.244352303853336</v>
      </c>
    </row>
    <row r="11" spans="1:42" x14ac:dyDescent="0.25">
      <c r="A11" s="4">
        <f>IFERROR(RANK(TableQBCalcPts[[#This Row],[Custom]],TableQBCalcPts[Custom])+COUNTIF($F$3:F11,F11)-1,"")</f>
        <v>66</v>
      </c>
      <c r="B11" s="2">
        <v>9</v>
      </c>
      <c r="C11" s="2" t="str">
        <f>IFERROR(INDEX(TableQBMaster[Player],MATCH(TableQBCalcPts[[#This Row],[QBRef]],TableQBMaster[QBRef],0)),"")</f>
        <v>Kyle Allen</v>
      </c>
      <c r="D11" s="2" t="str">
        <f>IFERROR(INDEX(TableQBMaster[TM],MATCH(TableQBCalcPts[[#This Row],[QBRef]],TableQBMaster[QBRef],0)),"")</f>
        <v>BUF</v>
      </c>
      <c r="E11" s="2">
        <f>IFERROR(INDEX(TableQBMaster[BYE],MATCH(TableQBCalcPts[[#This Row],[QBRef]],TableQBMaster[QBRef],0)),"")</f>
        <v>7</v>
      </c>
      <c r="F11" s="3">
        <f>IFERROR(INDEX(TableQBMaster[Custom],MATCH(TableQBCalcPts[[#This Row],[QBRef]],TableQBMaster[QBRef],0)),"")</f>
        <v>2.685185286278994</v>
      </c>
      <c r="H11" s="2">
        <f>IFERROR(RANK(TableRBCalcPts[[#This Row],[Custom]],TableRBCalcPts[Custom])+COUNTIF($M$3:M11,M11)-1,"")</f>
        <v>48</v>
      </c>
      <c r="I11" s="2">
        <v>9</v>
      </c>
      <c r="J11" s="2" t="str">
        <f>IFERROR(INDEX(TableRBMaster[Player],MATCH(TableRBCalcPts[[#This Row],[RBRef]],TableRBMaster[RBRef],0)),"")</f>
        <v>Justice Hill</v>
      </c>
      <c r="K11" s="2" t="str">
        <f>IFERROR(INDEX(TableRBMaster[TM],MATCH(TableRBCalcPts[[#This Row],[RBRef]],TableRBMaster[RBRef],0)),"")</f>
        <v>BAL</v>
      </c>
      <c r="L11" s="2">
        <f>IFERROR(INDEX(TableRBMaster[BYE],MATCH(TableRBCalcPts[[#This Row],[RBRef]],TableRBMaster[RBRef],0)),"")</f>
        <v>13</v>
      </c>
      <c r="M11" s="3">
        <f>IFERROR(INDEX(TableRBMaster[Custom],MATCH(TableRBCalcPts[[#This Row],[RBRef]],TableRBMaster[RBRef],0)),"")</f>
        <v>92.574996556792598</v>
      </c>
      <c r="O11" s="2">
        <f>IFERROR(RANK(TableWRCalcPts[[#This Row],[Custom]],TableWRCalcPts[Custom])+COUNTIF($T$3:T11,T11)-1,"")</f>
        <v>94</v>
      </c>
      <c r="P11" s="2">
        <v>9</v>
      </c>
      <c r="Q11" s="2" t="str">
        <f>IFERROR(INDEX(TableWRMaster[Player],MATCH(TableWRCalcPts[[#This Row],[WRRef]],TableWRMaster[WRRef],0)),"")</f>
        <v>Olamide Zaccheaus</v>
      </c>
      <c r="R11" s="2" t="str">
        <f>IFERROR(INDEX(TableWRMaster[TM],MATCH(TableWRCalcPts[[#This Row],[WRRef]],TableWRMaster[WRRef],0)),"")</f>
        <v>ATL</v>
      </c>
      <c r="S11" s="2">
        <f>IFERROR(INDEX(TableWRMaster[BYE],MATCH(TableWRCalcPts[[#This Row],[WRRef]],TableWRMaster[WRRef],0)),"")</f>
        <v>11</v>
      </c>
      <c r="T11" s="3">
        <f>IFERROR(INDEX(TableWRMaster[Custom],MATCH(TableWRCalcPts[[#This Row],[WRRef]],TableWRMaster[WRRef],0)),"")</f>
        <v>54.86571406748574</v>
      </c>
      <c r="V11" s="2">
        <f>IFERROR(RANK(TableTECalcPts[[#This Row],[Custom]],TableTECalcPts[Custom])+COUNTIF($AA$3:AA11,AA11)-1,"")</f>
        <v>86</v>
      </c>
      <c r="W11" s="2">
        <v>9</v>
      </c>
      <c r="X11" s="2" t="str">
        <f>IFERROR(INDEX(TableTEMaster[Player],MATCH(TableTECalcPts[[#This Row],[TERef]],TableTEMaster[TERef],0)),"")</f>
        <v>Josh Cuevas</v>
      </c>
      <c r="Y11" s="2" t="str">
        <f>IFERROR(INDEX(TableTEMaster[TM],MATCH(TableTECalcPts[[#This Row],[TERef]],TableTEMaster[TERef],0)),"")</f>
        <v>BAL</v>
      </c>
      <c r="Z11" s="2">
        <f>IFERROR(INDEX(TableTEMaster[BYE],MATCH(TableTECalcPts[[#This Row],[TERef]],TableTEMaster[TERef],0)),"")</f>
        <v>13</v>
      </c>
      <c r="AA11" s="3">
        <f>IFERROR(INDEX(TableTEMaster[Custom],MATCH(TableTECalcPts[[#This Row],[TERef]],TableTEMaster[TERef],0)),"")</f>
        <v>0</v>
      </c>
      <c r="AC11" s="2">
        <f>IFERROR(RANK(TableDSTCalcPts[[#This Row],[Custom]],TableDSTCalcPts[Custom],0),"")</f>
        <v>28</v>
      </c>
      <c r="AD11" s="2">
        <v>9</v>
      </c>
      <c r="AE11" s="2" t="str">
        <f>IFERROR(INDEX(TableDSTMaster[Player],MATCH(TableDSTCalcPts[[#This Row],[DSTRef]],TableDSTMaster[DSTRef],0)),"")</f>
        <v>Dallas Cowboys</v>
      </c>
      <c r="AF11" s="2">
        <f>IFERROR(INDEX(TableDSTMaster[BYE],MATCH(TableDSTCalcPts[[#This Row],[DSTRef]],TableDSTMaster[DSTRef],0)),"")</f>
        <v>14</v>
      </c>
      <c r="AG11" s="3">
        <f>IFERROR(INDEX(TableDSTMaster[Custom],MATCH(TableDSTCalcPts[[#This Row],[DSTRef]],TableDSTMaster[DSTRef],0)),"")</f>
        <v>104.11904761904762</v>
      </c>
      <c r="AI11" s="2" t="s">
        <v>8</v>
      </c>
      <c r="AJ11" s="2">
        <f>IFERROR(RANK(TableWRTECalcPts[[#This Row],[Custom]],TableWRTECalcPts[Custom])+COUNTIF($AP$3:AP11,AP11)-1,"")</f>
        <v>267</v>
      </c>
      <c r="AK11" s="2">
        <v>9</v>
      </c>
      <c r="AL11" s="2" t="str">
        <f>IFERROR(INDEX(TableTEMaster[Player],MATCH(TableWRTECalcPts[[#This Row],[POSRef]],TableTEMaster[TERef],0)),"")</f>
        <v>Josh Cuevas</v>
      </c>
      <c r="AM11" s="2" t="str">
        <f>IFERROR(_xlfn.CONCAT(TableWRTECalcPts[[#This Row],[POS]],INDEX(TableTERanks[RK],MATCH(TableWRTECalcPts[[#This Row],[PLAYER]],TableTERanks[Player],0))),"")</f>
        <v>TE86</v>
      </c>
      <c r="AN11" s="2" t="str">
        <f>IFERROR(INDEX(TableTEMaster[TM],MATCH(TableWRTECalcPts[[#This Row],[POSRef]],TableTEMaster[TERef],0)),"")</f>
        <v>BAL</v>
      </c>
      <c r="AO11" s="2">
        <f>IFERROR(INDEX(TableTEMaster[BYE],MATCH(TableWRTECalcPts[[#This Row],[POSRef]],TableTEMaster[TERef],0)),"")</f>
        <v>13</v>
      </c>
      <c r="AP11" s="3">
        <f>IFERROR(INDEX(TableTEMaster[Custom],MATCH(TableWRTECalcPts[[#This Row],[POSRef]],TableTEMaster[TERef],0)),"")</f>
        <v>0</v>
      </c>
    </row>
    <row r="12" spans="1:42" x14ac:dyDescent="0.25">
      <c r="A12" s="4">
        <f>IFERROR(RANK(TableQBCalcPts[[#This Row],[Custom]],TableQBCalcPts[Custom])+COUNTIF($F$3:F12,F12)-1,"")</f>
        <v>26</v>
      </c>
      <c r="B12" s="2">
        <v>10</v>
      </c>
      <c r="C12" s="2" t="str">
        <f>IFERROR(INDEX(TableQBMaster[Player],MATCH(TableQBCalcPts[[#This Row],[QBRef]],TableQBMaster[QBRef],0)),"")</f>
        <v>Bryce Young</v>
      </c>
      <c r="D12" s="2" t="str">
        <f>IFERROR(INDEX(TableQBMaster[TM],MATCH(TableQBCalcPts[[#This Row],[QBRef]],TableQBMaster[QBRef],0)),"")</f>
        <v>CAR</v>
      </c>
      <c r="E12" s="2">
        <f>IFERROR(INDEX(TableQBMaster[BYE],MATCH(TableQBCalcPts[[#This Row],[QBRef]],TableQBMaster[QBRef],0)),"")</f>
        <v>5</v>
      </c>
      <c r="F12" s="3">
        <f>IFERROR(INDEX(TableQBMaster[Custom],MATCH(TableQBCalcPts[[#This Row],[QBRef]],TableQBMaster[QBRef],0)),"")</f>
        <v>337.50119842358561</v>
      </c>
      <c r="H12" s="2">
        <f>IFERROR(RANK(TableRBCalcPts[[#This Row],[Custom]],TableRBCalcPts[Custom])+COUNTIF($M$3:M12,M12)-1,"")</f>
        <v>81</v>
      </c>
      <c r="I12" s="2">
        <v>10</v>
      </c>
      <c r="J12" s="2" t="str">
        <f>IFERROR(INDEX(TableRBMaster[Player],MATCH(TableRBCalcPts[[#This Row],[RBRef]],TableRBMaster[RBRef],0)),"")</f>
        <v>Rasheen Ali</v>
      </c>
      <c r="K12" s="2" t="str">
        <f>IFERROR(INDEX(TableRBMaster[TM],MATCH(TableRBCalcPts[[#This Row],[RBRef]],TableRBMaster[RBRef],0)),"")</f>
        <v>BAL</v>
      </c>
      <c r="L12" s="2">
        <f>IFERROR(INDEX(TableRBMaster[BYE],MATCH(TableRBCalcPts[[#This Row],[RBRef]],TableRBMaster[RBRef],0)),"")</f>
        <v>13</v>
      </c>
      <c r="M12" s="3">
        <f>IFERROR(INDEX(TableRBMaster[Custom],MATCH(TableRBCalcPts[[#This Row],[RBRef]],TableRBMaster[RBRef],0)),"")</f>
        <v>25.033389440736602</v>
      </c>
      <c r="O12" s="2">
        <f>IFERROR(RANK(TableWRCalcPts[[#This Row],[Custom]],TableWRCalcPts[Custom])+COUNTIF($T$3:T12,T12)-1,"")</f>
        <v>89</v>
      </c>
      <c r="P12" s="2">
        <v>10</v>
      </c>
      <c r="Q12" s="2" t="str">
        <f>IFERROR(INDEX(TableWRMaster[Player],MATCH(TableWRCalcPts[[#This Row],[WRRef]],TableWRMaster[WRRef],0)),"")</f>
        <v>Jahan Dotson</v>
      </c>
      <c r="R12" s="2" t="str">
        <f>IFERROR(INDEX(TableWRMaster[TM],MATCH(TableWRCalcPts[[#This Row],[WRRef]],TableWRMaster[WRRef],0)),"")</f>
        <v>ATL</v>
      </c>
      <c r="S12" s="2">
        <f>IFERROR(INDEX(TableWRMaster[BYE],MATCH(TableWRCalcPts[[#This Row],[WRRef]],TableWRMaster[WRRef],0)),"")</f>
        <v>11</v>
      </c>
      <c r="T12" s="3">
        <f>IFERROR(INDEX(TableWRMaster[Custom],MATCH(TableWRCalcPts[[#This Row],[WRRef]],TableWRMaster[WRRef],0)),"")</f>
        <v>59.177708380316076</v>
      </c>
      <c r="V12" s="2">
        <f>IFERROR(RANK(TableTECalcPts[[#This Row],[Custom]],TableTECalcPts[Custom])+COUNTIF($AA$3:AA12,AA12)-1,"")</f>
        <v>12</v>
      </c>
      <c r="W12" s="2">
        <v>10</v>
      </c>
      <c r="X12" s="2" t="str">
        <f>IFERROR(INDEX(TableTEMaster[Player],MATCH(TableTECalcPts[[#This Row],[TERef]],TableTEMaster[TERef],0)),"")</f>
        <v>Dalton Kincaid</v>
      </c>
      <c r="Y12" s="2" t="str">
        <f>IFERROR(INDEX(TableTEMaster[TM],MATCH(TableTECalcPts[[#This Row],[TERef]],TableTEMaster[TERef],0)),"")</f>
        <v>BUF</v>
      </c>
      <c r="Z12" s="2">
        <f>IFERROR(INDEX(TableTEMaster[BYE],MATCH(TableTECalcPts[[#This Row],[TERef]],TableTEMaster[TERef],0)),"")</f>
        <v>7</v>
      </c>
      <c r="AA12" s="3">
        <f>IFERROR(INDEX(TableTEMaster[Custom],MATCH(TableTECalcPts[[#This Row],[TERef]],TableTEMaster[TERef],0)),"")</f>
        <v>137.45097051248635</v>
      </c>
      <c r="AC12" s="2">
        <f>IFERROR(RANK(TableDSTCalcPts[[#This Row],[Custom]],TableDSTCalcPts[Custom],0),"")</f>
        <v>3</v>
      </c>
      <c r="AD12" s="2">
        <v>10</v>
      </c>
      <c r="AE12" s="2" t="str">
        <f>IFERROR(INDEX(TableDSTMaster[Player],MATCH(TableDSTCalcPts[[#This Row],[DSTRef]],TableDSTMaster[DSTRef],0)),"")</f>
        <v>Denver Broncos</v>
      </c>
      <c r="AF12" s="2">
        <f>IFERROR(INDEX(TableDSTMaster[BYE],MATCH(TableDSTCalcPts[[#This Row],[DSTRef]],TableDSTMaster[DSTRef],0)),"")</f>
        <v>10</v>
      </c>
      <c r="AG12" s="3">
        <f>IFERROR(INDEX(TableDSTMaster[Custom],MATCH(TableDSTCalcPts[[#This Row],[DSTRef]],TableDSTMaster[DSTRef],0)),"")</f>
        <v>140.82142857142858</v>
      </c>
      <c r="AI12" s="2" t="s">
        <v>8</v>
      </c>
      <c r="AJ12" s="2">
        <f>IFERROR(RANK(TableWRTECalcPts[[#This Row],[Custom]],TableWRTECalcPts[Custom])+COUNTIF($AP$3:AP12,AP12)-1,"")</f>
        <v>62</v>
      </c>
      <c r="AK12" s="2">
        <v>10</v>
      </c>
      <c r="AL12" s="2" t="str">
        <f>IFERROR(INDEX(TableTEMaster[Player],MATCH(TableWRTECalcPts[[#This Row],[POSRef]],TableTEMaster[TERef],0)),"")</f>
        <v>Dalton Kincaid</v>
      </c>
      <c r="AM12" s="2" t="str">
        <f>IFERROR(_xlfn.CONCAT(TableWRTECalcPts[[#This Row],[POS]],INDEX(TableTERanks[RK],MATCH(TableWRTECalcPts[[#This Row],[PLAYER]],TableTERanks[Player],0))),"")</f>
        <v>TE12</v>
      </c>
      <c r="AN12" s="2" t="str">
        <f>IFERROR(INDEX(TableTEMaster[TM],MATCH(TableWRTECalcPts[[#This Row],[POSRef]],TableTEMaster[TERef],0)),"")</f>
        <v>BUF</v>
      </c>
      <c r="AO12" s="2">
        <f>IFERROR(INDEX(TableTEMaster[BYE],MATCH(TableWRTECalcPts[[#This Row],[POSRef]],TableTEMaster[TERef],0)),"")</f>
        <v>7</v>
      </c>
      <c r="AP12" s="3">
        <f>IFERROR(INDEX(TableTEMaster[Custom],MATCH(TableWRTECalcPts[[#This Row],[POSRef]],TableTEMaster[TERef],0)),"")</f>
        <v>137.45097051248635</v>
      </c>
    </row>
    <row r="13" spans="1:42" x14ac:dyDescent="0.25">
      <c r="A13" s="4">
        <f>IFERROR(RANK(TableQBCalcPts[[#This Row],[Custom]],TableQBCalcPts[Custom])+COUNTIF($F$3:F13,F13)-1,"")</f>
        <v>46</v>
      </c>
      <c r="B13" s="2">
        <v>11</v>
      </c>
      <c r="C13" s="2" t="str">
        <f>IFERROR(INDEX(TableQBMaster[Player],MATCH(TableQBCalcPts[[#This Row],[QBRef]],TableQBMaster[QBRef],0)),"")</f>
        <v>Kenny Pickett</v>
      </c>
      <c r="D13" s="2" t="str">
        <f>IFERROR(INDEX(TableQBMaster[TM],MATCH(TableQBCalcPts[[#This Row],[QBRef]],TableQBMaster[QBRef],0)),"")</f>
        <v>CAR</v>
      </c>
      <c r="E13" s="2">
        <f>IFERROR(INDEX(TableQBMaster[BYE],MATCH(TableQBCalcPts[[#This Row],[QBRef]],TableQBMaster[QBRef],0)),"")</f>
        <v>5</v>
      </c>
      <c r="F13" s="3">
        <f>IFERROR(INDEX(TableQBMaster[Custom],MATCH(TableQBCalcPts[[#This Row],[QBRef]],TableQBMaster[QBRef],0)),"")</f>
        <v>14.456667186020452</v>
      </c>
      <c r="H13" s="2">
        <f>IFERROR(RANK(TableRBCalcPts[[#This Row],[Custom]],TableRBCalcPts[Custom])+COUNTIF($M$3:M13,M13)-1,"")</f>
        <v>88</v>
      </c>
      <c r="I13" s="2">
        <v>11</v>
      </c>
      <c r="J13" s="2" t="str">
        <f>IFERROR(INDEX(TableRBMaster[Player],MATCH(TableRBCalcPts[[#This Row],[RBRef]],TableRBMaster[RBRef],0)),"")</f>
        <v>Adam Randall</v>
      </c>
      <c r="K13" s="2" t="str">
        <f>IFERROR(INDEX(TableRBMaster[TM],MATCH(TableRBCalcPts[[#This Row],[RBRef]],TableRBMaster[RBRef],0)),"")</f>
        <v>BAL</v>
      </c>
      <c r="L13" s="2">
        <f>IFERROR(INDEX(TableRBMaster[BYE],MATCH(TableRBCalcPts[[#This Row],[RBRef]],TableRBMaster[RBRef],0)),"")</f>
        <v>13</v>
      </c>
      <c r="M13" s="3">
        <f>IFERROR(INDEX(TableRBMaster[Custom],MATCH(TableRBCalcPts[[#This Row],[RBRef]],TableRBMaster[RBRef],0)),"")</f>
        <v>17.490709129228215</v>
      </c>
      <c r="O13" s="2">
        <f>IFERROR(RANK(TableWRCalcPts[[#This Row],[Custom]],TableWRCalcPts[Custom])+COUNTIF($T$3:T13,T13)-1,"")</f>
        <v>159</v>
      </c>
      <c r="P13" s="2">
        <v>11</v>
      </c>
      <c r="Q13" s="2" t="str">
        <f>IFERROR(INDEX(TableWRMaster[Player],MATCH(TableWRCalcPts[[#This Row],[WRRef]],TableWRMaster[WRRef],0)),"")</f>
        <v>Casey Washington</v>
      </c>
      <c r="R13" s="2" t="str">
        <f>IFERROR(INDEX(TableWRMaster[TM],MATCH(TableWRCalcPts[[#This Row],[WRRef]],TableWRMaster[WRRef],0)),"")</f>
        <v>ATL</v>
      </c>
      <c r="S13" s="2">
        <f>IFERROR(INDEX(TableWRMaster[BYE],MATCH(TableWRCalcPts[[#This Row],[WRRef]],TableWRMaster[WRRef],0)),"")</f>
        <v>11</v>
      </c>
      <c r="T13" s="3">
        <f>IFERROR(INDEX(TableWRMaster[Custom],MATCH(TableWRCalcPts[[#This Row],[WRRef]],TableWRMaster[WRRef],0)),"")</f>
        <v>7.5085715524680019</v>
      </c>
      <c r="V13" s="2">
        <f>IFERROR(RANK(TableTECalcPts[[#This Row],[Custom]],TableTECalcPts[Custom])+COUNTIF($AA$3:AA13,AA13)-1,"")</f>
        <v>35</v>
      </c>
      <c r="W13" s="2">
        <v>11</v>
      </c>
      <c r="X13" s="2" t="str">
        <f>IFERROR(INDEX(TableTEMaster[Player],MATCH(TableTECalcPts[[#This Row],[TERef]],TableTEMaster[TERef],0)),"")</f>
        <v>Dawson Knox</v>
      </c>
      <c r="Y13" s="2" t="str">
        <f>IFERROR(INDEX(TableTEMaster[TM],MATCH(TableTECalcPts[[#This Row],[TERef]],TableTEMaster[TERef],0)),"")</f>
        <v>BUF</v>
      </c>
      <c r="Z13" s="2">
        <f>IFERROR(INDEX(TableTEMaster[BYE],MATCH(TableTECalcPts[[#This Row],[TERef]],TableTEMaster[TERef],0)),"")</f>
        <v>7</v>
      </c>
      <c r="AA13" s="3">
        <f>IFERROR(INDEX(TableTEMaster[Custom],MATCH(TableTECalcPts[[#This Row],[TERef]],TableTEMaster[TERef],0)),"")</f>
        <v>61.473812892346771</v>
      </c>
      <c r="AC13" s="2">
        <f>IFERROR(RANK(TableDSTCalcPts[[#This Row],[Custom]],TableDSTCalcPts[Custom],0),"")</f>
        <v>12</v>
      </c>
      <c r="AD13" s="2">
        <v>11</v>
      </c>
      <c r="AE13" s="2" t="str">
        <f>IFERROR(INDEX(TableDSTMaster[Player],MATCH(TableDSTCalcPts[[#This Row],[DSTRef]],TableDSTMaster[DSTRef],0)),"")</f>
        <v>Detroit Lions</v>
      </c>
      <c r="AF13" s="2">
        <f>IFERROR(INDEX(TableDSTMaster[BYE],MATCH(TableDSTCalcPts[[#This Row],[DSTRef]],TableDSTMaster[DSTRef],0)),"")</f>
        <v>6</v>
      </c>
      <c r="AG13" s="3">
        <f>IFERROR(INDEX(TableDSTMaster[Custom],MATCH(TableDSTCalcPts[[#This Row],[DSTRef]],TableDSTMaster[DSTRef],0)),"")</f>
        <v>123.31190476190474</v>
      </c>
      <c r="AI13" s="2" t="s">
        <v>8</v>
      </c>
      <c r="AJ13" s="2">
        <f>IFERROR(RANK(TableWRTECalcPts[[#This Row],[Custom]],TableWRTECalcPts[Custom])+COUNTIF($AP$3:AP13,AP13)-1,"")</f>
        <v>120</v>
      </c>
      <c r="AK13" s="2">
        <v>11</v>
      </c>
      <c r="AL13" s="2" t="str">
        <f>IFERROR(INDEX(TableTEMaster[Player],MATCH(TableWRTECalcPts[[#This Row],[POSRef]],TableTEMaster[TERef],0)),"")</f>
        <v>Dawson Knox</v>
      </c>
      <c r="AM13" s="2" t="str">
        <f>IFERROR(_xlfn.CONCAT(TableWRTECalcPts[[#This Row],[POS]],INDEX(TableTERanks[RK],MATCH(TableWRTECalcPts[[#This Row],[PLAYER]],TableTERanks[Player],0))),"")</f>
        <v>TE35</v>
      </c>
      <c r="AN13" s="2" t="str">
        <f>IFERROR(INDEX(TableTEMaster[TM],MATCH(TableWRTECalcPts[[#This Row],[POSRef]],TableTEMaster[TERef],0)),"")</f>
        <v>BUF</v>
      </c>
      <c r="AO13" s="2">
        <f>IFERROR(INDEX(TableTEMaster[BYE],MATCH(TableWRTECalcPts[[#This Row],[POSRef]],TableTEMaster[TERef],0)),"")</f>
        <v>7</v>
      </c>
      <c r="AP13" s="3">
        <f>IFERROR(INDEX(TableTEMaster[Custom],MATCH(TableWRTECalcPts[[#This Row],[POSRef]],TableTEMaster[TERef],0)),"")</f>
        <v>61.473812892346771</v>
      </c>
    </row>
    <row r="14" spans="1:42" x14ac:dyDescent="0.25">
      <c r="A14" s="4">
        <f>IFERROR(RANK(TableQBCalcPts[[#This Row],[Custom]],TableQBCalcPts[Custom])+COUNTIF($F$3:F14,F14)-1,"")</f>
        <v>12</v>
      </c>
      <c r="B14" s="2">
        <v>12</v>
      </c>
      <c r="C14" s="2" t="str">
        <f>IFERROR(INDEX(TableQBMaster[Player],MATCH(TableQBCalcPts[[#This Row],[QBRef]],TableQBMaster[QBRef],0)),"")</f>
        <v>Caleb Williams</v>
      </c>
      <c r="D14" s="2" t="str">
        <f>IFERROR(INDEX(TableQBMaster[TM],MATCH(TableQBCalcPts[[#This Row],[QBRef]],TableQBMaster[QBRef],0)),"")</f>
        <v>CHI</v>
      </c>
      <c r="E14" s="2">
        <f>IFERROR(INDEX(TableQBMaster[BYE],MATCH(TableQBCalcPts[[#This Row],[QBRef]],TableQBMaster[QBRef],0)),"")</f>
        <v>10</v>
      </c>
      <c r="F14" s="3">
        <f>IFERROR(INDEX(TableQBMaster[Custom],MATCH(TableQBCalcPts[[#This Row],[QBRef]],TableQBMaster[QBRef],0)),"")</f>
        <v>406.47584816310064</v>
      </c>
      <c r="H14" s="2">
        <f>IFERROR(RANK(TableRBCalcPts[[#This Row],[Custom]],TableRBCalcPts[Custom])+COUNTIF($M$3:M14,M14)-1,"")</f>
        <v>5</v>
      </c>
      <c r="I14" s="2">
        <v>12</v>
      </c>
      <c r="J14" s="2" t="str">
        <f>IFERROR(INDEX(TableRBMaster[Player],MATCH(TableRBCalcPts[[#This Row],[RBRef]],TableRBMaster[RBRef],0)),"")</f>
        <v>James Cook</v>
      </c>
      <c r="K14" s="2" t="str">
        <f>IFERROR(INDEX(TableRBMaster[TM],MATCH(TableRBCalcPts[[#This Row],[RBRef]],TableRBMaster[RBRef],0)),"")</f>
        <v>BUF</v>
      </c>
      <c r="L14" s="2">
        <f>IFERROR(INDEX(TableRBMaster[BYE],MATCH(TableRBCalcPts[[#This Row],[RBRef]],TableRBMaster[RBRef],0)),"")</f>
        <v>7</v>
      </c>
      <c r="M14" s="3">
        <f>IFERROR(INDEX(TableRBMaster[Custom],MATCH(TableRBCalcPts[[#This Row],[RBRef]],TableRBMaster[RBRef],0)),"")</f>
        <v>252.99926754623516</v>
      </c>
      <c r="O14" s="2">
        <f>IFERROR(RANK(TableWRCalcPts[[#This Row],[Custom]],TableWRCalcPts[Custom])+COUNTIF($T$3:T14,T14)-1,"")</f>
        <v>13</v>
      </c>
      <c r="P14" s="2">
        <v>12</v>
      </c>
      <c r="Q14" s="2" t="str">
        <f>IFERROR(INDEX(TableWRMaster[Player],MATCH(TableWRCalcPts[[#This Row],[WRRef]],TableWRMaster[WRRef],0)),"")</f>
        <v>Zay Flowers</v>
      </c>
      <c r="R14" s="2" t="str">
        <f>IFERROR(INDEX(TableWRMaster[TM],MATCH(TableWRCalcPts[[#This Row],[WRRef]],TableWRMaster[WRRef],0)),"")</f>
        <v>BAL</v>
      </c>
      <c r="S14" s="2">
        <f>IFERROR(INDEX(TableWRMaster[BYE],MATCH(TableWRCalcPts[[#This Row],[WRRef]],TableWRMaster[WRRef],0)),"")</f>
        <v>13</v>
      </c>
      <c r="T14" s="3">
        <f>IFERROR(INDEX(TableWRMaster[Custom],MATCH(TableWRCalcPts[[#This Row],[WRRef]],TableWRMaster[WRRef],0)),"")</f>
        <v>204.82728652227939</v>
      </c>
      <c r="V14" s="2">
        <f>IFERROR(RANK(TableTECalcPts[[#This Row],[Custom]],TableTECalcPts[Custom])+COUNTIF($AA$3:AA14,AA14)-1,"")</f>
        <v>37</v>
      </c>
      <c r="W14" s="2">
        <v>12</v>
      </c>
      <c r="X14" s="2" t="str">
        <f>IFERROR(INDEX(TableTEMaster[Player],MATCH(TableTECalcPts[[#This Row],[TERef]],TableTEMaster[TERef],0)),"")</f>
        <v>Ja'Tavion Sanders</v>
      </c>
      <c r="Y14" s="2" t="str">
        <f>IFERROR(INDEX(TableTEMaster[TM],MATCH(TableTECalcPts[[#This Row],[TERef]],TableTEMaster[TERef],0)),"")</f>
        <v>CAR</v>
      </c>
      <c r="Z14" s="2">
        <f>IFERROR(INDEX(TableTEMaster[BYE],MATCH(TableTECalcPts[[#This Row],[TERef]],TableTEMaster[TERef],0)),"")</f>
        <v>5</v>
      </c>
      <c r="AA14" s="3">
        <f>IFERROR(INDEX(TableTEMaster[Custom],MATCH(TableTECalcPts[[#This Row],[TERef]],TableTEMaster[TERef],0)),"")</f>
        <v>52.136489551557439</v>
      </c>
      <c r="AC14" s="2">
        <f>IFERROR(RANK(TableDSTCalcPts[[#This Row],[Custom]],TableDSTCalcPts[Custom],0),"")</f>
        <v>19</v>
      </c>
      <c r="AD14" s="2">
        <v>12</v>
      </c>
      <c r="AE14" s="2" t="str">
        <f>IFERROR(INDEX(TableDSTMaster[Player],MATCH(TableDSTCalcPts[[#This Row],[DSTRef]],TableDSTMaster[DSTRef],0)),"")</f>
        <v>Green Bay Packers</v>
      </c>
      <c r="AF14" s="2">
        <f>IFERROR(INDEX(TableDSTMaster[BYE],MATCH(TableDSTCalcPts[[#This Row],[DSTRef]],TableDSTMaster[DSTRef],0)),"")</f>
        <v>11</v>
      </c>
      <c r="AG14" s="3">
        <f>IFERROR(INDEX(TableDSTMaster[Custom],MATCH(TableDSTCalcPts[[#This Row],[DSTRef]],TableDSTMaster[DSTRef],0)),"")</f>
        <v>112.32142857142857</v>
      </c>
      <c r="AI14" s="2" t="s">
        <v>8</v>
      </c>
      <c r="AJ14" s="2">
        <f>IFERROR(RANK(TableWRTECalcPts[[#This Row],[Custom]],TableWRTECalcPts[Custom])+COUNTIF($AP$3:AP14,AP14)-1,"")</f>
        <v>134</v>
      </c>
      <c r="AK14" s="2">
        <v>12</v>
      </c>
      <c r="AL14" s="2" t="str">
        <f>IFERROR(INDEX(TableTEMaster[Player],MATCH(TableWRTECalcPts[[#This Row],[POSRef]],TableTEMaster[TERef],0)),"")</f>
        <v>Ja'Tavion Sanders</v>
      </c>
      <c r="AM14" s="2" t="str">
        <f>IFERROR(_xlfn.CONCAT(TableWRTECalcPts[[#This Row],[POS]],INDEX(TableTERanks[RK],MATCH(TableWRTECalcPts[[#This Row],[PLAYER]],TableTERanks[Player],0))),"")</f>
        <v>TE37</v>
      </c>
      <c r="AN14" s="2" t="str">
        <f>IFERROR(INDEX(TableTEMaster[TM],MATCH(TableWRTECalcPts[[#This Row],[POSRef]],TableTEMaster[TERef],0)),"")</f>
        <v>CAR</v>
      </c>
      <c r="AO14" s="2">
        <f>IFERROR(INDEX(TableTEMaster[BYE],MATCH(TableWRTECalcPts[[#This Row],[POSRef]],TableTEMaster[TERef],0)),"")</f>
        <v>5</v>
      </c>
      <c r="AP14" s="3">
        <f>IFERROR(INDEX(TableTEMaster[Custom],MATCH(TableWRTECalcPts[[#This Row],[POSRef]],TableTEMaster[TERef],0)),"")</f>
        <v>52.136489551557439</v>
      </c>
    </row>
    <row r="15" spans="1:42" x14ac:dyDescent="0.25">
      <c r="A15" s="4">
        <f>IFERROR(RANK(TableQBCalcPts[[#This Row],[Custom]],TableQBCalcPts[Custom])+COUNTIF($F$3:F15,F15)-1,"")</f>
        <v>48</v>
      </c>
      <c r="B15" s="2">
        <v>13</v>
      </c>
      <c r="C15" s="2" t="str">
        <f>IFERROR(INDEX(TableQBMaster[Player],MATCH(TableQBCalcPts[[#This Row],[QBRef]],TableQBMaster[QBRef],0)),"")</f>
        <v>Tyson Bagent</v>
      </c>
      <c r="D15" s="2" t="str">
        <f>IFERROR(INDEX(TableQBMaster[TM],MATCH(TableQBCalcPts[[#This Row],[QBRef]],TableQBMaster[QBRef],0)),"")</f>
        <v>CHI</v>
      </c>
      <c r="E15" s="2">
        <f>IFERROR(INDEX(TableQBMaster[BYE],MATCH(TableQBCalcPts[[#This Row],[QBRef]],TableQBMaster[QBRef],0)),"")</f>
        <v>10</v>
      </c>
      <c r="F15" s="3">
        <f>IFERROR(INDEX(TableQBMaster[Custom],MATCH(TableQBCalcPts[[#This Row],[QBRef]],TableQBMaster[QBRef],0)),"")</f>
        <v>10.328868025428866</v>
      </c>
      <c r="H15" s="2">
        <f>IFERROR(RANK(TableRBCalcPts[[#This Row],[Custom]],TableRBCalcPts[Custom])+COUNTIF($M$3:M15,M15)-1,"")</f>
        <v>55</v>
      </c>
      <c r="I15" s="2">
        <v>13</v>
      </c>
      <c r="J15" s="2" t="str">
        <f>IFERROR(INDEX(TableRBMaster[Player],MATCH(TableRBCalcPts[[#This Row],[RBRef]],TableRBMaster[RBRef],0)),"")</f>
        <v>Ty Johnson</v>
      </c>
      <c r="K15" s="2" t="str">
        <f>IFERROR(INDEX(TableRBMaster[TM],MATCH(TableRBCalcPts[[#This Row],[RBRef]],TableRBMaster[RBRef],0)),"")</f>
        <v>BUF</v>
      </c>
      <c r="L15" s="2">
        <f>IFERROR(INDEX(TableRBMaster[BYE],MATCH(TableRBCalcPts[[#This Row],[RBRef]],TableRBMaster[RBRef],0)),"")</f>
        <v>7</v>
      </c>
      <c r="M15" s="3">
        <f>IFERROR(INDEX(TableRBMaster[Custom],MATCH(TableRBCalcPts[[#This Row],[RBRef]],TableRBMaster[RBRef],0)),"")</f>
        <v>76.263725513807657</v>
      </c>
      <c r="O15" s="2">
        <f>IFERROR(RANK(TableWRCalcPts[[#This Row],[Custom]],TableWRCalcPts[Custom])+COUNTIF($T$3:T15,T15)-1,"")</f>
        <v>75</v>
      </c>
      <c r="P15" s="2">
        <v>13</v>
      </c>
      <c r="Q15" s="2" t="str">
        <f>IFERROR(INDEX(TableWRMaster[Player],MATCH(TableWRCalcPts[[#This Row],[WRRef]],TableWRMaster[WRRef],0)),"")</f>
        <v>Rashod Bateman</v>
      </c>
      <c r="R15" s="2" t="str">
        <f>IFERROR(INDEX(TableWRMaster[TM],MATCH(TableWRCalcPts[[#This Row],[WRRef]],TableWRMaster[WRRef],0)),"")</f>
        <v>BAL</v>
      </c>
      <c r="S15" s="2">
        <f>IFERROR(INDEX(TableWRMaster[BYE],MATCH(TableWRCalcPts[[#This Row],[WRRef]],TableWRMaster[WRRef],0)),"")</f>
        <v>13</v>
      </c>
      <c r="T15" s="3">
        <f>IFERROR(INDEX(TableWRMaster[Custom],MATCH(TableWRCalcPts[[#This Row],[WRRef]],TableWRMaster[WRRef],0)),"")</f>
        <v>88.222170607161729</v>
      </c>
      <c r="V15" s="2">
        <f>IFERROR(RANK(TableTECalcPts[[#This Row],[Custom]],TableTECalcPts[Custom])+COUNTIF($AA$3:AA15,AA15)-1,"")</f>
        <v>43</v>
      </c>
      <c r="W15" s="2">
        <v>13</v>
      </c>
      <c r="X15" s="2" t="str">
        <f>IFERROR(INDEX(TableTEMaster[Player],MATCH(TableTECalcPts[[#This Row],[TERef]],TableTEMaster[TERef],0)),"")</f>
        <v>Tommy Tremble</v>
      </c>
      <c r="Y15" s="2" t="str">
        <f>IFERROR(INDEX(TableTEMaster[TM],MATCH(TableTECalcPts[[#This Row],[TERef]],TableTEMaster[TERef],0)),"")</f>
        <v>CAR</v>
      </c>
      <c r="Z15" s="2">
        <f>IFERROR(INDEX(TableTEMaster[BYE],MATCH(TableTECalcPts[[#This Row],[TERef]],TableTEMaster[TERef],0)),"")</f>
        <v>5</v>
      </c>
      <c r="AA15" s="3">
        <f>IFERROR(INDEX(TableTEMaster[Custom],MATCH(TableTECalcPts[[#This Row],[TERef]],TableTEMaster[TERef],0)),"")</f>
        <v>41.058899402597987</v>
      </c>
      <c r="AC15" s="2">
        <f>IFERROR(RANK(TableDSTCalcPts[[#This Row],[Custom]],TableDSTCalcPts[Custom],0),"")</f>
        <v>1</v>
      </c>
      <c r="AD15" s="2">
        <v>13</v>
      </c>
      <c r="AE15" s="2" t="str">
        <f>IFERROR(INDEX(TableDSTMaster[Player],MATCH(TableDSTCalcPts[[#This Row],[DSTRef]],TableDSTMaster[DSTRef],0)),"")</f>
        <v>Houston Texans</v>
      </c>
      <c r="AF15" s="2">
        <f>IFERROR(INDEX(TableDSTMaster[BYE],MATCH(TableDSTCalcPts[[#This Row],[DSTRef]],TableDSTMaster[DSTRef],0)),"")</f>
        <v>8</v>
      </c>
      <c r="AG15" s="3">
        <f>IFERROR(INDEX(TableDSTMaster[Custom],MATCH(TableDSTCalcPts[[#This Row],[DSTRef]],TableDSTMaster[DSTRef],0)),"")</f>
        <v>147.00238095238095</v>
      </c>
      <c r="AI15" s="2" t="s">
        <v>8</v>
      </c>
      <c r="AJ15" s="2">
        <f>IFERROR(RANK(TableWRTECalcPts[[#This Row],[Custom]],TableWRTECalcPts[Custom])+COUNTIF($AP$3:AP15,AP15)-1,"")</f>
        <v>153</v>
      </c>
      <c r="AK15" s="2">
        <v>13</v>
      </c>
      <c r="AL15" s="2" t="str">
        <f>IFERROR(INDEX(TableTEMaster[Player],MATCH(TableWRTECalcPts[[#This Row],[POSRef]],TableTEMaster[TERef],0)),"")</f>
        <v>Tommy Tremble</v>
      </c>
      <c r="AM15" s="2" t="str">
        <f>IFERROR(_xlfn.CONCAT(TableWRTECalcPts[[#This Row],[POS]],INDEX(TableTERanks[RK],MATCH(TableWRTECalcPts[[#This Row],[PLAYER]],TableTERanks[Player],0))),"")</f>
        <v>TE43</v>
      </c>
      <c r="AN15" s="2" t="str">
        <f>IFERROR(INDEX(TableTEMaster[TM],MATCH(TableWRTECalcPts[[#This Row],[POSRef]],TableTEMaster[TERef],0)),"")</f>
        <v>CAR</v>
      </c>
      <c r="AO15" s="2">
        <f>IFERROR(INDEX(TableTEMaster[BYE],MATCH(TableWRTECalcPts[[#This Row],[POSRef]],TableTEMaster[TERef],0)),"")</f>
        <v>5</v>
      </c>
      <c r="AP15" s="3">
        <f>IFERROR(INDEX(TableTEMaster[Custom],MATCH(TableWRTECalcPts[[#This Row],[POSRef]],TableTEMaster[TERef],0)),"")</f>
        <v>41.058899402597987</v>
      </c>
    </row>
    <row r="16" spans="1:42" x14ac:dyDescent="0.25">
      <c r="A16" s="4">
        <f>IFERROR(RANK(TableQBCalcPts[[#This Row],[Custom]],TableQBCalcPts[Custom])+COUNTIF($F$3:F16,F16)-1,"")</f>
        <v>2</v>
      </c>
      <c r="B16" s="2">
        <v>14</v>
      </c>
      <c r="C16" s="2" t="str">
        <f>IFERROR(INDEX(TableQBMaster[Player],MATCH(TableQBCalcPts[[#This Row],[QBRef]],TableQBMaster[QBRef],0)),"")</f>
        <v>Joe Burrow</v>
      </c>
      <c r="D16" s="2" t="str">
        <f>IFERROR(INDEX(TableQBMaster[TM],MATCH(TableQBCalcPts[[#This Row],[QBRef]],TableQBMaster[QBRef],0)),"")</f>
        <v>CIN</v>
      </c>
      <c r="E16" s="2">
        <f>IFERROR(INDEX(TableQBMaster[BYE],MATCH(TableQBCalcPts[[#This Row],[QBRef]],TableQBMaster[QBRef],0)),"")</f>
        <v>6</v>
      </c>
      <c r="F16" s="3">
        <f>IFERROR(INDEX(TableQBMaster[Custom],MATCH(TableQBCalcPts[[#This Row],[QBRef]],TableQBMaster[QBRef],0)),"")</f>
        <v>448.82704920258811</v>
      </c>
      <c r="H16" s="2">
        <f>IFERROR(RANK(TableRBCalcPts[[#This Row],[Custom]],TableRBCalcPts[Custom])+COUNTIF($M$3:M16,M16)-1,"")</f>
        <v>63</v>
      </c>
      <c r="I16" s="2">
        <v>14</v>
      </c>
      <c r="J16" s="2" t="str">
        <f>IFERROR(INDEX(TableRBMaster[Player],MATCH(TableRBCalcPts[[#This Row],[RBRef]],TableRBMaster[RBRef],0)),"")</f>
        <v>Ray Davis</v>
      </c>
      <c r="K16" s="2" t="str">
        <f>IFERROR(INDEX(TableRBMaster[TM],MATCH(TableRBCalcPts[[#This Row],[RBRef]],TableRBMaster[RBRef],0)),"")</f>
        <v>BUF</v>
      </c>
      <c r="L16" s="2">
        <f>IFERROR(INDEX(TableRBMaster[BYE],MATCH(TableRBCalcPts[[#This Row],[RBRef]],TableRBMaster[RBRef],0)),"")</f>
        <v>7</v>
      </c>
      <c r="M16" s="3">
        <f>IFERROR(INDEX(TableRBMaster[Custom],MATCH(TableRBCalcPts[[#This Row],[RBRef]],TableRBMaster[RBRef],0)),"")</f>
        <v>48.763805613529733</v>
      </c>
      <c r="O16" s="2">
        <f>IFERROR(RANK(TableWRCalcPts[[#This Row],[Custom]],TableWRCalcPts[Custom])+COUNTIF($T$3:T16,T16)-1,"")</f>
        <v>91</v>
      </c>
      <c r="P16" s="2">
        <v>14</v>
      </c>
      <c r="Q16" s="2" t="str">
        <f>IFERROR(INDEX(TableWRMaster[Player],MATCH(TableWRCalcPts[[#This Row],[WRRef]],TableWRMaster[WRRef],0)),"")</f>
        <v>Ja'Kobi Lane</v>
      </c>
      <c r="R16" s="2" t="str">
        <f>IFERROR(INDEX(TableWRMaster[TM],MATCH(TableWRCalcPts[[#This Row],[WRRef]],TableWRMaster[WRRef],0)),"")</f>
        <v>BAL</v>
      </c>
      <c r="S16" s="2">
        <f>IFERROR(INDEX(TableWRMaster[BYE],MATCH(TableWRCalcPts[[#This Row],[WRRef]],TableWRMaster[WRRef],0)),"")</f>
        <v>13</v>
      </c>
      <c r="T16" s="3">
        <f>IFERROR(INDEX(TableWRMaster[Custom],MATCH(TableWRCalcPts[[#This Row],[WRRef]],TableWRMaster[WRRef],0)),"")</f>
        <v>58.907507146847031</v>
      </c>
      <c r="V16" s="2">
        <f>IFERROR(RANK(TableTECalcPts[[#This Row],[Custom]],TableTECalcPts[Custom])+COUNTIF($AA$3:AA16,AA16)-1,"")</f>
        <v>52</v>
      </c>
      <c r="W16" s="2">
        <v>14</v>
      </c>
      <c r="X16" s="2" t="str">
        <f>IFERROR(INDEX(TableTEMaster[Player],MATCH(TableTECalcPts[[#This Row],[TERef]],TableTEMaster[TERef],0)),"")</f>
        <v>Mitchell Evans</v>
      </c>
      <c r="Y16" s="2" t="str">
        <f>IFERROR(INDEX(TableTEMaster[TM],MATCH(TableTECalcPts[[#This Row],[TERef]],TableTEMaster[TERef],0)),"")</f>
        <v>CAR</v>
      </c>
      <c r="Z16" s="2">
        <f>IFERROR(INDEX(TableTEMaster[BYE],MATCH(TableTECalcPts[[#This Row],[TERef]],TableTEMaster[TERef],0)),"")</f>
        <v>5</v>
      </c>
      <c r="AA16" s="3">
        <f>IFERROR(INDEX(TableTEMaster[Custom],MATCH(TableTECalcPts[[#This Row],[TERef]],TableTEMaster[TERef],0)),"")</f>
        <v>29.061253155538388</v>
      </c>
      <c r="AC16" s="2">
        <f>IFERROR(RANK(TableDSTCalcPts[[#This Row],[Custom]],TableDSTCalcPts[Custom],0),"")</f>
        <v>18</v>
      </c>
      <c r="AD16" s="2">
        <v>14</v>
      </c>
      <c r="AE16" s="2" t="str">
        <f>IFERROR(INDEX(TableDSTMaster[Player],MATCH(TableDSTCalcPts[[#This Row],[DSTRef]],TableDSTMaster[DSTRef],0)),"")</f>
        <v>Indianapolis Colts</v>
      </c>
      <c r="AF16" s="2">
        <f>IFERROR(INDEX(TableDSTMaster[BYE],MATCH(TableDSTCalcPts[[#This Row],[DSTRef]],TableDSTMaster[DSTRef],0)),"")</f>
        <v>13</v>
      </c>
      <c r="AG16" s="3">
        <f>IFERROR(INDEX(TableDSTMaster[Custom],MATCH(TableDSTCalcPts[[#This Row],[DSTRef]],TableDSTMaster[DSTRef],0)),"")</f>
        <v>114.31190476190477</v>
      </c>
      <c r="AI16" s="2" t="s">
        <v>8</v>
      </c>
      <c r="AJ16" s="2">
        <f>IFERROR(RANK(TableWRTECalcPts[[#This Row],[Custom]],TableWRTECalcPts[Custom])+COUNTIF($AP$3:AP16,AP16)-1,"")</f>
        <v>173</v>
      </c>
      <c r="AK16" s="2">
        <v>14</v>
      </c>
      <c r="AL16" s="2" t="str">
        <f>IFERROR(INDEX(TableTEMaster[Player],MATCH(TableWRTECalcPts[[#This Row],[POSRef]],TableTEMaster[TERef],0)),"")</f>
        <v>Mitchell Evans</v>
      </c>
      <c r="AM16" s="2" t="str">
        <f>IFERROR(_xlfn.CONCAT(TableWRTECalcPts[[#This Row],[POS]],INDEX(TableTERanks[RK],MATCH(TableWRTECalcPts[[#This Row],[PLAYER]],TableTERanks[Player],0))),"")</f>
        <v>TE52</v>
      </c>
      <c r="AN16" s="2" t="str">
        <f>IFERROR(INDEX(TableTEMaster[TM],MATCH(TableWRTECalcPts[[#This Row],[POSRef]],TableTEMaster[TERef],0)),"")</f>
        <v>CAR</v>
      </c>
      <c r="AO16" s="2">
        <f>IFERROR(INDEX(TableTEMaster[BYE],MATCH(TableWRTECalcPts[[#This Row],[POSRef]],TableTEMaster[TERef],0)),"")</f>
        <v>5</v>
      </c>
      <c r="AP16" s="3">
        <f>IFERROR(INDEX(TableTEMaster[Custom],MATCH(TableWRTECalcPts[[#This Row],[POSRef]],TableTEMaster[TERef],0)),"")</f>
        <v>29.061253155538388</v>
      </c>
    </row>
    <row r="17" spans="1:42" x14ac:dyDescent="0.25">
      <c r="A17" s="4">
        <f>IFERROR(RANK(TableQBCalcPts[[#This Row],[Custom]],TableQBCalcPts[Custom])+COUNTIF($F$3:F17,F17)-1,"")</f>
        <v>40</v>
      </c>
      <c r="B17" s="2">
        <v>15</v>
      </c>
      <c r="C17" s="2" t="str">
        <f>IFERROR(INDEX(TableQBMaster[Player],MATCH(TableQBCalcPts[[#This Row],[QBRef]],TableQBMaster[QBRef],0)),"")</f>
        <v>Joe Flacco</v>
      </c>
      <c r="D17" s="2" t="str">
        <f>IFERROR(INDEX(TableQBMaster[TM],MATCH(TableQBCalcPts[[#This Row],[QBRef]],TableQBMaster[QBRef],0)),"")</f>
        <v>CIN</v>
      </c>
      <c r="E17" s="2">
        <f>IFERROR(INDEX(TableQBMaster[BYE],MATCH(TableQBCalcPts[[#This Row],[QBRef]],TableQBMaster[QBRef],0)),"")</f>
        <v>6</v>
      </c>
      <c r="F17" s="3">
        <f>IFERROR(INDEX(TableQBMaster[Custom],MATCH(TableQBCalcPts[[#This Row],[QBRef]],TableQBMaster[QBRef],0)),"")</f>
        <v>18.398348837547346</v>
      </c>
      <c r="H17" s="2">
        <f>IFERROR(RANK(TableRBCalcPts[[#This Row],[Custom]],TableRBCalcPts[Custom])+COUNTIF($M$3:M17,M17)-1,"")</f>
        <v>30</v>
      </c>
      <c r="I17" s="2">
        <v>15</v>
      </c>
      <c r="J17" s="2" t="str">
        <f>IFERROR(INDEX(TableRBMaster[Player],MATCH(TableRBCalcPts[[#This Row],[RBRef]],TableRBMaster[RBRef],0)),"")</f>
        <v>Chuba Hubbard</v>
      </c>
      <c r="K17" s="2" t="str">
        <f>IFERROR(INDEX(TableRBMaster[TM],MATCH(TableRBCalcPts[[#This Row],[RBRef]],TableRBMaster[RBRef],0)),"")</f>
        <v>CAR</v>
      </c>
      <c r="L17" s="2">
        <f>IFERROR(INDEX(TableRBMaster[BYE],MATCH(TableRBCalcPts[[#This Row],[RBRef]],TableRBMaster[RBRef],0)),"")</f>
        <v>5</v>
      </c>
      <c r="M17" s="3">
        <f>IFERROR(INDEX(TableRBMaster[Custom],MATCH(TableRBCalcPts[[#This Row],[RBRef]],TableRBMaster[RBRef],0)),"")</f>
        <v>169.64248035544395</v>
      </c>
      <c r="O17" s="2">
        <f>IFERROR(RANK(TableWRCalcPts[[#This Row],[Custom]],TableWRCalcPts[Custom])+COUNTIF($T$3:T17,T17)-1,"")</f>
        <v>83</v>
      </c>
      <c r="P17" s="2">
        <v>15</v>
      </c>
      <c r="Q17" s="2" t="str">
        <f>IFERROR(INDEX(TableWRMaster[Player],MATCH(TableWRCalcPts[[#This Row],[WRRef]],TableWRMaster[WRRef],0)),"")</f>
        <v>Elijah Sarratt</v>
      </c>
      <c r="R17" s="2" t="str">
        <f>IFERROR(INDEX(TableWRMaster[TM],MATCH(TableWRCalcPts[[#This Row],[WRRef]],TableWRMaster[WRRef],0)),"")</f>
        <v>BAL</v>
      </c>
      <c r="S17" s="2">
        <f>IFERROR(INDEX(TableWRMaster[BYE],MATCH(TableWRCalcPts[[#This Row],[WRRef]],TableWRMaster[WRRef],0)),"")</f>
        <v>13</v>
      </c>
      <c r="T17" s="3">
        <f>IFERROR(INDEX(TableWRMaster[Custom],MATCH(TableWRCalcPts[[#This Row],[WRRef]],TableWRMaster[WRRef],0)),"")</f>
        <v>64.331268238132509</v>
      </c>
      <c r="V17" s="2">
        <f>IFERROR(RANK(TableTECalcPts[[#This Row],[Custom]],TableTECalcPts[Custom])+COUNTIF($AA$3:AA17,AA17)-1,"")</f>
        <v>1</v>
      </c>
      <c r="W17" s="2">
        <v>15</v>
      </c>
      <c r="X17" s="2" t="str">
        <f>IFERROR(INDEX(TableTEMaster[Player],MATCH(TableTECalcPts[[#This Row],[TERef]],TableTEMaster[TERef],0)),"")</f>
        <v>Colston Loveland</v>
      </c>
      <c r="Y17" s="2" t="str">
        <f>IFERROR(INDEX(TableTEMaster[TM],MATCH(TableTECalcPts[[#This Row],[TERef]],TableTEMaster[TERef],0)),"")</f>
        <v>CHI</v>
      </c>
      <c r="Z17" s="2">
        <f>IFERROR(INDEX(TableTEMaster[BYE],MATCH(TableTECalcPts[[#This Row],[TERef]],TableTEMaster[TERef],0)),"")</f>
        <v>10</v>
      </c>
      <c r="AA17" s="3">
        <f>IFERROR(INDEX(TableTEMaster[Custom],MATCH(TableTECalcPts[[#This Row],[TERef]],TableTEMaster[TERef],0)),"")</f>
        <v>193.51107011578497</v>
      </c>
      <c r="AC17" s="2">
        <f>IFERROR(RANK(TableDSTCalcPts[[#This Row],[Custom]],TableDSTCalcPts[Custom],0),"")</f>
        <v>10</v>
      </c>
      <c r="AD17" s="2">
        <v>15</v>
      </c>
      <c r="AE17" s="2" t="str">
        <f>IFERROR(INDEX(TableDSTMaster[Player],MATCH(TableDSTCalcPts[[#This Row],[DSTRef]],TableDSTMaster[DSTRef],0)),"")</f>
        <v>Jacksonville Jaguars</v>
      </c>
      <c r="AF17" s="2">
        <f>IFERROR(INDEX(TableDSTMaster[BYE],MATCH(TableDSTCalcPts[[#This Row],[DSTRef]],TableDSTMaster[DSTRef],0)),"")</f>
        <v>7</v>
      </c>
      <c r="AG17" s="3">
        <f>IFERROR(INDEX(TableDSTMaster[Custom],MATCH(TableDSTCalcPts[[#This Row],[DSTRef]],TableDSTMaster[DSTRef],0)),"")</f>
        <v>126.9047619047619</v>
      </c>
      <c r="AI17" s="2" t="s">
        <v>8</v>
      </c>
      <c r="AJ17" s="2">
        <f>IFERROR(RANK(TableWRTECalcPts[[#This Row],[Custom]],TableWRTECalcPts[Custom])+COUNTIF($AP$3:AP17,AP17)-1,"")</f>
        <v>19</v>
      </c>
      <c r="AK17" s="2">
        <v>15</v>
      </c>
      <c r="AL17" s="2" t="str">
        <f>IFERROR(INDEX(TableTEMaster[Player],MATCH(TableWRTECalcPts[[#This Row],[POSRef]],TableTEMaster[TERef],0)),"")</f>
        <v>Colston Loveland</v>
      </c>
      <c r="AM17" s="2" t="str">
        <f>IFERROR(_xlfn.CONCAT(TableWRTECalcPts[[#This Row],[POS]],INDEX(TableTERanks[RK],MATCH(TableWRTECalcPts[[#This Row],[PLAYER]],TableTERanks[Player],0))),"")</f>
        <v>TE1</v>
      </c>
      <c r="AN17" s="2" t="str">
        <f>IFERROR(INDEX(TableTEMaster[TM],MATCH(TableWRTECalcPts[[#This Row],[POSRef]],TableTEMaster[TERef],0)),"")</f>
        <v>CHI</v>
      </c>
      <c r="AO17" s="2">
        <f>IFERROR(INDEX(TableTEMaster[BYE],MATCH(TableWRTECalcPts[[#This Row],[POSRef]],TableTEMaster[TERef],0)),"")</f>
        <v>10</v>
      </c>
      <c r="AP17" s="3">
        <f>IFERROR(INDEX(TableTEMaster[Custom],MATCH(TableWRTECalcPts[[#This Row],[POSRef]],TableTEMaster[TERef],0)),"")</f>
        <v>193.51107011578497</v>
      </c>
    </row>
    <row r="18" spans="1:42" x14ac:dyDescent="0.25">
      <c r="A18" s="4">
        <f>IFERROR(RANK(TableQBCalcPts[[#This Row],[Custom]],TableQBCalcPts[Custom])+COUNTIF($F$3:F18,F18)-1,"")</f>
        <v>32</v>
      </c>
      <c r="B18" s="2">
        <v>16</v>
      </c>
      <c r="C18" s="2" t="str">
        <f>IFERROR(INDEX(TableQBMaster[Player],MATCH(TableQBCalcPts[[#This Row],[QBRef]],TableQBMaster[QBRef],0)),"")</f>
        <v>Shedeur Sanders</v>
      </c>
      <c r="D18" s="2" t="str">
        <f>IFERROR(INDEX(TableQBMaster[TM],MATCH(TableQBCalcPts[[#This Row],[QBRef]],TableQBMaster[QBRef],0)),"")</f>
        <v>CLE</v>
      </c>
      <c r="E18" s="2">
        <f>IFERROR(INDEX(TableQBMaster[BYE],MATCH(TableQBCalcPts[[#This Row],[QBRef]],TableQBMaster[QBRef],0)),"")</f>
        <v>11</v>
      </c>
      <c r="F18" s="3">
        <f>IFERROR(INDEX(TableQBMaster[Custom],MATCH(TableQBCalcPts[[#This Row],[QBRef]],TableQBMaster[QBRef],0)),"")</f>
        <v>156.36882801555461</v>
      </c>
      <c r="H18" s="2">
        <f>IFERROR(RANK(TableRBCalcPts[[#This Row],[Custom]],TableRBCalcPts[Custom])+COUNTIF($M$3:M18,M18)-1,"")</f>
        <v>38</v>
      </c>
      <c r="I18" s="2">
        <v>16</v>
      </c>
      <c r="J18" s="2" t="str">
        <f>IFERROR(INDEX(TableRBMaster[Player],MATCH(TableRBCalcPts[[#This Row],[RBRef]],TableRBMaster[RBRef],0)),"")</f>
        <v>Jonathon Brooks</v>
      </c>
      <c r="K18" s="2" t="str">
        <f>IFERROR(INDEX(TableRBMaster[TM],MATCH(TableRBCalcPts[[#This Row],[RBRef]],TableRBMaster[RBRef],0)),"")</f>
        <v>CAR</v>
      </c>
      <c r="L18" s="2">
        <f>IFERROR(INDEX(TableRBMaster[BYE],MATCH(TableRBCalcPts[[#This Row],[RBRef]],TableRBMaster[RBRef],0)),"")</f>
        <v>5</v>
      </c>
      <c r="M18" s="3">
        <f>IFERROR(INDEX(TableRBMaster[Custom],MATCH(TableRBCalcPts[[#This Row],[RBRef]],TableRBMaster[RBRef],0)),"")</f>
        <v>126.32116015930738</v>
      </c>
      <c r="O18" s="2">
        <f>IFERROR(RANK(TableWRCalcPts[[#This Row],[Custom]],TableWRCalcPts[Custom])+COUNTIF($T$3:T18,T18)-1,"")</f>
        <v>111</v>
      </c>
      <c r="P18" s="2">
        <v>16</v>
      </c>
      <c r="Q18" s="2" t="str">
        <f>IFERROR(INDEX(TableWRMaster[Player],MATCH(TableWRCalcPts[[#This Row],[WRRef]],TableWRMaster[WRRef],0)),"")</f>
        <v>Devontez Walker</v>
      </c>
      <c r="R18" s="2" t="str">
        <f>IFERROR(INDEX(TableWRMaster[TM],MATCH(TableWRCalcPts[[#This Row],[WRRef]],TableWRMaster[WRRef],0)),"")</f>
        <v>BAL</v>
      </c>
      <c r="S18" s="2">
        <f>IFERROR(INDEX(TableWRMaster[BYE],MATCH(TableWRCalcPts[[#This Row],[WRRef]],TableWRMaster[WRRef],0)),"")</f>
        <v>13</v>
      </c>
      <c r="T18" s="3">
        <f>IFERROR(INDEX(TableWRMaster[Custom],MATCH(TableWRCalcPts[[#This Row],[WRRef]],TableWRMaster[WRRef],0)),"")</f>
        <v>40.708507950084538</v>
      </c>
      <c r="V18" s="2">
        <f>IFERROR(RANK(TableTECalcPts[[#This Row],[Custom]],TableTECalcPts[Custom])+COUNTIF($AA$3:AA18,AA18)-1,"")</f>
        <v>40</v>
      </c>
      <c r="W18" s="2">
        <v>16</v>
      </c>
      <c r="X18" s="2" t="str">
        <f>IFERROR(INDEX(TableTEMaster[Player],MATCH(TableTECalcPts[[#This Row],[TERef]],TableTEMaster[TERef],0)),"")</f>
        <v>Cole Kmet</v>
      </c>
      <c r="Y18" s="2" t="str">
        <f>IFERROR(INDEX(TableTEMaster[TM],MATCH(TableTECalcPts[[#This Row],[TERef]],TableTEMaster[TERef],0)),"")</f>
        <v>CHI</v>
      </c>
      <c r="Z18" s="2">
        <f>IFERROR(INDEX(TableTEMaster[BYE],MATCH(TableTECalcPts[[#This Row],[TERef]],TableTEMaster[TERef],0)),"")</f>
        <v>10</v>
      </c>
      <c r="AA18" s="3">
        <f>IFERROR(INDEX(TableTEMaster[Custom],MATCH(TableTECalcPts[[#This Row],[TERef]],TableTEMaster[TERef],0)),"")</f>
        <v>47.577931581028814</v>
      </c>
      <c r="AC18" s="2">
        <f>IFERROR(RANK(TableDSTCalcPts[[#This Row],[Custom]],TableDSTCalcPts[Custom],0),"")</f>
        <v>23</v>
      </c>
      <c r="AD18" s="2">
        <v>16</v>
      </c>
      <c r="AE18" s="2" t="str">
        <f>IFERROR(INDEX(TableDSTMaster[Player],MATCH(TableDSTCalcPts[[#This Row],[DSTRef]],TableDSTMaster[DSTRef],0)),"")</f>
        <v>Kansas City Chiefs</v>
      </c>
      <c r="AF18" s="2">
        <f>IFERROR(INDEX(TableDSTMaster[BYE],MATCH(TableDSTCalcPts[[#This Row],[DSTRef]],TableDSTMaster[DSTRef],0)),"")</f>
        <v>5</v>
      </c>
      <c r="AG18" s="3">
        <f>IFERROR(INDEX(TableDSTMaster[Custom],MATCH(TableDSTCalcPts[[#This Row],[DSTRef]],TableDSTMaster[DSTRef],0)),"")</f>
        <v>108.76428571428572</v>
      </c>
      <c r="AI18" s="2" t="s">
        <v>8</v>
      </c>
      <c r="AJ18" s="2">
        <f>IFERROR(RANK(TableWRTECalcPts[[#This Row],[Custom]],TableWRTECalcPts[Custom])+COUNTIF($AP$3:AP18,AP18)-1,"")</f>
        <v>144</v>
      </c>
      <c r="AK18" s="2">
        <v>16</v>
      </c>
      <c r="AL18" s="2" t="str">
        <f>IFERROR(INDEX(TableTEMaster[Player],MATCH(TableWRTECalcPts[[#This Row],[POSRef]],TableTEMaster[TERef],0)),"")</f>
        <v>Cole Kmet</v>
      </c>
      <c r="AM18" s="2" t="str">
        <f>IFERROR(_xlfn.CONCAT(TableWRTECalcPts[[#This Row],[POS]],INDEX(TableTERanks[RK],MATCH(TableWRTECalcPts[[#This Row],[PLAYER]],TableTERanks[Player],0))),"")</f>
        <v>TE40</v>
      </c>
      <c r="AN18" s="2" t="str">
        <f>IFERROR(INDEX(TableTEMaster[TM],MATCH(TableWRTECalcPts[[#This Row],[POSRef]],TableTEMaster[TERef],0)),"")</f>
        <v>CHI</v>
      </c>
      <c r="AO18" s="2">
        <f>IFERROR(INDEX(TableTEMaster[BYE],MATCH(TableWRTECalcPts[[#This Row],[POSRef]],TableTEMaster[TERef],0)),"")</f>
        <v>10</v>
      </c>
      <c r="AP18" s="3">
        <f>IFERROR(INDEX(TableTEMaster[Custom],MATCH(TableWRTECalcPts[[#This Row],[POSRef]],TableTEMaster[TERef],0)),"")</f>
        <v>47.577931581028814</v>
      </c>
    </row>
    <row r="19" spans="1:42" x14ac:dyDescent="0.25">
      <c r="A19" s="4">
        <f>IFERROR(RANK(TableQBCalcPts[[#This Row],[Custom]],TableQBCalcPts[Custom])+COUNTIF($F$3:F19,F19)-1,"")</f>
        <v>33</v>
      </c>
      <c r="B19" s="2">
        <v>17</v>
      </c>
      <c r="C19" s="2" t="str">
        <f>IFERROR(INDEX(TableQBMaster[Player],MATCH(TableQBCalcPts[[#This Row],[QBRef]],TableQBMaster[QBRef],0)),"")</f>
        <v>Deshaun Watson</v>
      </c>
      <c r="D19" s="2" t="str">
        <f>IFERROR(INDEX(TableQBMaster[TM],MATCH(TableQBCalcPts[[#This Row],[QBRef]],TableQBMaster[QBRef],0)),"")</f>
        <v>CLE</v>
      </c>
      <c r="E19" s="2">
        <f>IFERROR(INDEX(TableQBMaster[BYE],MATCH(TableQBCalcPts[[#This Row],[QBRef]],TableQBMaster[QBRef],0)),"")</f>
        <v>11</v>
      </c>
      <c r="F19" s="3">
        <f>IFERROR(INDEX(TableQBMaster[Custom],MATCH(TableQBCalcPts[[#This Row],[QBRef]],TableQBMaster[QBRef],0)),"")</f>
        <v>148.1598360756762</v>
      </c>
      <c r="H19" s="2">
        <f>IFERROR(RANK(TableRBCalcPts[[#This Row],[Custom]],TableRBCalcPts[Custom])+COUNTIF($M$3:M19,M19)-1,"")</f>
        <v>100</v>
      </c>
      <c r="I19" s="2">
        <v>17</v>
      </c>
      <c r="J19" s="2" t="str">
        <f>IFERROR(INDEX(TableRBMaster[Player],MATCH(TableRBCalcPts[[#This Row],[RBRef]],TableRBMaster[RBRef],0)),"")</f>
        <v>AJ Dillon</v>
      </c>
      <c r="K19" s="2" t="str">
        <f>IFERROR(INDEX(TableRBMaster[TM],MATCH(TableRBCalcPts[[#This Row],[RBRef]],TableRBMaster[RBRef],0)),"")</f>
        <v>CAR</v>
      </c>
      <c r="L19" s="2">
        <f>IFERROR(INDEX(TableRBMaster[BYE],MATCH(TableRBCalcPts[[#This Row],[RBRef]],TableRBMaster[RBRef],0)),"")</f>
        <v>5</v>
      </c>
      <c r="M19" s="3">
        <f>IFERROR(INDEX(TableRBMaster[Custom],MATCH(TableRBCalcPts[[#This Row],[RBRef]],TableRBMaster[RBRef],0)),"")</f>
        <v>11.967500160000002</v>
      </c>
      <c r="O19" s="2">
        <f>IFERROR(RANK(TableWRCalcPts[[#This Row],[Custom]],TableWRCalcPts[Custom])+COUNTIF($T$3:T19,T19)-1,"")</f>
        <v>27</v>
      </c>
      <c r="P19" s="2">
        <v>17</v>
      </c>
      <c r="Q19" s="2" t="str">
        <f>IFERROR(INDEX(TableWRMaster[Player],MATCH(TableWRCalcPts[[#This Row],[WRRef]],TableWRMaster[WRRef],0)),"")</f>
        <v>DJ Moore</v>
      </c>
      <c r="R19" s="2" t="str">
        <f>IFERROR(INDEX(TableWRMaster[TM],MATCH(TableWRCalcPts[[#This Row],[WRRef]],TableWRMaster[WRRef],0)),"")</f>
        <v>BUF</v>
      </c>
      <c r="S19" s="2">
        <f>IFERROR(INDEX(TableWRMaster[BYE],MATCH(TableWRCalcPts[[#This Row],[WRRef]],TableWRMaster[WRRef],0)),"")</f>
        <v>7</v>
      </c>
      <c r="T19" s="3">
        <f>IFERROR(INDEX(TableWRMaster[Custom],MATCH(TableWRCalcPts[[#This Row],[WRRef]],TableWRMaster[WRRef],0)),"")</f>
        <v>185.89535424952149</v>
      </c>
      <c r="V19" s="2">
        <f>IFERROR(RANK(TableTECalcPts[[#This Row],[Custom]],TableTECalcPts[Custom])+COUNTIF($AA$3:AA19,AA19)-1,"")</f>
        <v>72</v>
      </c>
      <c r="W19" s="2">
        <v>17</v>
      </c>
      <c r="X19" s="2" t="str">
        <f>IFERROR(INDEX(TableTEMaster[Player],MATCH(TableTECalcPts[[#This Row],[TERef]],TableTEMaster[TERef],0)),"")</f>
        <v>Sam Roush</v>
      </c>
      <c r="Y19" s="2" t="str">
        <f>IFERROR(INDEX(TableTEMaster[TM],MATCH(TableTECalcPts[[#This Row],[TERef]],TableTEMaster[TERef],0)),"")</f>
        <v>CHI</v>
      </c>
      <c r="Z19" s="2">
        <f>IFERROR(INDEX(TableTEMaster[BYE],MATCH(TableTECalcPts[[#This Row],[TERef]],TableTEMaster[TERef],0)),"")</f>
        <v>10</v>
      </c>
      <c r="AA19" s="3">
        <f>IFERROR(INDEX(TableTEMaster[Custom],MATCH(TableTECalcPts[[#This Row],[TERef]],TableTEMaster[TERef],0)),"")</f>
        <v>9.4157313959958344</v>
      </c>
      <c r="AC19" s="2">
        <f>IFERROR(RANK(TableDSTCalcPts[[#This Row],[Custom]],TableDSTCalcPts[Custom],0),"")</f>
        <v>30</v>
      </c>
      <c r="AD19" s="2">
        <v>17</v>
      </c>
      <c r="AE19" s="2" t="str">
        <f>IFERROR(INDEX(TableDSTMaster[Player],MATCH(TableDSTCalcPts[[#This Row],[DSTRef]],TableDSTMaster[DSTRef],0)),"")</f>
        <v>Las Vegas Raiders</v>
      </c>
      <c r="AF19" s="2">
        <f>IFERROR(INDEX(TableDSTMaster[BYE],MATCH(TableDSTCalcPts[[#This Row],[DSTRef]],TableDSTMaster[DSTRef],0)),"")</f>
        <v>13</v>
      </c>
      <c r="AG19" s="3">
        <f>IFERROR(INDEX(TableDSTMaster[Custom],MATCH(TableDSTCalcPts[[#This Row],[DSTRef]],TableDSTMaster[DSTRef],0)),"")</f>
        <v>102.41904761904762</v>
      </c>
      <c r="AI19" s="2" t="s">
        <v>8</v>
      </c>
      <c r="AJ19" s="2">
        <f>IFERROR(RANK(TableWRTECalcPts[[#This Row],[Custom]],TableWRTECalcPts[Custom])+COUNTIF($AP$3:AP19,AP19)-1,"")</f>
        <v>219</v>
      </c>
      <c r="AK19" s="2">
        <v>17</v>
      </c>
      <c r="AL19" s="2" t="str">
        <f>IFERROR(INDEX(TableTEMaster[Player],MATCH(TableWRTECalcPts[[#This Row],[POSRef]],TableTEMaster[TERef],0)),"")</f>
        <v>Sam Roush</v>
      </c>
      <c r="AM19" s="2" t="str">
        <f>IFERROR(_xlfn.CONCAT(TableWRTECalcPts[[#This Row],[POS]],INDEX(TableTERanks[RK],MATCH(TableWRTECalcPts[[#This Row],[PLAYER]],TableTERanks[Player],0))),"")</f>
        <v>TE72</v>
      </c>
      <c r="AN19" s="2" t="str">
        <f>IFERROR(INDEX(TableTEMaster[TM],MATCH(TableWRTECalcPts[[#This Row],[POSRef]],TableTEMaster[TERef],0)),"")</f>
        <v>CHI</v>
      </c>
      <c r="AO19" s="2">
        <f>IFERROR(INDEX(TableTEMaster[BYE],MATCH(TableWRTECalcPts[[#This Row],[POSRef]],TableTEMaster[TERef],0)),"")</f>
        <v>10</v>
      </c>
      <c r="AP19" s="3">
        <f>IFERROR(INDEX(TableTEMaster[Custom],MATCH(TableWRTECalcPts[[#This Row],[POSRef]],TableTEMaster[TERef],0)),"")</f>
        <v>9.4157313959958344</v>
      </c>
    </row>
    <row r="20" spans="1:42" x14ac:dyDescent="0.25">
      <c r="A20" s="4">
        <f>IFERROR(RANK(TableQBCalcPts[[#This Row],[Custom]],TableQBCalcPts[Custom])+COUNTIF($F$3:F20,F20)-1,"")</f>
        <v>61</v>
      </c>
      <c r="B20" s="2">
        <v>18</v>
      </c>
      <c r="C20" s="2" t="str">
        <f>IFERROR(INDEX(TableQBMaster[Player],MATCH(TableQBCalcPts[[#This Row],[QBRef]],TableQBMaster[QBRef],0)),"")</f>
        <v>Taylen Green</v>
      </c>
      <c r="D20" s="2" t="str">
        <f>IFERROR(INDEX(TableQBMaster[TM],MATCH(TableQBCalcPts[[#This Row],[QBRef]],TableQBMaster[QBRef],0)),"")</f>
        <v>CLE</v>
      </c>
      <c r="E20" s="2">
        <f>IFERROR(INDEX(TableQBMaster[BYE],MATCH(TableQBCalcPts[[#This Row],[QBRef]],TableQBMaster[QBRef],0)),"")</f>
        <v>11</v>
      </c>
      <c r="F20" s="3">
        <f>IFERROR(INDEX(TableQBMaster[Custom],MATCH(TableQBCalcPts[[#This Row],[QBRef]],TableQBMaster[QBRef],0)),"")</f>
        <v>4.5875941055999991</v>
      </c>
      <c r="H20" s="2">
        <f>IFERROR(RANK(TableRBCalcPts[[#This Row],[Custom]],TableRBCalcPts[Custom])+COUNTIF($M$3:M20,M20)-1,"")</f>
        <v>94</v>
      </c>
      <c r="I20" s="2">
        <v>18</v>
      </c>
      <c r="J20" s="2" t="str">
        <f>IFERROR(INDEX(TableRBMaster[Player],MATCH(TableRBCalcPts[[#This Row],[RBRef]],TableRBMaster[RBRef],0)),"")</f>
        <v>Trevor Etienne</v>
      </c>
      <c r="K20" s="2" t="str">
        <f>IFERROR(INDEX(TableRBMaster[TM],MATCH(TableRBCalcPts[[#This Row],[RBRef]],TableRBMaster[RBRef],0)),"")</f>
        <v>CAR</v>
      </c>
      <c r="L20" s="2">
        <f>IFERROR(INDEX(TableRBMaster[BYE],MATCH(TableRBCalcPts[[#This Row],[RBRef]],TableRBMaster[RBRef],0)),"")</f>
        <v>5</v>
      </c>
      <c r="M20" s="3">
        <f>IFERROR(INDEX(TableRBMaster[Custom],MATCH(TableRBCalcPts[[#This Row],[RBRef]],TableRBMaster[RBRef],0)),"")</f>
        <v>13.911921761422212</v>
      </c>
      <c r="O20" s="2">
        <f>IFERROR(RANK(TableWRCalcPts[[#This Row],[Custom]],TableWRCalcPts[Custom])+COUNTIF($T$3:T20,T20)-1,"")</f>
        <v>54</v>
      </c>
      <c r="P20" s="2">
        <v>18</v>
      </c>
      <c r="Q20" s="2" t="str">
        <f>IFERROR(INDEX(TableWRMaster[Player],MATCH(TableWRCalcPts[[#This Row],[WRRef]],TableWRMaster[WRRef],0)),"")</f>
        <v>Khalil Shakir</v>
      </c>
      <c r="R20" s="2" t="str">
        <f>IFERROR(INDEX(TableWRMaster[TM],MATCH(TableWRCalcPts[[#This Row],[WRRef]],TableWRMaster[WRRef],0)),"")</f>
        <v>BUF</v>
      </c>
      <c r="S20" s="2">
        <f>IFERROR(INDEX(TableWRMaster[BYE],MATCH(TableWRCalcPts[[#This Row],[WRRef]],TableWRMaster[WRRef],0)),"")</f>
        <v>7</v>
      </c>
      <c r="T20" s="3">
        <f>IFERROR(INDEX(TableWRMaster[Custom],MATCH(TableWRCalcPts[[#This Row],[WRRef]],TableWRMaster[WRRef],0)),"")</f>
        <v>125.25541451841632</v>
      </c>
      <c r="V20" s="2">
        <f>IFERROR(RANK(TableTECalcPts[[#This Row],[Custom]],TableTECalcPts[Custom])+COUNTIF($AA$3:AA20,AA20)-1,"")</f>
        <v>27</v>
      </c>
      <c r="W20" s="2">
        <v>18</v>
      </c>
      <c r="X20" s="2" t="str">
        <f>IFERROR(INDEX(TableTEMaster[Player],MATCH(TableTECalcPts[[#This Row],[TERef]],TableTEMaster[TERef],0)),"")</f>
        <v>Mike Gesicki</v>
      </c>
      <c r="Y20" s="2" t="str">
        <f>IFERROR(INDEX(TableTEMaster[TM],MATCH(TableTECalcPts[[#This Row],[TERef]],TableTEMaster[TERef],0)),"")</f>
        <v>CIN</v>
      </c>
      <c r="Z20" s="2">
        <f>IFERROR(INDEX(TableTEMaster[BYE],MATCH(TableTECalcPts[[#This Row],[TERef]],TableTEMaster[TERef],0)),"")</f>
        <v>6</v>
      </c>
      <c r="AA20" s="3">
        <f>IFERROR(INDEX(TableTEMaster[Custom],MATCH(TableTECalcPts[[#This Row],[TERef]],TableTEMaster[TERef],0)),"")</f>
        <v>87.626855526529326</v>
      </c>
      <c r="AC20" s="2">
        <f>IFERROR(RANK(TableDSTCalcPts[[#This Row],[Custom]],TableDSTCalcPts[Custom],0),"")</f>
        <v>9</v>
      </c>
      <c r="AD20" s="2">
        <v>18</v>
      </c>
      <c r="AE20" s="2" t="str">
        <f>IFERROR(INDEX(TableDSTMaster[Player],MATCH(TableDSTCalcPts[[#This Row],[DSTRef]],TableDSTMaster[DSTRef],0)),"")</f>
        <v>Los Angeles Chargers</v>
      </c>
      <c r="AF20" s="2">
        <f>IFERROR(INDEX(TableDSTMaster[BYE],MATCH(TableDSTCalcPts[[#This Row],[DSTRef]],TableDSTMaster[DSTRef],0)),"")</f>
        <v>7</v>
      </c>
      <c r="AG20" s="3">
        <f>IFERROR(INDEX(TableDSTMaster[Custom],MATCH(TableDSTCalcPts[[#This Row],[DSTRef]],TableDSTMaster[DSTRef],0)),"")</f>
        <v>127.4904761904762</v>
      </c>
      <c r="AI20" s="2" t="s">
        <v>8</v>
      </c>
      <c r="AJ20" s="2">
        <f>IFERROR(RANK(TableWRTECalcPts[[#This Row],[Custom]],TableWRTECalcPts[Custom])+COUNTIF($AP$3:AP20,AP20)-1,"")</f>
        <v>102</v>
      </c>
      <c r="AK20" s="2">
        <v>18</v>
      </c>
      <c r="AL20" s="2" t="str">
        <f>IFERROR(INDEX(TableTEMaster[Player],MATCH(TableWRTECalcPts[[#This Row],[POSRef]],TableTEMaster[TERef],0)),"")</f>
        <v>Mike Gesicki</v>
      </c>
      <c r="AM20" s="2" t="str">
        <f>IFERROR(_xlfn.CONCAT(TableWRTECalcPts[[#This Row],[POS]],INDEX(TableTERanks[RK],MATCH(TableWRTECalcPts[[#This Row],[PLAYER]],TableTERanks[Player],0))),"")</f>
        <v>TE27</v>
      </c>
      <c r="AN20" s="2" t="str">
        <f>IFERROR(INDEX(TableTEMaster[TM],MATCH(TableWRTECalcPts[[#This Row],[POSRef]],TableTEMaster[TERef],0)),"")</f>
        <v>CIN</v>
      </c>
      <c r="AO20" s="2">
        <f>IFERROR(INDEX(TableTEMaster[BYE],MATCH(TableWRTECalcPts[[#This Row],[POSRef]],TableTEMaster[TERef],0)),"")</f>
        <v>6</v>
      </c>
      <c r="AP20" s="3">
        <f>IFERROR(INDEX(TableTEMaster[Custom],MATCH(TableWRTECalcPts[[#This Row],[POSRef]],TableTEMaster[TERef],0)),"")</f>
        <v>87.626855526529326</v>
      </c>
    </row>
    <row r="21" spans="1:42" x14ac:dyDescent="0.25">
      <c r="A21" s="4">
        <f>IFERROR(RANK(TableQBCalcPts[[#This Row],[Custom]],TableQBCalcPts[Custom])+COUNTIF($F$3:F21,F21)-1,"")</f>
        <v>5</v>
      </c>
      <c r="B21" s="2">
        <v>19</v>
      </c>
      <c r="C21" s="2" t="str">
        <f>IFERROR(INDEX(TableQBMaster[Player],MATCH(TableQBCalcPts[[#This Row],[QBRef]],TableQBMaster[QBRef],0)),"")</f>
        <v>Dak Prescott</v>
      </c>
      <c r="D21" s="2" t="str">
        <f>IFERROR(INDEX(TableQBMaster[TM],MATCH(TableQBCalcPts[[#This Row],[QBRef]],TableQBMaster[QBRef],0)),"")</f>
        <v>DAL</v>
      </c>
      <c r="E21" s="2">
        <f>IFERROR(INDEX(TableQBMaster[BYE],MATCH(TableQBCalcPts[[#This Row],[QBRef]],TableQBMaster[QBRef],0)),"")</f>
        <v>14</v>
      </c>
      <c r="F21" s="3">
        <f>IFERROR(INDEX(TableQBMaster[Custom],MATCH(TableQBCalcPts[[#This Row],[QBRef]],TableQBMaster[QBRef],0)),"")</f>
        <v>424.26156978062608</v>
      </c>
      <c r="H21" s="2">
        <f>IFERROR(RANK(TableRBCalcPts[[#This Row],[Custom]],TableRBCalcPts[Custom])+COUNTIF($M$3:M21,M21)-1,"")</f>
        <v>28</v>
      </c>
      <c r="I21" s="2">
        <v>19</v>
      </c>
      <c r="J21" s="2" t="str">
        <f>IFERROR(INDEX(TableRBMaster[Player],MATCH(TableRBCalcPts[[#This Row],[RBRef]],TableRBMaster[RBRef],0)),"")</f>
        <v>D'Andre Swift</v>
      </c>
      <c r="K21" s="2" t="str">
        <f>IFERROR(INDEX(TableRBMaster[TM],MATCH(TableRBCalcPts[[#This Row],[RBRef]],TableRBMaster[RBRef],0)),"")</f>
        <v>CHI</v>
      </c>
      <c r="L21" s="2">
        <f>IFERROR(INDEX(TableRBMaster[BYE],MATCH(TableRBCalcPts[[#This Row],[RBRef]],TableRBMaster[RBRef],0)),"")</f>
        <v>10</v>
      </c>
      <c r="M21" s="3">
        <f>IFERROR(INDEX(TableRBMaster[Custom],MATCH(TableRBCalcPts[[#This Row],[RBRef]],TableRBMaster[RBRef],0)),"")</f>
        <v>180.0053884429251</v>
      </c>
      <c r="O21" s="2">
        <f>IFERROR(RANK(TableWRCalcPts[[#This Row],[Custom]],TableWRCalcPts[Custom])+COUNTIF($T$3:T21,T21)-1,"")</f>
        <v>103</v>
      </c>
      <c r="P21" s="2">
        <v>19</v>
      </c>
      <c r="Q21" s="2" t="str">
        <f>IFERROR(INDEX(TableWRMaster[Player],MATCH(TableWRCalcPts[[#This Row],[WRRef]],TableWRMaster[WRRef],0)),"")</f>
        <v>Keon Coleman</v>
      </c>
      <c r="R21" s="2" t="str">
        <f>IFERROR(INDEX(TableWRMaster[TM],MATCH(TableWRCalcPts[[#This Row],[WRRef]],TableWRMaster[WRRef],0)),"")</f>
        <v>BUF</v>
      </c>
      <c r="S21" s="2">
        <f>IFERROR(INDEX(TableWRMaster[BYE],MATCH(TableWRCalcPts[[#This Row],[WRRef]],TableWRMaster[WRRef],0)),"")</f>
        <v>7</v>
      </c>
      <c r="T21" s="3">
        <f>IFERROR(INDEX(TableWRMaster[Custom],MATCH(TableWRCalcPts[[#This Row],[WRRef]],TableWRMaster[WRRef],0)),"")</f>
        <v>49.820494964486386</v>
      </c>
      <c r="V21" s="2">
        <f>IFERROR(RANK(TableTECalcPts[[#This Row],[Custom]],TableTECalcPts[Custom])+COUNTIF($AA$3:AA21,AA21)-1,"")</f>
        <v>50</v>
      </c>
      <c r="W21" s="2">
        <v>19</v>
      </c>
      <c r="X21" s="2" t="str">
        <f>IFERROR(INDEX(TableTEMaster[Player],MATCH(TableTECalcPts[[#This Row],[TERef]],TableTEMaster[TERef],0)),"")</f>
        <v>Erick All</v>
      </c>
      <c r="Y21" s="2" t="str">
        <f>IFERROR(INDEX(TableTEMaster[TM],MATCH(TableTECalcPts[[#This Row],[TERef]],TableTEMaster[TERef],0)),"")</f>
        <v>CIN</v>
      </c>
      <c r="Z21" s="2">
        <f>IFERROR(INDEX(TableTEMaster[BYE],MATCH(TableTECalcPts[[#This Row],[TERef]],TableTEMaster[TERef],0)),"")</f>
        <v>6</v>
      </c>
      <c r="AA21" s="3">
        <f>IFERROR(INDEX(TableTEMaster[Custom],MATCH(TableTECalcPts[[#This Row],[TERef]],TableTEMaster[TERef],0)),"")</f>
        <v>30.702244123332896</v>
      </c>
      <c r="AC21" s="2">
        <f>IFERROR(RANK(TableDSTCalcPts[[#This Row],[Custom]],TableDSTCalcPts[Custom],0),"")</f>
        <v>4</v>
      </c>
      <c r="AD21" s="2">
        <v>19</v>
      </c>
      <c r="AE21" s="2" t="str">
        <f>IFERROR(INDEX(TableDSTMaster[Player],MATCH(TableDSTCalcPts[[#This Row],[DSTRef]],TableDSTMaster[DSTRef],0)),"")</f>
        <v>Los Angeles Rams</v>
      </c>
      <c r="AF21" s="2">
        <f>IFERROR(INDEX(TableDSTMaster[BYE],MATCH(TableDSTCalcPts[[#This Row],[DSTRef]],TableDSTMaster[DSTRef],0)),"")</f>
        <v>11</v>
      </c>
      <c r="AG21" s="3">
        <f>IFERROR(INDEX(TableDSTMaster[Custom],MATCH(TableDSTCalcPts[[#This Row],[DSTRef]],TableDSTMaster[DSTRef],0)),"")</f>
        <v>138.21190476190475</v>
      </c>
      <c r="AI21" s="2" t="s">
        <v>8</v>
      </c>
      <c r="AJ21" s="2">
        <f>IFERROR(RANK(TableWRTECalcPts[[#This Row],[Custom]],TableWRTECalcPts[Custom])+COUNTIF($AP$3:AP21,AP21)-1,"")</f>
        <v>171</v>
      </c>
      <c r="AK21" s="2">
        <v>19</v>
      </c>
      <c r="AL21" s="2" t="str">
        <f>IFERROR(INDEX(TableTEMaster[Player],MATCH(TableWRTECalcPts[[#This Row],[POSRef]],TableTEMaster[TERef],0)),"")</f>
        <v>Erick All</v>
      </c>
      <c r="AM21" s="2" t="str">
        <f>IFERROR(_xlfn.CONCAT(TableWRTECalcPts[[#This Row],[POS]],INDEX(TableTERanks[RK],MATCH(TableWRTECalcPts[[#This Row],[PLAYER]],TableTERanks[Player],0))),"")</f>
        <v>TE50</v>
      </c>
      <c r="AN21" s="2" t="str">
        <f>IFERROR(INDEX(TableTEMaster[TM],MATCH(TableWRTECalcPts[[#This Row],[POSRef]],TableTEMaster[TERef],0)),"")</f>
        <v>CIN</v>
      </c>
      <c r="AO21" s="2">
        <f>IFERROR(INDEX(TableTEMaster[BYE],MATCH(TableWRTECalcPts[[#This Row],[POSRef]],TableTEMaster[TERef],0)),"")</f>
        <v>6</v>
      </c>
      <c r="AP21" s="3">
        <f>IFERROR(INDEX(TableTEMaster[Custom],MATCH(TableWRTECalcPts[[#This Row],[POSRef]],TableTEMaster[TERef],0)),"")</f>
        <v>30.702244123332896</v>
      </c>
    </row>
    <row r="22" spans="1:42" x14ac:dyDescent="0.25">
      <c r="A22" s="4">
        <f>IFERROR(RANK(TableQBCalcPts[[#This Row],[Custom]],TableQBCalcPts[Custom])+COUNTIF($F$3:F22,F22)-1,"")</f>
        <v>50</v>
      </c>
      <c r="B22" s="2">
        <v>20</v>
      </c>
      <c r="C22" s="2" t="str">
        <f>IFERROR(INDEX(TableQBMaster[Player],MATCH(TableQBCalcPts[[#This Row],[QBRef]],TableQBMaster[QBRef],0)),"")</f>
        <v>Sam Howell</v>
      </c>
      <c r="D22" s="2" t="str">
        <f>IFERROR(INDEX(TableQBMaster[TM],MATCH(TableQBCalcPts[[#This Row],[QBRef]],TableQBMaster[QBRef],0)),"")</f>
        <v>DAL</v>
      </c>
      <c r="E22" s="2">
        <f>IFERROR(INDEX(TableQBMaster[BYE],MATCH(TableQBCalcPts[[#This Row],[QBRef]],TableQBMaster[QBRef],0)),"")</f>
        <v>14</v>
      </c>
      <c r="F22" s="3">
        <f>IFERROR(INDEX(TableQBMaster[Custom],MATCH(TableQBCalcPts[[#This Row],[QBRef]],TableQBMaster[QBRef],0)),"")</f>
        <v>7.6131918176318258</v>
      </c>
      <c r="H22" s="2">
        <f>IFERROR(RANK(TableRBCalcPts[[#This Row],[Custom]],TableRBCalcPts[Custom])+COUNTIF($M$3:M22,M22)-1,"")</f>
        <v>34</v>
      </c>
      <c r="I22" s="2">
        <v>20</v>
      </c>
      <c r="J22" s="2" t="str">
        <f>IFERROR(INDEX(TableRBMaster[Player],MATCH(TableRBCalcPts[[#This Row],[RBRef]],TableRBMaster[RBRef],0)),"")</f>
        <v>Kyle Monangai</v>
      </c>
      <c r="K22" s="2" t="str">
        <f>IFERROR(INDEX(TableRBMaster[TM],MATCH(TableRBCalcPts[[#This Row],[RBRef]],TableRBMaster[RBRef],0)),"")</f>
        <v>CHI</v>
      </c>
      <c r="L22" s="2">
        <f>IFERROR(INDEX(TableRBMaster[BYE],MATCH(TableRBCalcPts[[#This Row],[RBRef]],TableRBMaster[RBRef],0)),"")</f>
        <v>10</v>
      </c>
      <c r="M22" s="3">
        <f>IFERROR(INDEX(TableRBMaster[Custom],MATCH(TableRBCalcPts[[#This Row],[RBRef]],TableRBMaster[RBRef],0)),"")</f>
        <v>147.64126343894941</v>
      </c>
      <c r="O22" s="2">
        <f>IFERROR(RANK(TableWRCalcPts[[#This Row],[Custom]],TableWRCalcPts[Custom])+COUNTIF($T$3:T22,T22)-1,"")</f>
        <v>117</v>
      </c>
      <c r="P22" s="2">
        <v>20</v>
      </c>
      <c r="Q22" s="2" t="str">
        <f>IFERROR(INDEX(TableWRMaster[Player],MATCH(TableWRCalcPts[[#This Row],[WRRef]],TableWRMaster[WRRef],0)),"")</f>
        <v>Joshua Palmer</v>
      </c>
      <c r="R22" s="2" t="str">
        <f>IFERROR(INDEX(TableWRMaster[TM],MATCH(TableWRCalcPts[[#This Row],[WRRef]],TableWRMaster[WRRef],0)),"")</f>
        <v>BUF</v>
      </c>
      <c r="S22" s="2">
        <f>IFERROR(INDEX(TableWRMaster[BYE],MATCH(TableWRCalcPts[[#This Row],[WRRef]],TableWRMaster[WRRef],0)),"")</f>
        <v>7</v>
      </c>
      <c r="T22" s="3">
        <f>IFERROR(INDEX(TableWRMaster[Custom],MATCH(TableWRCalcPts[[#This Row],[WRRef]],TableWRMaster[WRRef],0)),"")</f>
        <v>37.047699019147593</v>
      </c>
      <c r="V22" s="2">
        <f>IFERROR(RANK(TableTECalcPts[[#This Row],[Custom]],TableTECalcPts[Custom])+COUNTIF($AA$3:AA22,AA22)-1,"")</f>
        <v>87</v>
      </c>
      <c r="W22" s="2">
        <v>20</v>
      </c>
      <c r="X22" s="2" t="str">
        <f>IFERROR(INDEX(TableTEMaster[Player],MATCH(TableTECalcPts[[#This Row],[TERef]],TableTEMaster[TERef],0)),"")</f>
        <v>Drew Sample</v>
      </c>
      <c r="Y22" s="2" t="str">
        <f>IFERROR(INDEX(TableTEMaster[TM],MATCH(TableTECalcPts[[#This Row],[TERef]],TableTEMaster[TERef],0)),"")</f>
        <v>CIN</v>
      </c>
      <c r="Z22" s="2">
        <f>IFERROR(INDEX(TableTEMaster[BYE],MATCH(TableTECalcPts[[#This Row],[TERef]],TableTEMaster[TERef],0)),"")</f>
        <v>6</v>
      </c>
      <c r="AA22" s="3">
        <f>IFERROR(INDEX(TableTEMaster[Custom],MATCH(TableTECalcPts[[#This Row],[TERef]],TableTEMaster[TERef],0)),"")</f>
        <v>0</v>
      </c>
      <c r="AC22" s="2">
        <f>IFERROR(RANK(TableDSTCalcPts[[#This Row],[Custom]],TableDSTCalcPts[Custom],0),"")</f>
        <v>20</v>
      </c>
      <c r="AD22" s="2">
        <v>20</v>
      </c>
      <c r="AE22" s="2" t="str">
        <f>IFERROR(INDEX(TableDSTMaster[Player],MATCH(TableDSTCalcPts[[#This Row],[DSTRef]],TableDSTMaster[DSTRef],0)),"")</f>
        <v>Miami Dolphins</v>
      </c>
      <c r="AF22" s="2">
        <f>IFERROR(INDEX(TableDSTMaster[BYE],MATCH(TableDSTCalcPts[[#This Row],[DSTRef]],TableDSTMaster[DSTRef],0)),"")</f>
        <v>6</v>
      </c>
      <c r="AG22" s="3">
        <f>IFERROR(INDEX(TableDSTMaster[Custom],MATCH(TableDSTCalcPts[[#This Row],[DSTRef]],TableDSTMaster[DSTRef],0)),"")</f>
        <v>110.49761904761904</v>
      </c>
      <c r="AI22" s="2" t="s">
        <v>8</v>
      </c>
      <c r="AJ22" s="2">
        <f>IFERROR(RANK(TableWRTECalcPts[[#This Row],[Custom]],TableWRTECalcPts[Custom])+COUNTIF($AP$3:AP22,AP22)-1,"")</f>
        <v>268</v>
      </c>
      <c r="AK22" s="2">
        <v>20</v>
      </c>
      <c r="AL22" s="2" t="str">
        <f>IFERROR(INDEX(TableTEMaster[Player],MATCH(TableWRTECalcPts[[#This Row],[POSRef]],TableTEMaster[TERef],0)),"")</f>
        <v>Drew Sample</v>
      </c>
      <c r="AM22" s="2" t="str">
        <f>IFERROR(_xlfn.CONCAT(TableWRTECalcPts[[#This Row],[POS]],INDEX(TableTERanks[RK],MATCH(TableWRTECalcPts[[#This Row],[PLAYER]],TableTERanks[Player],0))),"")</f>
        <v>TE87</v>
      </c>
      <c r="AN22" s="2" t="str">
        <f>IFERROR(INDEX(TableTEMaster[TM],MATCH(TableWRTECalcPts[[#This Row],[POSRef]],TableTEMaster[TERef],0)),"")</f>
        <v>CIN</v>
      </c>
      <c r="AO22" s="2">
        <f>IFERROR(INDEX(TableTEMaster[BYE],MATCH(TableWRTECalcPts[[#This Row],[POSRef]],TableTEMaster[TERef],0)),"")</f>
        <v>6</v>
      </c>
      <c r="AP22" s="3">
        <f>IFERROR(INDEX(TableTEMaster[Custom],MATCH(TableWRTECalcPts[[#This Row],[POSRef]],TableTEMaster[TERef],0)),"")</f>
        <v>0</v>
      </c>
    </row>
    <row r="23" spans="1:42" x14ac:dyDescent="0.25">
      <c r="A23" s="4">
        <f>IFERROR(RANK(TableQBCalcPts[[#This Row],[Custom]],TableQBCalcPts[Custom])+COUNTIF($F$3:F23,F23)-1,"")</f>
        <v>13</v>
      </c>
      <c r="B23" s="2">
        <v>21</v>
      </c>
      <c r="C23" s="2" t="str">
        <f>IFERROR(INDEX(TableQBMaster[Player],MATCH(TableQBCalcPts[[#This Row],[QBRef]],TableQBMaster[QBRef],0)),"")</f>
        <v>Bo Nix</v>
      </c>
      <c r="D23" s="2" t="str">
        <f>IFERROR(INDEX(TableQBMaster[TM],MATCH(TableQBCalcPts[[#This Row],[QBRef]],TableQBMaster[QBRef],0)),"")</f>
        <v>DEN</v>
      </c>
      <c r="E23" s="2">
        <f>IFERROR(INDEX(TableQBMaster[BYE],MATCH(TableQBCalcPts[[#This Row],[QBRef]],TableQBMaster[QBRef],0)),"")</f>
        <v>10</v>
      </c>
      <c r="F23" s="3">
        <f>IFERROR(INDEX(TableQBMaster[Custom],MATCH(TableQBCalcPts[[#This Row],[QBRef]],TableQBMaster[QBRef],0)),"")</f>
        <v>400.64266716606681</v>
      </c>
      <c r="H23" s="2">
        <f>IFERROR(RANK(TableRBCalcPts[[#This Row],[Custom]],TableRBCalcPts[Custom])+COUNTIF($M$3:M23,M23)-1,"")</f>
        <v>99</v>
      </c>
      <c r="I23" s="2">
        <v>21</v>
      </c>
      <c r="J23" s="2" t="str">
        <f>IFERROR(INDEX(TableRBMaster[Player],MATCH(TableRBCalcPts[[#This Row],[RBRef]],TableRBMaster[RBRef],0)),"")</f>
        <v>Roschon Johnson</v>
      </c>
      <c r="K23" s="2" t="str">
        <f>IFERROR(INDEX(TableRBMaster[TM],MATCH(TableRBCalcPts[[#This Row],[RBRef]],TableRBMaster[RBRef],0)),"")</f>
        <v>CHI</v>
      </c>
      <c r="L23" s="2">
        <f>IFERROR(INDEX(TableRBMaster[BYE],MATCH(TableRBCalcPts[[#This Row],[RBRef]],TableRBMaster[RBRef],0)),"")</f>
        <v>10</v>
      </c>
      <c r="M23" s="3">
        <f>IFERROR(INDEX(TableRBMaster[Custom],MATCH(TableRBCalcPts[[#This Row],[RBRef]],TableRBMaster[RBRef],0)),"")</f>
        <v>12.132202592868293</v>
      </c>
      <c r="O23" s="2">
        <f>IFERROR(RANK(TableWRCalcPts[[#This Row],[Custom]],TableWRCalcPts[Custom])+COUNTIF($T$3:T23,T23)-1,"")</f>
        <v>122</v>
      </c>
      <c r="P23" s="2">
        <v>21</v>
      </c>
      <c r="Q23" s="2" t="str">
        <f>IFERROR(INDEX(TableWRMaster[Player],MATCH(TableWRCalcPts[[#This Row],[WRRef]],TableWRMaster[WRRef],0)),"")</f>
        <v>Skyler Bell</v>
      </c>
      <c r="R23" s="2" t="str">
        <f>IFERROR(INDEX(TableWRMaster[TM],MATCH(TableWRCalcPts[[#This Row],[WRRef]],TableWRMaster[WRRef],0)),"")</f>
        <v>BUF</v>
      </c>
      <c r="S23" s="2">
        <f>IFERROR(INDEX(TableWRMaster[BYE],MATCH(TableWRCalcPts[[#This Row],[WRRef]],TableWRMaster[WRRef],0)),"")</f>
        <v>7</v>
      </c>
      <c r="T23" s="3">
        <f>IFERROR(INDEX(TableWRMaster[Custom],MATCH(TableWRCalcPts[[#This Row],[WRRef]],TableWRMaster[WRRef],0)),"")</f>
        <v>28.439761475201344</v>
      </c>
      <c r="V23" s="2">
        <f>IFERROR(RANK(TableTECalcPts[[#This Row],[Custom]],TableTECalcPts[Custom])+COUNTIF($AA$3:AA23,AA23)-1,"")</f>
        <v>7</v>
      </c>
      <c r="W23" s="2">
        <v>21</v>
      </c>
      <c r="X23" s="2" t="str">
        <f>IFERROR(INDEX(TableTEMaster[Player],MATCH(TableTECalcPts[[#This Row],[TERef]],TableTEMaster[TERef],0)),"")</f>
        <v>Harold Fannin</v>
      </c>
      <c r="Y23" s="2" t="str">
        <f>IFERROR(INDEX(TableTEMaster[TM],MATCH(TableTECalcPts[[#This Row],[TERef]],TableTEMaster[TERef],0)),"")</f>
        <v>CLE</v>
      </c>
      <c r="Z23" s="2">
        <f>IFERROR(INDEX(TableTEMaster[BYE],MATCH(TableTECalcPts[[#This Row],[TERef]],TableTEMaster[TERef],0)),"")</f>
        <v>11</v>
      </c>
      <c r="AA23" s="3">
        <f>IFERROR(INDEX(TableTEMaster[Custom],MATCH(TableTECalcPts[[#This Row],[TERef]],TableTEMaster[TERef],0)),"")</f>
        <v>154.01102933720159</v>
      </c>
      <c r="AC23" s="2">
        <f>IFERROR(RANK(TableDSTCalcPts[[#This Row],[Custom]],TableDSTCalcPts[Custom],0),"")</f>
        <v>6</v>
      </c>
      <c r="AD23" s="2">
        <v>21</v>
      </c>
      <c r="AE23" s="2" t="str">
        <f>IFERROR(INDEX(TableDSTMaster[Player],MATCH(TableDSTCalcPts[[#This Row],[DSTRef]],TableDSTMaster[DSTRef],0)),"")</f>
        <v>Minnesota Vikings</v>
      </c>
      <c r="AF23" s="2">
        <f>IFERROR(INDEX(TableDSTMaster[BYE],MATCH(TableDSTCalcPts[[#This Row],[DSTRef]],TableDSTMaster[DSTRef],0)),"")</f>
        <v>6</v>
      </c>
      <c r="AG23" s="3">
        <f>IFERROR(INDEX(TableDSTMaster[Custom],MATCH(TableDSTCalcPts[[#This Row],[DSTRef]],TableDSTMaster[DSTRef],0)),"")</f>
        <v>135.89761904761903</v>
      </c>
      <c r="AI23" s="2" t="s">
        <v>8</v>
      </c>
      <c r="AJ23" s="2">
        <f>IFERROR(RANK(TableWRTECalcPts[[#This Row],[Custom]],TableWRTECalcPts[Custom])+COUNTIF($AP$3:AP23,AP23)-1,"")</f>
        <v>46</v>
      </c>
      <c r="AK23" s="2">
        <v>21</v>
      </c>
      <c r="AL23" s="2" t="str">
        <f>IFERROR(INDEX(TableTEMaster[Player],MATCH(TableWRTECalcPts[[#This Row],[POSRef]],TableTEMaster[TERef],0)),"")</f>
        <v>Harold Fannin</v>
      </c>
      <c r="AM23" s="2" t="str">
        <f>IFERROR(_xlfn.CONCAT(TableWRTECalcPts[[#This Row],[POS]],INDEX(TableTERanks[RK],MATCH(TableWRTECalcPts[[#This Row],[PLAYER]],TableTERanks[Player],0))),"")</f>
        <v>TE7</v>
      </c>
      <c r="AN23" s="2" t="str">
        <f>IFERROR(INDEX(TableTEMaster[TM],MATCH(TableWRTECalcPts[[#This Row],[POSRef]],TableTEMaster[TERef],0)),"")</f>
        <v>CLE</v>
      </c>
      <c r="AO23" s="2">
        <f>IFERROR(INDEX(TableTEMaster[BYE],MATCH(TableWRTECalcPts[[#This Row],[POSRef]],TableTEMaster[TERef],0)),"")</f>
        <v>11</v>
      </c>
      <c r="AP23" s="3">
        <f>IFERROR(INDEX(TableTEMaster[Custom],MATCH(TableWRTECalcPts[[#This Row],[POSRef]],TableTEMaster[TERef],0)),"")</f>
        <v>154.01102933720159</v>
      </c>
    </row>
    <row r="24" spans="1:42" x14ac:dyDescent="0.25">
      <c r="A24" s="4">
        <f>IFERROR(RANK(TableQBCalcPts[[#This Row],[Custom]],TableQBCalcPts[Custom])+COUNTIF($F$3:F24,F24)-1,"")</f>
        <v>58</v>
      </c>
      <c r="B24" s="2">
        <v>22</v>
      </c>
      <c r="C24" s="2" t="str">
        <f>IFERROR(INDEX(TableQBMaster[Player],MATCH(TableQBCalcPts[[#This Row],[QBRef]],TableQBMaster[QBRef],0)),"")</f>
        <v>Jarrett Stidham</v>
      </c>
      <c r="D24" s="2" t="str">
        <f>IFERROR(INDEX(TableQBMaster[TM],MATCH(TableQBCalcPts[[#This Row],[QBRef]],TableQBMaster[QBRef],0)),"")</f>
        <v>DEN</v>
      </c>
      <c r="E24" s="2">
        <f>IFERROR(INDEX(TableQBMaster[BYE],MATCH(TableQBCalcPts[[#This Row],[QBRef]],TableQBMaster[QBRef],0)),"")</f>
        <v>10</v>
      </c>
      <c r="F24" s="3">
        <f>IFERROR(INDEX(TableQBMaster[Custom],MATCH(TableQBCalcPts[[#This Row],[QBRef]],TableQBMaster[QBRef],0)),"")</f>
        <v>6.1685299727989049</v>
      </c>
      <c r="H24" s="2">
        <f>IFERROR(RANK(TableRBCalcPts[[#This Row],[Custom]],TableRBCalcPts[Custom])+COUNTIF($M$3:M24,M24)-1,"")</f>
        <v>7</v>
      </c>
      <c r="I24" s="2">
        <v>22</v>
      </c>
      <c r="J24" s="2" t="str">
        <f>IFERROR(INDEX(TableRBMaster[Player],MATCH(TableRBCalcPts[[#This Row],[RBRef]],TableRBMaster[RBRef],0)),"")</f>
        <v>Chase Brown</v>
      </c>
      <c r="K24" s="2" t="str">
        <f>IFERROR(INDEX(TableRBMaster[TM],MATCH(TableRBCalcPts[[#This Row],[RBRef]],TableRBMaster[RBRef],0)),"")</f>
        <v>CIN</v>
      </c>
      <c r="L24" s="2">
        <f>IFERROR(INDEX(TableRBMaster[BYE],MATCH(TableRBCalcPts[[#This Row],[RBRef]],TableRBMaster[RBRef],0)),"")</f>
        <v>6</v>
      </c>
      <c r="M24" s="3">
        <f>IFERROR(INDEX(TableRBMaster[Custom],MATCH(TableRBCalcPts[[#This Row],[RBRef]],TableRBMaster[RBRef],0)),"")</f>
        <v>248.68447450614235</v>
      </c>
      <c r="O24" s="2">
        <f>IFERROR(RANK(TableWRCalcPts[[#This Row],[Custom]],TableWRCalcPts[Custom])+COUNTIF($T$3:T24,T24)-1,"")</f>
        <v>148</v>
      </c>
      <c r="P24" s="2">
        <v>22</v>
      </c>
      <c r="Q24" s="2" t="str">
        <f>IFERROR(INDEX(TableWRMaster[Player],MATCH(TableWRCalcPts[[#This Row],[WRRef]],TableWRMaster[WRRef],0)),"")</f>
        <v>Mecole Hardman</v>
      </c>
      <c r="R24" s="2" t="str">
        <f>IFERROR(INDEX(TableWRMaster[TM],MATCH(TableWRCalcPts[[#This Row],[WRRef]],TableWRMaster[WRRef],0)),"")</f>
        <v>BUF</v>
      </c>
      <c r="S24" s="2">
        <f>IFERROR(INDEX(TableWRMaster[BYE],MATCH(TableWRCalcPts[[#This Row],[WRRef]],TableWRMaster[WRRef],0)),"")</f>
        <v>7</v>
      </c>
      <c r="T24" s="3">
        <f>IFERROR(INDEX(TableWRMaster[Custom],MATCH(TableWRCalcPts[[#This Row],[WRRef]],TableWRMaster[WRRef],0)),"")</f>
        <v>9.1560975886379978</v>
      </c>
      <c r="V24" s="2">
        <f>IFERROR(RANK(TableTECalcPts[[#This Row],[Custom]],TableTECalcPts[Custom])+COUNTIF($AA$3:AA24,AA24)-1,"")</f>
        <v>79</v>
      </c>
      <c r="W24" s="2">
        <v>22</v>
      </c>
      <c r="X24" s="2" t="str">
        <f>IFERROR(INDEX(TableTEMaster[Player],MATCH(TableTECalcPts[[#This Row],[TERef]],TableTEMaster[TERef],0)),"")</f>
        <v>Joe Royer</v>
      </c>
      <c r="Y24" s="2" t="str">
        <f>IFERROR(INDEX(TableTEMaster[TM],MATCH(TableTECalcPts[[#This Row],[TERef]],TableTEMaster[TERef],0)),"")</f>
        <v>CLE</v>
      </c>
      <c r="Z24" s="2">
        <f>IFERROR(INDEX(TableTEMaster[BYE],MATCH(TableTECalcPts[[#This Row],[TERef]],TableTEMaster[TERef],0)),"")</f>
        <v>11</v>
      </c>
      <c r="AA24" s="3">
        <f>IFERROR(INDEX(TableTEMaster[Custom],MATCH(TableTECalcPts[[#This Row],[TERef]],TableTEMaster[TERef],0)),"")</f>
        <v>5.3156238957660626</v>
      </c>
      <c r="AC24" s="2">
        <f>IFERROR(RANK(TableDSTCalcPts[[#This Row],[Custom]],TableDSTCalcPts[Custom],0),"")</f>
        <v>15</v>
      </c>
      <c r="AD24" s="2">
        <v>22</v>
      </c>
      <c r="AE24" s="2" t="str">
        <f>IFERROR(INDEX(TableDSTMaster[Player],MATCH(TableDSTCalcPts[[#This Row],[DSTRef]],TableDSTMaster[DSTRef],0)),"")</f>
        <v>New England Patriots</v>
      </c>
      <c r="AF24" s="2">
        <f>IFERROR(INDEX(TableDSTMaster[BYE],MATCH(TableDSTCalcPts[[#This Row],[DSTRef]],TableDSTMaster[DSTRef],0)),"")</f>
        <v>11</v>
      </c>
      <c r="AG24" s="3">
        <f>IFERROR(INDEX(TableDSTMaster[Custom],MATCH(TableDSTCalcPts[[#This Row],[DSTRef]],TableDSTMaster[DSTRef],0)),"")</f>
        <v>120.17380952380952</v>
      </c>
      <c r="AI24" s="2" t="s">
        <v>8</v>
      </c>
      <c r="AJ24" s="2">
        <f>IFERROR(RANK(TableWRTECalcPts[[#This Row],[Custom]],TableWRTECalcPts[Custom])+COUNTIF($AP$3:AP24,AP24)-1,"")</f>
        <v>253</v>
      </c>
      <c r="AK24" s="2">
        <v>22</v>
      </c>
      <c r="AL24" s="2" t="str">
        <f>IFERROR(INDEX(TableTEMaster[Player],MATCH(TableWRTECalcPts[[#This Row],[POSRef]],TableTEMaster[TERef],0)),"")</f>
        <v>Joe Royer</v>
      </c>
      <c r="AM24" s="2" t="str">
        <f>IFERROR(_xlfn.CONCAT(TableWRTECalcPts[[#This Row],[POS]],INDEX(TableTERanks[RK],MATCH(TableWRTECalcPts[[#This Row],[PLAYER]],TableTERanks[Player],0))),"")</f>
        <v>TE79</v>
      </c>
      <c r="AN24" s="2" t="str">
        <f>IFERROR(INDEX(TableTEMaster[TM],MATCH(TableWRTECalcPts[[#This Row],[POSRef]],TableTEMaster[TERef],0)),"")</f>
        <v>CLE</v>
      </c>
      <c r="AO24" s="2">
        <f>IFERROR(INDEX(TableTEMaster[BYE],MATCH(TableWRTECalcPts[[#This Row],[POSRef]],TableTEMaster[TERef],0)),"")</f>
        <v>11</v>
      </c>
      <c r="AP24" s="3">
        <f>IFERROR(INDEX(TableTEMaster[Custom],MATCH(TableWRTECalcPts[[#This Row],[POSRef]],TableTEMaster[TERef],0)),"")</f>
        <v>5.3156238957660626</v>
      </c>
    </row>
    <row r="25" spans="1:42" x14ac:dyDescent="0.25">
      <c r="A25" s="4">
        <f>IFERROR(RANK(TableQBCalcPts[[#This Row],[Custom]],TableQBCalcPts[Custom])+COUNTIF($F$3:F25,F25)-1,"")</f>
        <v>8</v>
      </c>
      <c r="B25" s="2">
        <v>23</v>
      </c>
      <c r="C25" s="2" t="str">
        <f>IFERROR(INDEX(TableQBMaster[Player],MATCH(TableQBCalcPts[[#This Row],[QBRef]],TableQBMaster[QBRef],0)),"")</f>
        <v>Jared Goff</v>
      </c>
      <c r="D25" s="2" t="str">
        <f>IFERROR(INDEX(TableQBMaster[TM],MATCH(TableQBCalcPts[[#This Row],[QBRef]],TableQBMaster[QBRef],0)),"")</f>
        <v>DET</v>
      </c>
      <c r="E25" s="2">
        <f>IFERROR(INDEX(TableQBMaster[BYE],MATCH(TableQBCalcPts[[#This Row],[QBRef]],TableQBMaster[QBRef],0)),"")</f>
        <v>6</v>
      </c>
      <c r="F25" s="3">
        <f>IFERROR(INDEX(TableQBMaster[Custom],MATCH(TableQBCalcPts[[#This Row],[QBRef]],TableQBMaster[QBRef],0)),"")</f>
        <v>415.16833542295586</v>
      </c>
      <c r="H25" s="2">
        <f>IFERROR(RANK(TableRBCalcPts[[#This Row],[Custom]],TableRBCalcPts[Custom])+COUNTIF($M$3:M25,M25)-1,"")</f>
        <v>51</v>
      </c>
      <c r="I25" s="2">
        <v>23</v>
      </c>
      <c r="J25" s="2" t="str">
        <f>IFERROR(INDEX(TableRBMaster[Player],MATCH(TableRBCalcPts[[#This Row],[RBRef]],TableRBMaster[RBRef],0)),"")</f>
        <v>Samaje Perine</v>
      </c>
      <c r="K25" s="2" t="str">
        <f>IFERROR(INDEX(TableRBMaster[TM],MATCH(TableRBCalcPts[[#This Row],[RBRef]],TableRBMaster[RBRef],0)),"")</f>
        <v>CIN</v>
      </c>
      <c r="L25" s="2">
        <f>IFERROR(INDEX(TableRBMaster[BYE],MATCH(TableRBCalcPts[[#This Row],[RBRef]],TableRBMaster[RBRef],0)),"")</f>
        <v>6</v>
      </c>
      <c r="M25" s="3">
        <f>IFERROR(INDEX(TableRBMaster[Custom],MATCH(TableRBCalcPts[[#This Row],[RBRef]],TableRBMaster[RBRef],0)),"")</f>
        <v>85.611749481832177</v>
      </c>
      <c r="O25" s="2">
        <f>IFERROR(RANK(TableWRCalcPts[[#This Row],[Custom]],TableWRCalcPts[Custom])+COUNTIF($T$3:T25,T25)-1,"")</f>
        <v>12</v>
      </c>
      <c r="P25" s="2">
        <v>23</v>
      </c>
      <c r="Q25" s="2" t="str">
        <f>IFERROR(INDEX(TableWRMaster[Player],MATCH(TableWRCalcPts[[#This Row],[WRRef]],TableWRMaster[WRRef],0)),"")</f>
        <v>Tetairoa McMillan</v>
      </c>
      <c r="R25" s="2" t="str">
        <f>IFERROR(INDEX(TableWRMaster[TM],MATCH(TableWRCalcPts[[#This Row],[WRRef]],TableWRMaster[WRRef],0)),"")</f>
        <v>CAR</v>
      </c>
      <c r="S25" s="2">
        <f>IFERROR(INDEX(TableWRMaster[BYE],MATCH(TableWRCalcPts[[#This Row],[WRRef]],TableWRMaster[WRRef],0)),"")</f>
        <v>5</v>
      </c>
      <c r="T25" s="3">
        <f>IFERROR(INDEX(TableWRMaster[Custom],MATCH(TableWRCalcPts[[#This Row],[WRRef]],TableWRMaster[WRRef],0)),"")</f>
        <v>207.85591546371469</v>
      </c>
      <c r="V25" s="2">
        <f>IFERROR(RANK(TableTECalcPts[[#This Row],[Custom]],TableTECalcPts[Custom])+COUNTIF($AA$3:AA25,AA25)-1,"")</f>
        <v>85</v>
      </c>
      <c r="W25" s="2">
        <v>23</v>
      </c>
      <c r="X25" s="2" t="str">
        <f>IFERROR(INDEX(TableTEMaster[Player],MATCH(TableTECalcPts[[#This Row],[TERef]],TableTEMaster[TERef],0)),"")</f>
        <v>Jack Stoll</v>
      </c>
      <c r="Y25" s="2" t="str">
        <f>IFERROR(INDEX(TableTEMaster[TM],MATCH(TableTECalcPts[[#This Row],[TERef]],TableTEMaster[TERef],0)),"")</f>
        <v>CLE</v>
      </c>
      <c r="Z25" s="2">
        <f>IFERROR(INDEX(TableTEMaster[BYE],MATCH(TableTECalcPts[[#This Row],[TERef]],TableTEMaster[TERef],0)),"")</f>
        <v>11</v>
      </c>
      <c r="AA25" s="3">
        <f>IFERROR(INDEX(TableTEMaster[Custom],MATCH(TableTECalcPts[[#This Row],[TERef]],TableTEMaster[TERef],0)),"")</f>
        <v>2.41486631694</v>
      </c>
      <c r="AC25" s="2">
        <f>IFERROR(RANK(TableDSTCalcPts[[#This Row],[Custom]],TableDSTCalcPts[Custom],0),"")</f>
        <v>16</v>
      </c>
      <c r="AD25" s="2">
        <v>23</v>
      </c>
      <c r="AE25" s="2" t="str">
        <f>IFERROR(INDEX(TableDSTMaster[Player],MATCH(TableDSTCalcPts[[#This Row],[DSTRef]],TableDSTMaster[DSTRef],0)),"")</f>
        <v>New Orleans Saints</v>
      </c>
      <c r="AF25" s="2">
        <f>IFERROR(INDEX(TableDSTMaster[BYE],MATCH(TableDSTCalcPts[[#This Row],[DSTRef]],TableDSTMaster[DSTRef],0)),"")</f>
        <v>8</v>
      </c>
      <c r="AG25" s="3">
        <f>IFERROR(INDEX(TableDSTMaster[Custom],MATCH(TableDSTCalcPts[[#This Row],[DSTRef]],TableDSTMaster[DSTRef],0)),"")</f>
        <v>119.95238095238095</v>
      </c>
      <c r="AI25" s="2" t="s">
        <v>8</v>
      </c>
      <c r="AJ25" s="2">
        <f>IFERROR(RANK(TableWRTECalcPts[[#This Row],[Custom]],TableWRTECalcPts[Custom])+COUNTIF($AP$3:AP25,AP25)-1,"")</f>
        <v>266</v>
      </c>
      <c r="AK25" s="2">
        <v>23</v>
      </c>
      <c r="AL25" s="2" t="str">
        <f>IFERROR(INDEX(TableTEMaster[Player],MATCH(TableWRTECalcPts[[#This Row],[POSRef]],TableTEMaster[TERef],0)),"")</f>
        <v>Jack Stoll</v>
      </c>
      <c r="AM25" s="2" t="str">
        <f>IFERROR(_xlfn.CONCAT(TableWRTECalcPts[[#This Row],[POS]],INDEX(TableTERanks[RK],MATCH(TableWRTECalcPts[[#This Row],[PLAYER]],TableTERanks[Player],0))),"")</f>
        <v>TE85</v>
      </c>
      <c r="AN25" s="2" t="str">
        <f>IFERROR(INDEX(TableTEMaster[TM],MATCH(TableWRTECalcPts[[#This Row],[POSRef]],TableTEMaster[TERef],0)),"")</f>
        <v>CLE</v>
      </c>
      <c r="AO25" s="2">
        <f>IFERROR(INDEX(TableTEMaster[BYE],MATCH(TableWRTECalcPts[[#This Row],[POSRef]],TableTEMaster[TERef],0)),"")</f>
        <v>11</v>
      </c>
      <c r="AP25" s="3">
        <f>IFERROR(INDEX(TableTEMaster[Custom],MATCH(TableWRTECalcPts[[#This Row],[POSRef]],TableTEMaster[TERef],0)),"")</f>
        <v>2.41486631694</v>
      </c>
    </row>
    <row r="26" spans="1:42" x14ac:dyDescent="0.25">
      <c r="A26" s="4">
        <f>IFERROR(RANK(TableQBCalcPts[[#This Row],[Custom]],TableQBCalcPts[Custom])+COUNTIF($F$3:F26,F26)-1,"")</f>
        <v>51</v>
      </c>
      <c r="B26" s="2">
        <v>24</v>
      </c>
      <c r="C26" s="2" t="str">
        <f>IFERROR(INDEX(TableQBMaster[Player],MATCH(TableQBCalcPts[[#This Row],[QBRef]],TableQBMaster[QBRef],0)),"")</f>
        <v>Teddy Bridgewater</v>
      </c>
      <c r="D26" s="2" t="str">
        <f>IFERROR(INDEX(TableQBMaster[TM],MATCH(TableQBCalcPts[[#This Row],[QBRef]],TableQBMaster[QBRef],0)),"")</f>
        <v>DET</v>
      </c>
      <c r="E26" s="2">
        <f>IFERROR(INDEX(TableQBMaster[BYE],MATCH(TableQBCalcPts[[#This Row],[QBRef]],TableQBMaster[QBRef],0)),"")</f>
        <v>6</v>
      </c>
      <c r="F26" s="3">
        <f>IFERROR(INDEX(TableQBMaster[Custom],MATCH(TableQBCalcPts[[#This Row],[QBRef]],TableQBMaster[QBRef],0)),"")</f>
        <v>7.4259096181147779</v>
      </c>
      <c r="H26" s="2">
        <f>IFERROR(RANK(TableRBCalcPts[[#This Row],[Custom]],TableRBCalcPts[Custom])+COUNTIF($M$3:M26,M26)-1,"")</f>
        <v>93</v>
      </c>
      <c r="I26" s="2">
        <v>24</v>
      </c>
      <c r="J26" s="2" t="str">
        <f>IFERROR(INDEX(TableRBMaster[Player],MATCH(TableRBCalcPts[[#This Row],[RBRef]],TableRBMaster[RBRef],0)),"")</f>
        <v>Tahj Brooks</v>
      </c>
      <c r="K26" s="2" t="str">
        <f>IFERROR(INDEX(TableRBMaster[TM],MATCH(TableRBCalcPts[[#This Row],[RBRef]],TableRBMaster[RBRef],0)),"")</f>
        <v>CIN</v>
      </c>
      <c r="L26" s="2">
        <f>IFERROR(INDEX(TableRBMaster[BYE],MATCH(TableRBCalcPts[[#This Row],[RBRef]],TableRBMaster[RBRef],0)),"")</f>
        <v>6</v>
      </c>
      <c r="M26" s="3">
        <f>IFERROR(INDEX(TableRBMaster[Custom],MATCH(TableRBCalcPts[[#This Row],[RBRef]],TableRBMaster[RBRef],0)),"")</f>
        <v>14.242156410960854</v>
      </c>
      <c r="O26" s="2">
        <f>IFERROR(RANK(TableWRCalcPts[[#This Row],[Custom]],TableWRCalcPts[Custom])+COUNTIF($T$3:T26,T26)-1,"")</f>
        <v>51</v>
      </c>
      <c r="P26" s="2">
        <v>24</v>
      </c>
      <c r="Q26" s="2" t="str">
        <f>IFERROR(INDEX(TableWRMaster[Player],MATCH(TableWRCalcPts[[#This Row],[WRRef]],TableWRMaster[WRRef],0)),"")</f>
        <v>Jalen Coker</v>
      </c>
      <c r="R26" s="2" t="str">
        <f>IFERROR(INDEX(TableWRMaster[TM],MATCH(TableWRCalcPts[[#This Row],[WRRef]],TableWRMaster[WRRef],0)),"")</f>
        <v>CAR</v>
      </c>
      <c r="S26" s="2">
        <f>IFERROR(INDEX(TableWRMaster[BYE],MATCH(TableWRCalcPts[[#This Row],[WRRef]],TableWRMaster[WRRef],0)),"")</f>
        <v>5</v>
      </c>
      <c r="T26" s="3">
        <f>IFERROR(INDEX(TableWRMaster[Custom],MATCH(TableWRCalcPts[[#This Row],[WRRef]],TableWRMaster[WRRef],0)),"")</f>
        <v>136.0645177815</v>
      </c>
      <c r="V26" s="2">
        <f>IFERROR(RANK(TableTECalcPts[[#This Row],[Custom]],TableTECalcPts[Custom])+COUNTIF($AA$3:AA26,AA26)-1,"")</f>
        <v>13</v>
      </c>
      <c r="W26" s="2">
        <v>24</v>
      </c>
      <c r="X26" s="2" t="str">
        <f>IFERROR(INDEX(TableTEMaster[Player],MATCH(TableTECalcPts[[#This Row],[TERef]],TableTEMaster[TERef],0)),"")</f>
        <v>Jake Ferguson</v>
      </c>
      <c r="Y26" s="2" t="str">
        <f>IFERROR(INDEX(TableTEMaster[TM],MATCH(TableTECalcPts[[#This Row],[TERef]],TableTEMaster[TERef],0)),"")</f>
        <v>DAL</v>
      </c>
      <c r="Z26" s="2">
        <f>IFERROR(INDEX(TableTEMaster[BYE],MATCH(TableTECalcPts[[#This Row],[TERef]],TableTEMaster[TERef],0)),"")</f>
        <v>14</v>
      </c>
      <c r="AA26" s="3">
        <f>IFERROR(INDEX(TableTEMaster[Custom],MATCH(TableTECalcPts[[#This Row],[TERef]],TableTEMaster[TERef],0)),"")</f>
        <v>135.53776951944241</v>
      </c>
      <c r="AC26" s="2">
        <f>IFERROR(RANK(TableDSTCalcPts[[#This Row],[Custom]],TableDSTCalcPts[Custom],0),"")</f>
        <v>22</v>
      </c>
      <c r="AD26" s="2">
        <v>24</v>
      </c>
      <c r="AE26" s="2" t="str">
        <f>IFERROR(INDEX(TableDSTMaster[Player],MATCH(TableDSTCalcPts[[#This Row],[DSTRef]],TableDSTMaster[DSTRef],0)),"")</f>
        <v>New York Giants</v>
      </c>
      <c r="AF26" s="2">
        <f>IFERROR(INDEX(TableDSTMaster[BYE],MATCH(TableDSTCalcPts[[#This Row],[DSTRef]],TableDSTMaster[DSTRef],0)),"")</f>
        <v>8</v>
      </c>
      <c r="AG26" s="3">
        <f>IFERROR(INDEX(TableDSTMaster[Custom],MATCH(TableDSTCalcPts[[#This Row],[DSTRef]],TableDSTMaster[DSTRef],0)),"")</f>
        <v>109.32380952380953</v>
      </c>
      <c r="AI26" s="2" t="s">
        <v>8</v>
      </c>
      <c r="AJ26" s="2">
        <f>IFERROR(RANK(TableWRTECalcPts[[#This Row],[Custom]],TableWRTECalcPts[Custom])+COUNTIF($AP$3:AP26,AP26)-1,"")</f>
        <v>64</v>
      </c>
      <c r="AK26" s="2">
        <v>24</v>
      </c>
      <c r="AL26" s="2" t="str">
        <f>IFERROR(INDEX(TableTEMaster[Player],MATCH(TableWRTECalcPts[[#This Row],[POSRef]],TableTEMaster[TERef],0)),"")</f>
        <v>Jake Ferguson</v>
      </c>
      <c r="AM26" s="2" t="str">
        <f>IFERROR(_xlfn.CONCAT(TableWRTECalcPts[[#This Row],[POS]],INDEX(TableTERanks[RK],MATCH(TableWRTECalcPts[[#This Row],[PLAYER]],TableTERanks[Player],0))),"")</f>
        <v>TE13</v>
      </c>
      <c r="AN26" s="2" t="str">
        <f>IFERROR(INDEX(TableTEMaster[TM],MATCH(TableWRTECalcPts[[#This Row],[POSRef]],TableTEMaster[TERef],0)),"")</f>
        <v>DAL</v>
      </c>
      <c r="AO26" s="2">
        <f>IFERROR(INDEX(TableTEMaster[BYE],MATCH(TableWRTECalcPts[[#This Row],[POSRef]],TableTEMaster[TERef],0)),"")</f>
        <v>14</v>
      </c>
      <c r="AP26" s="3">
        <f>IFERROR(INDEX(TableTEMaster[Custom],MATCH(TableWRTECalcPts[[#This Row],[POSRef]],TableTEMaster[TERef],0)),"")</f>
        <v>135.53776951944241</v>
      </c>
    </row>
    <row r="27" spans="1:42" x14ac:dyDescent="0.25">
      <c r="A27" s="4">
        <f>IFERROR(RANK(TableQBCalcPts[[#This Row],[Custom]],TableQBCalcPts[Custom])+COUNTIF($F$3:F27,F27)-1,"")</f>
        <v>19</v>
      </c>
      <c r="B27" s="2">
        <v>25</v>
      </c>
      <c r="C27" s="2" t="str">
        <f>IFERROR(INDEX(TableQBMaster[Player],MATCH(TableQBCalcPts[[#This Row],[QBRef]],TableQBMaster[QBRef],0)),"")</f>
        <v>Jordan Love</v>
      </c>
      <c r="D27" s="2" t="str">
        <f>IFERROR(INDEX(TableQBMaster[TM],MATCH(TableQBCalcPts[[#This Row],[QBRef]],TableQBMaster[QBRef],0)),"")</f>
        <v>GB</v>
      </c>
      <c r="E27" s="2">
        <f>IFERROR(INDEX(TableQBMaster[BYE],MATCH(TableQBCalcPts[[#This Row],[QBRef]],TableQBMaster[QBRef],0)),"")</f>
        <v>11</v>
      </c>
      <c r="F27" s="3">
        <f>IFERROR(INDEX(TableQBMaster[Custom],MATCH(TableQBCalcPts[[#This Row],[QBRef]],TableQBMaster[QBRef],0)),"")</f>
        <v>374.83660990818674</v>
      </c>
      <c r="H27" s="2">
        <f>IFERROR(RANK(TableRBCalcPts[[#This Row],[Custom]],TableRBCalcPts[Custom])+COUNTIF($M$3:M27,M27)-1,"")</f>
        <v>24</v>
      </c>
      <c r="I27" s="2">
        <v>25</v>
      </c>
      <c r="J27" s="2" t="str">
        <f>IFERROR(INDEX(TableRBMaster[Player],MATCH(TableRBCalcPts[[#This Row],[RBRef]],TableRBMaster[RBRef],0)),"")</f>
        <v>Quinshon Judkins</v>
      </c>
      <c r="K27" s="2" t="str">
        <f>IFERROR(INDEX(TableRBMaster[TM],MATCH(TableRBCalcPts[[#This Row],[RBRef]],TableRBMaster[RBRef],0)),"")</f>
        <v>CLE</v>
      </c>
      <c r="L27" s="2">
        <f>IFERROR(INDEX(TableRBMaster[BYE],MATCH(TableRBCalcPts[[#This Row],[RBRef]],TableRBMaster[RBRef],0)),"")</f>
        <v>11</v>
      </c>
      <c r="M27" s="3">
        <f>IFERROR(INDEX(TableRBMaster[Custom],MATCH(TableRBCalcPts[[#This Row],[RBRef]],TableRBMaster[RBRef],0)),"")</f>
        <v>188.99420386322706</v>
      </c>
      <c r="O27" s="2">
        <f>IFERROR(RANK(TableWRCalcPts[[#This Row],[Custom]],TableWRCalcPts[Custom])+COUNTIF($T$3:T27,T27)-1,"")</f>
        <v>90</v>
      </c>
      <c r="P27" s="2">
        <v>25</v>
      </c>
      <c r="Q27" s="2" t="str">
        <f>IFERROR(INDEX(TableWRMaster[Player],MATCH(TableWRCalcPts[[#This Row],[WRRef]],TableWRMaster[WRRef],0)),"")</f>
        <v>Xavier Legette</v>
      </c>
      <c r="R27" s="2" t="str">
        <f>IFERROR(INDEX(TableWRMaster[TM],MATCH(TableWRCalcPts[[#This Row],[WRRef]],TableWRMaster[WRRef],0)),"")</f>
        <v>CAR</v>
      </c>
      <c r="S27" s="2">
        <f>IFERROR(INDEX(TableWRMaster[BYE],MATCH(TableWRCalcPts[[#This Row],[WRRef]],TableWRMaster[WRRef],0)),"")</f>
        <v>5</v>
      </c>
      <c r="T27" s="3">
        <f>IFERROR(INDEX(TableWRMaster[Custom],MATCH(TableWRCalcPts[[#This Row],[WRRef]],TableWRMaster[WRRef],0)),"")</f>
        <v>58.952262247216787</v>
      </c>
      <c r="V27" s="2">
        <f>IFERROR(RANK(TableTECalcPts[[#This Row],[Custom]],TableTECalcPts[Custom])+COUNTIF($AA$3:AA27,AA27)-1,"")</f>
        <v>54</v>
      </c>
      <c r="W27" s="2">
        <v>25</v>
      </c>
      <c r="X27" s="2" t="str">
        <f>IFERROR(INDEX(TableTEMaster[Player],MATCH(TableTECalcPts[[#This Row],[TERef]],TableTEMaster[TERef],0)),"")</f>
        <v>Luke Schoonmaker</v>
      </c>
      <c r="Y27" s="2" t="str">
        <f>IFERROR(INDEX(TableTEMaster[TM],MATCH(TableTECalcPts[[#This Row],[TERef]],TableTEMaster[TERef],0)),"")</f>
        <v>DAL</v>
      </c>
      <c r="Z27" s="2">
        <f>IFERROR(INDEX(TableTEMaster[BYE],MATCH(TableTECalcPts[[#This Row],[TERef]],TableTEMaster[TERef],0)),"")</f>
        <v>14</v>
      </c>
      <c r="AA27" s="3">
        <f>IFERROR(INDEX(TableTEMaster[Custom],MATCH(TableTECalcPts[[#This Row],[TERef]],TableTEMaster[TERef],0)),"")</f>
        <v>25.414771732747063</v>
      </c>
      <c r="AC27" s="2">
        <f>IFERROR(RANK(TableDSTCalcPts[[#This Row],[Custom]],TableDSTCalcPts[Custom],0),"")</f>
        <v>32</v>
      </c>
      <c r="AD27" s="2">
        <v>25</v>
      </c>
      <c r="AE27" s="2" t="str">
        <f>IFERROR(INDEX(TableDSTMaster[Player],MATCH(TableDSTCalcPts[[#This Row],[DSTRef]],TableDSTMaster[DSTRef],0)),"")</f>
        <v>New York Jets</v>
      </c>
      <c r="AF27" s="2">
        <f>IFERROR(INDEX(TableDSTMaster[BYE],MATCH(TableDSTCalcPts[[#This Row],[DSTRef]],TableDSTMaster[DSTRef],0)),"")</f>
        <v>13</v>
      </c>
      <c r="AG27" s="3">
        <f>IFERROR(INDEX(TableDSTMaster[Custom],MATCH(TableDSTCalcPts[[#This Row],[DSTRef]],TableDSTMaster[DSTRef],0)),"")</f>
        <v>100.11904761904762</v>
      </c>
      <c r="AI27" s="2" t="s">
        <v>8</v>
      </c>
      <c r="AJ27" s="2">
        <f>IFERROR(RANK(TableWRTECalcPts[[#This Row],[Custom]],TableWRTECalcPts[Custom])+COUNTIF($AP$3:AP27,AP27)-1,"")</f>
        <v>178</v>
      </c>
      <c r="AK27" s="2">
        <v>25</v>
      </c>
      <c r="AL27" s="2" t="str">
        <f>IFERROR(INDEX(TableTEMaster[Player],MATCH(TableWRTECalcPts[[#This Row],[POSRef]],TableTEMaster[TERef],0)),"")</f>
        <v>Luke Schoonmaker</v>
      </c>
      <c r="AM27" s="2" t="str">
        <f>IFERROR(_xlfn.CONCAT(TableWRTECalcPts[[#This Row],[POS]],INDEX(TableTERanks[RK],MATCH(TableWRTECalcPts[[#This Row],[PLAYER]],TableTERanks[Player],0))),"")</f>
        <v>TE54</v>
      </c>
      <c r="AN27" s="2" t="str">
        <f>IFERROR(INDEX(TableTEMaster[TM],MATCH(TableWRTECalcPts[[#This Row],[POSRef]],TableTEMaster[TERef],0)),"")</f>
        <v>DAL</v>
      </c>
      <c r="AO27" s="2">
        <f>IFERROR(INDEX(TableTEMaster[BYE],MATCH(TableWRTECalcPts[[#This Row],[POSRef]],TableTEMaster[TERef],0)),"")</f>
        <v>14</v>
      </c>
      <c r="AP27" s="3">
        <f>IFERROR(INDEX(TableTEMaster[Custom],MATCH(TableWRTECalcPts[[#This Row],[POSRef]],TableTEMaster[TERef],0)),"")</f>
        <v>25.414771732747063</v>
      </c>
    </row>
    <row r="28" spans="1:42" x14ac:dyDescent="0.25">
      <c r="A28" s="4">
        <f>IFERROR(RANK(TableQBCalcPts[[#This Row],[Custom]],TableQBCalcPts[Custom])+COUNTIF($F$3:F28,F28)-1,"")</f>
        <v>65</v>
      </c>
      <c r="B28" s="2">
        <v>26</v>
      </c>
      <c r="C28" s="2" t="str">
        <f>IFERROR(INDEX(TableQBMaster[Player],MATCH(TableQBCalcPts[[#This Row],[QBRef]],TableQBMaster[QBRef],0)),"")</f>
        <v>Tyrod Taylor</v>
      </c>
      <c r="D28" s="2" t="str">
        <f>IFERROR(INDEX(TableQBMaster[TM],MATCH(TableQBCalcPts[[#This Row],[QBRef]],TableQBMaster[QBRef],0)),"")</f>
        <v>GB</v>
      </c>
      <c r="E28" s="2">
        <f>IFERROR(INDEX(TableQBMaster[BYE],MATCH(TableQBCalcPts[[#This Row],[QBRef]],TableQBMaster[QBRef],0)),"")</f>
        <v>11</v>
      </c>
      <c r="F28" s="3">
        <f>IFERROR(INDEX(TableQBMaster[Custom],MATCH(TableQBCalcPts[[#This Row],[QBRef]],TableQBMaster[QBRef],0)),"")</f>
        <v>2.8061911575422762</v>
      </c>
      <c r="H28" s="2">
        <f>IFERROR(RANK(TableRBCalcPts[[#This Row],[Custom]],TableRBCalcPts[Custom])+COUNTIF($M$3:M28,M28)-1,"")</f>
        <v>49</v>
      </c>
      <c r="I28" s="2">
        <v>26</v>
      </c>
      <c r="J28" s="2" t="str">
        <f>IFERROR(INDEX(TableRBMaster[Player],MATCH(TableRBCalcPts[[#This Row],[RBRef]],TableRBMaster[RBRef],0)),"")</f>
        <v>Dylan Sampson</v>
      </c>
      <c r="K28" s="2" t="str">
        <f>IFERROR(INDEX(TableRBMaster[TM],MATCH(TableRBCalcPts[[#This Row],[RBRef]],TableRBMaster[RBRef],0)),"")</f>
        <v>CLE</v>
      </c>
      <c r="L28" s="2">
        <f>IFERROR(INDEX(TableRBMaster[BYE],MATCH(TableRBCalcPts[[#This Row],[RBRef]],TableRBMaster[RBRef],0)),"")</f>
        <v>11</v>
      </c>
      <c r="M28" s="3">
        <f>IFERROR(INDEX(TableRBMaster[Custom],MATCH(TableRBCalcPts[[#This Row],[RBRef]],TableRBMaster[RBRef],0)),"")</f>
        <v>91.113392963644444</v>
      </c>
      <c r="O28" s="2">
        <f>IFERROR(RANK(TableWRCalcPts[[#This Row],[Custom]],TableWRCalcPts[Custom])+COUNTIF($T$3:T28,T28)-1,"")</f>
        <v>107</v>
      </c>
      <c r="P28" s="2">
        <v>26</v>
      </c>
      <c r="Q28" s="2" t="str">
        <f>IFERROR(INDEX(TableWRMaster[Player],MATCH(TableWRCalcPts[[#This Row],[WRRef]],TableWRMaster[WRRef],0)),"")</f>
        <v>John Metchie</v>
      </c>
      <c r="R28" s="2" t="str">
        <f>IFERROR(INDEX(TableWRMaster[TM],MATCH(TableWRCalcPts[[#This Row],[WRRef]],TableWRMaster[WRRef],0)),"")</f>
        <v>CAR</v>
      </c>
      <c r="S28" s="2">
        <f>IFERROR(INDEX(TableWRMaster[BYE],MATCH(TableWRCalcPts[[#This Row],[WRRef]],TableWRMaster[WRRef],0)),"")</f>
        <v>5</v>
      </c>
      <c r="T28" s="3">
        <f>IFERROR(INDEX(TableWRMaster[Custom],MATCH(TableWRCalcPts[[#This Row],[WRRef]],TableWRMaster[WRRef],0)),"")</f>
        <v>44.115849021183735</v>
      </c>
      <c r="V28" s="2">
        <f>IFERROR(RANK(TableTECalcPts[[#This Row],[Custom]],TableTECalcPts[Custom])+COUNTIF($AA$3:AA28,AA28)-1,"")</f>
        <v>78</v>
      </c>
      <c r="W28" s="2">
        <v>26</v>
      </c>
      <c r="X28" s="2" t="str">
        <f>IFERROR(INDEX(TableTEMaster[Player],MATCH(TableTECalcPts[[#This Row],[TERef]],TableTEMaster[TERef],0)),"")</f>
        <v>Michael Trigg</v>
      </c>
      <c r="Y28" s="2" t="str">
        <f>IFERROR(INDEX(TableTEMaster[TM],MATCH(TableTECalcPts[[#This Row],[TERef]],TableTEMaster[TERef],0)),"")</f>
        <v>DAL</v>
      </c>
      <c r="Z28" s="2">
        <f>IFERROR(INDEX(TableTEMaster[BYE],MATCH(TableTECalcPts[[#This Row],[TERef]],TableTEMaster[TERef],0)),"")</f>
        <v>14</v>
      </c>
      <c r="AA28" s="3">
        <f>IFERROR(INDEX(TableTEMaster[Custom],MATCH(TableTECalcPts[[#This Row],[TERef]],TableTEMaster[TERef],0)),"")</f>
        <v>5.4358435993400001</v>
      </c>
      <c r="AC28" s="2">
        <f>IFERROR(RANK(TableDSTCalcPts[[#This Row],[Custom]],TableDSTCalcPts[Custom],0),"")</f>
        <v>8</v>
      </c>
      <c r="AD28" s="2">
        <v>26</v>
      </c>
      <c r="AE28" s="2" t="str">
        <f>IFERROR(INDEX(TableDSTMaster[Player],MATCH(TableDSTCalcPts[[#This Row],[DSTRef]],TableDSTMaster[DSTRef],0)),"")</f>
        <v>Philadelphia Eagles</v>
      </c>
      <c r="AF28" s="2">
        <f>IFERROR(INDEX(TableDSTMaster[BYE],MATCH(TableDSTCalcPts[[#This Row],[DSTRef]],TableDSTMaster[DSTRef],0)),"")</f>
        <v>10</v>
      </c>
      <c r="AG28" s="3">
        <f>IFERROR(INDEX(TableDSTMaster[Custom],MATCH(TableDSTCalcPts[[#This Row],[DSTRef]],TableDSTMaster[DSTRef],0)),"")</f>
        <v>127.72380952380951</v>
      </c>
      <c r="AI28" s="2" t="s">
        <v>8</v>
      </c>
      <c r="AJ28" s="2">
        <f>IFERROR(RANK(TableWRTECalcPts[[#This Row],[Custom]],TableWRTECalcPts[Custom])+COUNTIF($AP$3:AP28,AP28)-1,"")</f>
        <v>251</v>
      </c>
      <c r="AK28" s="2">
        <v>26</v>
      </c>
      <c r="AL28" s="2" t="str">
        <f>IFERROR(INDEX(TableTEMaster[Player],MATCH(TableWRTECalcPts[[#This Row],[POSRef]],TableTEMaster[TERef],0)),"")</f>
        <v>Michael Trigg</v>
      </c>
      <c r="AM28" s="2" t="str">
        <f>IFERROR(_xlfn.CONCAT(TableWRTECalcPts[[#This Row],[POS]],INDEX(TableTERanks[RK],MATCH(TableWRTECalcPts[[#This Row],[PLAYER]],TableTERanks[Player],0))),"")</f>
        <v>TE78</v>
      </c>
      <c r="AN28" s="2" t="str">
        <f>IFERROR(INDEX(TableTEMaster[TM],MATCH(TableWRTECalcPts[[#This Row],[POSRef]],TableTEMaster[TERef],0)),"")</f>
        <v>DAL</v>
      </c>
      <c r="AO28" s="2">
        <f>IFERROR(INDEX(TableTEMaster[BYE],MATCH(TableWRTECalcPts[[#This Row],[POSRef]],TableTEMaster[TERef],0)),"")</f>
        <v>14</v>
      </c>
      <c r="AP28" s="3">
        <f>IFERROR(INDEX(TableTEMaster[Custom],MATCH(TableWRTECalcPts[[#This Row],[POSRef]],TableTEMaster[TERef],0)),"")</f>
        <v>5.4358435993400001</v>
      </c>
    </row>
    <row r="29" spans="1:42" x14ac:dyDescent="0.25">
      <c r="A29" s="4">
        <f>IFERROR(RANK(TableQBCalcPts[[#This Row],[Custom]],TableQBCalcPts[Custom])+COUNTIF($F$3:F29,F29)-1,"")</f>
        <v>62</v>
      </c>
      <c r="B29" s="2">
        <v>27</v>
      </c>
      <c r="C29" s="2" t="str">
        <f>IFERROR(INDEX(TableQBMaster[Player],MATCH(TableQBCalcPts[[#This Row],[QBRef]],TableQBMaster[QBRef],0)),"")</f>
        <v>Davis Mills</v>
      </c>
      <c r="D29" s="2" t="str">
        <f>IFERROR(INDEX(TableQBMaster[TM],MATCH(TableQBCalcPts[[#This Row],[QBRef]],TableQBMaster[QBRef],0)),"")</f>
        <v>HOU</v>
      </c>
      <c r="E29" s="2">
        <f>IFERROR(INDEX(TableQBMaster[BYE],MATCH(TableQBCalcPts[[#This Row],[QBRef]],TableQBMaster[QBRef],0)),"")</f>
        <v>8</v>
      </c>
      <c r="F29" s="3">
        <f>IFERROR(INDEX(TableQBMaster[Custom],MATCH(TableQBCalcPts[[#This Row],[QBRef]],TableQBMaster[QBRef],0)),"")</f>
        <v>4.2706835356278372</v>
      </c>
      <c r="H29" s="2">
        <f>IFERROR(RANK(TableRBCalcPts[[#This Row],[Custom]],TableRBCalcPts[Custom])+COUNTIF($M$3:M29,M29)-1,"")</f>
        <v>82</v>
      </c>
      <c r="I29" s="2">
        <v>27</v>
      </c>
      <c r="J29" s="2" t="str">
        <f>IFERROR(INDEX(TableRBMaster[Player],MATCH(TableRBCalcPts[[#This Row],[RBRef]],TableRBMaster[RBRef],0)),"")</f>
        <v>Raheim Sanders</v>
      </c>
      <c r="K29" s="2" t="str">
        <f>IFERROR(INDEX(TableRBMaster[TM],MATCH(TableRBCalcPts[[#This Row],[RBRef]],TableRBMaster[RBRef],0)),"")</f>
        <v>CLE</v>
      </c>
      <c r="L29" s="2">
        <f>IFERROR(INDEX(TableRBMaster[BYE],MATCH(TableRBCalcPts[[#This Row],[RBRef]],TableRBMaster[RBRef],0)),"")</f>
        <v>11</v>
      </c>
      <c r="M29" s="3">
        <f>IFERROR(INDEX(TableRBMaster[Custom],MATCH(TableRBCalcPts[[#This Row],[RBRef]],TableRBMaster[RBRef],0)),"")</f>
        <v>24.411917979477352</v>
      </c>
      <c r="O29" s="2">
        <f>IFERROR(RANK(TableWRCalcPts[[#This Row],[Custom]],TableWRCalcPts[Custom])+COUNTIF($T$3:T29,T29)-1,"")</f>
        <v>149</v>
      </c>
      <c r="P29" s="2">
        <v>27</v>
      </c>
      <c r="Q29" s="2" t="str">
        <f>IFERROR(INDEX(TableWRMaster[Player],MATCH(TableWRCalcPts[[#This Row],[WRRef]],TableWRMaster[WRRef],0)),"")</f>
        <v>Jimmy Horn</v>
      </c>
      <c r="R29" s="2" t="str">
        <f>IFERROR(INDEX(TableWRMaster[TM],MATCH(TableWRCalcPts[[#This Row],[WRRef]],TableWRMaster[WRRef],0)),"")</f>
        <v>CAR</v>
      </c>
      <c r="S29" s="2">
        <f>IFERROR(INDEX(TableWRMaster[BYE],MATCH(TableWRCalcPts[[#This Row],[WRRef]],TableWRMaster[WRRef],0)),"")</f>
        <v>5</v>
      </c>
      <c r="T29" s="3">
        <f>IFERROR(INDEX(TableWRMaster[Custom],MATCH(TableWRCalcPts[[#This Row],[WRRef]],TableWRMaster[WRRef],0)),"")</f>
        <v>8.7033181439178939</v>
      </c>
      <c r="V29" s="2">
        <f>IFERROR(RANK(TableTECalcPts[[#This Row],[Custom]],TableTECalcPts[Custom])+COUNTIF($AA$3:AA29,AA29)-1,"")</f>
        <v>32</v>
      </c>
      <c r="W29" s="2">
        <v>27</v>
      </c>
      <c r="X29" s="2" t="str">
        <f>IFERROR(INDEX(TableTEMaster[Player],MATCH(TableTECalcPts[[#This Row],[TERef]],TableTEMaster[TERef],0)),"")</f>
        <v>Evan Engram</v>
      </c>
      <c r="Y29" s="2" t="str">
        <f>IFERROR(INDEX(TableTEMaster[TM],MATCH(TableTECalcPts[[#This Row],[TERef]],TableTEMaster[TERef],0)),"")</f>
        <v>DEN</v>
      </c>
      <c r="Z29" s="2">
        <f>IFERROR(INDEX(TableTEMaster[BYE],MATCH(TableTECalcPts[[#This Row],[TERef]],TableTEMaster[TERef],0)),"")</f>
        <v>10</v>
      </c>
      <c r="AA29" s="3">
        <f>IFERROR(INDEX(TableTEMaster[Custom],MATCH(TableTECalcPts[[#This Row],[TERef]],TableTEMaster[TERef],0)),"")</f>
        <v>71.134066611231063</v>
      </c>
      <c r="AC29" s="2">
        <f>IFERROR(RANK(TableDSTCalcPts[[#This Row],[Custom]],TableDSTCalcPts[Custom],0),"")</f>
        <v>5</v>
      </c>
      <c r="AD29" s="2">
        <v>27</v>
      </c>
      <c r="AE29" s="2" t="str">
        <f>IFERROR(INDEX(TableDSTMaster[Player],MATCH(TableDSTCalcPts[[#This Row],[DSTRef]],TableDSTMaster[DSTRef],0)),"")</f>
        <v>Pittsburgh Steelers</v>
      </c>
      <c r="AF29" s="2">
        <f>IFERROR(INDEX(TableDSTMaster[BYE],MATCH(TableDSTCalcPts[[#This Row],[DSTRef]],TableDSTMaster[DSTRef],0)),"")</f>
        <v>9</v>
      </c>
      <c r="AG29" s="3">
        <f>IFERROR(INDEX(TableDSTMaster[Custom],MATCH(TableDSTCalcPts[[#This Row],[DSTRef]],TableDSTMaster[DSTRef],0)),"")</f>
        <v>137.51428571428571</v>
      </c>
      <c r="AI29" s="2" t="s">
        <v>8</v>
      </c>
      <c r="AJ29" s="2">
        <f>IFERROR(RANK(TableWRTECalcPts[[#This Row],[Custom]],TableWRTECalcPts[Custom])+COUNTIF($AP$3:AP29,AP29)-1,"")</f>
        <v>112</v>
      </c>
      <c r="AK29" s="2">
        <v>27</v>
      </c>
      <c r="AL29" s="2" t="str">
        <f>IFERROR(INDEX(TableTEMaster[Player],MATCH(TableWRTECalcPts[[#This Row],[POSRef]],TableTEMaster[TERef],0)),"")</f>
        <v>Evan Engram</v>
      </c>
      <c r="AM29" s="2" t="str">
        <f>IFERROR(_xlfn.CONCAT(TableWRTECalcPts[[#This Row],[POS]],INDEX(TableTERanks[RK],MATCH(TableWRTECalcPts[[#This Row],[PLAYER]],TableTERanks[Player],0))),"")</f>
        <v>TE32</v>
      </c>
      <c r="AN29" s="2" t="str">
        <f>IFERROR(INDEX(TableTEMaster[TM],MATCH(TableWRTECalcPts[[#This Row],[POSRef]],TableTEMaster[TERef],0)),"")</f>
        <v>DEN</v>
      </c>
      <c r="AO29" s="2">
        <f>IFERROR(INDEX(TableTEMaster[BYE],MATCH(TableWRTECalcPts[[#This Row],[POSRef]],TableTEMaster[TERef],0)),"")</f>
        <v>10</v>
      </c>
      <c r="AP29" s="3">
        <f>IFERROR(INDEX(TableTEMaster[Custom],MATCH(TableWRTECalcPts[[#This Row],[POSRef]],TableTEMaster[TERef],0)),"")</f>
        <v>71.134066611231063</v>
      </c>
    </row>
    <row r="30" spans="1:42" x14ac:dyDescent="0.25">
      <c r="A30" s="4">
        <f>IFERROR(RANK(TableQBCalcPts[[#This Row],[Custom]],TableQBCalcPts[Custom])+COUNTIF($F$3:F30,F30)-1,"")</f>
        <v>20</v>
      </c>
      <c r="B30" s="2">
        <v>28</v>
      </c>
      <c r="C30" s="2" t="str">
        <f>IFERROR(INDEX(TableQBMaster[Player],MATCH(TableQBCalcPts[[#This Row],[QBRef]],TableQBMaster[QBRef],0)),"")</f>
        <v>C.J. Stroud</v>
      </c>
      <c r="D30" s="2" t="str">
        <f>IFERROR(INDEX(TableQBMaster[TM],MATCH(TableQBCalcPts[[#This Row],[QBRef]],TableQBMaster[QBRef],0)),"")</f>
        <v>HOU</v>
      </c>
      <c r="E30" s="2">
        <f>IFERROR(INDEX(TableQBMaster[BYE],MATCH(TableQBCalcPts[[#This Row],[QBRef]],TableQBMaster[QBRef],0)),"")</f>
        <v>8</v>
      </c>
      <c r="F30" s="3">
        <f>IFERROR(INDEX(TableQBMaster[Custom],MATCH(TableQBCalcPts[[#This Row],[QBRef]],TableQBMaster[QBRef],0)),"")</f>
        <v>366.66195305256093</v>
      </c>
      <c r="H30" s="2">
        <f>IFERROR(RANK(TableRBCalcPts[[#This Row],[Custom]],TableRBCalcPts[Custom])+COUNTIF($M$3:M30,M30)-1,"")</f>
        <v>13</v>
      </c>
      <c r="I30" s="2">
        <v>28</v>
      </c>
      <c r="J30" s="2" t="str">
        <f>IFERROR(INDEX(TableRBMaster[Player],MATCH(TableRBCalcPts[[#This Row],[RBRef]],TableRBMaster[RBRef],0)),"")</f>
        <v>Javonte Williams</v>
      </c>
      <c r="K30" s="2" t="str">
        <f>IFERROR(INDEX(TableRBMaster[TM],MATCH(TableRBCalcPts[[#This Row],[RBRef]],TableRBMaster[RBRef],0)),"")</f>
        <v>DAL</v>
      </c>
      <c r="L30" s="2">
        <f>IFERROR(INDEX(TableRBMaster[BYE],MATCH(TableRBCalcPts[[#This Row],[RBRef]],TableRBMaster[RBRef],0)),"")</f>
        <v>14</v>
      </c>
      <c r="M30" s="3">
        <f>IFERROR(INDEX(TableRBMaster[Custom],MATCH(TableRBCalcPts[[#This Row],[RBRef]],TableRBMaster[RBRef],0)),"")</f>
        <v>227.16469561959036</v>
      </c>
      <c r="O30" s="2">
        <f>IFERROR(RANK(TableWRCalcPts[[#This Row],[Custom]],TableWRCalcPts[Custom])+COUNTIF($T$3:T30,T30)-1,"")</f>
        <v>21</v>
      </c>
      <c r="P30" s="2">
        <v>28</v>
      </c>
      <c r="Q30" s="2" t="str">
        <f>IFERROR(INDEX(TableWRMaster[Player],MATCH(TableWRCalcPts[[#This Row],[WRRef]],TableWRMaster[WRRef],0)),"")</f>
        <v>Luther Burden</v>
      </c>
      <c r="R30" s="2" t="str">
        <f>IFERROR(INDEX(TableWRMaster[TM],MATCH(TableWRCalcPts[[#This Row],[WRRef]],TableWRMaster[WRRef],0)),"")</f>
        <v>CHI</v>
      </c>
      <c r="S30" s="2">
        <f>IFERROR(INDEX(TableWRMaster[BYE],MATCH(TableWRCalcPts[[#This Row],[WRRef]],TableWRMaster[WRRef],0)),"")</f>
        <v>10</v>
      </c>
      <c r="T30" s="3">
        <f>IFERROR(INDEX(TableWRMaster[Custom],MATCH(TableWRCalcPts[[#This Row],[WRRef]],TableWRMaster[WRRef],0)),"")</f>
        <v>192.08515296732605</v>
      </c>
      <c r="V30" s="2">
        <f>IFERROR(RANK(TableTECalcPts[[#This Row],[Custom]],TableTECalcPts[Custom])+COUNTIF($AA$3:AA30,AA30)-1,"")</f>
        <v>60</v>
      </c>
      <c r="W30" s="2">
        <v>28</v>
      </c>
      <c r="X30" s="2" t="str">
        <f>IFERROR(INDEX(TableTEMaster[Player],MATCH(TableTECalcPts[[#This Row],[TERef]],TableTEMaster[TERef],0)),"")</f>
        <v>Adam Trautman</v>
      </c>
      <c r="Y30" s="2" t="str">
        <f>IFERROR(INDEX(TableTEMaster[TM],MATCH(TableTECalcPts[[#This Row],[TERef]],TableTEMaster[TERef],0)),"")</f>
        <v>DEN</v>
      </c>
      <c r="Z30" s="2">
        <f>IFERROR(INDEX(TableTEMaster[BYE],MATCH(TableTECalcPts[[#This Row],[TERef]],TableTEMaster[TERef],0)),"")</f>
        <v>10</v>
      </c>
      <c r="AA30" s="3">
        <f>IFERROR(INDEX(TableTEMaster[Custom],MATCH(TableTECalcPts[[#This Row],[TERef]],TableTEMaster[TERef],0)),"")</f>
        <v>20.176940339267716</v>
      </c>
      <c r="AC30" s="2">
        <f>IFERROR(RANK(TableDSTCalcPts[[#This Row],[Custom]],TableDSTCalcPts[Custom],0),"")</f>
        <v>26</v>
      </c>
      <c r="AD30" s="2">
        <v>28</v>
      </c>
      <c r="AE30" s="2" t="str">
        <f>IFERROR(INDEX(TableDSTMaster[Player],MATCH(TableDSTCalcPts[[#This Row],[DSTRef]],TableDSTMaster[DSTRef],0)),"")</f>
        <v>San Francisco 49ers</v>
      </c>
      <c r="AF30" s="2">
        <f>IFERROR(INDEX(TableDSTMaster[BYE],MATCH(TableDSTCalcPts[[#This Row],[DSTRef]],TableDSTMaster[DSTRef],0)),"")</f>
        <v>8</v>
      </c>
      <c r="AG30" s="3">
        <f>IFERROR(INDEX(TableDSTMaster[Custom],MATCH(TableDSTCalcPts[[#This Row],[DSTRef]],TableDSTMaster[DSTRef],0)),"")</f>
        <v>106.16666666666666</v>
      </c>
      <c r="AI30" s="2" t="s">
        <v>8</v>
      </c>
      <c r="AJ30" s="2">
        <f>IFERROR(RANK(TableWRTECalcPts[[#This Row],[Custom]],TableWRTECalcPts[Custom])+COUNTIF($AP$3:AP30,AP30)-1,"")</f>
        <v>189</v>
      </c>
      <c r="AK30" s="2">
        <v>28</v>
      </c>
      <c r="AL30" s="2" t="str">
        <f>IFERROR(INDEX(TableTEMaster[Player],MATCH(TableWRTECalcPts[[#This Row],[POSRef]],TableTEMaster[TERef],0)),"")</f>
        <v>Adam Trautman</v>
      </c>
      <c r="AM30" s="2" t="str">
        <f>IFERROR(_xlfn.CONCAT(TableWRTECalcPts[[#This Row],[POS]],INDEX(TableTERanks[RK],MATCH(TableWRTECalcPts[[#This Row],[PLAYER]],TableTERanks[Player],0))),"")</f>
        <v>TE60</v>
      </c>
      <c r="AN30" s="2" t="str">
        <f>IFERROR(INDEX(TableTEMaster[TM],MATCH(TableWRTECalcPts[[#This Row],[POSRef]],TableTEMaster[TERef],0)),"")</f>
        <v>DEN</v>
      </c>
      <c r="AO30" s="2">
        <f>IFERROR(INDEX(TableTEMaster[BYE],MATCH(TableWRTECalcPts[[#This Row],[POSRef]],TableTEMaster[TERef],0)),"")</f>
        <v>10</v>
      </c>
      <c r="AP30" s="3">
        <f>IFERROR(INDEX(TableTEMaster[Custom],MATCH(TableWRTECalcPts[[#This Row],[POSRef]],TableTEMaster[TERef],0)),"")</f>
        <v>20.176940339267716</v>
      </c>
    </row>
    <row r="31" spans="1:42" x14ac:dyDescent="0.25">
      <c r="A31" s="4">
        <f>IFERROR(RANK(TableQBCalcPts[[#This Row],[Custom]],TableQBCalcPts[Custom])+COUNTIF($F$3:F31,F31)-1,"")</f>
        <v>25</v>
      </c>
      <c r="B31" s="2">
        <v>29</v>
      </c>
      <c r="C31" s="2" t="str">
        <f>IFERROR(INDEX(TableQBMaster[Player],MATCH(TableQBCalcPts[[#This Row],[QBRef]],TableQBMaster[QBRef],0)),"")</f>
        <v>Daniel Jones</v>
      </c>
      <c r="D31" s="2" t="str">
        <f>IFERROR(INDEX(TableQBMaster[TM],MATCH(TableQBCalcPts[[#This Row],[QBRef]],TableQBMaster[QBRef],0)),"")</f>
        <v>IND</v>
      </c>
      <c r="E31" s="2">
        <f>IFERROR(INDEX(TableQBMaster[BYE],MATCH(TableQBCalcPts[[#This Row],[QBRef]],TableQBMaster[QBRef],0)),"")</f>
        <v>13</v>
      </c>
      <c r="F31" s="3">
        <f>IFERROR(INDEX(TableQBMaster[Custom],MATCH(TableQBCalcPts[[#This Row],[QBRef]],TableQBMaster[QBRef],0)),"")</f>
        <v>347.48702268943157</v>
      </c>
      <c r="H31" s="2">
        <f>IFERROR(RANK(TableRBCalcPts[[#This Row],[Custom]],TableRBCalcPts[Custom])+COUNTIF($M$3:M31,M31)-1,"")</f>
        <v>67</v>
      </c>
      <c r="I31" s="2">
        <v>29</v>
      </c>
      <c r="J31" s="2" t="str">
        <f>IFERROR(INDEX(TableRBMaster[Player],MATCH(TableRBCalcPts[[#This Row],[RBRef]],TableRBMaster[RBRef],0)),"")</f>
        <v>Jaydon Blue</v>
      </c>
      <c r="K31" s="2" t="str">
        <f>IFERROR(INDEX(TableRBMaster[TM],MATCH(TableRBCalcPts[[#This Row],[RBRef]],TableRBMaster[RBRef],0)),"")</f>
        <v>DAL</v>
      </c>
      <c r="L31" s="2">
        <f>IFERROR(INDEX(TableRBMaster[BYE],MATCH(TableRBCalcPts[[#This Row],[RBRef]],TableRBMaster[RBRef],0)),"")</f>
        <v>14</v>
      </c>
      <c r="M31" s="3">
        <f>IFERROR(INDEX(TableRBMaster[Custom],MATCH(TableRBCalcPts[[#This Row],[RBRef]],TableRBMaster[RBRef],0)),"")</f>
        <v>46.267647023298039</v>
      </c>
      <c r="O31" s="2">
        <f>IFERROR(RANK(TableWRCalcPts[[#This Row],[Custom]],TableWRCalcPts[Custom])+COUNTIF($T$3:T31,T31)-1,"")</f>
        <v>30</v>
      </c>
      <c r="P31" s="2">
        <v>29</v>
      </c>
      <c r="Q31" s="2" t="str">
        <f>IFERROR(INDEX(TableWRMaster[Player],MATCH(TableWRCalcPts[[#This Row],[WRRef]],TableWRMaster[WRRef],0)),"")</f>
        <v>Rome Odunze</v>
      </c>
      <c r="R31" s="2" t="str">
        <f>IFERROR(INDEX(TableWRMaster[TM],MATCH(TableWRCalcPts[[#This Row],[WRRef]],TableWRMaster[WRRef],0)),"")</f>
        <v>CHI</v>
      </c>
      <c r="S31" s="2">
        <f>IFERROR(INDEX(TableWRMaster[BYE],MATCH(TableWRCalcPts[[#This Row],[WRRef]],TableWRMaster[WRRef],0)),"")</f>
        <v>10</v>
      </c>
      <c r="T31" s="3">
        <f>IFERROR(INDEX(TableWRMaster[Custom],MATCH(TableWRCalcPts[[#This Row],[WRRef]],TableWRMaster[WRRef],0)),"")</f>
        <v>174.03183456362797</v>
      </c>
      <c r="V31" s="2">
        <f>IFERROR(RANK(TableTECalcPts[[#This Row],[Custom]],TableTECalcPts[Custom])+COUNTIF($AA$3:AA31,AA31)-1,"")</f>
        <v>47</v>
      </c>
      <c r="W31" s="2">
        <v>29</v>
      </c>
      <c r="X31" s="2" t="str">
        <f>IFERROR(INDEX(TableTEMaster[Player],MATCH(TableTECalcPts[[#This Row],[TERef]],TableTEMaster[TERef],0)),"")</f>
        <v>Justin Joly</v>
      </c>
      <c r="Y31" s="2" t="str">
        <f>IFERROR(INDEX(TableTEMaster[TM],MATCH(TableTECalcPts[[#This Row],[TERef]],TableTEMaster[TERef],0)),"")</f>
        <v>DEN</v>
      </c>
      <c r="Z31" s="2">
        <f>IFERROR(INDEX(TableTEMaster[BYE],MATCH(TableTECalcPts[[#This Row],[TERef]],TableTEMaster[TERef],0)),"")</f>
        <v>10</v>
      </c>
      <c r="AA31" s="3">
        <f>IFERROR(INDEX(TableTEMaster[Custom],MATCH(TableTECalcPts[[#This Row],[TERef]],TableTEMaster[TERef],0)),"")</f>
        <v>32.391832742321469</v>
      </c>
      <c r="AC31" s="2">
        <f>IFERROR(RANK(TableDSTCalcPts[[#This Row],[Custom]],TableDSTCalcPts[Custom],0),"")</f>
        <v>2</v>
      </c>
      <c r="AD31" s="2">
        <v>29</v>
      </c>
      <c r="AE31" s="2" t="str">
        <f>IFERROR(INDEX(TableDSTMaster[Player],MATCH(TableDSTCalcPts[[#This Row],[DSTRef]],TableDSTMaster[DSTRef],0)),"")</f>
        <v>Seattle Seahawks</v>
      </c>
      <c r="AF31" s="2">
        <f>IFERROR(INDEX(TableDSTMaster[BYE],MATCH(TableDSTCalcPts[[#This Row],[DSTRef]],TableDSTMaster[DSTRef],0)),"")</f>
        <v>11</v>
      </c>
      <c r="AG31" s="3">
        <f>IFERROR(INDEX(TableDSTMaster[Custom],MATCH(TableDSTCalcPts[[#This Row],[DSTRef]],TableDSTMaster[DSTRef],0)),"")</f>
        <v>142.73571428571427</v>
      </c>
      <c r="AI31" s="2" t="s">
        <v>8</v>
      </c>
      <c r="AJ31" s="2">
        <f>IFERROR(RANK(TableWRTECalcPts[[#This Row],[Custom]],TableWRTECalcPts[Custom])+COUNTIF($AP$3:AP31,AP31)-1,"")</f>
        <v>168</v>
      </c>
      <c r="AK31" s="2">
        <v>29</v>
      </c>
      <c r="AL31" s="2" t="str">
        <f>IFERROR(INDEX(TableTEMaster[Player],MATCH(TableWRTECalcPts[[#This Row],[POSRef]],TableTEMaster[TERef],0)),"")</f>
        <v>Justin Joly</v>
      </c>
      <c r="AM31" s="2" t="str">
        <f>IFERROR(_xlfn.CONCAT(TableWRTECalcPts[[#This Row],[POS]],INDEX(TableTERanks[RK],MATCH(TableWRTECalcPts[[#This Row],[PLAYER]],TableTERanks[Player],0))),"")</f>
        <v>TE47</v>
      </c>
      <c r="AN31" s="2" t="str">
        <f>IFERROR(INDEX(TableTEMaster[TM],MATCH(TableWRTECalcPts[[#This Row],[POSRef]],TableTEMaster[TERef],0)),"")</f>
        <v>DEN</v>
      </c>
      <c r="AO31" s="2">
        <f>IFERROR(INDEX(TableTEMaster[BYE],MATCH(TableWRTECalcPts[[#This Row],[POSRef]],TableTEMaster[TERef],0)),"")</f>
        <v>10</v>
      </c>
      <c r="AP31" s="3">
        <f>IFERROR(INDEX(TableTEMaster[Custom],MATCH(TableWRTECalcPts[[#This Row],[POSRef]],TableTEMaster[TERef],0)),"")</f>
        <v>32.391832742321469</v>
      </c>
    </row>
    <row r="32" spans="1:42" x14ac:dyDescent="0.25">
      <c r="A32" s="4">
        <f>IFERROR(RANK(TableQBCalcPts[[#This Row],[Custom]],TableQBCalcPts[Custom])+COUNTIF($F$3:F32,F32)-1,"")</f>
        <v>36</v>
      </c>
      <c r="B32" s="2">
        <v>30</v>
      </c>
      <c r="C32" s="2" t="str">
        <f>IFERROR(INDEX(TableQBMaster[Player],MATCH(TableQBCalcPts[[#This Row],[QBRef]],TableQBMaster[QBRef],0)),"")</f>
        <v>Anthony Richardson</v>
      </c>
      <c r="D32" s="2" t="str">
        <f>IFERROR(INDEX(TableQBMaster[TM],MATCH(TableQBCalcPts[[#This Row],[QBRef]],TableQBMaster[QBRef],0)),"")</f>
        <v>IND</v>
      </c>
      <c r="E32" s="2">
        <f>IFERROR(INDEX(TableQBMaster[BYE],MATCH(TableQBCalcPts[[#This Row],[QBRef]],TableQBMaster[QBRef],0)),"")</f>
        <v>13</v>
      </c>
      <c r="F32" s="3">
        <f>IFERROR(INDEX(TableQBMaster[Custom],MATCH(TableQBCalcPts[[#This Row],[QBRef]],TableQBMaster[QBRef],0)),"")</f>
        <v>34.144032787890652</v>
      </c>
      <c r="H32" s="2">
        <f>IFERROR(RANK(TableRBCalcPts[[#This Row],[Custom]],TableRBCalcPts[Custom])+COUNTIF($M$3:M32,M32)-1,"")</f>
        <v>74</v>
      </c>
      <c r="I32" s="2">
        <v>30</v>
      </c>
      <c r="J32" s="2" t="str">
        <f>IFERROR(INDEX(TableRBMaster[Player],MATCH(TableRBCalcPts[[#This Row],[RBRef]],TableRBMaster[RBRef],0)),"")</f>
        <v>Malik Davis</v>
      </c>
      <c r="K32" s="2" t="str">
        <f>IFERROR(INDEX(TableRBMaster[TM],MATCH(TableRBCalcPts[[#This Row],[RBRef]],TableRBMaster[RBRef],0)),"")</f>
        <v>DAL</v>
      </c>
      <c r="L32" s="2">
        <f>IFERROR(INDEX(TableRBMaster[BYE],MATCH(TableRBCalcPts[[#This Row],[RBRef]],TableRBMaster[RBRef],0)),"")</f>
        <v>14</v>
      </c>
      <c r="M32" s="3">
        <f>IFERROR(INDEX(TableRBMaster[Custom],MATCH(TableRBCalcPts[[#This Row],[RBRef]],TableRBMaster[RBRef],0)),"")</f>
        <v>35.551474799190409</v>
      </c>
      <c r="O32" s="2">
        <f>IFERROR(RANK(TableWRCalcPts[[#This Row],[Custom]],TableWRCalcPts[Custom])+COUNTIF($T$3:T32,T32)-1,"")</f>
        <v>110</v>
      </c>
      <c r="P32" s="2">
        <v>30</v>
      </c>
      <c r="Q32" s="2" t="str">
        <f>IFERROR(INDEX(TableWRMaster[Player],MATCH(TableWRCalcPts[[#This Row],[WRRef]],TableWRMaster[WRRef],0)),"")</f>
        <v>Kalif Raymond</v>
      </c>
      <c r="R32" s="2" t="str">
        <f>IFERROR(INDEX(TableWRMaster[TM],MATCH(TableWRCalcPts[[#This Row],[WRRef]],TableWRMaster[WRRef],0)),"")</f>
        <v>CHI</v>
      </c>
      <c r="S32" s="2">
        <f>IFERROR(INDEX(TableWRMaster[BYE],MATCH(TableWRCalcPts[[#This Row],[WRRef]],TableWRMaster[WRRef],0)),"")</f>
        <v>10</v>
      </c>
      <c r="T32" s="3">
        <f>IFERROR(INDEX(TableWRMaster[Custom],MATCH(TableWRCalcPts[[#This Row],[WRRef]],TableWRMaster[WRRef],0)),"")</f>
        <v>41.749922059333976</v>
      </c>
      <c r="V32" s="2">
        <f>IFERROR(RANK(TableTECalcPts[[#This Row],[Custom]],TableTECalcPts[Custom])+COUNTIF($AA$3:AA32,AA32)-1,"")</f>
        <v>5</v>
      </c>
      <c r="W32" s="2">
        <v>30</v>
      </c>
      <c r="X32" s="2" t="str">
        <f>IFERROR(INDEX(TableTEMaster[Player],MATCH(TableTECalcPts[[#This Row],[TERef]],TableTEMaster[TERef],0)),"")</f>
        <v>Sam LaPorta</v>
      </c>
      <c r="Y32" s="2" t="str">
        <f>IFERROR(INDEX(TableTEMaster[TM],MATCH(TableTECalcPts[[#This Row],[TERef]],TableTEMaster[TERef],0)),"")</f>
        <v>DET</v>
      </c>
      <c r="Z32" s="2">
        <f>IFERROR(INDEX(TableTEMaster[BYE],MATCH(TableTECalcPts[[#This Row],[TERef]],TableTEMaster[TERef],0)),"")</f>
        <v>6</v>
      </c>
      <c r="AA32" s="3">
        <f>IFERROR(INDEX(TableTEMaster[Custom],MATCH(TableTECalcPts[[#This Row],[TERef]],TableTEMaster[TERef],0)),"")</f>
        <v>155.89636881295675</v>
      </c>
      <c r="AC32" s="2">
        <f>IFERROR(RANK(TableDSTCalcPts[[#This Row],[Custom]],TableDSTCalcPts[Custom],0),"")</f>
        <v>21</v>
      </c>
      <c r="AD32" s="2">
        <v>30</v>
      </c>
      <c r="AE32" s="2" t="str">
        <f>IFERROR(INDEX(TableDSTMaster[Player],MATCH(TableDSTCalcPts[[#This Row],[DSTRef]],TableDSTMaster[DSTRef],0)),"")</f>
        <v>Tampa Bay Buccaneers</v>
      </c>
      <c r="AF32" s="2">
        <f>IFERROR(INDEX(TableDSTMaster[BYE],MATCH(TableDSTCalcPts[[#This Row],[DSTRef]],TableDSTMaster[DSTRef],0)),"")</f>
        <v>10</v>
      </c>
      <c r="AG32" s="3">
        <f>IFERROR(INDEX(TableDSTMaster[Custom],MATCH(TableDSTCalcPts[[#This Row],[DSTRef]],TableDSTMaster[DSTRef],0)),"")</f>
        <v>109.98333333333332</v>
      </c>
      <c r="AI32" s="2" t="s">
        <v>8</v>
      </c>
      <c r="AJ32" s="2">
        <f>IFERROR(RANK(TableWRTECalcPts[[#This Row],[Custom]],TableWRTECalcPts[Custom])+COUNTIF($AP$3:AP32,AP32)-1,"")</f>
        <v>44</v>
      </c>
      <c r="AK32" s="2">
        <v>30</v>
      </c>
      <c r="AL32" s="2" t="str">
        <f>IFERROR(INDEX(TableTEMaster[Player],MATCH(TableWRTECalcPts[[#This Row],[POSRef]],TableTEMaster[TERef],0)),"")</f>
        <v>Sam LaPorta</v>
      </c>
      <c r="AM32" s="2" t="str">
        <f>IFERROR(_xlfn.CONCAT(TableWRTECalcPts[[#This Row],[POS]],INDEX(TableTERanks[RK],MATCH(TableWRTECalcPts[[#This Row],[PLAYER]],TableTERanks[Player],0))),"")</f>
        <v>TE5</v>
      </c>
      <c r="AN32" s="2" t="str">
        <f>IFERROR(INDEX(TableTEMaster[TM],MATCH(TableWRTECalcPts[[#This Row],[POSRef]],TableTEMaster[TERef],0)),"")</f>
        <v>DET</v>
      </c>
      <c r="AO32" s="2">
        <f>IFERROR(INDEX(TableTEMaster[BYE],MATCH(TableWRTECalcPts[[#This Row],[POSRef]],TableTEMaster[TERef],0)),"")</f>
        <v>6</v>
      </c>
      <c r="AP32" s="3">
        <f>IFERROR(INDEX(TableTEMaster[Custom],MATCH(TableWRTECalcPts[[#This Row],[POSRef]],TableTEMaster[TERef],0)),"")</f>
        <v>155.89636881295675</v>
      </c>
    </row>
    <row r="33" spans="1:42" x14ac:dyDescent="0.25">
      <c r="A33" s="4">
        <f>IFERROR(RANK(TableQBCalcPts[[#This Row],[Custom]],TableQBCalcPts[Custom])+COUNTIF($F$3:F33,F33)-1,"")</f>
        <v>11</v>
      </c>
      <c r="B33" s="2">
        <v>31</v>
      </c>
      <c r="C33" s="2" t="str">
        <f>IFERROR(INDEX(TableQBMaster[Player],MATCH(TableQBCalcPts[[#This Row],[QBRef]],TableQBMaster[QBRef],0)),"")</f>
        <v>Trevor Lawrence</v>
      </c>
      <c r="D33" s="2" t="str">
        <f>IFERROR(INDEX(TableQBMaster[TM],MATCH(TableQBCalcPts[[#This Row],[QBRef]],TableQBMaster[QBRef],0)),"")</f>
        <v>JAX</v>
      </c>
      <c r="E33" s="2">
        <f>IFERROR(INDEX(TableQBMaster[BYE],MATCH(TableQBCalcPts[[#This Row],[QBRef]],TableQBMaster[QBRef],0)),"")</f>
        <v>7</v>
      </c>
      <c r="F33" s="3">
        <f>IFERROR(INDEX(TableQBMaster[Custom],MATCH(TableQBCalcPts[[#This Row],[QBRef]],TableQBMaster[QBRef],0)),"")</f>
        <v>409.37929135514651</v>
      </c>
      <c r="H33" s="2">
        <f>IFERROR(RANK(TableRBCalcPts[[#This Row],[Custom]],TableRBCalcPts[Custom])+COUNTIF($M$3:M33,M33)-1,"")</f>
        <v>103</v>
      </c>
      <c r="I33" s="2">
        <v>31</v>
      </c>
      <c r="J33" s="2" t="str">
        <f>IFERROR(INDEX(TableRBMaster[Player],MATCH(TableRBCalcPts[[#This Row],[RBRef]],TableRBMaster[RBRef],0)),"")</f>
        <v>Phil Mafah</v>
      </c>
      <c r="K33" s="2" t="str">
        <f>IFERROR(INDEX(TableRBMaster[TM],MATCH(TableRBCalcPts[[#This Row],[RBRef]],TableRBMaster[RBRef],0)),"")</f>
        <v>DAL</v>
      </c>
      <c r="L33" s="2">
        <f>IFERROR(INDEX(TableRBMaster[BYE],MATCH(TableRBCalcPts[[#This Row],[RBRef]],TableRBMaster[RBRef],0)),"")</f>
        <v>14</v>
      </c>
      <c r="M33" s="3">
        <f>IFERROR(INDEX(TableRBMaster[Custom],MATCH(TableRBCalcPts[[#This Row],[RBRef]],TableRBMaster[RBRef],0)),"")</f>
        <v>9.1067104810430006</v>
      </c>
      <c r="O33" s="2">
        <f>IFERROR(RANK(TableWRCalcPts[[#This Row],[Custom]],TableWRCalcPts[Custom])+COUNTIF($T$3:T33,T33)-1,"")</f>
        <v>139</v>
      </c>
      <c r="P33" s="2">
        <v>31</v>
      </c>
      <c r="Q33" s="2" t="str">
        <f>IFERROR(INDEX(TableWRMaster[Player],MATCH(TableWRCalcPts[[#This Row],[WRRef]],TableWRMaster[WRRef],0)),"")</f>
        <v>Zavion Thomas</v>
      </c>
      <c r="R33" s="2" t="str">
        <f>IFERROR(INDEX(TableWRMaster[TM],MATCH(TableWRCalcPts[[#This Row],[WRRef]],TableWRMaster[WRRef],0)),"")</f>
        <v>CHI</v>
      </c>
      <c r="S33" s="2">
        <f>IFERROR(INDEX(TableWRMaster[BYE],MATCH(TableWRCalcPts[[#This Row],[WRRef]],TableWRMaster[WRRef],0)),"")</f>
        <v>10</v>
      </c>
      <c r="T33" s="3">
        <f>IFERROR(INDEX(TableWRMaster[Custom],MATCH(TableWRCalcPts[[#This Row],[WRRef]],TableWRMaster[WRRef],0)),"")</f>
        <v>13.443018380953294</v>
      </c>
      <c r="V33" s="2">
        <f>IFERROR(RANK(TableTECalcPts[[#This Row],[Custom]],TableTECalcPts[Custom])+COUNTIF($AA$3:AA33,AA33)-1,"")</f>
        <v>62</v>
      </c>
      <c r="W33" s="2">
        <v>31</v>
      </c>
      <c r="X33" s="2" t="str">
        <f>IFERROR(INDEX(TableTEMaster[Player],MATCH(TableTECalcPts[[#This Row],[TERef]],TableTEMaster[TERef],0)),"")</f>
        <v>Brock Wright</v>
      </c>
      <c r="Y33" s="2" t="str">
        <f>IFERROR(INDEX(TableTEMaster[TM],MATCH(TableTECalcPts[[#This Row],[TERef]],TableTEMaster[TERef],0)),"")</f>
        <v>DET</v>
      </c>
      <c r="Z33" s="2">
        <f>IFERROR(INDEX(TableTEMaster[BYE],MATCH(TableTECalcPts[[#This Row],[TERef]],TableTEMaster[TERef],0)),"")</f>
        <v>6</v>
      </c>
      <c r="AA33" s="3">
        <f>IFERROR(INDEX(TableTEMaster[Custom],MATCH(TableTECalcPts[[#This Row],[TERef]],TableTEMaster[TERef],0)),"")</f>
        <v>18.232570883216621</v>
      </c>
      <c r="AC33" s="2">
        <f>IFERROR(RANK(TableDSTCalcPts[[#This Row],[Custom]],TableDSTCalcPts[Custom],0),"")</f>
        <v>25</v>
      </c>
      <c r="AD33" s="2">
        <v>31</v>
      </c>
      <c r="AE33" s="2" t="str">
        <f>IFERROR(INDEX(TableDSTMaster[Player],MATCH(TableDSTCalcPts[[#This Row],[DSTRef]],TableDSTMaster[DSTRef],0)),"")</f>
        <v>Tennessee Titans</v>
      </c>
      <c r="AF33" s="2">
        <f>IFERROR(INDEX(TableDSTMaster[BYE],MATCH(TableDSTCalcPts[[#This Row],[DSTRef]],TableDSTMaster[DSTRef],0)),"")</f>
        <v>9</v>
      </c>
      <c r="AG33" s="3">
        <f>IFERROR(INDEX(TableDSTMaster[Custom],MATCH(TableDSTCalcPts[[#This Row],[DSTRef]],TableDSTMaster[DSTRef],0)),"")</f>
        <v>107.72619047619047</v>
      </c>
      <c r="AI33" s="2" t="s">
        <v>8</v>
      </c>
      <c r="AJ33" s="2">
        <f>IFERROR(RANK(TableWRTECalcPts[[#This Row],[Custom]],TableWRTECalcPts[Custom])+COUNTIF($AP$3:AP33,AP33)-1,"")</f>
        <v>193</v>
      </c>
      <c r="AK33" s="2">
        <v>31</v>
      </c>
      <c r="AL33" s="2" t="str">
        <f>IFERROR(INDEX(TableTEMaster[Player],MATCH(TableWRTECalcPts[[#This Row],[POSRef]],TableTEMaster[TERef],0)),"")</f>
        <v>Brock Wright</v>
      </c>
      <c r="AM33" s="2" t="str">
        <f>IFERROR(_xlfn.CONCAT(TableWRTECalcPts[[#This Row],[POS]],INDEX(TableTERanks[RK],MATCH(TableWRTECalcPts[[#This Row],[PLAYER]],TableTERanks[Player],0))),"")</f>
        <v>TE62</v>
      </c>
      <c r="AN33" s="2" t="str">
        <f>IFERROR(INDEX(TableTEMaster[TM],MATCH(TableWRTECalcPts[[#This Row],[POSRef]],TableTEMaster[TERef],0)),"")</f>
        <v>DET</v>
      </c>
      <c r="AO33" s="2">
        <f>IFERROR(INDEX(TableTEMaster[BYE],MATCH(TableWRTECalcPts[[#This Row],[POSRef]],TableTEMaster[TERef],0)),"")</f>
        <v>6</v>
      </c>
      <c r="AP33" s="3">
        <f>IFERROR(INDEX(TableTEMaster[Custom],MATCH(TableWRTECalcPts[[#This Row],[POSRef]],TableTEMaster[TERef],0)),"")</f>
        <v>18.232570883216621</v>
      </c>
    </row>
    <row r="34" spans="1:42" x14ac:dyDescent="0.25">
      <c r="A34" s="4">
        <f>IFERROR(RANK(TableQBCalcPts[[#This Row],[Custom]],TableQBCalcPts[Custom])+COUNTIF($F$3:F34,F34)-1,"")</f>
        <v>63</v>
      </c>
      <c r="B34" s="2">
        <v>32</v>
      </c>
      <c r="C34" s="2" t="str">
        <f>IFERROR(INDEX(TableQBMaster[Player],MATCH(TableQBCalcPts[[#This Row],[QBRef]],TableQBMaster[QBRef],0)),"")</f>
        <v>Nick Mullens</v>
      </c>
      <c r="D34" s="2" t="str">
        <f>IFERROR(INDEX(TableQBMaster[TM],MATCH(TableQBCalcPts[[#This Row],[QBRef]],TableQBMaster[QBRef],0)),"")</f>
        <v>JAX</v>
      </c>
      <c r="E34" s="2">
        <f>IFERROR(INDEX(TableQBMaster[BYE],MATCH(TableQBCalcPts[[#This Row],[QBRef]],TableQBMaster[QBRef],0)),"")</f>
        <v>7</v>
      </c>
      <c r="F34" s="3">
        <f>IFERROR(INDEX(TableQBMaster[Custom],MATCH(TableQBCalcPts[[#This Row],[QBRef]],TableQBMaster[QBRef],0)),"")</f>
        <v>3.3384700000908967</v>
      </c>
      <c r="H34" s="2">
        <f>IFERROR(RANK(TableRBCalcPts[[#This Row],[Custom]],TableRBCalcPts[Custom])+COUNTIF($M$3:M34,M34)-1,"")</f>
        <v>41</v>
      </c>
      <c r="I34" s="2">
        <v>32</v>
      </c>
      <c r="J34" s="2" t="str">
        <f>IFERROR(INDEX(TableRBMaster[Player],MATCH(TableRBCalcPts[[#This Row],[RBRef]],TableRBMaster[RBRef],0)),"")</f>
        <v>J.K. Dobbins</v>
      </c>
      <c r="K34" s="2" t="str">
        <f>IFERROR(INDEX(TableRBMaster[TM],MATCH(TableRBCalcPts[[#This Row],[RBRef]],TableRBMaster[RBRef],0)),"")</f>
        <v>DEN</v>
      </c>
      <c r="L34" s="2">
        <f>IFERROR(INDEX(TableRBMaster[BYE],MATCH(TableRBCalcPts[[#This Row],[RBRef]],TableRBMaster[RBRef],0)),"")</f>
        <v>10</v>
      </c>
      <c r="M34" s="3">
        <f>IFERROR(INDEX(TableRBMaster[Custom],MATCH(TableRBCalcPts[[#This Row],[RBRef]],TableRBMaster[RBRef],0)),"")</f>
        <v>120.33039587802907</v>
      </c>
      <c r="O34" s="2">
        <f>IFERROR(RANK(TableWRCalcPts[[#This Row],[Custom]],TableWRCalcPts[Custom])+COUNTIF($T$3:T34,T34)-1,"")</f>
        <v>160</v>
      </c>
      <c r="P34" s="2">
        <v>32</v>
      </c>
      <c r="Q34" s="2" t="str">
        <f>IFERROR(INDEX(TableWRMaster[Player],MATCH(TableWRCalcPts[[#This Row],[WRRef]],TableWRMaster[WRRef],0)),"")</f>
        <v>Jahdae Walker</v>
      </c>
      <c r="R34" s="2" t="str">
        <f>IFERROR(INDEX(TableWRMaster[TM],MATCH(TableWRCalcPts[[#This Row],[WRRef]],TableWRMaster[WRRef],0)),"")</f>
        <v>CHI</v>
      </c>
      <c r="S34" s="2">
        <f>IFERROR(INDEX(TableWRMaster[BYE],MATCH(TableWRCalcPts[[#This Row],[WRRef]],TableWRMaster[WRRef],0)),"")</f>
        <v>10</v>
      </c>
      <c r="T34" s="3">
        <f>IFERROR(INDEX(TableWRMaster[Custom],MATCH(TableWRCalcPts[[#This Row],[WRRef]],TableWRMaster[WRRef],0)),"")</f>
        <v>7.3437099440049272</v>
      </c>
      <c r="V34" s="2">
        <f>IFERROR(RANK(TableTECalcPts[[#This Row],[Custom]],TableTECalcPts[Custom])+COUNTIF($AA$3:AA34,AA34)-1,"")</f>
        <v>80</v>
      </c>
      <c r="W34" s="2">
        <v>32</v>
      </c>
      <c r="X34" s="2" t="str">
        <f>IFERROR(INDEX(TableTEMaster[Player],MATCH(TableTECalcPts[[#This Row],[TERef]],TableTEMaster[TERef],0)),"")</f>
        <v>Tyler Conklin</v>
      </c>
      <c r="Y34" s="2" t="str">
        <f>IFERROR(INDEX(TableTEMaster[TM],MATCH(TableTECalcPts[[#This Row],[TERef]],TableTEMaster[TERef],0)),"")</f>
        <v>DET</v>
      </c>
      <c r="Z34" s="2">
        <f>IFERROR(INDEX(TableTEMaster[BYE],MATCH(TableTECalcPts[[#This Row],[TERef]],TableTEMaster[TERef],0)),"")</f>
        <v>6</v>
      </c>
      <c r="AA34" s="3">
        <f>IFERROR(INDEX(TableTEMaster[Custom],MATCH(TableTECalcPts[[#This Row],[TERef]],TableTEMaster[TERef],0)),"")</f>
        <v>3.6983102392319984</v>
      </c>
      <c r="AC34" s="2">
        <f>IFERROR(RANK(TableDSTCalcPts[[#This Row],[Custom]],TableDSTCalcPts[Custom],0),"")</f>
        <v>27</v>
      </c>
      <c r="AD34" s="2">
        <v>32</v>
      </c>
      <c r="AE34" s="2" t="str">
        <f>IFERROR(INDEX(TableDSTMaster[Player],MATCH(TableDSTCalcPts[[#This Row],[DSTRef]],TableDSTMaster[DSTRef],0)),"")</f>
        <v>Washington Commanders</v>
      </c>
      <c r="AF34" s="2">
        <f>IFERROR(INDEX(TableDSTMaster[BYE],MATCH(TableDSTCalcPts[[#This Row],[DSTRef]],TableDSTMaster[DSTRef],0)),"")</f>
        <v>7</v>
      </c>
      <c r="AG34" s="3">
        <f>IFERROR(INDEX(TableDSTMaster[Custom],MATCH(TableDSTCalcPts[[#This Row],[DSTRef]],TableDSTMaster[DSTRef],0)),"")</f>
        <v>105.61904761904762</v>
      </c>
      <c r="AI34" s="2" t="s">
        <v>8</v>
      </c>
      <c r="AJ34" s="2">
        <f>IFERROR(RANK(TableWRTECalcPts[[#This Row],[Custom]],TableWRTECalcPts[Custom])+COUNTIF($AP$3:AP34,AP34)-1,"")</f>
        <v>255</v>
      </c>
      <c r="AK34" s="2">
        <v>32</v>
      </c>
      <c r="AL34" s="2" t="str">
        <f>IFERROR(INDEX(TableTEMaster[Player],MATCH(TableWRTECalcPts[[#This Row],[POSRef]],TableTEMaster[TERef],0)),"")</f>
        <v>Tyler Conklin</v>
      </c>
      <c r="AM34" s="2" t="str">
        <f>IFERROR(_xlfn.CONCAT(TableWRTECalcPts[[#This Row],[POS]],INDEX(TableTERanks[RK],MATCH(TableWRTECalcPts[[#This Row],[PLAYER]],TableTERanks[Player],0))),"")</f>
        <v>TE80</v>
      </c>
      <c r="AN34" s="2" t="str">
        <f>IFERROR(INDEX(TableTEMaster[TM],MATCH(TableWRTECalcPts[[#This Row],[POSRef]],TableTEMaster[TERef],0)),"")</f>
        <v>DET</v>
      </c>
      <c r="AO34" s="2">
        <f>IFERROR(INDEX(TableTEMaster[BYE],MATCH(TableWRTECalcPts[[#This Row],[POSRef]],TableTEMaster[TERef],0)),"")</f>
        <v>6</v>
      </c>
      <c r="AP34" s="3">
        <f>IFERROR(INDEX(TableTEMaster[Custom],MATCH(TableWRTECalcPts[[#This Row],[POSRef]],TableTEMaster[TERef],0)),"")</f>
        <v>3.6983102392319984</v>
      </c>
    </row>
    <row r="35" spans="1:42" x14ac:dyDescent="0.25">
      <c r="A35" s="4">
        <f>IFERROR(RANK(TableQBCalcPts[[#This Row],[Custom]],TableQBCalcPts[Custom])+COUNTIF($F$3:F35,F35)-1,"")</f>
        <v>7</v>
      </c>
      <c r="B35" s="2">
        <v>33</v>
      </c>
      <c r="C35" s="2" t="str">
        <f>IFERROR(INDEX(TableQBMaster[Player],MATCH(TableQBCalcPts[[#This Row],[QBRef]],TableQBMaster[QBRef],0)),"")</f>
        <v>Patrick Mahomes</v>
      </c>
      <c r="D35" s="2" t="str">
        <f>IFERROR(INDEX(TableQBMaster[TM],MATCH(TableQBCalcPts[[#This Row],[QBRef]],TableQBMaster[QBRef],0)),"")</f>
        <v>KC</v>
      </c>
      <c r="E35" s="2">
        <f>IFERROR(INDEX(TableQBMaster[BYE],MATCH(TableQBCalcPts[[#This Row],[QBRef]],TableQBMaster[QBRef],0)),"")</f>
        <v>5</v>
      </c>
      <c r="F35" s="3">
        <f>IFERROR(INDEX(TableQBMaster[Custom],MATCH(TableQBCalcPts[[#This Row],[QBRef]],TableQBMaster[QBRef],0)),"")</f>
        <v>417.24225265291568</v>
      </c>
      <c r="H35" s="2">
        <f>IFERROR(RANK(TableRBCalcPts[[#This Row],[Custom]],TableRBCalcPts[Custom])+COUNTIF($M$3:M35,M35)-1,"")</f>
        <v>32</v>
      </c>
      <c r="I35" s="2">
        <v>33</v>
      </c>
      <c r="J35" s="2" t="str">
        <f>IFERROR(INDEX(TableRBMaster[Player],MATCH(TableRBCalcPts[[#This Row],[RBRef]],TableRBMaster[RBRef],0)),"")</f>
        <v>RJ Harvey</v>
      </c>
      <c r="K35" s="2" t="str">
        <f>IFERROR(INDEX(TableRBMaster[TM],MATCH(TableRBCalcPts[[#This Row],[RBRef]],TableRBMaster[RBRef],0)),"")</f>
        <v>DEN</v>
      </c>
      <c r="L35" s="2">
        <f>IFERROR(INDEX(TableRBMaster[BYE],MATCH(TableRBCalcPts[[#This Row],[RBRef]],TableRBMaster[RBRef],0)),"")</f>
        <v>10</v>
      </c>
      <c r="M35" s="3">
        <f>IFERROR(INDEX(TableRBMaster[Custom],MATCH(TableRBCalcPts[[#This Row],[RBRef]],TableRBMaster[RBRef],0)),"")</f>
        <v>166.0785541414003</v>
      </c>
      <c r="O35" s="2">
        <f>IFERROR(RANK(TableWRCalcPts[[#This Row],[Custom]],TableWRCalcPts[Custom])+COUNTIF($T$3:T35,T35)-1,"")</f>
        <v>169</v>
      </c>
      <c r="P35" s="2">
        <v>33</v>
      </c>
      <c r="Q35" s="2" t="str">
        <f>IFERROR(INDEX(TableWRMaster[Player],MATCH(TableWRCalcPts[[#This Row],[WRRef]],TableWRMaster[WRRef],0)),"")</f>
        <v>Scotty Miller</v>
      </c>
      <c r="R35" s="2" t="str">
        <f>IFERROR(INDEX(TableWRMaster[TM],MATCH(TableWRCalcPts[[#This Row],[WRRef]],TableWRMaster[WRRef],0)),"")</f>
        <v>CHI</v>
      </c>
      <c r="S35" s="2">
        <f>IFERROR(INDEX(TableWRMaster[BYE],MATCH(TableWRCalcPts[[#This Row],[WRRef]],TableWRMaster[WRRef],0)),"")</f>
        <v>10</v>
      </c>
      <c r="T35" s="3">
        <f>IFERROR(INDEX(TableWRMaster[Custom],MATCH(TableWRCalcPts[[#This Row],[WRRef]],TableWRMaster[WRRef],0)),"")</f>
        <v>6.1120980110959993</v>
      </c>
      <c r="V35" s="2">
        <f>IFERROR(RANK(TableTECalcPts[[#This Row],[Custom]],TableTECalcPts[Custom])+COUNTIF($AA$3:AA35,AA35)-1,"")</f>
        <v>8</v>
      </c>
      <c r="W35" s="2">
        <v>33</v>
      </c>
      <c r="X35" s="2" t="str">
        <f>IFERROR(INDEX(TableTEMaster[Player],MATCH(TableTECalcPts[[#This Row],[TERef]],TableTEMaster[TERef],0)),"")</f>
        <v>Tucker Kraft</v>
      </c>
      <c r="Y35" s="2" t="str">
        <f>IFERROR(INDEX(TableTEMaster[TM],MATCH(TableTECalcPts[[#This Row],[TERef]],TableTEMaster[TERef],0)),"")</f>
        <v>GB</v>
      </c>
      <c r="Z35" s="2">
        <f>IFERROR(INDEX(TableTEMaster[BYE],MATCH(TableTECalcPts[[#This Row],[TERef]],TableTEMaster[TERef],0)),"")</f>
        <v>11</v>
      </c>
      <c r="AA35" s="3">
        <f>IFERROR(INDEX(TableTEMaster[Custom],MATCH(TableTECalcPts[[#This Row],[TERef]],TableTEMaster[TERef],0)),"")</f>
        <v>153.12367420756547</v>
      </c>
      <c r="AF35" s="4"/>
      <c r="AG35" s="3"/>
      <c r="AI35" s="2" t="s">
        <v>8</v>
      </c>
      <c r="AJ35" s="2">
        <f>IFERROR(RANK(TableWRTECalcPts[[#This Row],[Custom]],TableWRTECalcPts[Custom])+COUNTIF($AP$3:AP35,AP35)-1,"")</f>
        <v>47</v>
      </c>
      <c r="AK35" s="2">
        <v>33</v>
      </c>
      <c r="AL35" s="2" t="str">
        <f>IFERROR(INDEX(TableTEMaster[Player],MATCH(TableWRTECalcPts[[#This Row],[POSRef]],TableTEMaster[TERef],0)),"")</f>
        <v>Tucker Kraft</v>
      </c>
      <c r="AM35" s="2" t="str">
        <f>IFERROR(_xlfn.CONCAT(TableWRTECalcPts[[#This Row],[POS]],INDEX(TableTERanks[RK],MATCH(TableWRTECalcPts[[#This Row],[PLAYER]],TableTERanks[Player],0))),"")</f>
        <v>TE8</v>
      </c>
      <c r="AN35" s="2" t="str">
        <f>IFERROR(INDEX(TableTEMaster[TM],MATCH(TableWRTECalcPts[[#This Row],[POSRef]],TableTEMaster[TERef],0)),"")</f>
        <v>GB</v>
      </c>
      <c r="AO35" s="2">
        <f>IFERROR(INDEX(TableTEMaster[BYE],MATCH(TableWRTECalcPts[[#This Row],[POSRef]],TableTEMaster[TERef],0)),"")</f>
        <v>11</v>
      </c>
      <c r="AP35" s="3">
        <f>IFERROR(INDEX(TableTEMaster[Custom],MATCH(TableWRTECalcPts[[#This Row],[POSRef]],TableTEMaster[TERef],0)),"")</f>
        <v>153.12367420756547</v>
      </c>
    </row>
    <row r="36" spans="1:42" x14ac:dyDescent="0.25">
      <c r="A36" s="4">
        <f>IFERROR(RANK(TableQBCalcPts[[#This Row],[Custom]],TableQBCalcPts[Custom])+COUNTIF($F$3:F36,F36)-1,"")</f>
        <v>38</v>
      </c>
      <c r="B36" s="2">
        <v>34</v>
      </c>
      <c r="C36" s="2" t="str">
        <f>IFERROR(INDEX(TableQBMaster[Player],MATCH(TableQBCalcPts[[#This Row],[QBRef]],TableQBMaster[QBRef],0)),"")</f>
        <v>Justin Fields</v>
      </c>
      <c r="D36" s="2" t="str">
        <f>IFERROR(INDEX(TableQBMaster[TM],MATCH(TableQBCalcPts[[#This Row],[QBRef]],TableQBMaster[QBRef],0)),"")</f>
        <v>KC</v>
      </c>
      <c r="E36" s="2">
        <f>IFERROR(INDEX(TableQBMaster[BYE],MATCH(TableQBCalcPts[[#This Row],[QBRef]],TableQBMaster[QBRef],0)),"")</f>
        <v>5</v>
      </c>
      <c r="F36" s="3">
        <f>IFERROR(INDEX(TableQBMaster[Custom],MATCH(TableQBCalcPts[[#This Row],[QBRef]],TableQBMaster[QBRef],0)),"")</f>
        <v>20.709034516463291</v>
      </c>
      <c r="H36" s="2">
        <f>IFERROR(RANK(TableRBCalcPts[[#This Row],[Custom]],TableRBCalcPts[Custom])+COUNTIF($M$3:M36,M36)-1,"")</f>
        <v>66</v>
      </c>
      <c r="I36" s="2">
        <v>34</v>
      </c>
      <c r="J36" s="2" t="str">
        <f>IFERROR(INDEX(TableRBMaster[Player],MATCH(TableRBCalcPts[[#This Row],[RBRef]],TableRBMaster[RBRef],0)),"")</f>
        <v>Jonah Coleman</v>
      </c>
      <c r="K36" s="2" t="str">
        <f>IFERROR(INDEX(TableRBMaster[TM],MATCH(TableRBCalcPts[[#This Row],[RBRef]],TableRBMaster[RBRef],0)),"")</f>
        <v>DEN</v>
      </c>
      <c r="L36" s="2">
        <f>IFERROR(INDEX(TableRBMaster[BYE],MATCH(TableRBCalcPts[[#This Row],[RBRef]],TableRBMaster[RBRef],0)),"")</f>
        <v>10</v>
      </c>
      <c r="M36" s="3">
        <f>IFERROR(INDEX(TableRBMaster[Custom],MATCH(TableRBCalcPts[[#This Row],[RBRef]],TableRBMaster[RBRef],0)),"")</f>
        <v>47.585302106049355</v>
      </c>
      <c r="O36" s="2">
        <f>IFERROR(RANK(TableWRCalcPts[[#This Row],[Custom]],TableWRCalcPts[Custom])+COUNTIF($T$3:T36,T36)-1,"")</f>
        <v>2</v>
      </c>
      <c r="P36" s="2">
        <v>34</v>
      </c>
      <c r="Q36" s="2" t="str">
        <f>IFERROR(INDEX(TableWRMaster[Player],MATCH(TableWRCalcPts[[#This Row],[WRRef]],TableWRMaster[WRRef],0)),"")</f>
        <v>Ja'Marr Chase</v>
      </c>
      <c r="R36" s="2" t="str">
        <f>IFERROR(INDEX(TableWRMaster[TM],MATCH(TableWRCalcPts[[#This Row],[WRRef]],TableWRMaster[WRRef],0)),"")</f>
        <v>CIN</v>
      </c>
      <c r="S36" s="2">
        <f>IFERROR(INDEX(TableWRMaster[BYE],MATCH(TableWRCalcPts[[#This Row],[WRRef]],TableWRMaster[WRRef],0)),"")</f>
        <v>6</v>
      </c>
      <c r="T36" s="3">
        <f>IFERROR(INDEX(TableWRMaster[Custom],MATCH(TableWRCalcPts[[#This Row],[WRRef]],TableWRMaster[WRRef],0)),"")</f>
        <v>298.87383220968559</v>
      </c>
      <c r="V36" s="2">
        <f>IFERROR(RANK(TableTECalcPts[[#This Row],[Custom]],TableTECalcPts[Custom])+COUNTIF($AA$3:AA36,AA36)-1,"")</f>
        <v>51</v>
      </c>
      <c r="W36" s="2">
        <v>34</v>
      </c>
      <c r="X36" s="2" t="str">
        <f>IFERROR(INDEX(TableTEMaster[Player],MATCH(TableTECalcPts[[#This Row],[TERef]],TableTEMaster[TERef],0)),"")</f>
        <v>Luke Musgrave</v>
      </c>
      <c r="Y36" s="2" t="str">
        <f>IFERROR(INDEX(TableTEMaster[TM],MATCH(TableTECalcPts[[#This Row],[TERef]],TableTEMaster[TERef],0)),"")</f>
        <v>GB</v>
      </c>
      <c r="Z36" s="2">
        <f>IFERROR(INDEX(TableTEMaster[BYE],MATCH(TableTECalcPts[[#This Row],[TERef]],TableTEMaster[TERef],0)),"")</f>
        <v>11</v>
      </c>
      <c r="AA36" s="3">
        <f>IFERROR(INDEX(TableTEMaster[Custom],MATCH(TableTECalcPts[[#This Row],[TERef]],TableTEMaster[TERef],0)),"")</f>
        <v>29.770886817973757</v>
      </c>
      <c r="AI36" s="2" t="s">
        <v>8</v>
      </c>
      <c r="AJ36" s="2">
        <f>IFERROR(RANK(TableWRTECalcPts[[#This Row],[Custom]],TableWRTECalcPts[Custom])+COUNTIF($AP$3:AP36,AP36)-1,"")</f>
        <v>172</v>
      </c>
      <c r="AK36" s="2">
        <v>34</v>
      </c>
      <c r="AL36" s="2" t="str">
        <f>IFERROR(INDEX(TableTEMaster[Player],MATCH(TableWRTECalcPts[[#This Row],[POSRef]],TableTEMaster[TERef],0)),"")</f>
        <v>Luke Musgrave</v>
      </c>
      <c r="AM36" s="2" t="str">
        <f>IFERROR(_xlfn.CONCAT(TableWRTECalcPts[[#This Row],[POS]],INDEX(TableTERanks[RK],MATCH(TableWRTECalcPts[[#This Row],[PLAYER]],TableTERanks[Player],0))),"")</f>
        <v>TE51</v>
      </c>
      <c r="AN36" s="2" t="str">
        <f>IFERROR(INDEX(TableTEMaster[TM],MATCH(TableWRTECalcPts[[#This Row],[POSRef]],TableTEMaster[TERef],0)),"")</f>
        <v>GB</v>
      </c>
      <c r="AO36" s="2">
        <f>IFERROR(INDEX(TableTEMaster[BYE],MATCH(TableWRTECalcPts[[#This Row],[POSRef]],TableTEMaster[TERef],0)),"")</f>
        <v>11</v>
      </c>
      <c r="AP36" s="3">
        <f>IFERROR(INDEX(TableTEMaster[Custom],MATCH(TableWRTECalcPts[[#This Row],[POSRef]],TableTEMaster[TERef],0)),"")</f>
        <v>29.770886817973757</v>
      </c>
    </row>
    <row r="37" spans="1:42" x14ac:dyDescent="0.25">
      <c r="A37" s="4">
        <f>IFERROR(RANK(TableQBCalcPts[[#This Row],[Custom]],TableQBCalcPts[Custom])+COUNTIF($F$3:F37,F37)-1,"")</f>
        <v>15</v>
      </c>
      <c r="B37" s="2">
        <v>35</v>
      </c>
      <c r="C37" s="2" t="str">
        <f>IFERROR(INDEX(TableQBMaster[Player],MATCH(TableQBCalcPts[[#This Row],[QBRef]],TableQBMaster[QBRef],0)),"")</f>
        <v>Justin Herbert</v>
      </c>
      <c r="D37" s="2" t="str">
        <f>IFERROR(INDEX(TableQBMaster[TM],MATCH(TableQBCalcPts[[#This Row],[QBRef]],TableQBMaster[QBRef],0)),"")</f>
        <v>LAC</v>
      </c>
      <c r="E37" s="2">
        <f>IFERROR(INDEX(TableQBMaster[BYE],MATCH(TableQBCalcPts[[#This Row],[QBRef]],TableQBMaster[QBRef],0)),"")</f>
        <v>7</v>
      </c>
      <c r="F37" s="3">
        <f>IFERROR(INDEX(TableQBMaster[Custom],MATCH(TableQBCalcPts[[#This Row],[QBRef]],TableQBMaster[QBRef],0)),"")</f>
        <v>395.41933124934303</v>
      </c>
      <c r="H37" s="2">
        <f>IFERROR(RANK(TableRBCalcPts[[#This Row],[Custom]],TableRBCalcPts[Custom])+COUNTIF($M$3:M37,M37)-1,"")</f>
        <v>104</v>
      </c>
      <c r="I37" s="2">
        <v>35</v>
      </c>
      <c r="J37" s="2" t="str">
        <f>IFERROR(INDEX(TableRBMaster[Player],MATCH(TableRBCalcPts[[#This Row],[RBRef]],TableRBMaster[RBRef],0)),"")</f>
        <v>Jaleel McLaughlin</v>
      </c>
      <c r="K37" s="2" t="str">
        <f>IFERROR(INDEX(TableRBMaster[TM],MATCH(TableRBCalcPts[[#This Row],[RBRef]],TableRBMaster[RBRef],0)),"")</f>
        <v>DEN</v>
      </c>
      <c r="L37" s="2">
        <f>IFERROR(INDEX(TableRBMaster[BYE],MATCH(TableRBCalcPts[[#This Row],[RBRef]],TableRBMaster[RBRef],0)),"")</f>
        <v>10</v>
      </c>
      <c r="M37" s="3">
        <f>IFERROR(INDEX(TableRBMaster[Custom],MATCH(TableRBCalcPts[[#This Row],[RBRef]],TableRBMaster[RBRef],0)),"")</f>
        <v>8.9377350666132891</v>
      </c>
      <c r="O37" s="2">
        <f>IFERROR(RANK(TableWRCalcPts[[#This Row],[Custom]],TableWRCalcPts[Custom])+COUNTIF($T$3:T37,T37)-1,"")</f>
        <v>11</v>
      </c>
      <c r="P37" s="2">
        <v>35</v>
      </c>
      <c r="Q37" s="2" t="str">
        <f>IFERROR(INDEX(TableWRMaster[Player],MATCH(TableWRCalcPts[[#This Row],[WRRef]],TableWRMaster[WRRef],0)),"")</f>
        <v>Tee Higgins</v>
      </c>
      <c r="R37" s="2" t="str">
        <f>IFERROR(INDEX(TableWRMaster[TM],MATCH(TableWRCalcPts[[#This Row],[WRRef]],TableWRMaster[WRRef],0)),"")</f>
        <v>CIN</v>
      </c>
      <c r="S37" s="2">
        <f>IFERROR(INDEX(TableWRMaster[BYE],MATCH(TableWRCalcPts[[#This Row],[WRRef]],TableWRMaster[WRRef],0)),"")</f>
        <v>6</v>
      </c>
      <c r="T37" s="3">
        <f>IFERROR(INDEX(TableWRMaster[Custom],MATCH(TableWRCalcPts[[#This Row],[WRRef]],TableWRMaster[WRRef],0)),"")</f>
        <v>210.32382984378648</v>
      </c>
      <c r="V37" s="2">
        <f>IFERROR(RANK(TableTECalcPts[[#This Row],[Custom]],TableTECalcPts[Custom])+COUNTIF($AA$3:AA37,AA37)-1,"")</f>
        <v>17</v>
      </c>
      <c r="W37" s="2">
        <v>35</v>
      </c>
      <c r="X37" s="2" t="str">
        <f>IFERROR(INDEX(TableTEMaster[Player],MATCH(TableTECalcPts[[#This Row],[TERef]],TableTEMaster[TERef],0)),"")</f>
        <v>Dalton Schultz</v>
      </c>
      <c r="Y37" s="2" t="str">
        <f>IFERROR(INDEX(TableTEMaster[TM],MATCH(TableTECalcPts[[#This Row],[TERef]],TableTEMaster[TERef],0)),"")</f>
        <v>HOU</v>
      </c>
      <c r="Z37" s="2">
        <f>IFERROR(INDEX(TableTEMaster[BYE],MATCH(TableTECalcPts[[#This Row],[TERef]],TableTEMaster[TERef],0)),"")</f>
        <v>8</v>
      </c>
      <c r="AA37" s="3">
        <f>IFERROR(INDEX(TableTEMaster[Custom],MATCH(TableTECalcPts[[#This Row],[TERef]],TableTEMaster[TERef],0)),"")</f>
        <v>120.45266133204058</v>
      </c>
      <c r="AI37" s="2" t="s">
        <v>8</v>
      </c>
      <c r="AJ37" s="2">
        <f>IFERROR(RANK(TableWRTECalcPts[[#This Row],[Custom]],TableWRTECalcPts[Custom])+COUNTIF($AP$3:AP37,AP37)-1,"")</f>
        <v>72</v>
      </c>
      <c r="AK37" s="2">
        <v>35</v>
      </c>
      <c r="AL37" s="2" t="str">
        <f>IFERROR(INDEX(TableTEMaster[Player],MATCH(TableWRTECalcPts[[#This Row],[POSRef]],TableTEMaster[TERef],0)),"")</f>
        <v>Dalton Schultz</v>
      </c>
      <c r="AM37" s="2" t="str">
        <f>IFERROR(_xlfn.CONCAT(TableWRTECalcPts[[#This Row],[POS]],INDEX(TableTERanks[RK],MATCH(TableWRTECalcPts[[#This Row],[PLAYER]],TableTERanks[Player],0))),"")</f>
        <v>TE17</v>
      </c>
      <c r="AN37" s="2" t="str">
        <f>IFERROR(INDEX(TableTEMaster[TM],MATCH(TableWRTECalcPts[[#This Row],[POSRef]],TableTEMaster[TERef],0)),"")</f>
        <v>HOU</v>
      </c>
      <c r="AO37" s="2">
        <f>IFERROR(INDEX(TableTEMaster[BYE],MATCH(TableWRTECalcPts[[#This Row],[POSRef]],TableTEMaster[TERef],0)),"")</f>
        <v>8</v>
      </c>
      <c r="AP37" s="3">
        <f>IFERROR(INDEX(TableTEMaster[Custom],MATCH(TableWRTECalcPts[[#This Row],[POSRef]],TableTEMaster[TERef],0)),"")</f>
        <v>120.45266133204058</v>
      </c>
    </row>
    <row r="38" spans="1:42" x14ac:dyDescent="0.25">
      <c r="A38" s="4">
        <f>IFERROR(RANK(TableQBCalcPts[[#This Row],[Custom]],TableQBCalcPts[Custom])+COUNTIF($F$3:F38,F38)-1,"")</f>
        <v>57</v>
      </c>
      <c r="B38" s="2">
        <v>36</v>
      </c>
      <c r="C38" s="2" t="str">
        <f>IFERROR(INDEX(TableQBMaster[Player],MATCH(TableQBCalcPts[[#This Row],[QBRef]],TableQBMaster[QBRef],0)),"")</f>
        <v>Trey Lance</v>
      </c>
      <c r="D38" s="2" t="str">
        <f>IFERROR(INDEX(TableQBMaster[TM],MATCH(TableQBCalcPts[[#This Row],[QBRef]],TableQBMaster[QBRef],0)),"")</f>
        <v>LAC</v>
      </c>
      <c r="E38" s="2">
        <f>IFERROR(INDEX(TableQBMaster[BYE],MATCH(TableQBCalcPts[[#This Row],[QBRef]],TableQBMaster[QBRef],0)),"")</f>
        <v>7</v>
      </c>
      <c r="F38" s="3">
        <f>IFERROR(INDEX(TableQBMaster[Custom],MATCH(TableQBCalcPts[[#This Row],[QBRef]],TableQBMaster[QBRef],0)),"")</f>
        <v>6.5610960212300142</v>
      </c>
      <c r="H38" s="2">
        <f>IFERROR(RANK(TableRBCalcPts[[#This Row],[Custom]],TableRBCalcPts[Custom])+COUNTIF($M$3:M38,M38)-1,"")</f>
        <v>1</v>
      </c>
      <c r="I38" s="2">
        <v>36</v>
      </c>
      <c r="J38" s="2" t="str">
        <f>IFERROR(INDEX(TableRBMaster[Player],MATCH(TableRBCalcPts[[#This Row],[RBRef]],TableRBMaster[RBRef],0)),"")</f>
        <v>Jahmyr Gibbs</v>
      </c>
      <c r="K38" s="2" t="str">
        <f>IFERROR(INDEX(TableRBMaster[TM],MATCH(TableRBCalcPts[[#This Row],[RBRef]],TableRBMaster[RBRef],0)),"")</f>
        <v>DET</v>
      </c>
      <c r="L38" s="2">
        <f>IFERROR(INDEX(TableRBMaster[BYE],MATCH(TableRBCalcPts[[#This Row],[RBRef]],TableRBMaster[RBRef],0)),"")</f>
        <v>6</v>
      </c>
      <c r="M38" s="3">
        <f>IFERROR(INDEX(TableRBMaster[Custom],MATCH(TableRBCalcPts[[#This Row],[RBRef]],TableRBMaster[RBRef],0)),"")</f>
        <v>324.15018072686019</v>
      </c>
      <c r="O38" s="2">
        <f>IFERROR(RANK(TableWRCalcPts[[#This Row],[Custom]],TableWRCalcPts[Custom])+COUNTIF($T$3:T38,T38)-1,"")</f>
        <v>64</v>
      </c>
      <c r="P38" s="2">
        <v>36</v>
      </c>
      <c r="Q38" s="2" t="str">
        <f>IFERROR(INDEX(TableWRMaster[Player],MATCH(TableWRCalcPts[[#This Row],[WRRef]],TableWRMaster[WRRef],0)),"")</f>
        <v>Andrei Iosivas</v>
      </c>
      <c r="R38" s="2" t="str">
        <f>IFERROR(INDEX(TableWRMaster[TM],MATCH(TableWRCalcPts[[#This Row],[WRRef]],TableWRMaster[WRRef],0)),"")</f>
        <v>CIN</v>
      </c>
      <c r="S38" s="2">
        <f>IFERROR(INDEX(TableWRMaster[BYE],MATCH(TableWRCalcPts[[#This Row],[WRRef]],TableWRMaster[WRRef],0)),"")</f>
        <v>6</v>
      </c>
      <c r="T38" s="3">
        <f>IFERROR(INDEX(TableWRMaster[Custom],MATCH(TableWRCalcPts[[#This Row],[WRRef]],TableWRMaster[WRRef],0)),"")</f>
        <v>101.18003586602683</v>
      </c>
      <c r="V38" s="2">
        <f>IFERROR(RANK(TableTECalcPts[[#This Row],[Custom]],TableTECalcPts[Custom])+COUNTIF($AA$3:AA38,AA38)-1,"")</f>
        <v>63</v>
      </c>
      <c r="W38" s="2">
        <v>36</v>
      </c>
      <c r="X38" s="2" t="str">
        <f>IFERROR(INDEX(TableTEMaster[Player],MATCH(TableTECalcPts[[#This Row],[TERef]],TableTEMaster[TERef],0)),"")</f>
        <v>Marlin Klein</v>
      </c>
      <c r="Y38" s="2" t="str">
        <f>IFERROR(INDEX(TableTEMaster[TM],MATCH(TableTECalcPts[[#This Row],[TERef]],TableTEMaster[TERef],0)),"")</f>
        <v>HOU</v>
      </c>
      <c r="Z38" s="2">
        <f>IFERROR(INDEX(TableTEMaster[BYE],MATCH(TableTECalcPts[[#This Row],[TERef]],TableTEMaster[TERef],0)),"")</f>
        <v>8</v>
      </c>
      <c r="AA38" s="3">
        <f>IFERROR(INDEX(TableTEMaster[Custom],MATCH(TableTECalcPts[[#This Row],[TERef]],TableTEMaster[TERef],0)),"")</f>
        <v>18.025268113439999</v>
      </c>
      <c r="AI38" s="2" t="s">
        <v>8</v>
      </c>
      <c r="AJ38" s="2">
        <f>IFERROR(RANK(TableWRTECalcPts[[#This Row],[Custom]],TableWRTECalcPts[Custom])+COUNTIF($AP$3:AP38,AP38)-1,"")</f>
        <v>196</v>
      </c>
      <c r="AK38" s="2">
        <v>36</v>
      </c>
      <c r="AL38" s="2" t="str">
        <f>IFERROR(INDEX(TableTEMaster[Player],MATCH(TableWRTECalcPts[[#This Row],[POSRef]],TableTEMaster[TERef],0)),"")</f>
        <v>Marlin Klein</v>
      </c>
      <c r="AM38" s="2" t="str">
        <f>IFERROR(_xlfn.CONCAT(TableWRTECalcPts[[#This Row],[POS]],INDEX(TableTERanks[RK],MATCH(TableWRTECalcPts[[#This Row],[PLAYER]],TableTERanks[Player],0))),"")</f>
        <v>TE63</v>
      </c>
      <c r="AN38" s="2" t="str">
        <f>IFERROR(INDEX(TableTEMaster[TM],MATCH(TableWRTECalcPts[[#This Row],[POSRef]],TableTEMaster[TERef],0)),"")</f>
        <v>HOU</v>
      </c>
      <c r="AO38" s="2">
        <f>IFERROR(INDEX(TableTEMaster[BYE],MATCH(TableWRTECalcPts[[#This Row],[POSRef]],TableTEMaster[TERef],0)),"")</f>
        <v>8</v>
      </c>
      <c r="AP38" s="3">
        <f>IFERROR(INDEX(TableTEMaster[Custom],MATCH(TableWRTECalcPts[[#This Row],[POSRef]],TableTEMaster[TERef],0)),"")</f>
        <v>18.025268113439999</v>
      </c>
    </row>
    <row r="39" spans="1:42" x14ac:dyDescent="0.25">
      <c r="A39" s="4">
        <f>IFERROR(RANK(TableQBCalcPts[[#This Row],[Custom]],TableQBCalcPts[Custom])+COUNTIF($F$3:F39,F39)-1,"")</f>
        <v>9</v>
      </c>
      <c r="B39" s="2">
        <v>37</v>
      </c>
      <c r="C39" s="2" t="str">
        <f>IFERROR(INDEX(TableQBMaster[Player],MATCH(TableQBCalcPts[[#This Row],[QBRef]],TableQBMaster[QBRef],0)),"")</f>
        <v>Matthew Stafford</v>
      </c>
      <c r="D39" s="2" t="str">
        <f>IFERROR(INDEX(TableQBMaster[TM],MATCH(TableQBCalcPts[[#This Row],[QBRef]],TableQBMaster[QBRef],0)),"")</f>
        <v>LAR</v>
      </c>
      <c r="E39" s="2">
        <f>IFERROR(INDEX(TableQBMaster[BYE],MATCH(TableQBCalcPts[[#This Row],[QBRef]],TableQBMaster[QBRef],0)),"")</f>
        <v>11</v>
      </c>
      <c r="F39" s="3">
        <f>IFERROR(INDEX(TableQBMaster[Custom],MATCH(TableQBCalcPts[[#This Row],[QBRef]],TableQBMaster[QBRef],0)),"")</f>
        <v>414.58252774379804</v>
      </c>
      <c r="H39" s="2">
        <f>IFERROR(RANK(TableRBCalcPts[[#This Row],[Custom]],TableRBCalcPts[Custom])+COUNTIF($M$3:M39,M39)-1,"")</f>
        <v>43</v>
      </c>
      <c r="I39" s="2">
        <v>37</v>
      </c>
      <c r="J39" s="2" t="str">
        <f>IFERROR(INDEX(TableRBMaster[Player],MATCH(TableRBCalcPts[[#This Row],[RBRef]],TableRBMaster[RBRef],0)),"")</f>
        <v>Isiah Pacheco</v>
      </c>
      <c r="K39" s="2" t="str">
        <f>IFERROR(INDEX(TableRBMaster[TM],MATCH(TableRBCalcPts[[#This Row],[RBRef]],TableRBMaster[RBRef],0)),"")</f>
        <v>DET</v>
      </c>
      <c r="L39" s="2">
        <f>IFERROR(INDEX(TableRBMaster[BYE],MATCH(TableRBCalcPts[[#This Row],[RBRef]],TableRBMaster[RBRef],0)),"")</f>
        <v>6</v>
      </c>
      <c r="M39" s="3">
        <f>IFERROR(INDEX(TableRBMaster[Custom],MATCH(TableRBCalcPts[[#This Row],[RBRef]],TableRBMaster[RBRef],0)),"")</f>
        <v>106.43067468233848</v>
      </c>
      <c r="O39" s="2">
        <f>IFERROR(RANK(TableWRCalcPts[[#This Row],[Custom]],TableWRCalcPts[Custom])+COUNTIF($T$3:T39,T39)-1,"")</f>
        <v>144</v>
      </c>
      <c r="P39" s="2">
        <v>37</v>
      </c>
      <c r="Q39" s="2" t="str">
        <f>IFERROR(INDEX(TableWRMaster[Player],MATCH(TableWRCalcPts[[#This Row],[WRRef]],TableWRMaster[WRRef],0)),"")</f>
        <v>Charlie Jones</v>
      </c>
      <c r="R39" s="2" t="str">
        <f>IFERROR(INDEX(TableWRMaster[TM],MATCH(TableWRCalcPts[[#This Row],[WRRef]],TableWRMaster[WRRef],0)),"")</f>
        <v>CIN</v>
      </c>
      <c r="S39" s="2">
        <f>IFERROR(INDEX(TableWRMaster[BYE],MATCH(TableWRCalcPts[[#This Row],[WRRef]],TableWRMaster[WRRef],0)),"")</f>
        <v>6</v>
      </c>
      <c r="T39" s="3">
        <f>IFERROR(INDEX(TableWRMaster[Custom],MATCH(TableWRCalcPts[[#This Row],[WRRef]],TableWRMaster[WRRef],0)),"")</f>
        <v>11.123085750000001</v>
      </c>
      <c r="V39" s="2">
        <f>IFERROR(RANK(TableTECalcPts[[#This Row],[Custom]],TableTECalcPts[Custom])+COUNTIF($AA$3:AA39,AA39)-1,"")</f>
        <v>76</v>
      </c>
      <c r="W39" s="2">
        <v>37</v>
      </c>
      <c r="X39" s="2" t="str">
        <f>IFERROR(INDEX(TableTEMaster[Player],MATCH(TableTECalcPts[[#This Row],[TERef]],TableTEMaster[TERef],0)),"")</f>
        <v>Foster Moreau</v>
      </c>
      <c r="Y39" s="2" t="str">
        <f>IFERROR(INDEX(TableTEMaster[TM],MATCH(TableTECalcPts[[#This Row],[TERef]],TableTEMaster[TERef],0)),"")</f>
        <v>HOU</v>
      </c>
      <c r="Z39" s="2">
        <f>IFERROR(INDEX(TableTEMaster[BYE],MATCH(TableTECalcPts[[#This Row],[TERef]],TableTEMaster[TERef],0)),"")</f>
        <v>8</v>
      </c>
      <c r="AA39" s="3">
        <f>IFERROR(INDEX(TableTEMaster[Custom],MATCH(TableTECalcPts[[#This Row],[TERef]],TableTEMaster[TERef],0)),"")</f>
        <v>7.3582274793798348</v>
      </c>
      <c r="AI39" s="2" t="s">
        <v>8</v>
      </c>
      <c r="AJ39" s="2">
        <f>IFERROR(RANK(TableWRTECalcPts[[#This Row],[Custom]],TableWRTECalcPts[Custom])+COUNTIF($AP$3:AP39,AP39)-1,"")</f>
        <v>235</v>
      </c>
      <c r="AK39" s="2">
        <v>37</v>
      </c>
      <c r="AL39" s="2" t="str">
        <f>IFERROR(INDEX(TableTEMaster[Player],MATCH(TableWRTECalcPts[[#This Row],[POSRef]],TableTEMaster[TERef],0)),"")</f>
        <v>Foster Moreau</v>
      </c>
      <c r="AM39" s="2" t="str">
        <f>IFERROR(_xlfn.CONCAT(TableWRTECalcPts[[#This Row],[POS]],INDEX(TableTERanks[RK],MATCH(TableWRTECalcPts[[#This Row],[PLAYER]],TableTERanks[Player],0))),"")</f>
        <v>TE76</v>
      </c>
      <c r="AN39" s="2" t="str">
        <f>IFERROR(INDEX(TableTEMaster[TM],MATCH(TableWRTECalcPts[[#This Row],[POSRef]],TableTEMaster[TERef],0)),"")</f>
        <v>HOU</v>
      </c>
      <c r="AO39" s="2">
        <f>IFERROR(INDEX(TableTEMaster[BYE],MATCH(TableWRTECalcPts[[#This Row],[POSRef]],TableTEMaster[TERef],0)),"")</f>
        <v>8</v>
      </c>
      <c r="AP39" s="3">
        <f>IFERROR(INDEX(TableTEMaster[Custom],MATCH(TableWRTECalcPts[[#This Row],[POSRef]],TableTEMaster[TERef],0)),"")</f>
        <v>7.3582274793798348</v>
      </c>
    </row>
    <row r="40" spans="1:42" x14ac:dyDescent="0.25">
      <c r="A40" s="4">
        <f>IFERROR(RANK(TableQBCalcPts[[#This Row],[Custom]],TableQBCalcPts[Custom])+COUNTIF($F$3:F40,F40)-1,"")</f>
        <v>64</v>
      </c>
      <c r="B40" s="2">
        <v>38</v>
      </c>
      <c r="C40" s="2" t="str">
        <f>IFERROR(INDEX(TableQBMaster[Player],MATCH(TableQBCalcPts[[#This Row],[QBRef]],TableQBMaster[QBRef],0)),"")</f>
        <v>Ty Simpson</v>
      </c>
      <c r="D40" s="2" t="str">
        <f>IFERROR(INDEX(TableQBMaster[TM],MATCH(TableQBCalcPts[[#This Row],[QBRef]],TableQBMaster[QBRef],0)),"")</f>
        <v>LAR</v>
      </c>
      <c r="E40" s="2">
        <f>IFERROR(INDEX(TableQBMaster[BYE],MATCH(TableQBCalcPts[[#This Row],[QBRef]],TableQBMaster[QBRef],0)),"")</f>
        <v>11</v>
      </c>
      <c r="F40" s="3">
        <f>IFERROR(INDEX(TableQBMaster[Custom],MATCH(TableQBCalcPts[[#This Row],[QBRef]],TableQBMaster[QBRef],0)),"")</f>
        <v>3.1693723592521681</v>
      </c>
      <c r="H40" s="2">
        <f>IFERROR(RANK(TableRBCalcPts[[#This Row],[Custom]],TableRBCalcPts[Custom])+COUNTIF($M$3:M40,M40)-1,"")</f>
        <v>90</v>
      </c>
      <c r="I40" s="2">
        <v>38</v>
      </c>
      <c r="J40" s="2" t="str">
        <f>IFERROR(INDEX(TableRBMaster[Player],MATCH(TableRBCalcPts[[#This Row],[RBRef]],TableRBMaster[RBRef],0)),"")</f>
        <v>Jacob Saylors</v>
      </c>
      <c r="K40" s="2" t="str">
        <f>IFERROR(INDEX(TableRBMaster[TM],MATCH(TableRBCalcPts[[#This Row],[RBRef]],TableRBMaster[RBRef],0)),"")</f>
        <v>DET</v>
      </c>
      <c r="L40" s="2">
        <f>IFERROR(INDEX(TableRBMaster[BYE],MATCH(TableRBCalcPts[[#This Row],[RBRef]],TableRBMaster[RBRef],0)),"")</f>
        <v>6</v>
      </c>
      <c r="M40" s="3">
        <f>IFERROR(INDEX(TableRBMaster[Custom],MATCH(TableRBCalcPts[[#This Row],[RBRef]],TableRBMaster[RBRef],0)),"")</f>
        <v>15.698531844016635</v>
      </c>
      <c r="O40" s="2">
        <f>IFERROR(RANK(TableWRCalcPts[[#This Row],[Custom]],TableWRCalcPts[Custom])+COUNTIF($T$3:T40,T40)-1,"")</f>
        <v>132</v>
      </c>
      <c r="P40" s="2">
        <v>38</v>
      </c>
      <c r="Q40" s="2" t="str">
        <f>IFERROR(INDEX(TableWRMaster[Player],MATCH(TableWRCalcPts[[#This Row],[WRRef]],TableWRMaster[WRRef],0)),"")</f>
        <v>Mitchell Tinsley</v>
      </c>
      <c r="R40" s="2" t="str">
        <f>IFERROR(INDEX(TableWRMaster[TM],MATCH(TableWRCalcPts[[#This Row],[WRRef]],TableWRMaster[WRRef],0)),"")</f>
        <v>CIN</v>
      </c>
      <c r="S40" s="2">
        <f>IFERROR(INDEX(TableWRMaster[BYE],MATCH(TableWRCalcPts[[#This Row],[WRRef]],TableWRMaster[WRRef],0)),"")</f>
        <v>6</v>
      </c>
      <c r="T40" s="3">
        <f>IFERROR(INDEX(TableWRMaster[Custom],MATCH(TableWRCalcPts[[#This Row],[WRRef]],TableWRMaster[WRRef],0)),"")</f>
        <v>18.148756411178923</v>
      </c>
      <c r="V40" s="2">
        <f>IFERROR(RANK(TableTECalcPts[[#This Row],[Custom]],TableTECalcPts[Custom])+COUNTIF($AA$3:AA40,AA40)-1,"")</f>
        <v>4</v>
      </c>
      <c r="W40" s="2">
        <v>38</v>
      </c>
      <c r="X40" s="2" t="str">
        <f>IFERROR(INDEX(TableTEMaster[Player],MATCH(TableTECalcPts[[#This Row],[TERef]],TableTEMaster[TERef],0)),"")</f>
        <v>Tyler Warren</v>
      </c>
      <c r="Y40" s="2" t="str">
        <f>IFERROR(INDEX(TableTEMaster[TM],MATCH(TableTECalcPts[[#This Row],[TERef]],TableTEMaster[TERef],0)),"")</f>
        <v>IND</v>
      </c>
      <c r="Z40" s="2">
        <f>IFERROR(INDEX(TableTEMaster[BYE],MATCH(TableTECalcPts[[#This Row],[TERef]],TableTEMaster[TERef],0)),"")</f>
        <v>13</v>
      </c>
      <c r="AA40" s="3">
        <f>IFERROR(INDEX(TableTEMaster[Custom],MATCH(TableTECalcPts[[#This Row],[TERef]],TableTEMaster[TERef],0)),"")</f>
        <v>168.31977546975355</v>
      </c>
      <c r="AI40" s="2" t="s">
        <v>8</v>
      </c>
      <c r="AJ40" s="2">
        <f>IFERROR(RANK(TableWRTECalcPts[[#This Row],[Custom]],TableWRTECalcPts[Custom])+COUNTIF($AP$3:AP40,AP40)-1,"")</f>
        <v>38</v>
      </c>
      <c r="AK40" s="2">
        <v>38</v>
      </c>
      <c r="AL40" s="2" t="str">
        <f>IFERROR(INDEX(TableTEMaster[Player],MATCH(TableWRTECalcPts[[#This Row],[POSRef]],TableTEMaster[TERef],0)),"")</f>
        <v>Tyler Warren</v>
      </c>
      <c r="AM40" s="2" t="str">
        <f>IFERROR(_xlfn.CONCAT(TableWRTECalcPts[[#This Row],[POS]],INDEX(TableTERanks[RK],MATCH(TableWRTECalcPts[[#This Row],[PLAYER]],TableTERanks[Player],0))),"")</f>
        <v>TE4</v>
      </c>
      <c r="AN40" s="2" t="str">
        <f>IFERROR(INDEX(TableTEMaster[TM],MATCH(TableWRTECalcPts[[#This Row],[POSRef]],TableTEMaster[TERef],0)),"")</f>
        <v>IND</v>
      </c>
      <c r="AO40" s="2">
        <f>IFERROR(INDEX(TableTEMaster[BYE],MATCH(TableWRTECalcPts[[#This Row],[POSRef]],TableTEMaster[TERef],0)),"")</f>
        <v>13</v>
      </c>
      <c r="AP40" s="3">
        <f>IFERROR(INDEX(TableTEMaster[Custom],MATCH(TableWRTECalcPts[[#This Row],[POSRef]],TableTEMaster[TERef],0)),"")</f>
        <v>168.31977546975355</v>
      </c>
    </row>
    <row r="41" spans="1:42" x14ac:dyDescent="0.25">
      <c r="A41" s="4">
        <f>IFERROR(RANK(TableQBCalcPts[[#This Row],[Custom]],TableQBCalcPts[Custom])+COUNTIF($F$3:F41,F41)-1,"")</f>
        <v>31</v>
      </c>
      <c r="B41" s="2">
        <v>39</v>
      </c>
      <c r="C41" s="2" t="str">
        <f>IFERROR(INDEX(TableQBMaster[Player],MATCH(TableQBCalcPts[[#This Row],[QBRef]],TableQBMaster[QBRef],0)),"")</f>
        <v>Kirk Cousins</v>
      </c>
      <c r="D41" s="2" t="str">
        <f>IFERROR(INDEX(TableQBMaster[TM],MATCH(TableQBCalcPts[[#This Row],[QBRef]],TableQBMaster[QBRef],0)),"")</f>
        <v>LV</v>
      </c>
      <c r="E41" s="2">
        <f>IFERROR(INDEX(TableQBMaster[BYE],MATCH(TableQBCalcPts[[#This Row],[QBRef]],TableQBMaster[QBRef],0)),"")</f>
        <v>13</v>
      </c>
      <c r="F41" s="3">
        <f>IFERROR(INDEX(TableQBMaster[Custom],MATCH(TableQBCalcPts[[#This Row],[QBRef]],TableQBMaster[QBRef],0)),"")</f>
        <v>191.74774367975132</v>
      </c>
      <c r="H41" s="2">
        <f>IFERROR(RANK(TableRBCalcPts[[#This Row],[Custom]],TableRBCalcPts[Custom])+COUNTIF($M$3:M41,M41)-1,"")</f>
        <v>17</v>
      </c>
      <c r="I41" s="2">
        <v>39</v>
      </c>
      <c r="J41" s="2" t="str">
        <f>IFERROR(INDEX(TableRBMaster[Player],MATCH(TableRBCalcPts[[#This Row],[RBRef]],TableRBMaster[RBRef],0)),"")</f>
        <v>Josh Jacobs</v>
      </c>
      <c r="K41" s="2" t="str">
        <f>IFERROR(INDEX(TableRBMaster[TM],MATCH(TableRBCalcPts[[#This Row],[RBRef]],TableRBMaster[RBRef],0)),"")</f>
        <v>GB</v>
      </c>
      <c r="L41" s="2">
        <f>IFERROR(INDEX(TableRBMaster[BYE],MATCH(TableRBCalcPts[[#This Row],[RBRef]],TableRBMaster[RBRef],0)),"")</f>
        <v>11</v>
      </c>
      <c r="M41" s="3">
        <f>IFERROR(INDEX(TableRBMaster[Custom],MATCH(TableRBCalcPts[[#This Row],[RBRef]],TableRBMaster[RBRef],0)),"")</f>
        <v>217.57593303188446</v>
      </c>
      <c r="O41" s="2">
        <f>IFERROR(RANK(TableWRCalcPts[[#This Row],[Custom]],TableWRCalcPts[Custom])+COUNTIF($T$3:T41,T41)-1,"")</f>
        <v>65</v>
      </c>
      <c r="P41" s="2">
        <v>39</v>
      </c>
      <c r="Q41" s="2" t="str">
        <f>IFERROR(INDEX(TableWRMaster[Player],MATCH(TableWRCalcPts[[#This Row],[WRRef]],TableWRMaster[WRRef],0)),"")</f>
        <v>Denzel Boston</v>
      </c>
      <c r="R41" s="2" t="str">
        <f>IFERROR(INDEX(TableWRMaster[TM],MATCH(TableWRCalcPts[[#This Row],[WRRef]],TableWRMaster[WRRef],0)),"")</f>
        <v>CLE</v>
      </c>
      <c r="S41" s="2">
        <f>IFERROR(INDEX(TableWRMaster[BYE],MATCH(TableWRCalcPts[[#This Row],[WRRef]],TableWRMaster[WRRef],0)),"")</f>
        <v>11</v>
      </c>
      <c r="T41" s="3">
        <f>IFERROR(INDEX(TableWRMaster[Custom],MATCH(TableWRCalcPts[[#This Row],[WRRef]],TableWRMaster[WRRef],0)),"")</f>
        <v>100.10786563008</v>
      </c>
      <c r="V41" s="2">
        <f>IFERROR(RANK(TableTECalcPts[[#This Row],[Custom]],TableTECalcPts[Custom])+COUNTIF($AA$3:AA41,AA41)-1,"")</f>
        <v>65</v>
      </c>
      <c r="W41" s="2">
        <v>39</v>
      </c>
      <c r="X41" s="2" t="str">
        <f>IFERROR(INDEX(TableTEMaster[Player],MATCH(TableTECalcPts[[#This Row],[TERef]],TableTEMaster[TERef],0)),"")</f>
        <v>Drew Ogletree</v>
      </c>
      <c r="Y41" s="2" t="str">
        <f>IFERROR(INDEX(TableTEMaster[TM],MATCH(TableTECalcPts[[#This Row],[TERef]],TableTEMaster[TERef],0)),"")</f>
        <v>IND</v>
      </c>
      <c r="Z41" s="2">
        <f>IFERROR(INDEX(TableTEMaster[BYE],MATCH(TableTECalcPts[[#This Row],[TERef]],TableTEMaster[TERef],0)),"")</f>
        <v>13</v>
      </c>
      <c r="AA41" s="3">
        <f>IFERROR(INDEX(TableTEMaster[Custom],MATCH(TableTECalcPts[[#This Row],[TERef]],TableTEMaster[TERef],0)),"")</f>
        <v>17.215533176470593</v>
      </c>
      <c r="AI41" s="2" t="s">
        <v>8</v>
      </c>
      <c r="AJ41" s="2">
        <f>IFERROR(RANK(TableWRTECalcPts[[#This Row],[Custom]],TableWRTECalcPts[Custom])+COUNTIF($AP$3:AP41,AP41)-1,"")</f>
        <v>198</v>
      </c>
      <c r="AK41" s="2">
        <v>39</v>
      </c>
      <c r="AL41" s="2" t="str">
        <f>IFERROR(INDEX(TableTEMaster[Player],MATCH(TableWRTECalcPts[[#This Row],[POSRef]],TableTEMaster[TERef],0)),"")</f>
        <v>Drew Ogletree</v>
      </c>
      <c r="AM41" s="2" t="str">
        <f>IFERROR(_xlfn.CONCAT(TableWRTECalcPts[[#This Row],[POS]],INDEX(TableTERanks[RK],MATCH(TableWRTECalcPts[[#This Row],[PLAYER]],TableTERanks[Player],0))),"")</f>
        <v>TE65</v>
      </c>
      <c r="AN41" s="2" t="str">
        <f>IFERROR(INDEX(TableTEMaster[TM],MATCH(TableWRTECalcPts[[#This Row],[POSRef]],TableTEMaster[TERef],0)),"")</f>
        <v>IND</v>
      </c>
      <c r="AO41" s="2">
        <f>IFERROR(INDEX(TableTEMaster[BYE],MATCH(TableWRTECalcPts[[#This Row],[POSRef]],TableTEMaster[TERef],0)),"")</f>
        <v>13</v>
      </c>
      <c r="AP41" s="3">
        <f>IFERROR(INDEX(TableTEMaster[Custom],MATCH(TableWRTECalcPts[[#This Row],[POSRef]],TableTEMaster[TERef],0)),"")</f>
        <v>17.215533176470593</v>
      </c>
    </row>
    <row r="42" spans="1:42" x14ac:dyDescent="0.25">
      <c r="A42" s="4">
        <f>IFERROR(RANK(TableQBCalcPts[[#This Row],[Custom]],TableQBCalcPts[Custom])+COUNTIF($F$3:F42,F42)-1,"")</f>
        <v>34</v>
      </c>
      <c r="B42" s="2">
        <v>40</v>
      </c>
      <c r="C42" s="2" t="str">
        <f>IFERROR(INDEX(TableQBMaster[Player],MATCH(TableQBCalcPts[[#This Row],[QBRef]],TableQBMaster[QBRef],0)),"")</f>
        <v>Fernando Mendoza</v>
      </c>
      <c r="D42" s="2" t="str">
        <f>IFERROR(INDEX(TableQBMaster[TM],MATCH(TableQBCalcPts[[#This Row],[QBRef]],TableQBMaster[QBRef],0)),"")</f>
        <v>LV</v>
      </c>
      <c r="E42" s="2">
        <f>IFERROR(INDEX(TableQBMaster[BYE],MATCH(TableQBCalcPts[[#This Row],[QBRef]],TableQBMaster[QBRef],0)),"")</f>
        <v>13</v>
      </c>
      <c r="F42" s="3">
        <f>IFERROR(INDEX(TableQBMaster[Custom],MATCH(TableQBCalcPts[[#This Row],[QBRef]],TableQBMaster[QBRef],0)),"")</f>
        <v>134.27768356155099</v>
      </c>
      <c r="H42" s="2">
        <f>IFERROR(RANK(TableRBCalcPts[[#This Row],[Custom]],TableRBCalcPts[Custom])+COUNTIF($M$3:M42,M42)-1,"")</f>
        <v>58</v>
      </c>
      <c r="I42" s="2">
        <v>40</v>
      </c>
      <c r="J42" s="2" t="str">
        <f>IFERROR(INDEX(TableRBMaster[Player],MATCH(TableRBCalcPts[[#This Row],[RBRef]],TableRBMaster[RBRef],0)),"")</f>
        <v>MarShawn Lloyd</v>
      </c>
      <c r="K42" s="2" t="str">
        <f>IFERROR(INDEX(TableRBMaster[TM],MATCH(TableRBCalcPts[[#This Row],[RBRef]],TableRBMaster[RBRef],0)),"")</f>
        <v>GB</v>
      </c>
      <c r="L42" s="2">
        <f>IFERROR(INDEX(TableRBMaster[BYE],MATCH(TableRBCalcPts[[#This Row],[RBRef]],TableRBMaster[RBRef],0)),"")</f>
        <v>11</v>
      </c>
      <c r="M42" s="3">
        <f>IFERROR(INDEX(TableRBMaster[Custom],MATCH(TableRBCalcPts[[#This Row],[RBRef]],TableRBMaster[RBRef],0)),"")</f>
        <v>71.104588479640356</v>
      </c>
      <c r="O42" s="2">
        <f>IFERROR(RANK(TableWRCalcPts[[#This Row],[Custom]],TableWRCalcPts[Custom])+COUNTIF($T$3:T42,T42)-1,"")</f>
        <v>66</v>
      </c>
      <c r="P42" s="2">
        <v>40</v>
      </c>
      <c r="Q42" s="2" t="str">
        <f>IFERROR(INDEX(TableWRMaster[Player],MATCH(TableWRCalcPts[[#This Row],[WRRef]],TableWRMaster[WRRef],0)),"")</f>
        <v>KC Concepcion</v>
      </c>
      <c r="R42" s="2" t="str">
        <f>IFERROR(INDEX(TableWRMaster[TM],MATCH(TableWRCalcPts[[#This Row],[WRRef]],TableWRMaster[WRRef],0)),"")</f>
        <v>CLE</v>
      </c>
      <c r="S42" s="2">
        <f>IFERROR(INDEX(TableWRMaster[BYE],MATCH(TableWRCalcPts[[#This Row],[WRRef]],TableWRMaster[WRRef],0)),"")</f>
        <v>11</v>
      </c>
      <c r="T42" s="3">
        <f>IFERROR(INDEX(TableWRMaster[Custom],MATCH(TableWRCalcPts[[#This Row],[WRRef]],TableWRMaster[WRRef],0)),"")</f>
        <v>99.98152645746832</v>
      </c>
      <c r="V42" s="2">
        <f>IFERROR(RANK(TableTECalcPts[[#This Row],[Custom]],TableTECalcPts[Custom])+COUNTIF($AA$3:AA42,AA42)-1,"")</f>
        <v>70</v>
      </c>
      <c r="W42" s="2">
        <v>40</v>
      </c>
      <c r="X42" s="2" t="str">
        <f>IFERROR(INDEX(TableTEMaster[Player],MATCH(TableTECalcPts[[#This Row],[TERef]],TableTEMaster[TERef],0)),"")</f>
        <v>Mo Alie-Cox</v>
      </c>
      <c r="Y42" s="2" t="str">
        <f>IFERROR(INDEX(TableTEMaster[TM],MATCH(TableTECalcPts[[#This Row],[TERef]],TableTEMaster[TERef],0)),"")</f>
        <v>IND</v>
      </c>
      <c r="Z42" s="2">
        <f>IFERROR(INDEX(TableTEMaster[BYE],MATCH(TableTECalcPts[[#This Row],[TERef]],TableTEMaster[TERef],0)),"")</f>
        <v>13</v>
      </c>
      <c r="AA42" s="3">
        <f>IFERROR(INDEX(TableTEMaster[Custom],MATCH(TableTECalcPts[[#This Row],[TERef]],TableTEMaster[TERef],0)),"")</f>
        <v>10.186703597056001</v>
      </c>
      <c r="AI42" s="2" t="s">
        <v>8</v>
      </c>
      <c r="AJ42" s="2">
        <f>IFERROR(RANK(TableWRTECalcPts[[#This Row],[Custom]],TableWRTECalcPts[Custom])+COUNTIF($AP$3:AP42,AP42)-1,"")</f>
        <v>215</v>
      </c>
      <c r="AK42" s="2">
        <v>40</v>
      </c>
      <c r="AL42" s="2" t="str">
        <f>IFERROR(INDEX(TableTEMaster[Player],MATCH(TableWRTECalcPts[[#This Row],[POSRef]],TableTEMaster[TERef],0)),"")</f>
        <v>Mo Alie-Cox</v>
      </c>
      <c r="AM42" s="2" t="str">
        <f>IFERROR(_xlfn.CONCAT(TableWRTECalcPts[[#This Row],[POS]],INDEX(TableTERanks[RK],MATCH(TableWRTECalcPts[[#This Row],[PLAYER]],TableTERanks[Player],0))),"")</f>
        <v>TE70</v>
      </c>
      <c r="AN42" s="2" t="str">
        <f>IFERROR(INDEX(TableTEMaster[TM],MATCH(TableWRTECalcPts[[#This Row],[POSRef]],TableTEMaster[TERef],0)),"")</f>
        <v>IND</v>
      </c>
      <c r="AO42" s="2">
        <f>IFERROR(INDEX(TableTEMaster[BYE],MATCH(TableWRTECalcPts[[#This Row],[POSRef]],TableTEMaster[TERef],0)),"")</f>
        <v>13</v>
      </c>
      <c r="AP42" s="3">
        <f>IFERROR(INDEX(TableTEMaster[Custom],MATCH(TableWRTECalcPts[[#This Row],[POSRef]],TableTEMaster[TERef],0)),"")</f>
        <v>10.186703597056001</v>
      </c>
    </row>
    <row r="43" spans="1:42" x14ac:dyDescent="0.25">
      <c r="A43" s="4">
        <f>IFERROR(RANK(TableQBCalcPts[[#This Row],[Custom]],TableQBCalcPts[Custom])+COUNTIF($F$3:F43,F43)-1,"")</f>
        <v>22</v>
      </c>
      <c r="B43" s="2">
        <v>41</v>
      </c>
      <c r="C43" s="2" t="str">
        <f>IFERROR(INDEX(TableQBMaster[Player],MATCH(TableQBCalcPts[[#This Row],[QBRef]],TableQBMaster[QBRef],0)),"")</f>
        <v>Malik Willis</v>
      </c>
      <c r="D43" s="2" t="str">
        <f>IFERROR(INDEX(TableQBMaster[TM],MATCH(TableQBCalcPts[[#This Row],[QBRef]],TableQBMaster[QBRef],0)),"")</f>
        <v>MIA</v>
      </c>
      <c r="E43" s="2">
        <f>IFERROR(INDEX(TableQBMaster[BYE],MATCH(TableQBCalcPts[[#This Row],[QBRef]],TableQBMaster[QBRef],0)),"")</f>
        <v>6</v>
      </c>
      <c r="F43" s="3">
        <f>IFERROR(INDEX(TableQBMaster[Custom],MATCH(TableQBCalcPts[[#This Row],[QBRef]],TableQBMaster[QBRef],0)),"")</f>
        <v>356.96347448918812</v>
      </c>
      <c r="H43" s="2">
        <f>IFERROR(RANK(TableRBCalcPts[[#This Row],[Custom]],TableRBCalcPts[Custom])+COUNTIF($M$3:M43,M43)-1,"")</f>
        <v>71</v>
      </c>
      <c r="I43" s="2">
        <v>41</v>
      </c>
      <c r="J43" s="2" t="str">
        <f>IFERROR(INDEX(TableRBMaster[Player],MATCH(TableRBCalcPts[[#This Row],[RBRef]],TableRBMaster[RBRef],0)),"")</f>
        <v>Chris Brooks</v>
      </c>
      <c r="K43" s="2" t="str">
        <f>IFERROR(INDEX(TableRBMaster[TM],MATCH(TableRBCalcPts[[#This Row],[RBRef]],TableRBMaster[RBRef],0)),"")</f>
        <v>GB</v>
      </c>
      <c r="L43" s="2">
        <f>IFERROR(INDEX(TableRBMaster[BYE],MATCH(TableRBCalcPts[[#This Row],[RBRef]],TableRBMaster[RBRef],0)),"")</f>
        <v>11</v>
      </c>
      <c r="M43" s="3">
        <f>IFERROR(INDEX(TableRBMaster[Custom],MATCH(TableRBCalcPts[[#This Row],[RBRef]],TableRBMaster[RBRef],0)),"")</f>
        <v>38.045966669694593</v>
      </c>
      <c r="O43" s="2">
        <f>IFERROR(RANK(TableWRCalcPts[[#This Row],[Custom]],TableWRCalcPts[Custom])+COUNTIF($T$3:T43,T43)-1,"")</f>
        <v>69</v>
      </c>
      <c r="P43" s="2">
        <v>41</v>
      </c>
      <c r="Q43" s="2" t="str">
        <f>IFERROR(INDEX(TableWRMaster[Player],MATCH(TableWRCalcPts[[#This Row],[WRRef]],TableWRMaster[WRRef],0)),"")</f>
        <v>Jerry Jeudy</v>
      </c>
      <c r="R43" s="2" t="str">
        <f>IFERROR(INDEX(TableWRMaster[TM],MATCH(TableWRCalcPts[[#This Row],[WRRef]],TableWRMaster[WRRef],0)),"")</f>
        <v>CLE</v>
      </c>
      <c r="S43" s="2">
        <f>IFERROR(INDEX(TableWRMaster[BYE],MATCH(TableWRCalcPts[[#This Row],[WRRef]],TableWRMaster[WRRef],0)),"")</f>
        <v>11</v>
      </c>
      <c r="T43" s="3">
        <f>IFERROR(INDEX(TableWRMaster[Custom],MATCH(TableWRCalcPts[[#This Row],[WRRef]],TableWRMaster[WRRef],0)),"")</f>
        <v>95.245616587967987</v>
      </c>
      <c r="V43" s="2">
        <f>IFERROR(RANK(TableTECalcPts[[#This Row],[Custom]],TableTECalcPts[Custom])+COUNTIF($AA$3:AA43,AA43)-1,"")</f>
        <v>24</v>
      </c>
      <c r="W43" s="2">
        <v>41</v>
      </c>
      <c r="X43" s="2" t="str">
        <f>IFERROR(INDEX(TableTEMaster[Player],MATCH(TableTECalcPts[[#This Row],[TERef]],TableTEMaster[TERef],0)),"")</f>
        <v>Brenton Strange</v>
      </c>
      <c r="Y43" s="2" t="str">
        <f>IFERROR(INDEX(TableTEMaster[TM],MATCH(TableTECalcPts[[#This Row],[TERef]],TableTEMaster[TERef],0)),"")</f>
        <v>JAX</v>
      </c>
      <c r="Z43" s="2">
        <f>IFERROR(INDEX(TableTEMaster[BYE],MATCH(TableTECalcPts[[#This Row],[TERef]],TableTEMaster[TERef],0)),"")</f>
        <v>7</v>
      </c>
      <c r="AA43" s="3">
        <f>IFERROR(INDEX(TableTEMaster[Custom],MATCH(TableTECalcPts[[#This Row],[TERef]],TableTEMaster[TERef],0)),"")</f>
        <v>99.194542803959408</v>
      </c>
      <c r="AI43" s="2" t="s">
        <v>8</v>
      </c>
      <c r="AJ43" s="2">
        <f>IFERROR(RANK(TableWRTECalcPts[[#This Row],[Custom]],TableWRTECalcPts[Custom])+COUNTIF($AP$3:AP43,AP43)-1,"")</f>
        <v>91</v>
      </c>
      <c r="AK43" s="2">
        <v>41</v>
      </c>
      <c r="AL43" s="2" t="str">
        <f>IFERROR(INDEX(TableTEMaster[Player],MATCH(TableWRTECalcPts[[#This Row],[POSRef]],TableTEMaster[TERef],0)),"")</f>
        <v>Brenton Strange</v>
      </c>
      <c r="AM43" s="2" t="str">
        <f>IFERROR(_xlfn.CONCAT(TableWRTECalcPts[[#This Row],[POS]],INDEX(TableTERanks[RK],MATCH(TableWRTECalcPts[[#This Row],[PLAYER]],TableTERanks[Player],0))),"")</f>
        <v>TE24</v>
      </c>
      <c r="AN43" s="2" t="str">
        <f>IFERROR(INDEX(TableTEMaster[TM],MATCH(TableWRTECalcPts[[#This Row],[POSRef]],TableTEMaster[TERef],0)),"")</f>
        <v>JAX</v>
      </c>
      <c r="AO43" s="2">
        <f>IFERROR(INDEX(TableTEMaster[BYE],MATCH(TableWRTECalcPts[[#This Row],[POSRef]],TableTEMaster[TERef],0)),"")</f>
        <v>7</v>
      </c>
      <c r="AP43" s="3">
        <f>IFERROR(INDEX(TableTEMaster[Custom],MATCH(TableWRTECalcPts[[#This Row],[POSRef]],TableTEMaster[TERef],0)),"")</f>
        <v>99.194542803959408</v>
      </c>
    </row>
    <row r="44" spans="1:42" x14ac:dyDescent="0.25">
      <c r="A44" s="4">
        <f>IFERROR(RANK(TableQBCalcPts[[#This Row],[Custom]],TableQBCalcPts[Custom])+COUNTIF($F$3:F44,F44)-1,"")</f>
        <v>52</v>
      </c>
      <c r="B44" s="2">
        <v>42</v>
      </c>
      <c r="C44" s="2" t="str">
        <f>IFERROR(INDEX(TableQBMaster[Player],MATCH(TableQBCalcPts[[#This Row],[QBRef]],TableQBMaster[QBRef],0)),"")</f>
        <v>Quinn Ewers</v>
      </c>
      <c r="D44" s="2" t="str">
        <f>IFERROR(INDEX(TableQBMaster[TM],MATCH(TableQBCalcPts[[#This Row],[QBRef]],TableQBMaster[QBRef],0)),"")</f>
        <v>MIA</v>
      </c>
      <c r="E44" s="2">
        <f>IFERROR(INDEX(TableQBMaster[BYE],MATCH(TableQBCalcPts[[#This Row],[QBRef]],TableQBMaster[QBRef],0)),"")</f>
        <v>6</v>
      </c>
      <c r="F44" s="3">
        <f>IFERROR(INDEX(TableQBMaster[Custom],MATCH(TableQBCalcPts[[#This Row],[QBRef]],TableQBMaster[QBRef],0)),"")</f>
        <v>7.1484489593944947</v>
      </c>
      <c r="H44" s="2">
        <f>IFERROR(RANK(TableRBCalcPts[[#This Row],[Custom]],TableRBCalcPts[Custom])+COUNTIF($M$3:M44,M44)-1,"")</f>
        <v>108</v>
      </c>
      <c r="I44" s="2">
        <v>42</v>
      </c>
      <c r="J44" s="2" t="str">
        <f>IFERROR(INDEX(TableRBMaster[Player],MATCH(TableRBCalcPts[[#This Row],[RBRef]],TableRBMaster[RBRef],0)),"")</f>
        <v>Pierre Strong</v>
      </c>
      <c r="K44" s="2" t="str">
        <f>IFERROR(INDEX(TableRBMaster[TM],MATCH(TableRBCalcPts[[#This Row],[RBRef]],TableRBMaster[RBRef],0)),"")</f>
        <v>GB</v>
      </c>
      <c r="L44" s="2">
        <f>IFERROR(INDEX(TableRBMaster[BYE],MATCH(TableRBCalcPts[[#This Row],[RBRef]],TableRBMaster[RBRef],0)),"")</f>
        <v>11</v>
      </c>
      <c r="M44" s="3">
        <f>IFERROR(INDEX(TableRBMaster[Custom],MATCH(TableRBCalcPts[[#This Row],[RBRef]],TableRBMaster[RBRef],0)),"")</f>
        <v>3.2733783155570535</v>
      </c>
      <c r="O44" s="2">
        <f>IFERROR(RANK(TableWRCalcPts[[#This Row],[Custom]],TableWRCalcPts[Custom])+COUNTIF($T$3:T44,T44)-1,"")</f>
        <v>93</v>
      </c>
      <c r="P44" s="2">
        <v>42</v>
      </c>
      <c r="Q44" s="2" t="str">
        <f>IFERROR(INDEX(TableWRMaster[Player],MATCH(TableWRCalcPts[[#This Row],[WRRef]],TableWRMaster[WRRef],0)),"")</f>
        <v>Isaiah Bond</v>
      </c>
      <c r="R44" s="2" t="str">
        <f>IFERROR(INDEX(TableWRMaster[TM],MATCH(TableWRCalcPts[[#This Row],[WRRef]],TableWRMaster[WRRef],0)),"")</f>
        <v>CLE</v>
      </c>
      <c r="S44" s="2">
        <f>IFERROR(INDEX(TableWRMaster[BYE],MATCH(TableWRCalcPts[[#This Row],[WRRef]],TableWRMaster[WRRef],0)),"")</f>
        <v>11</v>
      </c>
      <c r="T44" s="3">
        <f>IFERROR(INDEX(TableWRMaster[Custom],MATCH(TableWRCalcPts[[#This Row],[WRRef]],TableWRMaster[WRRef],0)),"")</f>
        <v>56.398321364111993</v>
      </c>
      <c r="V44" s="2">
        <f>IFERROR(RANK(TableTECalcPts[[#This Row],[Custom]],TableTECalcPts[Custom])+COUNTIF($AA$3:AA44,AA44)-1,"")</f>
        <v>61</v>
      </c>
      <c r="W44" s="2">
        <v>42</v>
      </c>
      <c r="X44" s="2" t="str">
        <f>IFERROR(INDEX(TableTEMaster[Player],MATCH(TableTECalcPts[[#This Row],[TERef]],TableTEMaster[TERef],0)),"")</f>
        <v>Tanner Koziol</v>
      </c>
      <c r="Y44" s="2" t="str">
        <f>IFERROR(INDEX(TableTEMaster[TM],MATCH(TableTECalcPts[[#This Row],[TERef]],TableTEMaster[TERef],0)),"")</f>
        <v>JAX</v>
      </c>
      <c r="Z44" s="2">
        <f>IFERROR(INDEX(TableTEMaster[BYE],MATCH(TableTECalcPts[[#This Row],[TERef]],TableTEMaster[TERef],0)),"")</f>
        <v>7</v>
      </c>
      <c r="AA44" s="3">
        <f>IFERROR(INDEX(TableTEMaster[Custom],MATCH(TableTECalcPts[[#This Row],[TERef]],TableTEMaster[TERef],0)),"")</f>
        <v>19.747819077336001</v>
      </c>
      <c r="AI44" s="2" t="s">
        <v>8</v>
      </c>
      <c r="AJ44" s="2">
        <f>IFERROR(RANK(TableWRTECalcPts[[#This Row],[Custom]],TableWRTECalcPts[Custom])+COUNTIF($AP$3:AP44,AP44)-1,"")</f>
        <v>191</v>
      </c>
      <c r="AK44" s="2">
        <v>42</v>
      </c>
      <c r="AL44" s="2" t="str">
        <f>IFERROR(INDEX(TableTEMaster[Player],MATCH(TableWRTECalcPts[[#This Row],[POSRef]],TableTEMaster[TERef],0)),"")</f>
        <v>Tanner Koziol</v>
      </c>
      <c r="AM44" s="2" t="str">
        <f>IFERROR(_xlfn.CONCAT(TableWRTECalcPts[[#This Row],[POS]],INDEX(TableTERanks[RK],MATCH(TableWRTECalcPts[[#This Row],[PLAYER]],TableTERanks[Player],0))),"")</f>
        <v>TE61</v>
      </c>
      <c r="AN44" s="2" t="str">
        <f>IFERROR(INDEX(TableTEMaster[TM],MATCH(TableWRTECalcPts[[#This Row],[POSRef]],TableTEMaster[TERef],0)),"")</f>
        <v>JAX</v>
      </c>
      <c r="AO44" s="2">
        <f>IFERROR(INDEX(TableTEMaster[BYE],MATCH(TableWRTECalcPts[[#This Row],[POSRef]],TableTEMaster[TERef],0)),"")</f>
        <v>7</v>
      </c>
      <c r="AP44" s="3">
        <f>IFERROR(INDEX(TableTEMaster[Custom],MATCH(TableWRTECalcPts[[#This Row],[POSRef]],TableTEMaster[TERef],0)),"")</f>
        <v>19.747819077336001</v>
      </c>
    </row>
    <row r="45" spans="1:42" x14ac:dyDescent="0.25">
      <c r="A45" s="4">
        <f>IFERROR(RANK(TableQBCalcPts[[#This Row],[Custom]],TableQBCalcPts[Custom])+COUNTIF($F$3:F45,F45)-1,"")</f>
        <v>18</v>
      </c>
      <c r="B45" s="2">
        <v>43</v>
      </c>
      <c r="C45" s="2" t="str">
        <f>IFERROR(INDEX(TableQBMaster[Player],MATCH(TableQBCalcPts[[#This Row],[QBRef]],TableQBMaster[QBRef],0)),"")</f>
        <v>Kyler Murray</v>
      </c>
      <c r="D45" s="2" t="str">
        <f>IFERROR(INDEX(TableQBMaster[TM],MATCH(TableQBCalcPts[[#This Row],[QBRef]],TableQBMaster[QBRef],0)),"")</f>
        <v>MIN</v>
      </c>
      <c r="E45" s="2">
        <f>IFERROR(INDEX(TableQBMaster[BYE],MATCH(TableQBCalcPts[[#This Row],[QBRef]],TableQBMaster[QBRef],0)),"")</f>
        <v>6</v>
      </c>
      <c r="F45" s="3">
        <f>IFERROR(INDEX(TableQBMaster[Custom],MATCH(TableQBCalcPts[[#This Row],[QBRef]],TableQBMaster[QBRef],0)),"")</f>
        <v>377.21023069187635</v>
      </c>
      <c r="H45" s="2">
        <f>IFERROR(RANK(TableRBCalcPts[[#This Row],[Custom]],TableRBCalcPts[Custom])+COUNTIF($M$3:M45,M45)-1,"")</f>
        <v>21</v>
      </c>
      <c r="I45" s="2">
        <v>43</v>
      </c>
      <c r="J45" s="2" t="str">
        <f>IFERROR(INDEX(TableRBMaster[Player],MATCH(TableRBCalcPts[[#This Row],[RBRef]],TableRBMaster[RBRef],0)),"")</f>
        <v>David Montgomery</v>
      </c>
      <c r="K45" s="2" t="str">
        <f>IFERROR(INDEX(TableRBMaster[TM],MATCH(TableRBCalcPts[[#This Row],[RBRef]],TableRBMaster[RBRef],0)),"")</f>
        <v>HOU</v>
      </c>
      <c r="L45" s="2">
        <f>IFERROR(INDEX(TableRBMaster[BYE],MATCH(TableRBCalcPts[[#This Row],[RBRef]],TableRBMaster[RBRef],0)),"")</f>
        <v>8</v>
      </c>
      <c r="M45" s="3">
        <f>IFERROR(INDEX(TableRBMaster[Custom],MATCH(TableRBCalcPts[[#This Row],[RBRef]],TableRBMaster[RBRef],0)),"")</f>
        <v>195.35659337837441</v>
      </c>
      <c r="O45" s="2">
        <f>IFERROR(RANK(TableWRCalcPts[[#This Row],[Custom]],TableWRCalcPts[Custom])+COUNTIF($T$3:T45,T45)-1,"")</f>
        <v>151</v>
      </c>
      <c r="P45" s="2">
        <v>43</v>
      </c>
      <c r="Q45" s="2" t="str">
        <f>IFERROR(INDEX(TableWRMaster[Player],MATCH(TableWRCalcPts[[#This Row],[WRRef]],TableWRMaster[WRRef],0)),"")</f>
        <v>Cedric Tillman</v>
      </c>
      <c r="R45" s="2" t="str">
        <f>IFERROR(INDEX(TableWRMaster[TM],MATCH(TableWRCalcPts[[#This Row],[WRRef]],TableWRMaster[WRRef],0)),"")</f>
        <v>CLE</v>
      </c>
      <c r="S45" s="2">
        <f>IFERROR(INDEX(TableWRMaster[BYE],MATCH(TableWRCalcPts[[#This Row],[WRRef]],TableWRMaster[WRRef],0)),"")</f>
        <v>11</v>
      </c>
      <c r="T45" s="3">
        <f>IFERROR(INDEX(TableWRMaster[Custom],MATCH(TableWRCalcPts[[#This Row],[WRRef]],TableWRMaster[WRRef],0)),"")</f>
        <v>8.6514761718000006</v>
      </c>
      <c r="V45" s="2">
        <f>IFERROR(RANK(TableTECalcPts[[#This Row],[Custom]],TableTECalcPts[Custom])+COUNTIF($AA$3:AA45,AA45)-1,"")</f>
        <v>71</v>
      </c>
      <c r="W45" s="2">
        <v>43</v>
      </c>
      <c r="X45" s="2" t="str">
        <f>IFERROR(INDEX(TableTEMaster[Player],MATCH(TableTECalcPts[[#This Row],[TERef]],TableTEMaster[TERef],0)),"")</f>
        <v>Nate Boerkircher</v>
      </c>
      <c r="Y45" s="2" t="str">
        <f>IFERROR(INDEX(TableTEMaster[TM],MATCH(TableTECalcPts[[#This Row],[TERef]],TableTEMaster[TERef],0)),"")</f>
        <v>JAX</v>
      </c>
      <c r="Z45" s="2">
        <f>IFERROR(INDEX(TableTEMaster[BYE],MATCH(TableTECalcPts[[#This Row],[TERef]],TableTEMaster[TERef],0)),"")</f>
        <v>7</v>
      </c>
      <c r="AA45" s="3">
        <f>IFERROR(INDEX(TableTEMaster[Custom],MATCH(TableTECalcPts[[#This Row],[TERef]],TableTEMaster[TERef],0)),"")</f>
        <v>10.11322995377625</v>
      </c>
      <c r="AI45" s="2" t="s">
        <v>8</v>
      </c>
      <c r="AJ45" s="2">
        <f>IFERROR(RANK(TableWRTECalcPts[[#This Row],[Custom]],TableWRTECalcPts[Custom])+COUNTIF($AP$3:AP45,AP45)-1,"")</f>
        <v>216</v>
      </c>
      <c r="AK45" s="2">
        <v>43</v>
      </c>
      <c r="AL45" s="2" t="str">
        <f>IFERROR(INDEX(TableTEMaster[Player],MATCH(TableWRTECalcPts[[#This Row],[POSRef]],TableTEMaster[TERef],0)),"")</f>
        <v>Nate Boerkircher</v>
      </c>
      <c r="AM45" s="2" t="str">
        <f>IFERROR(_xlfn.CONCAT(TableWRTECalcPts[[#This Row],[POS]],INDEX(TableTERanks[RK],MATCH(TableWRTECalcPts[[#This Row],[PLAYER]],TableTERanks[Player],0))),"")</f>
        <v>TE71</v>
      </c>
      <c r="AN45" s="2" t="str">
        <f>IFERROR(INDEX(TableTEMaster[TM],MATCH(TableWRTECalcPts[[#This Row],[POSRef]],TableTEMaster[TERef],0)),"")</f>
        <v>JAX</v>
      </c>
      <c r="AO45" s="2">
        <f>IFERROR(INDEX(TableTEMaster[BYE],MATCH(TableWRTECalcPts[[#This Row],[POSRef]],TableTEMaster[TERef],0)),"")</f>
        <v>7</v>
      </c>
      <c r="AP45" s="3">
        <f>IFERROR(INDEX(TableTEMaster[Custom],MATCH(TableWRTECalcPts[[#This Row],[POSRef]],TableTEMaster[TERef],0)),"")</f>
        <v>10.11322995377625</v>
      </c>
    </row>
    <row r="46" spans="1:42" x14ac:dyDescent="0.25">
      <c r="A46" s="4">
        <f>IFERROR(RANK(TableQBCalcPts[[#This Row],[Custom]],TableQBCalcPts[Custom])+COUNTIF($F$3:F46,F46)-1,"")</f>
        <v>42</v>
      </c>
      <c r="B46" s="2">
        <v>44</v>
      </c>
      <c r="C46" s="2" t="str">
        <f>IFERROR(INDEX(TableQBMaster[Player],MATCH(TableQBCalcPts[[#This Row],[QBRef]],TableQBMaster[QBRef],0)),"")</f>
        <v>J.J. McCarthy</v>
      </c>
      <c r="D46" s="2" t="str">
        <f>IFERROR(INDEX(TableQBMaster[TM],MATCH(TableQBCalcPts[[#This Row],[QBRef]],TableQBMaster[QBRef],0)),"")</f>
        <v>MIN</v>
      </c>
      <c r="E46" s="2">
        <f>IFERROR(INDEX(TableQBMaster[BYE],MATCH(TableQBCalcPts[[#This Row],[QBRef]],TableQBMaster[QBRef],0)),"")</f>
        <v>6</v>
      </c>
      <c r="F46" s="3">
        <f>IFERROR(INDEX(TableQBMaster[Custom],MATCH(TableQBCalcPts[[#This Row],[QBRef]],TableQBMaster[QBRef],0)),"")</f>
        <v>17.659176117600179</v>
      </c>
      <c r="H46" s="2">
        <f>IFERROR(RANK(TableRBCalcPts[[#This Row],[Custom]],TableRBCalcPts[Custom])+COUNTIF($M$3:M46,M46)-1,"")</f>
        <v>46</v>
      </c>
      <c r="I46" s="2">
        <v>44</v>
      </c>
      <c r="J46" s="2" t="str">
        <f>IFERROR(INDEX(TableRBMaster[Player],MATCH(TableRBCalcPts[[#This Row],[RBRef]],TableRBMaster[RBRef],0)),"")</f>
        <v>Woody Marks</v>
      </c>
      <c r="K46" s="2" t="str">
        <f>IFERROR(INDEX(TableRBMaster[TM],MATCH(TableRBCalcPts[[#This Row],[RBRef]],TableRBMaster[RBRef],0)),"")</f>
        <v>HOU</v>
      </c>
      <c r="L46" s="2">
        <f>IFERROR(INDEX(TableRBMaster[BYE],MATCH(TableRBCalcPts[[#This Row],[RBRef]],TableRBMaster[RBRef],0)),"")</f>
        <v>8</v>
      </c>
      <c r="M46" s="3">
        <f>IFERROR(INDEX(TableRBMaster[Custom],MATCH(TableRBCalcPts[[#This Row],[RBRef]],TableRBMaster[RBRef],0)),"")</f>
        <v>95.059015145221139</v>
      </c>
      <c r="O46" s="2">
        <f>IFERROR(RANK(TableWRCalcPts[[#This Row],[Custom]],TableWRCalcPts[Custom])+COUNTIF($T$3:T46,T46)-1,"")</f>
        <v>175</v>
      </c>
      <c r="P46" s="2">
        <v>44</v>
      </c>
      <c r="Q46" s="2" t="str">
        <f>IFERROR(INDEX(TableWRMaster[Player],MATCH(TableWRCalcPts[[#This Row],[WRRef]],TableWRMaster[WRRef],0)),"")</f>
        <v>Tylan Wallace</v>
      </c>
      <c r="R46" s="2" t="str">
        <f>IFERROR(INDEX(TableWRMaster[TM],MATCH(TableWRCalcPts[[#This Row],[WRRef]],TableWRMaster[WRRef],0)),"")</f>
        <v>CLE</v>
      </c>
      <c r="S46" s="2">
        <f>IFERROR(INDEX(TableWRMaster[BYE],MATCH(TableWRCalcPts[[#This Row],[WRRef]],TableWRMaster[WRRef],0)),"")</f>
        <v>11</v>
      </c>
      <c r="T46" s="3">
        <f>IFERROR(INDEX(TableWRMaster[Custom],MATCH(TableWRCalcPts[[#This Row],[WRRef]],TableWRMaster[WRRef],0)),"")</f>
        <v>5.0916214364399996</v>
      </c>
      <c r="V46" s="2">
        <f>IFERROR(RANK(TableTECalcPts[[#This Row],[Custom]],TableTECalcPts[Custom])+COUNTIF($AA$3:AA46,AA46)-1,"")</f>
        <v>10</v>
      </c>
      <c r="W46" s="2">
        <v>44</v>
      </c>
      <c r="X46" s="2" t="str">
        <f>IFERROR(INDEX(TableTEMaster[Player],MATCH(TableTECalcPts[[#This Row],[TERef]],TableTEMaster[TERef],0)),"")</f>
        <v>Travis Kelce</v>
      </c>
      <c r="Y46" s="2" t="str">
        <f>IFERROR(INDEX(TableTEMaster[TM],MATCH(TableTECalcPts[[#This Row],[TERef]],TableTEMaster[TERef],0)),"")</f>
        <v>KC</v>
      </c>
      <c r="Z46" s="2">
        <f>IFERROR(INDEX(TableTEMaster[BYE],MATCH(TableTECalcPts[[#This Row],[TERef]],TableTEMaster[TERef],0)),"")</f>
        <v>5</v>
      </c>
      <c r="AA46" s="3">
        <f>IFERROR(INDEX(TableTEMaster[Custom],MATCH(TableTECalcPts[[#This Row],[TERef]],TableTEMaster[TERef],0)),"")</f>
        <v>147.70317535955797</v>
      </c>
      <c r="AI46" s="2" t="s">
        <v>8</v>
      </c>
      <c r="AJ46" s="2">
        <f>IFERROR(RANK(TableWRTECalcPts[[#This Row],[Custom]],TableWRTECalcPts[Custom])+COUNTIF($AP$3:AP46,AP46)-1,"")</f>
        <v>54</v>
      </c>
      <c r="AK46" s="2">
        <v>44</v>
      </c>
      <c r="AL46" s="2" t="str">
        <f>IFERROR(INDEX(TableTEMaster[Player],MATCH(TableWRTECalcPts[[#This Row],[POSRef]],TableTEMaster[TERef],0)),"")</f>
        <v>Travis Kelce</v>
      </c>
      <c r="AM46" s="2" t="str">
        <f>IFERROR(_xlfn.CONCAT(TableWRTECalcPts[[#This Row],[POS]],INDEX(TableTERanks[RK],MATCH(TableWRTECalcPts[[#This Row],[PLAYER]],TableTERanks[Player],0))),"")</f>
        <v>TE10</v>
      </c>
      <c r="AN46" s="2" t="str">
        <f>IFERROR(INDEX(TableTEMaster[TM],MATCH(TableWRTECalcPts[[#This Row],[POSRef]],TableTEMaster[TERef],0)),"")</f>
        <v>KC</v>
      </c>
      <c r="AO46" s="2">
        <f>IFERROR(INDEX(TableTEMaster[BYE],MATCH(TableWRTECalcPts[[#This Row],[POSRef]],TableTEMaster[TERef],0)),"")</f>
        <v>5</v>
      </c>
      <c r="AP46" s="3">
        <f>IFERROR(INDEX(TableTEMaster[Custom],MATCH(TableWRTECalcPts[[#This Row],[POSRef]],TableTEMaster[TERef],0)),"")</f>
        <v>147.70317535955797</v>
      </c>
    </row>
    <row r="47" spans="1:42" x14ac:dyDescent="0.25">
      <c r="A47" s="4">
        <f>IFERROR(RANK(TableQBCalcPts[[#This Row],[Custom]],TableQBCalcPts[Custom])+COUNTIF($F$3:F47,F47)-1,"")</f>
        <v>3</v>
      </c>
      <c r="B47" s="2">
        <v>45</v>
      </c>
      <c r="C47" s="2" t="str">
        <f>IFERROR(INDEX(TableQBMaster[Player],MATCH(TableQBCalcPts[[#This Row],[QBRef]],TableQBMaster[QBRef],0)),"")</f>
        <v>Drake Maye</v>
      </c>
      <c r="D47" s="2" t="str">
        <f>IFERROR(INDEX(TableQBMaster[TM],MATCH(TableQBCalcPts[[#This Row],[QBRef]],TableQBMaster[QBRef],0)),"")</f>
        <v>NE</v>
      </c>
      <c r="E47" s="2">
        <f>IFERROR(INDEX(TableQBMaster[BYE],MATCH(TableQBCalcPts[[#This Row],[QBRef]],TableQBMaster[QBRef],0)),"")</f>
        <v>11</v>
      </c>
      <c r="F47" s="3">
        <f>IFERROR(INDEX(TableQBMaster[Custom],MATCH(TableQBCalcPts[[#This Row],[QBRef]],TableQBMaster[QBRef],0)),"")</f>
        <v>445.96284008366393</v>
      </c>
      <c r="H47" s="2">
        <f>IFERROR(RANK(TableRBCalcPts[[#This Row],[Custom]],TableRBCalcPts[Custom])+COUNTIF($M$3:M47,M47)-1,"")</f>
        <v>92</v>
      </c>
      <c r="I47" s="2">
        <v>45</v>
      </c>
      <c r="J47" s="2" t="str">
        <f>IFERROR(INDEX(TableRBMaster[Player],MATCH(TableRBCalcPts[[#This Row],[RBRef]],TableRBMaster[RBRef],0)),"")</f>
        <v>Jawhar Jordan</v>
      </c>
      <c r="K47" s="2" t="str">
        <f>IFERROR(INDEX(TableRBMaster[TM],MATCH(TableRBCalcPts[[#This Row],[RBRef]],TableRBMaster[RBRef],0)),"")</f>
        <v>HOU</v>
      </c>
      <c r="L47" s="2">
        <f>IFERROR(INDEX(TableRBMaster[BYE],MATCH(TableRBCalcPts[[#This Row],[RBRef]],TableRBMaster[RBRef],0)),"")</f>
        <v>8</v>
      </c>
      <c r="M47" s="3">
        <f>IFERROR(INDEX(TableRBMaster[Custom],MATCH(TableRBCalcPts[[#This Row],[RBRef]],TableRBMaster[RBRef],0)),"")</f>
        <v>14.980269438246003</v>
      </c>
      <c r="O47" s="2">
        <f>IFERROR(RANK(TableWRCalcPts[[#This Row],[Custom]],TableWRCalcPts[Custom])+COUNTIF($T$3:T47,T47)-1,"")</f>
        <v>8</v>
      </c>
      <c r="P47" s="2">
        <v>45</v>
      </c>
      <c r="Q47" s="2" t="str">
        <f>IFERROR(INDEX(TableWRMaster[Player],MATCH(TableWRCalcPts[[#This Row],[WRRef]],TableWRMaster[WRRef],0)),"")</f>
        <v>CeeDee Lamb</v>
      </c>
      <c r="R47" s="2" t="str">
        <f>IFERROR(INDEX(TableWRMaster[TM],MATCH(TableWRCalcPts[[#This Row],[WRRef]],TableWRMaster[WRRef],0)),"")</f>
        <v>DAL</v>
      </c>
      <c r="S47" s="2">
        <f>IFERROR(INDEX(TableWRMaster[BYE],MATCH(TableWRCalcPts[[#This Row],[WRRef]],TableWRMaster[WRRef],0)),"")</f>
        <v>14</v>
      </c>
      <c r="T47" s="3">
        <f>IFERROR(INDEX(TableWRMaster[Custom],MATCH(TableWRCalcPts[[#This Row],[WRRef]],TableWRMaster[WRRef],0)),"")</f>
        <v>223.24357321838613</v>
      </c>
      <c r="V47" s="2">
        <f>IFERROR(RANK(TableTECalcPts[[#This Row],[Custom]],TableTECalcPts[Custom])+COUNTIF($AA$3:AA47,AA47)-1,"")</f>
        <v>39</v>
      </c>
      <c r="W47" s="2">
        <v>45</v>
      </c>
      <c r="X47" s="2" t="str">
        <f>IFERROR(INDEX(TableTEMaster[Player],MATCH(TableTECalcPts[[#This Row],[TERef]],TableTEMaster[TERef],0)),"")</f>
        <v>Noah Gray</v>
      </c>
      <c r="Y47" s="2" t="str">
        <f>IFERROR(INDEX(TableTEMaster[TM],MATCH(TableTECalcPts[[#This Row],[TERef]],TableTEMaster[TERef],0)),"")</f>
        <v>KC</v>
      </c>
      <c r="Z47" s="2">
        <f>IFERROR(INDEX(TableTEMaster[BYE],MATCH(TableTECalcPts[[#This Row],[TERef]],TableTEMaster[TERef],0)),"")</f>
        <v>5</v>
      </c>
      <c r="AA47" s="3">
        <f>IFERROR(INDEX(TableTEMaster[Custom],MATCH(TableTECalcPts[[#This Row],[TERef]],TableTEMaster[TERef],0)),"")</f>
        <v>49.391673692991986</v>
      </c>
      <c r="AI47" s="2" t="s">
        <v>8</v>
      </c>
      <c r="AJ47" s="2">
        <f>IFERROR(RANK(TableWRTECalcPts[[#This Row],[Custom]],TableWRTECalcPts[Custom])+COUNTIF($AP$3:AP47,AP47)-1,"")</f>
        <v>142</v>
      </c>
      <c r="AK47" s="2">
        <v>45</v>
      </c>
      <c r="AL47" s="2" t="str">
        <f>IFERROR(INDEX(TableTEMaster[Player],MATCH(TableWRTECalcPts[[#This Row],[POSRef]],TableTEMaster[TERef],0)),"")</f>
        <v>Noah Gray</v>
      </c>
      <c r="AM47" s="2" t="str">
        <f>IFERROR(_xlfn.CONCAT(TableWRTECalcPts[[#This Row],[POS]],INDEX(TableTERanks[RK],MATCH(TableWRTECalcPts[[#This Row],[PLAYER]],TableTERanks[Player],0))),"")</f>
        <v>TE39</v>
      </c>
      <c r="AN47" s="2" t="str">
        <f>IFERROR(INDEX(TableTEMaster[TM],MATCH(TableWRTECalcPts[[#This Row],[POSRef]],TableTEMaster[TERef],0)),"")</f>
        <v>KC</v>
      </c>
      <c r="AO47" s="2">
        <f>IFERROR(INDEX(TableTEMaster[BYE],MATCH(TableWRTECalcPts[[#This Row],[POSRef]],TableTEMaster[TERef],0)),"")</f>
        <v>5</v>
      </c>
      <c r="AP47" s="3">
        <f>IFERROR(INDEX(TableTEMaster[Custom],MATCH(TableWRTECalcPts[[#This Row],[POSRef]],TableTEMaster[TERef],0)),"")</f>
        <v>49.391673692991986</v>
      </c>
    </row>
    <row r="48" spans="1:42" x14ac:dyDescent="0.25">
      <c r="A48" s="4">
        <f>IFERROR(RANK(TableQBCalcPts[[#This Row],[Custom]],TableQBCalcPts[Custom])+COUNTIF($F$3:F48,F48)-1,"")</f>
        <v>59</v>
      </c>
      <c r="B48" s="2">
        <v>46</v>
      </c>
      <c r="C48" s="2" t="str">
        <f>IFERROR(INDEX(TableQBMaster[Player],MATCH(TableQBCalcPts[[#This Row],[QBRef]],TableQBMaster[QBRef],0)),"")</f>
        <v>Tommy DeVito</v>
      </c>
      <c r="D48" s="2" t="str">
        <f>IFERROR(INDEX(TableQBMaster[TM],MATCH(TableQBCalcPts[[#This Row],[QBRef]],TableQBMaster[QBRef],0)),"")</f>
        <v>NE</v>
      </c>
      <c r="E48" s="2">
        <f>IFERROR(INDEX(TableQBMaster[BYE],MATCH(TableQBCalcPts[[#This Row],[QBRef]],TableQBMaster[QBRef],0)),"")</f>
        <v>11</v>
      </c>
      <c r="F48" s="3">
        <f>IFERROR(INDEX(TableQBMaster[Custom],MATCH(TableQBCalcPts[[#This Row],[QBRef]],TableQBMaster[QBRef],0)),"")</f>
        <v>5.8076463699232752</v>
      </c>
      <c r="H48" s="2">
        <f>IFERROR(RANK(TableRBCalcPts[[#This Row],[Custom]],TableRBCalcPts[Custom])+COUNTIF($M$3:M48,M48)-1,"")</f>
        <v>4</v>
      </c>
      <c r="I48" s="2">
        <v>46</v>
      </c>
      <c r="J48" s="2" t="str">
        <f>IFERROR(INDEX(TableRBMaster[Player],MATCH(TableRBCalcPts[[#This Row],[RBRef]],TableRBMaster[RBRef],0)),"")</f>
        <v>Jonathan Taylor</v>
      </c>
      <c r="K48" s="2" t="str">
        <f>IFERROR(INDEX(TableRBMaster[TM],MATCH(TableRBCalcPts[[#This Row],[RBRef]],TableRBMaster[RBRef],0)),"")</f>
        <v>IND</v>
      </c>
      <c r="L48" s="2">
        <f>IFERROR(INDEX(TableRBMaster[BYE],MATCH(TableRBCalcPts[[#This Row],[RBRef]],TableRBMaster[RBRef],0)),"")</f>
        <v>13</v>
      </c>
      <c r="M48" s="3">
        <f>IFERROR(INDEX(TableRBMaster[Custom],MATCH(TableRBCalcPts[[#This Row],[RBRef]],TableRBMaster[RBRef],0)),"")</f>
        <v>287.83953308823624</v>
      </c>
      <c r="O48" s="2">
        <f>IFERROR(RANK(TableWRCalcPts[[#This Row],[Custom]],TableWRCalcPts[Custom])+COUNTIF($T$3:T48,T48)-1,"")</f>
        <v>5</v>
      </c>
      <c r="P48" s="2">
        <v>46</v>
      </c>
      <c r="Q48" s="2" t="str">
        <f>IFERROR(INDEX(TableWRMaster[Player],MATCH(TableWRCalcPts[[#This Row],[WRRef]],TableWRMaster[WRRef],0)),"")</f>
        <v>George Pickens</v>
      </c>
      <c r="R48" s="2" t="str">
        <f>IFERROR(INDEX(TableWRMaster[TM],MATCH(TableWRCalcPts[[#This Row],[WRRef]],TableWRMaster[WRRef],0)),"")</f>
        <v>DAL</v>
      </c>
      <c r="S48" s="2">
        <f>IFERROR(INDEX(TableWRMaster[BYE],MATCH(TableWRCalcPts[[#This Row],[WRRef]],TableWRMaster[WRRef],0)),"")</f>
        <v>14</v>
      </c>
      <c r="T48" s="3">
        <f>IFERROR(INDEX(TableWRMaster[Custom],MATCH(TableWRCalcPts[[#This Row],[WRRef]],TableWRMaster[WRRef],0)),"")</f>
        <v>232.51214033920755</v>
      </c>
      <c r="V48" s="2">
        <f>IFERROR(RANK(TableTECalcPts[[#This Row],[Custom]],TableTECalcPts[Custom])+COUNTIF($AA$3:AA48,AA48)-1,"")</f>
        <v>75</v>
      </c>
      <c r="W48" s="2">
        <v>46</v>
      </c>
      <c r="X48" s="2" t="str">
        <f>IFERROR(INDEX(TableTEMaster[Player],MATCH(TableTECalcPts[[#This Row],[TERef]],TableTEMaster[TERef],0)),"")</f>
        <v>Jared Wiley</v>
      </c>
      <c r="Y48" s="2" t="str">
        <f>IFERROR(INDEX(TableTEMaster[TM],MATCH(TableTECalcPts[[#This Row],[TERef]],TableTEMaster[TERef],0)),"")</f>
        <v>KC</v>
      </c>
      <c r="Z48" s="2">
        <f>IFERROR(INDEX(TableTEMaster[BYE],MATCH(TableTECalcPts[[#This Row],[TERef]],TableTEMaster[TERef],0)),"")</f>
        <v>5</v>
      </c>
      <c r="AA48" s="3">
        <f>IFERROR(INDEX(TableTEMaster[Custom],MATCH(TableTECalcPts[[#This Row],[TERef]],TableTEMaster[TERef],0)),"")</f>
        <v>7.7326866388358848</v>
      </c>
      <c r="AI48" s="2" t="s">
        <v>8</v>
      </c>
      <c r="AJ48" s="2">
        <f>IFERROR(RANK(TableWRTECalcPts[[#This Row],[Custom]],TableWRTECalcPts[Custom])+COUNTIF($AP$3:AP48,AP48)-1,"")</f>
        <v>231</v>
      </c>
      <c r="AK48" s="2">
        <v>46</v>
      </c>
      <c r="AL48" s="2" t="str">
        <f>IFERROR(INDEX(TableTEMaster[Player],MATCH(TableWRTECalcPts[[#This Row],[POSRef]],TableTEMaster[TERef],0)),"")</f>
        <v>Jared Wiley</v>
      </c>
      <c r="AM48" s="2" t="str">
        <f>IFERROR(_xlfn.CONCAT(TableWRTECalcPts[[#This Row],[POS]],INDEX(TableTERanks[RK],MATCH(TableWRTECalcPts[[#This Row],[PLAYER]],TableTERanks[Player],0))),"")</f>
        <v>TE75</v>
      </c>
      <c r="AN48" s="2" t="str">
        <f>IFERROR(INDEX(TableTEMaster[TM],MATCH(TableWRTECalcPts[[#This Row],[POSRef]],TableTEMaster[TERef],0)),"")</f>
        <v>KC</v>
      </c>
      <c r="AO48" s="2">
        <f>IFERROR(INDEX(TableTEMaster[BYE],MATCH(TableWRTECalcPts[[#This Row],[POSRef]],TableTEMaster[TERef],0)),"")</f>
        <v>5</v>
      </c>
      <c r="AP48" s="3">
        <f>IFERROR(INDEX(TableTEMaster[Custom],MATCH(TableWRTECalcPts[[#This Row],[POSRef]],TableTEMaster[TERef],0)),"")</f>
        <v>7.7326866388358848</v>
      </c>
    </row>
    <row r="49" spans="1:42" x14ac:dyDescent="0.25">
      <c r="A49" s="4">
        <f>IFERROR(RANK(TableQBCalcPts[[#This Row],[Custom]],TableQBCalcPts[Custom])+COUNTIF($F$3:F49,F49)-1,"")</f>
        <v>23</v>
      </c>
      <c r="B49" s="2">
        <v>47</v>
      </c>
      <c r="C49" s="2" t="str">
        <f>IFERROR(INDEX(TableQBMaster[Player],MATCH(TableQBCalcPts[[#This Row],[QBRef]],TableQBMaster[QBRef],0)),"")</f>
        <v>Tyler Shough</v>
      </c>
      <c r="D49" s="2" t="str">
        <f>IFERROR(INDEX(TableQBMaster[TM],MATCH(TableQBCalcPts[[#This Row],[QBRef]],TableQBMaster[QBRef],0)),"")</f>
        <v>NO</v>
      </c>
      <c r="E49" s="2">
        <f>IFERROR(INDEX(TableQBMaster[BYE],MATCH(TableQBCalcPts[[#This Row],[QBRef]],TableQBMaster[QBRef],0)),"")</f>
        <v>8</v>
      </c>
      <c r="F49" s="3">
        <f>IFERROR(INDEX(TableQBMaster[Custom],MATCH(TableQBCalcPts[[#This Row],[QBRef]],TableQBMaster[QBRef],0)),"")</f>
        <v>355.86080203740499</v>
      </c>
      <c r="H49" s="2">
        <f>IFERROR(RANK(TableRBCalcPts[[#This Row],[Custom]],TableRBCalcPts[Custom])+COUNTIF($M$3:M49,M49)-1,"")</f>
        <v>78</v>
      </c>
      <c r="I49" s="2">
        <v>47</v>
      </c>
      <c r="J49" s="2" t="str">
        <f>IFERROR(INDEX(TableRBMaster[Player],MATCH(TableRBCalcPts[[#This Row],[RBRef]],TableRBMaster[RBRef],0)),"")</f>
        <v>Seth McGowan</v>
      </c>
      <c r="K49" s="2" t="str">
        <f>IFERROR(INDEX(TableRBMaster[TM],MATCH(TableRBCalcPts[[#This Row],[RBRef]],TableRBMaster[RBRef],0)),"")</f>
        <v>IND</v>
      </c>
      <c r="L49" s="2">
        <f>IFERROR(INDEX(TableRBMaster[BYE],MATCH(TableRBCalcPts[[#This Row],[RBRef]],TableRBMaster[RBRef],0)),"")</f>
        <v>13</v>
      </c>
      <c r="M49" s="3">
        <f>IFERROR(INDEX(TableRBMaster[Custom],MATCH(TableRBCalcPts[[#This Row],[RBRef]],TableRBMaster[RBRef],0)),"")</f>
        <v>28.320244486467573</v>
      </c>
      <c r="O49" s="2">
        <f>IFERROR(RANK(TableWRCalcPts[[#This Row],[Custom]],TableWRCalcPts[Custom])+COUNTIF($T$3:T49,T49)-1,"")</f>
        <v>73</v>
      </c>
      <c r="P49" s="2">
        <v>47</v>
      </c>
      <c r="Q49" s="2" t="str">
        <f>IFERROR(INDEX(TableWRMaster[Player],MATCH(TableWRCalcPts[[#This Row],[WRRef]],TableWRMaster[WRRef],0)),"")</f>
        <v>Ryan Flournoy</v>
      </c>
      <c r="R49" s="2" t="str">
        <f>IFERROR(INDEX(TableWRMaster[TM],MATCH(TableWRCalcPts[[#This Row],[WRRef]],TableWRMaster[WRRef],0)),"")</f>
        <v>DAL</v>
      </c>
      <c r="S49" s="2">
        <f>IFERROR(INDEX(TableWRMaster[BYE],MATCH(TableWRCalcPts[[#This Row],[WRRef]],TableWRMaster[WRRef],0)),"")</f>
        <v>14</v>
      </c>
      <c r="T49" s="3">
        <f>IFERROR(INDEX(TableWRMaster[Custom],MATCH(TableWRCalcPts[[#This Row],[WRRef]],TableWRMaster[WRRef],0)),"")</f>
        <v>90.284185390366062</v>
      </c>
      <c r="V49" s="2">
        <f>IFERROR(RANK(TableTECalcPts[[#This Row],[Custom]],TableTECalcPts[Custom])+COUNTIF($AA$3:AA49,AA49)-1,"")</f>
        <v>25</v>
      </c>
      <c r="W49" s="2">
        <v>47</v>
      </c>
      <c r="X49" s="2" t="str">
        <f>IFERROR(INDEX(TableTEMaster[Player],MATCH(TableTECalcPts[[#This Row],[TERef]],TableTEMaster[TERef],0)),"")</f>
        <v>Oronde Gadsden</v>
      </c>
      <c r="Y49" s="2" t="str">
        <f>IFERROR(INDEX(TableTEMaster[TM],MATCH(TableTECalcPts[[#This Row],[TERef]],TableTEMaster[TERef],0)),"")</f>
        <v>LAC</v>
      </c>
      <c r="Z49" s="2">
        <f>IFERROR(INDEX(TableTEMaster[BYE],MATCH(TableTECalcPts[[#This Row],[TERef]],TableTEMaster[TERef],0)),"")</f>
        <v>7</v>
      </c>
      <c r="AA49" s="3">
        <f>IFERROR(INDEX(TableTEMaster[Custom],MATCH(TableTECalcPts[[#This Row],[TERef]],TableTEMaster[TERef],0)),"")</f>
        <v>97.774303753526368</v>
      </c>
      <c r="AI49" s="2" t="s">
        <v>8</v>
      </c>
      <c r="AJ49" s="2">
        <f>IFERROR(RANK(TableWRTECalcPts[[#This Row],[Custom]],TableWRTECalcPts[Custom])+COUNTIF($AP$3:AP49,AP49)-1,"")</f>
        <v>92</v>
      </c>
      <c r="AK49" s="2">
        <v>47</v>
      </c>
      <c r="AL49" s="2" t="str">
        <f>IFERROR(INDEX(TableTEMaster[Player],MATCH(TableWRTECalcPts[[#This Row],[POSRef]],TableTEMaster[TERef],0)),"")</f>
        <v>Oronde Gadsden</v>
      </c>
      <c r="AM49" s="2" t="str">
        <f>IFERROR(_xlfn.CONCAT(TableWRTECalcPts[[#This Row],[POS]],INDEX(TableTERanks[RK],MATCH(TableWRTECalcPts[[#This Row],[PLAYER]],TableTERanks[Player],0))),"")</f>
        <v>TE25</v>
      </c>
      <c r="AN49" s="2" t="str">
        <f>IFERROR(INDEX(TableTEMaster[TM],MATCH(TableWRTECalcPts[[#This Row],[POSRef]],TableTEMaster[TERef],0)),"")</f>
        <v>LAC</v>
      </c>
      <c r="AO49" s="2">
        <f>IFERROR(INDEX(TableTEMaster[BYE],MATCH(TableWRTECalcPts[[#This Row],[POSRef]],TableTEMaster[TERef],0)),"")</f>
        <v>7</v>
      </c>
      <c r="AP49" s="3">
        <f>IFERROR(INDEX(TableTEMaster[Custom],MATCH(TableWRTECalcPts[[#This Row],[POSRef]],TableTEMaster[TERef],0)),"")</f>
        <v>97.774303753526368</v>
      </c>
    </row>
    <row r="50" spans="1:42" x14ac:dyDescent="0.25">
      <c r="A50" s="4">
        <f>IFERROR(RANK(TableQBCalcPts[[#This Row],[Custom]],TableQBCalcPts[Custom])+COUNTIF($F$3:F50,F50)-1,"")</f>
        <v>49</v>
      </c>
      <c r="B50" s="2">
        <v>48</v>
      </c>
      <c r="C50" s="2" t="str">
        <f>IFERROR(INDEX(TableQBMaster[Player],MATCH(TableQBCalcPts[[#This Row],[QBRef]],TableQBMaster[QBRef],0)),"")</f>
        <v>Spencer Rattler</v>
      </c>
      <c r="D50" s="2" t="str">
        <f>IFERROR(INDEX(TableQBMaster[TM],MATCH(TableQBCalcPts[[#This Row],[QBRef]],TableQBMaster[QBRef],0)),"")</f>
        <v>NO</v>
      </c>
      <c r="E50" s="2">
        <f>IFERROR(INDEX(TableQBMaster[BYE],MATCH(TableQBCalcPts[[#This Row],[QBRef]],TableQBMaster[QBRef],0)),"")</f>
        <v>8</v>
      </c>
      <c r="F50" s="3">
        <f>IFERROR(INDEX(TableQBMaster[Custom],MATCH(TableQBCalcPts[[#This Row],[QBRef]],TableQBMaster[QBRef],0)),"")</f>
        <v>9.985309572333378</v>
      </c>
      <c r="H50" s="2">
        <f>IFERROR(RANK(TableRBCalcPts[[#This Row],[Custom]],TableRBCalcPts[Custom])+COUNTIF($M$3:M50,M50)-1,"")</f>
        <v>85</v>
      </c>
      <c r="I50" s="2">
        <v>48</v>
      </c>
      <c r="J50" s="2" t="str">
        <f>IFERROR(INDEX(TableRBMaster[Player],MATCH(TableRBCalcPts[[#This Row],[RBRef]],TableRBMaster[RBRef],0)),"")</f>
        <v>DJ Giddens</v>
      </c>
      <c r="K50" s="2" t="str">
        <f>IFERROR(INDEX(TableRBMaster[TM],MATCH(TableRBCalcPts[[#This Row],[RBRef]],TableRBMaster[RBRef],0)),"")</f>
        <v>IND</v>
      </c>
      <c r="L50" s="2">
        <f>IFERROR(INDEX(TableRBMaster[BYE],MATCH(TableRBCalcPts[[#This Row],[RBRef]],TableRBMaster[RBRef],0)),"")</f>
        <v>13</v>
      </c>
      <c r="M50" s="3">
        <f>IFERROR(INDEX(TableRBMaster[Custom],MATCH(TableRBCalcPts[[#This Row],[RBRef]],TableRBMaster[RBRef],0)),"")</f>
        <v>18.811448871008182</v>
      </c>
      <c r="O50" s="2">
        <f>IFERROR(RANK(TableWRCalcPts[[#This Row],[Custom]],TableWRCalcPts[Custom])+COUNTIF($T$3:T50,T50)-1,"")</f>
        <v>84</v>
      </c>
      <c r="P50" s="2">
        <v>48</v>
      </c>
      <c r="Q50" s="2" t="str">
        <f>IFERROR(INDEX(TableWRMaster[Player],MATCH(TableWRCalcPts[[#This Row],[WRRef]],TableWRMaster[WRRef],0)),"")</f>
        <v>KaVontae Turpin</v>
      </c>
      <c r="R50" s="2" t="str">
        <f>IFERROR(INDEX(TableWRMaster[TM],MATCH(TableWRCalcPts[[#This Row],[WRRef]],TableWRMaster[WRRef],0)),"")</f>
        <v>DAL</v>
      </c>
      <c r="S50" s="2">
        <f>IFERROR(INDEX(TableWRMaster[BYE],MATCH(TableWRCalcPts[[#This Row],[WRRef]],TableWRMaster[WRRef],0)),"")</f>
        <v>14</v>
      </c>
      <c r="T50" s="3">
        <f>IFERROR(INDEX(TableWRMaster[Custom],MATCH(TableWRCalcPts[[#This Row],[WRRef]],TableWRMaster[WRRef],0)),"")</f>
        <v>64.301898003885839</v>
      </c>
      <c r="V50" s="2">
        <f>IFERROR(RANK(TableTECalcPts[[#This Row],[Custom]],TableTECalcPts[Custom])+COUNTIF($AA$3:AA50,AA50)-1,"")</f>
        <v>31</v>
      </c>
      <c r="W50" s="2">
        <v>48</v>
      </c>
      <c r="X50" s="2" t="str">
        <f>IFERROR(INDEX(TableTEMaster[Player],MATCH(TableTECalcPts[[#This Row],[TERef]],TableTEMaster[TERef],0)),"")</f>
        <v>David Njoku</v>
      </c>
      <c r="Y50" s="2" t="str">
        <f>IFERROR(INDEX(TableTEMaster[TM],MATCH(TableTECalcPts[[#This Row],[TERef]],TableTEMaster[TERef],0)),"")</f>
        <v>LAC</v>
      </c>
      <c r="Z50" s="2">
        <f>IFERROR(INDEX(TableTEMaster[BYE],MATCH(TableTECalcPts[[#This Row],[TERef]],TableTEMaster[TERef],0)),"")</f>
        <v>7</v>
      </c>
      <c r="AA50" s="3">
        <f>IFERROR(INDEX(TableTEMaster[Custom],MATCH(TableTECalcPts[[#This Row],[TERef]],TableTEMaster[TERef],0)),"")</f>
        <v>71.842267786673858</v>
      </c>
      <c r="AI50" s="2" t="s">
        <v>8</v>
      </c>
      <c r="AJ50" s="2">
        <f>IFERROR(RANK(TableWRTECalcPts[[#This Row],[Custom]],TableWRTECalcPts[Custom])+COUNTIF($AP$3:AP50,AP50)-1,"")</f>
        <v>111</v>
      </c>
      <c r="AK50" s="2">
        <v>48</v>
      </c>
      <c r="AL50" s="2" t="str">
        <f>IFERROR(INDEX(TableTEMaster[Player],MATCH(TableWRTECalcPts[[#This Row],[POSRef]],TableTEMaster[TERef],0)),"")</f>
        <v>David Njoku</v>
      </c>
      <c r="AM50" s="2" t="str">
        <f>IFERROR(_xlfn.CONCAT(TableWRTECalcPts[[#This Row],[POS]],INDEX(TableTERanks[RK],MATCH(TableWRTECalcPts[[#This Row],[PLAYER]],TableTERanks[Player],0))),"")</f>
        <v>TE31</v>
      </c>
      <c r="AN50" s="2" t="str">
        <f>IFERROR(INDEX(TableTEMaster[TM],MATCH(TableWRTECalcPts[[#This Row],[POSRef]],TableTEMaster[TERef],0)),"")</f>
        <v>LAC</v>
      </c>
      <c r="AO50" s="2">
        <f>IFERROR(INDEX(TableTEMaster[BYE],MATCH(TableWRTECalcPts[[#This Row],[POSRef]],TableTEMaster[TERef],0)),"")</f>
        <v>7</v>
      </c>
      <c r="AP50" s="3">
        <f>IFERROR(INDEX(TableTEMaster[Custom],MATCH(TableWRTECalcPts[[#This Row],[POSRef]],TableTEMaster[TERef],0)),"")</f>
        <v>71.842267786673858</v>
      </c>
    </row>
    <row r="51" spans="1:42" x14ac:dyDescent="0.25">
      <c r="A51" s="4">
        <f>IFERROR(RANK(TableQBCalcPts[[#This Row],[Custom]],TableQBCalcPts[Custom])+COUNTIF($F$3:F51,F51)-1,"")</f>
        <v>68</v>
      </c>
      <c r="B51" s="2">
        <v>49</v>
      </c>
      <c r="C51" s="2" t="str">
        <f>IFERROR(INDEX(TableQBMaster[Player],MATCH(TableQBCalcPts[[#This Row],[QBRef]],TableQBMaster[QBRef],0)),"")</f>
        <v>Zach Wilson</v>
      </c>
      <c r="D51" s="2" t="str">
        <f>IFERROR(INDEX(TableQBMaster[TM],MATCH(TableQBCalcPts[[#This Row],[QBRef]],TableQBMaster[QBRef],0)),"")</f>
        <v>NO</v>
      </c>
      <c r="E51" s="2">
        <f>IFERROR(INDEX(TableQBMaster[BYE],MATCH(TableQBCalcPts[[#This Row],[QBRef]],TableQBMaster[QBRef],0)),"")</f>
        <v>8</v>
      </c>
      <c r="F51" s="3">
        <f>IFERROR(INDEX(TableQBMaster[Custom],MATCH(TableQBCalcPts[[#This Row],[QBRef]],TableQBMaster[QBRef],0)),"")</f>
        <v>0</v>
      </c>
      <c r="H51" s="2">
        <f>IFERROR(RANK(TableRBCalcPts[[#This Row],[Custom]],TableRBCalcPts[Custom])+COUNTIF($M$3:M51,M51)-1,"")</f>
        <v>20</v>
      </c>
      <c r="I51" s="2">
        <v>49</v>
      </c>
      <c r="J51" s="2" t="str">
        <f>IFERROR(INDEX(TableRBMaster[Player],MATCH(TableRBCalcPts[[#This Row],[RBRef]],TableRBMaster[RBRef],0)),"")</f>
        <v>Bhayshul Tuten</v>
      </c>
      <c r="K51" s="2" t="str">
        <f>IFERROR(INDEX(TableRBMaster[TM],MATCH(TableRBCalcPts[[#This Row],[RBRef]],TableRBMaster[RBRef],0)),"")</f>
        <v>JAX</v>
      </c>
      <c r="L51" s="2">
        <f>IFERROR(INDEX(TableRBMaster[BYE],MATCH(TableRBCalcPts[[#This Row],[RBRef]],TableRBMaster[RBRef],0)),"")</f>
        <v>7</v>
      </c>
      <c r="M51" s="3">
        <f>IFERROR(INDEX(TableRBMaster[Custom],MATCH(TableRBCalcPts[[#This Row],[RBRef]],TableRBMaster[RBRef],0)),"")</f>
        <v>199.12984589076595</v>
      </c>
      <c r="O51" s="2">
        <f>IFERROR(RANK(TableWRCalcPts[[#This Row],[Custom]],TableWRCalcPts[Custom])+COUNTIF($T$3:T51,T51)-1,"")</f>
        <v>150</v>
      </c>
      <c r="P51" s="2">
        <v>49</v>
      </c>
      <c r="Q51" s="2" t="str">
        <f>IFERROR(INDEX(TableWRMaster[Player],MATCH(TableWRCalcPts[[#This Row],[WRRef]],TableWRMaster[WRRef],0)),"")</f>
        <v>Jonathan Mingo</v>
      </c>
      <c r="R51" s="2" t="str">
        <f>IFERROR(INDEX(TableWRMaster[TM],MATCH(TableWRCalcPts[[#This Row],[WRRef]],TableWRMaster[WRRef],0)),"")</f>
        <v>DAL</v>
      </c>
      <c r="S51" s="2">
        <f>IFERROR(INDEX(TableWRMaster[BYE],MATCH(TableWRCalcPts[[#This Row],[WRRef]],TableWRMaster[WRRef],0)),"")</f>
        <v>14</v>
      </c>
      <c r="T51" s="3">
        <f>IFERROR(INDEX(TableWRMaster[Custom],MATCH(TableWRCalcPts[[#This Row],[WRRef]],TableWRMaster[WRRef],0)),"")</f>
        <v>8.6646782331413945</v>
      </c>
      <c r="V51" s="2">
        <f>IFERROR(RANK(TableTECalcPts[[#This Row],[Custom]],TableTECalcPts[Custom])+COUNTIF($AA$3:AA51,AA51)-1,"")</f>
        <v>66</v>
      </c>
      <c r="W51" s="2">
        <v>49</v>
      </c>
      <c r="X51" s="2" t="str">
        <f>IFERROR(INDEX(TableTEMaster[Player],MATCH(TableTECalcPts[[#This Row],[TERef]],TableTEMaster[TERef],0)),"")</f>
        <v>Charlie Kolar</v>
      </c>
      <c r="Y51" s="2" t="str">
        <f>IFERROR(INDEX(TableTEMaster[TM],MATCH(TableTECalcPts[[#This Row],[TERef]],TableTEMaster[TERef],0)),"")</f>
        <v>LAC</v>
      </c>
      <c r="Z51" s="2">
        <f>IFERROR(INDEX(TableTEMaster[BYE],MATCH(TableTECalcPts[[#This Row],[TERef]],TableTEMaster[TERef],0)),"")</f>
        <v>7</v>
      </c>
      <c r="AA51" s="3">
        <f>IFERROR(INDEX(TableTEMaster[Custom],MATCH(TableTECalcPts[[#This Row],[TERef]],TableTEMaster[TERef],0)),"")</f>
        <v>14.857653393338307</v>
      </c>
      <c r="AI51" s="2" t="s">
        <v>8</v>
      </c>
      <c r="AJ51" s="2">
        <f>IFERROR(RANK(TableWRTECalcPts[[#This Row],[Custom]],TableWRTECalcPts[Custom])+COUNTIF($AP$3:AP51,AP51)-1,"")</f>
        <v>202</v>
      </c>
      <c r="AK51" s="2">
        <v>49</v>
      </c>
      <c r="AL51" s="2" t="str">
        <f>IFERROR(INDEX(TableTEMaster[Player],MATCH(TableWRTECalcPts[[#This Row],[POSRef]],TableTEMaster[TERef],0)),"")</f>
        <v>Charlie Kolar</v>
      </c>
      <c r="AM51" s="2" t="str">
        <f>IFERROR(_xlfn.CONCAT(TableWRTECalcPts[[#This Row],[POS]],INDEX(TableTERanks[RK],MATCH(TableWRTECalcPts[[#This Row],[PLAYER]],TableTERanks[Player],0))),"")</f>
        <v>TE66</v>
      </c>
      <c r="AN51" s="2" t="str">
        <f>IFERROR(INDEX(TableTEMaster[TM],MATCH(TableWRTECalcPts[[#This Row],[POSRef]],TableTEMaster[TERef],0)),"")</f>
        <v>LAC</v>
      </c>
      <c r="AO51" s="2">
        <f>IFERROR(INDEX(TableTEMaster[BYE],MATCH(TableWRTECalcPts[[#This Row],[POSRef]],TableTEMaster[TERef],0)),"")</f>
        <v>7</v>
      </c>
      <c r="AP51" s="3">
        <f>IFERROR(INDEX(TableTEMaster[Custom],MATCH(TableWRTECalcPts[[#This Row],[POSRef]],TableTEMaster[TERef],0)),"")</f>
        <v>14.857653393338307</v>
      </c>
    </row>
    <row r="52" spans="1:42" x14ac:dyDescent="0.25">
      <c r="A52" s="4">
        <f>IFERROR(RANK(TableQBCalcPts[[#This Row],[Custom]],TableQBCalcPts[Custom])+COUNTIF($F$3:F52,F52)-1,"")</f>
        <v>16</v>
      </c>
      <c r="B52" s="2">
        <v>50</v>
      </c>
      <c r="C52" s="2" t="str">
        <f>IFERROR(INDEX(TableQBMaster[Player],MATCH(TableQBCalcPts[[#This Row],[QBRef]],TableQBMaster[QBRef],0)),"")</f>
        <v>Jaxson Dart</v>
      </c>
      <c r="D52" s="2" t="str">
        <f>IFERROR(INDEX(TableQBMaster[TM],MATCH(TableQBCalcPts[[#This Row],[QBRef]],TableQBMaster[QBRef],0)),"")</f>
        <v>NYG</v>
      </c>
      <c r="E52" s="2">
        <f>IFERROR(INDEX(TableQBMaster[BYE],MATCH(TableQBCalcPts[[#This Row],[QBRef]],TableQBMaster[QBRef],0)),"")</f>
        <v>8</v>
      </c>
      <c r="F52" s="3">
        <f>IFERROR(INDEX(TableQBMaster[Custom],MATCH(TableQBCalcPts[[#This Row],[QBRef]],TableQBMaster[QBRef],0)),"")</f>
        <v>391.99200877029875</v>
      </c>
      <c r="H52" s="2">
        <f>IFERROR(RANK(TableRBCalcPts[[#This Row],[Custom]],TableRBCalcPts[Custom])+COUNTIF($M$3:M52,M52)-1,"")</f>
        <v>45</v>
      </c>
      <c r="I52" s="2">
        <v>50</v>
      </c>
      <c r="J52" s="2" t="str">
        <f>IFERROR(INDEX(TableRBMaster[Player],MATCH(TableRBCalcPts[[#This Row],[RBRef]],TableRBMaster[RBRef],0)),"")</f>
        <v>Chris Rodriguez</v>
      </c>
      <c r="K52" s="2" t="str">
        <f>IFERROR(INDEX(TableRBMaster[TM],MATCH(TableRBCalcPts[[#This Row],[RBRef]],TableRBMaster[RBRef],0)),"")</f>
        <v>JAX</v>
      </c>
      <c r="L52" s="2">
        <f>IFERROR(INDEX(TableRBMaster[BYE],MATCH(TableRBCalcPts[[#This Row],[RBRef]],TableRBMaster[RBRef],0)),"")</f>
        <v>7</v>
      </c>
      <c r="M52" s="3">
        <f>IFERROR(INDEX(TableRBMaster[Custom],MATCH(TableRBCalcPts[[#This Row],[RBRef]],TableRBMaster[RBRef],0)),"")</f>
        <v>98.931403296779322</v>
      </c>
      <c r="O52" s="2">
        <f>IFERROR(RANK(TableWRCalcPts[[#This Row],[Custom]],TableWRCalcPts[Custom])+COUNTIF($T$3:T52,T52)-1,"")</f>
        <v>158</v>
      </c>
      <c r="P52" s="2">
        <v>50</v>
      </c>
      <c r="Q52" s="2" t="str">
        <f>IFERROR(INDEX(TableWRMaster[Player],MATCH(TableWRCalcPts[[#This Row],[WRRef]],TableWRMaster[WRRef],0)),"")</f>
        <v>Marquez Valdes-Scantling</v>
      </c>
      <c r="R52" s="2" t="str">
        <f>IFERROR(INDEX(TableWRMaster[TM],MATCH(TableWRCalcPts[[#This Row],[WRRef]],TableWRMaster[WRRef],0)),"")</f>
        <v>DAL</v>
      </c>
      <c r="S52" s="2">
        <f>IFERROR(INDEX(TableWRMaster[BYE],MATCH(TableWRCalcPts[[#This Row],[WRRef]],TableWRMaster[WRRef],0)),"")</f>
        <v>14</v>
      </c>
      <c r="T52" s="3">
        <f>IFERROR(INDEX(TableWRMaster[Custom],MATCH(TableWRCalcPts[[#This Row],[WRRef]],TableWRMaster[WRRef],0)),"")</f>
        <v>7.5520263973000006</v>
      </c>
      <c r="V52" s="2">
        <f>IFERROR(RANK(TableTECalcPts[[#This Row],[Custom]],TableTECalcPts[Custom])+COUNTIF($AA$3:AA52,AA52)-1,"")</f>
        <v>23</v>
      </c>
      <c r="W52" s="2">
        <v>50</v>
      </c>
      <c r="X52" s="2" t="str">
        <f>IFERROR(INDEX(TableTEMaster[Player],MATCH(TableTECalcPts[[#This Row],[TERef]],TableTEMaster[TERef],0)),"")</f>
        <v>Terrance Ferguson</v>
      </c>
      <c r="Y52" s="2" t="str">
        <f>IFERROR(INDEX(TableTEMaster[TM],MATCH(TableTECalcPts[[#This Row],[TERef]],TableTEMaster[TERef],0)),"")</f>
        <v>LAR</v>
      </c>
      <c r="Z52" s="2">
        <f>IFERROR(INDEX(TableTEMaster[BYE],MATCH(TableTECalcPts[[#This Row],[TERef]],TableTEMaster[TERef],0)),"")</f>
        <v>11</v>
      </c>
      <c r="AA52" s="3">
        <f>IFERROR(INDEX(TableTEMaster[Custom],MATCH(TableTECalcPts[[#This Row],[TERef]],TableTEMaster[TERef],0)),"")</f>
        <v>99.499741342592898</v>
      </c>
      <c r="AI52" s="2" t="s">
        <v>8</v>
      </c>
      <c r="AJ52" s="2">
        <f>IFERROR(RANK(TableWRTECalcPts[[#This Row],[Custom]],TableWRTECalcPts[Custom])+COUNTIF($AP$3:AP52,AP52)-1,"")</f>
        <v>90</v>
      </c>
      <c r="AK52" s="2">
        <v>50</v>
      </c>
      <c r="AL52" s="2" t="str">
        <f>IFERROR(INDEX(TableTEMaster[Player],MATCH(TableWRTECalcPts[[#This Row],[POSRef]],TableTEMaster[TERef],0)),"")</f>
        <v>Terrance Ferguson</v>
      </c>
      <c r="AM52" s="2" t="str">
        <f>IFERROR(_xlfn.CONCAT(TableWRTECalcPts[[#This Row],[POS]],INDEX(TableTERanks[RK],MATCH(TableWRTECalcPts[[#This Row],[PLAYER]],TableTERanks[Player],0))),"")</f>
        <v>TE23</v>
      </c>
      <c r="AN52" s="2" t="str">
        <f>IFERROR(INDEX(TableTEMaster[TM],MATCH(TableWRTECalcPts[[#This Row],[POSRef]],TableTEMaster[TERef],0)),"")</f>
        <v>LAR</v>
      </c>
      <c r="AO52" s="2">
        <f>IFERROR(INDEX(TableTEMaster[BYE],MATCH(TableWRTECalcPts[[#This Row],[POSRef]],TableTEMaster[TERef],0)),"")</f>
        <v>11</v>
      </c>
      <c r="AP52" s="3">
        <f>IFERROR(INDEX(TableTEMaster[Custom],MATCH(TableWRTECalcPts[[#This Row],[POSRef]],TableTEMaster[TERef],0)),"")</f>
        <v>99.499741342592898</v>
      </c>
    </row>
    <row r="53" spans="1:42" x14ac:dyDescent="0.25">
      <c r="A53" s="4">
        <f>IFERROR(RANK(TableQBCalcPts[[#This Row],[Custom]],TableQBCalcPts[Custom])+COUNTIF($F$3:F53,F53)-1,"")</f>
        <v>44</v>
      </c>
      <c r="B53" s="2">
        <v>51</v>
      </c>
      <c r="C53" s="2" t="str">
        <f>IFERROR(INDEX(TableQBMaster[Player],MATCH(TableQBCalcPts[[#This Row],[QBRef]],TableQBMaster[QBRef],0)),"")</f>
        <v>Jameis Winston</v>
      </c>
      <c r="D53" s="2" t="str">
        <f>IFERROR(INDEX(TableQBMaster[TM],MATCH(TableQBCalcPts[[#This Row],[QBRef]],TableQBMaster[QBRef],0)),"")</f>
        <v>NYG</v>
      </c>
      <c r="E53" s="2">
        <f>IFERROR(INDEX(TableQBMaster[BYE],MATCH(TableQBCalcPts[[#This Row],[QBRef]],TableQBMaster[QBRef],0)),"")</f>
        <v>8</v>
      </c>
      <c r="F53" s="3">
        <f>IFERROR(INDEX(TableQBMaster[Custom],MATCH(TableQBCalcPts[[#This Row],[QBRef]],TableQBMaster[QBRef],0)),"")</f>
        <v>15.834055429960992</v>
      </c>
      <c r="H53" s="2">
        <f>IFERROR(RANK(TableRBCalcPts[[#This Row],[Custom]],TableRBCalcPts[Custom])+COUNTIF($M$3:M53,M53)-1,"")</f>
        <v>80</v>
      </c>
      <c r="I53" s="2">
        <v>51</v>
      </c>
      <c r="J53" s="2" t="str">
        <f>IFERROR(INDEX(TableRBMaster[Player],MATCH(TableRBCalcPts[[#This Row],[RBRef]],TableRBMaster[RBRef],0)),"")</f>
        <v>LeQuint Allen</v>
      </c>
      <c r="K53" s="2" t="str">
        <f>IFERROR(INDEX(TableRBMaster[TM],MATCH(TableRBCalcPts[[#This Row],[RBRef]],TableRBMaster[RBRef],0)),"")</f>
        <v>JAX</v>
      </c>
      <c r="L53" s="2">
        <f>IFERROR(INDEX(TableRBMaster[BYE],MATCH(TableRBCalcPts[[#This Row],[RBRef]],TableRBMaster[RBRef],0)),"")</f>
        <v>7</v>
      </c>
      <c r="M53" s="3">
        <f>IFERROR(INDEX(TableRBMaster[Custom],MATCH(TableRBCalcPts[[#This Row],[RBRef]],TableRBMaster[RBRef],0)),"")</f>
        <v>26.449989953767805</v>
      </c>
      <c r="O53" s="2">
        <f>IFERROR(RANK(TableWRCalcPts[[#This Row],[Custom]],TableWRCalcPts[Custom])+COUNTIF($T$3:T53,T53)-1,"")</f>
        <v>14</v>
      </c>
      <c r="P53" s="2">
        <v>51</v>
      </c>
      <c r="Q53" s="2" t="str">
        <f>IFERROR(INDEX(TableWRMaster[Player],MATCH(TableWRCalcPts[[#This Row],[WRRef]],TableWRMaster[WRRef],0)),"")</f>
        <v>Jaylen Waddle</v>
      </c>
      <c r="R53" s="2" t="str">
        <f>IFERROR(INDEX(TableWRMaster[TM],MATCH(TableWRCalcPts[[#This Row],[WRRef]],TableWRMaster[WRRef],0)),"")</f>
        <v>DEN</v>
      </c>
      <c r="S53" s="2">
        <f>IFERROR(INDEX(TableWRMaster[BYE],MATCH(TableWRCalcPts[[#This Row],[WRRef]],TableWRMaster[WRRef],0)),"")</f>
        <v>10</v>
      </c>
      <c r="T53" s="3">
        <f>IFERROR(INDEX(TableWRMaster[Custom],MATCH(TableWRCalcPts[[#This Row],[WRRef]],TableWRMaster[WRRef],0)),"")</f>
        <v>200.8042267743339</v>
      </c>
      <c r="V53" s="2">
        <f>IFERROR(RANK(TableTECalcPts[[#This Row],[Custom]],TableTECalcPts[Custom])+COUNTIF($AA$3:AA53,AA53)-1,"")</f>
        <v>36</v>
      </c>
      <c r="W53" s="2">
        <v>51</v>
      </c>
      <c r="X53" s="2" t="str">
        <f>IFERROR(INDEX(TableTEMaster[Player],MATCH(TableTECalcPts[[#This Row],[TERef]],TableTEMaster[TERef],0)),"")</f>
        <v>Colby Parkinson</v>
      </c>
      <c r="Y53" s="2" t="str">
        <f>IFERROR(INDEX(TableTEMaster[TM],MATCH(TableTECalcPts[[#This Row],[TERef]],TableTEMaster[TERef],0)),"")</f>
        <v>LAR</v>
      </c>
      <c r="Z53" s="2">
        <f>IFERROR(INDEX(TableTEMaster[BYE],MATCH(TableTECalcPts[[#This Row],[TERef]],TableTEMaster[TERef],0)),"")</f>
        <v>11</v>
      </c>
      <c r="AA53" s="3">
        <f>IFERROR(INDEX(TableTEMaster[Custom],MATCH(TableTECalcPts[[#This Row],[TERef]],TableTEMaster[TERef],0)),"")</f>
        <v>61.096125666883822</v>
      </c>
      <c r="AI53" s="2" t="s">
        <v>8</v>
      </c>
      <c r="AJ53" s="2">
        <f>IFERROR(RANK(TableWRTECalcPts[[#This Row],[Custom]],TableWRTECalcPts[Custom])+COUNTIF($AP$3:AP53,AP53)-1,"")</f>
        <v>121</v>
      </c>
      <c r="AK53" s="2">
        <v>51</v>
      </c>
      <c r="AL53" s="2" t="str">
        <f>IFERROR(INDEX(TableTEMaster[Player],MATCH(TableWRTECalcPts[[#This Row],[POSRef]],TableTEMaster[TERef],0)),"")</f>
        <v>Colby Parkinson</v>
      </c>
      <c r="AM53" s="2" t="str">
        <f>IFERROR(_xlfn.CONCAT(TableWRTECalcPts[[#This Row],[POS]],INDEX(TableTERanks[RK],MATCH(TableWRTECalcPts[[#This Row],[PLAYER]],TableTERanks[Player],0))),"")</f>
        <v>TE36</v>
      </c>
      <c r="AN53" s="2" t="str">
        <f>IFERROR(INDEX(TableTEMaster[TM],MATCH(TableWRTECalcPts[[#This Row],[POSRef]],TableTEMaster[TERef],0)),"")</f>
        <v>LAR</v>
      </c>
      <c r="AO53" s="2">
        <f>IFERROR(INDEX(TableTEMaster[BYE],MATCH(TableWRTECalcPts[[#This Row],[POSRef]],TableTEMaster[TERef],0)),"")</f>
        <v>11</v>
      </c>
      <c r="AP53" s="3">
        <f>IFERROR(INDEX(TableTEMaster[Custom],MATCH(TableWRTECalcPts[[#This Row],[POSRef]],TableTEMaster[TERef],0)),"")</f>
        <v>61.096125666883822</v>
      </c>
    </row>
    <row r="54" spans="1:42" x14ac:dyDescent="0.25">
      <c r="A54" s="4">
        <f>IFERROR(RANK(TableQBCalcPts[[#This Row],[Custom]],TableQBCalcPts[Custom])+COUNTIF($F$3:F54,F54)-1,"")</f>
        <v>29</v>
      </c>
      <c r="B54" s="2">
        <v>52</v>
      </c>
      <c r="C54" s="2" t="str">
        <f>IFERROR(INDEX(TableQBMaster[Player],MATCH(TableQBCalcPts[[#This Row],[QBRef]],TableQBMaster[QBRef],0)),"")</f>
        <v>Geno Smith</v>
      </c>
      <c r="D54" s="2" t="str">
        <f>IFERROR(INDEX(TableQBMaster[TM],MATCH(TableQBCalcPts[[#This Row],[QBRef]],TableQBMaster[QBRef],0)),"")</f>
        <v>NYJ</v>
      </c>
      <c r="E54" s="2">
        <f>IFERROR(INDEX(TableQBMaster[BYE],MATCH(TableQBCalcPts[[#This Row],[QBRef]],TableQBMaster[QBRef],0)),"")</f>
        <v>13</v>
      </c>
      <c r="F54" s="3">
        <f>IFERROR(INDEX(TableQBMaster[Custom],MATCH(TableQBCalcPts[[#This Row],[QBRef]],TableQBMaster[QBRef],0)),"")</f>
        <v>304.89003746282606</v>
      </c>
      <c r="H54" s="2">
        <f>IFERROR(RANK(TableRBCalcPts[[#This Row],[Custom]],TableRBCalcPts[Custom])+COUNTIF($M$3:M54,M54)-1,"")</f>
        <v>10</v>
      </c>
      <c r="I54" s="2">
        <v>52</v>
      </c>
      <c r="J54" s="2" t="str">
        <f>IFERROR(INDEX(TableRBMaster[Player],MATCH(TableRBCalcPts[[#This Row],[RBRef]],TableRBMaster[RBRef],0)),"")</f>
        <v>Kenneth Walker</v>
      </c>
      <c r="K54" s="2" t="str">
        <f>IFERROR(INDEX(TableRBMaster[TM],MATCH(TableRBCalcPts[[#This Row],[RBRef]],TableRBMaster[RBRef],0)),"")</f>
        <v>KC</v>
      </c>
      <c r="L54" s="2">
        <f>IFERROR(INDEX(TableRBMaster[BYE],MATCH(TableRBCalcPts[[#This Row],[RBRef]],TableRBMaster[RBRef],0)),"")</f>
        <v>5</v>
      </c>
      <c r="M54" s="3">
        <f>IFERROR(INDEX(TableRBMaster[Custom],MATCH(TableRBCalcPts[[#This Row],[RBRef]],TableRBMaster[RBRef],0)),"")</f>
        <v>233.20034776851375</v>
      </c>
      <c r="O54" s="2">
        <f>IFERROR(RANK(TableWRCalcPts[[#This Row],[Custom]],TableWRCalcPts[Custom])+COUNTIF($T$3:T54,T54)-1,"")</f>
        <v>32</v>
      </c>
      <c r="P54" s="2">
        <v>52</v>
      </c>
      <c r="Q54" s="2" t="str">
        <f>IFERROR(INDEX(TableWRMaster[Player],MATCH(TableWRCalcPts[[#This Row],[WRRef]],TableWRMaster[WRRef],0)),"")</f>
        <v>Courtland Sutton</v>
      </c>
      <c r="R54" s="2" t="str">
        <f>IFERROR(INDEX(TableWRMaster[TM],MATCH(TableWRCalcPts[[#This Row],[WRRef]],TableWRMaster[WRRef],0)),"")</f>
        <v>DEN</v>
      </c>
      <c r="S54" s="2">
        <f>IFERROR(INDEX(TableWRMaster[BYE],MATCH(TableWRCalcPts[[#This Row],[WRRef]],TableWRMaster[WRRef],0)),"")</f>
        <v>10</v>
      </c>
      <c r="T54" s="3">
        <f>IFERROR(INDEX(TableWRMaster[Custom],MATCH(TableWRCalcPts[[#This Row],[WRRef]],TableWRMaster[WRRef],0)),"")</f>
        <v>170.42848543673475</v>
      </c>
      <c r="V54" s="2">
        <f>IFERROR(RANK(TableTECalcPts[[#This Row],[Custom]],TableTECalcPts[Custom])+COUNTIF($AA$3:AA54,AA54)-1,"")</f>
        <v>45</v>
      </c>
      <c r="W54" s="2">
        <v>52</v>
      </c>
      <c r="X54" s="2" t="str">
        <f>IFERROR(INDEX(TableTEMaster[Player],MATCH(TableTECalcPts[[#This Row],[TERef]],TableTEMaster[TERef],0)),"")</f>
        <v>Max Klare</v>
      </c>
      <c r="Y54" s="2" t="str">
        <f>IFERROR(INDEX(TableTEMaster[TM],MATCH(TableTECalcPts[[#This Row],[TERef]],TableTEMaster[TERef],0)),"")</f>
        <v>LAR</v>
      </c>
      <c r="Z54" s="2">
        <f>IFERROR(INDEX(TableTEMaster[BYE],MATCH(TableTECalcPts[[#This Row],[TERef]],TableTEMaster[TERef],0)),"")</f>
        <v>11</v>
      </c>
      <c r="AA54" s="3">
        <f>IFERROR(INDEX(TableTEMaster[Custom],MATCH(TableTECalcPts[[#This Row],[TERef]],TableTEMaster[TERef],0)),"")</f>
        <v>35.785164132437984</v>
      </c>
      <c r="AI54" s="2" t="s">
        <v>8</v>
      </c>
      <c r="AJ54" s="2">
        <f>IFERROR(RANK(TableWRTECalcPts[[#This Row],[Custom]],TableWRTECalcPts[Custom])+COUNTIF($AP$3:AP54,AP54)-1,"")</f>
        <v>162</v>
      </c>
      <c r="AK54" s="2">
        <v>52</v>
      </c>
      <c r="AL54" s="2" t="str">
        <f>IFERROR(INDEX(TableTEMaster[Player],MATCH(TableWRTECalcPts[[#This Row],[POSRef]],TableTEMaster[TERef],0)),"")</f>
        <v>Max Klare</v>
      </c>
      <c r="AM54" s="2" t="str">
        <f>IFERROR(_xlfn.CONCAT(TableWRTECalcPts[[#This Row],[POS]],INDEX(TableTERanks[RK],MATCH(TableWRTECalcPts[[#This Row],[PLAYER]],TableTERanks[Player],0))),"")</f>
        <v>TE45</v>
      </c>
      <c r="AN54" s="2" t="str">
        <f>IFERROR(INDEX(TableTEMaster[TM],MATCH(TableWRTECalcPts[[#This Row],[POSRef]],TableTEMaster[TERef],0)),"")</f>
        <v>LAR</v>
      </c>
      <c r="AO54" s="2">
        <f>IFERROR(INDEX(TableTEMaster[BYE],MATCH(TableWRTECalcPts[[#This Row],[POSRef]],TableTEMaster[TERef],0)),"")</f>
        <v>11</v>
      </c>
      <c r="AP54" s="3">
        <f>IFERROR(INDEX(TableTEMaster[Custom],MATCH(TableWRTECalcPts[[#This Row],[POSRef]],TableTEMaster[TERef],0)),"")</f>
        <v>35.785164132437984</v>
      </c>
    </row>
    <row r="55" spans="1:42" x14ac:dyDescent="0.25">
      <c r="A55" s="4">
        <f>IFERROR(RANK(TableQBCalcPts[[#This Row],[Custom]],TableQBCalcPts[Custom])+COUNTIF($F$3:F55,F55)-1,"")</f>
        <v>43</v>
      </c>
      <c r="B55" s="2">
        <v>53</v>
      </c>
      <c r="C55" s="2" t="str">
        <f>IFERROR(INDEX(TableQBMaster[Player],MATCH(TableQBCalcPts[[#This Row],[QBRef]],TableQBMaster[QBRef],0)),"")</f>
        <v>Brady Cook</v>
      </c>
      <c r="D55" s="2" t="str">
        <f>IFERROR(INDEX(TableQBMaster[TM],MATCH(TableQBCalcPts[[#This Row],[QBRef]],TableQBMaster[QBRef],0)),"")</f>
        <v>NYJ</v>
      </c>
      <c r="E55" s="2">
        <f>IFERROR(INDEX(TableQBMaster[BYE],MATCH(TableQBCalcPts[[#This Row],[QBRef]],TableQBMaster[QBRef],0)),"")</f>
        <v>13</v>
      </c>
      <c r="F55" s="3">
        <f>IFERROR(INDEX(TableQBMaster[Custom],MATCH(TableQBCalcPts[[#This Row],[QBRef]],TableQBMaster[QBRef],0)),"")</f>
        <v>16.393047977919995</v>
      </c>
      <c r="H55" s="2">
        <f>IFERROR(RANK(TableRBCalcPts[[#This Row],[Custom]],TableRBCalcPts[Custom])+COUNTIF($M$3:M55,M55)-1,"")</f>
        <v>61</v>
      </c>
      <c r="I55" s="2">
        <v>53</v>
      </c>
      <c r="J55" s="2" t="str">
        <f>IFERROR(INDEX(TableRBMaster[Player],MATCH(TableRBCalcPts[[#This Row],[RBRef]],TableRBMaster[RBRef],0)),"")</f>
        <v>Emari Demercado</v>
      </c>
      <c r="K55" s="2" t="str">
        <f>IFERROR(INDEX(TableRBMaster[TM],MATCH(TableRBCalcPts[[#This Row],[RBRef]],TableRBMaster[RBRef],0)),"")</f>
        <v>KC</v>
      </c>
      <c r="L55" s="2">
        <f>IFERROR(INDEX(TableRBMaster[BYE],MATCH(TableRBCalcPts[[#This Row],[RBRef]],TableRBMaster[RBRef],0)),"")</f>
        <v>5</v>
      </c>
      <c r="M55" s="3">
        <f>IFERROR(INDEX(TableRBMaster[Custom],MATCH(TableRBCalcPts[[#This Row],[RBRef]],TableRBMaster[RBRef],0)),"")</f>
        <v>54.897524150868009</v>
      </c>
      <c r="O55" s="2">
        <f>IFERROR(RANK(TableWRCalcPts[[#This Row],[Custom]],TableWRCalcPts[Custom])+COUNTIF($T$3:T55,T55)-1,"")</f>
        <v>85</v>
      </c>
      <c r="P55" s="2">
        <v>53</v>
      </c>
      <c r="Q55" s="2" t="str">
        <f>IFERROR(INDEX(TableWRMaster[Player],MATCH(TableWRCalcPts[[#This Row],[WRRef]],TableWRMaster[WRRef],0)),"")</f>
        <v>Troy Franklin</v>
      </c>
      <c r="R55" s="2" t="str">
        <f>IFERROR(INDEX(TableWRMaster[TM],MATCH(TableWRCalcPts[[#This Row],[WRRef]],TableWRMaster[WRRef],0)),"")</f>
        <v>DEN</v>
      </c>
      <c r="S55" s="2">
        <f>IFERROR(INDEX(TableWRMaster[BYE],MATCH(TableWRCalcPts[[#This Row],[WRRef]],TableWRMaster[WRRef],0)),"")</f>
        <v>10</v>
      </c>
      <c r="T55" s="3">
        <f>IFERROR(INDEX(TableWRMaster[Custom],MATCH(TableWRCalcPts[[#This Row],[WRRef]],TableWRMaster[WRRef],0)),"")</f>
        <v>62.943624265789154</v>
      </c>
      <c r="V55" s="2">
        <f>IFERROR(RANK(TableTECalcPts[[#This Row],[Custom]],TableTECalcPts[Custom])+COUNTIF($AA$3:AA55,AA55)-1,"")</f>
        <v>20</v>
      </c>
      <c r="W55" s="2">
        <v>53</v>
      </c>
      <c r="X55" s="2" t="str">
        <f>IFERROR(INDEX(TableTEMaster[Player],MATCH(TableTECalcPts[[#This Row],[TERef]],TableTEMaster[TERef],0)),"")</f>
        <v>Greg Dulcich</v>
      </c>
      <c r="Y55" s="2" t="str">
        <f>IFERROR(INDEX(TableTEMaster[TM],MATCH(TableTECalcPts[[#This Row],[TERef]],TableTEMaster[TERef],0)),"")</f>
        <v>MIA</v>
      </c>
      <c r="Z55" s="2">
        <f>IFERROR(INDEX(TableTEMaster[BYE],MATCH(TableTECalcPts[[#This Row],[TERef]],TableTEMaster[TERef],0)),"")</f>
        <v>6</v>
      </c>
      <c r="AA55" s="3">
        <f>IFERROR(INDEX(TableTEMaster[Custom],MATCH(TableTECalcPts[[#This Row],[TERef]],TableTEMaster[TERef],0)),"")</f>
        <v>110.66370102094356</v>
      </c>
      <c r="AI55" s="2" t="s">
        <v>8</v>
      </c>
      <c r="AJ55" s="2">
        <f>IFERROR(RANK(TableWRTECalcPts[[#This Row],[Custom]],TableWRTECalcPts[Custom])+COUNTIF($AP$3:AP55,AP55)-1,"")</f>
        <v>76</v>
      </c>
      <c r="AK55" s="2">
        <v>53</v>
      </c>
      <c r="AL55" s="2" t="str">
        <f>IFERROR(INDEX(TableTEMaster[Player],MATCH(TableWRTECalcPts[[#This Row],[POSRef]],TableTEMaster[TERef],0)),"")</f>
        <v>Greg Dulcich</v>
      </c>
      <c r="AM55" s="2" t="str">
        <f>IFERROR(_xlfn.CONCAT(TableWRTECalcPts[[#This Row],[POS]],INDEX(TableTERanks[RK],MATCH(TableWRTECalcPts[[#This Row],[PLAYER]],TableTERanks[Player],0))),"")</f>
        <v>TE20</v>
      </c>
      <c r="AN55" s="2" t="str">
        <f>IFERROR(INDEX(TableTEMaster[TM],MATCH(TableWRTECalcPts[[#This Row],[POSRef]],TableTEMaster[TERef],0)),"")</f>
        <v>MIA</v>
      </c>
      <c r="AO55" s="2">
        <f>IFERROR(INDEX(TableTEMaster[BYE],MATCH(TableWRTECalcPts[[#This Row],[POSRef]],TableTEMaster[TERef],0)),"")</f>
        <v>6</v>
      </c>
      <c r="AP55" s="3">
        <f>IFERROR(INDEX(TableTEMaster[Custom],MATCH(TableWRTECalcPts[[#This Row],[POSRef]],TableTEMaster[TERef],0)),"")</f>
        <v>110.66370102094356</v>
      </c>
    </row>
    <row r="56" spans="1:42" x14ac:dyDescent="0.25">
      <c r="A56" s="4">
        <f>IFERROR(RANK(TableQBCalcPts[[#This Row],[Custom]],TableQBCalcPts[Custom])+COUNTIF($F$3:F56,F56)-1,"")</f>
        <v>47</v>
      </c>
      <c r="B56" s="2">
        <v>54</v>
      </c>
      <c r="C56" s="2" t="str">
        <f>IFERROR(INDEX(TableQBMaster[Player],MATCH(TableQBCalcPts[[#This Row],[QBRef]],TableQBMaster[QBRef],0)),"")</f>
        <v>Cade Klubnik</v>
      </c>
      <c r="D56" s="2" t="str">
        <f>IFERROR(INDEX(TableQBMaster[TM],MATCH(TableQBCalcPts[[#This Row],[QBRef]],TableQBMaster[QBRef],0)),"")</f>
        <v>NYJ</v>
      </c>
      <c r="E56" s="2">
        <f>IFERROR(INDEX(TableQBMaster[BYE],MATCH(TableQBCalcPts[[#This Row],[QBRef]],TableQBMaster[QBRef],0)),"")</f>
        <v>13</v>
      </c>
      <c r="F56" s="3">
        <f>IFERROR(INDEX(TableQBMaster[Custom],MATCH(TableQBCalcPts[[#This Row],[QBRef]],TableQBMaster[QBRef],0)),"")</f>
        <v>11.778385631907273</v>
      </c>
      <c r="H56" s="2">
        <f>IFERROR(RANK(TableRBCalcPts[[#This Row],[Custom]],TableRBCalcPts[Custom])+COUNTIF($M$3:M56,M56)-1,"")</f>
        <v>64</v>
      </c>
      <c r="I56" s="2">
        <v>54</v>
      </c>
      <c r="J56" s="2" t="str">
        <f>IFERROR(INDEX(TableRBMaster[Player],MATCH(TableRBCalcPts[[#This Row],[RBRef]],TableRBMaster[RBRef],0)),"")</f>
        <v>Emmett Johnson</v>
      </c>
      <c r="K56" s="2" t="str">
        <f>IFERROR(INDEX(TableRBMaster[TM],MATCH(TableRBCalcPts[[#This Row],[RBRef]],TableRBMaster[RBRef],0)),"")</f>
        <v>KC</v>
      </c>
      <c r="L56" s="2">
        <f>IFERROR(INDEX(TableRBMaster[BYE],MATCH(TableRBCalcPts[[#This Row],[RBRef]],TableRBMaster[RBRef],0)),"")</f>
        <v>5</v>
      </c>
      <c r="M56" s="3">
        <f>IFERROR(INDEX(TableRBMaster[Custom],MATCH(TableRBCalcPts[[#This Row],[RBRef]],TableRBMaster[RBRef],0)),"")</f>
        <v>48.16206971898</v>
      </c>
      <c r="O56" s="2">
        <f>IFERROR(RANK(TableWRCalcPts[[#This Row],[Custom]],TableWRCalcPts[Custom])+COUNTIF($T$3:T56,T56)-1,"")</f>
        <v>99</v>
      </c>
      <c r="P56" s="2">
        <v>54</v>
      </c>
      <c r="Q56" s="2" t="str">
        <f>IFERROR(INDEX(TableWRMaster[Player],MATCH(TableWRCalcPts[[#This Row],[WRRef]],TableWRMaster[WRRef],0)),"")</f>
        <v>Pat Bryant</v>
      </c>
      <c r="R56" s="2" t="str">
        <f>IFERROR(INDEX(TableWRMaster[TM],MATCH(TableWRCalcPts[[#This Row],[WRRef]],TableWRMaster[WRRef],0)),"")</f>
        <v>DEN</v>
      </c>
      <c r="S56" s="2">
        <f>IFERROR(INDEX(TableWRMaster[BYE],MATCH(TableWRCalcPts[[#This Row],[WRRef]],TableWRMaster[WRRef],0)),"")</f>
        <v>10</v>
      </c>
      <c r="T56" s="3">
        <f>IFERROR(INDEX(TableWRMaster[Custom],MATCH(TableWRCalcPts[[#This Row],[WRRef]],TableWRMaster[WRRef],0)),"")</f>
        <v>51.354758488633621</v>
      </c>
      <c r="V56" s="2">
        <f>IFERROR(RANK(TableTECalcPts[[#This Row],[Custom]],TableTECalcPts[Custom])+COUNTIF($AA$3:AA56,AA56)-1,"")</f>
        <v>57</v>
      </c>
      <c r="W56" s="2">
        <v>54</v>
      </c>
      <c r="X56" s="2" t="str">
        <f>IFERROR(INDEX(TableTEMaster[Player],MATCH(TableTECalcPts[[#This Row],[TERef]],TableTEMaster[TERef],0)),"")</f>
        <v>Will Kacmarek</v>
      </c>
      <c r="Y56" s="2" t="str">
        <f>IFERROR(INDEX(TableTEMaster[TM],MATCH(TableTECalcPts[[#This Row],[TERef]],TableTEMaster[TERef],0)),"")</f>
        <v>MIA</v>
      </c>
      <c r="Z56" s="2">
        <f>IFERROR(INDEX(TableTEMaster[BYE],MATCH(TableTECalcPts[[#This Row],[TERef]],TableTEMaster[TERef],0)),"")</f>
        <v>6</v>
      </c>
      <c r="AA56" s="3">
        <f>IFERROR(INDEX(TableTEMaster[Custom],MATCH(TableTECalcPts[[#This Row],[TERef]],TableTEMaster[TERef],0)),"")</f>
        <v>21.932373717418365</v>
      </c>
      <c r="AI56" s="2" t="s">
        <v>8</v>
      </c>
      <c r="AJ56" s="2">
        <f>IFERROR(RANK(TableWRTECalcPts[[#This Row],[Custom]],TableWRTECalcPts[Custom])+COUNTIF($AP$3:AP56,AP56)-1,"")</f>
        <v>182</v>
      </c>
      <c r="AK56" s="2">
        <v>54</v>
      </c>
      <c r="AL56" s="2" t="str">
        <f>IFERROR(INDEX(TableTEMaster[Player],MATCH(TableWRTECalcPts[[#This Row],[POSRef]],TableTEMaster[TERef],0)),"")</f>
        <v>Will Kacmarek</v>
      </c>
      <c r="AM56" s="2" t="str">
        <f>IFERROR(_xlfn.CONCAT(TableWRTECalcPts[[#This Row],[POS]],INDEX(TableTERanks[RK],MATCH(TableWRTECalcPts[[#This Row],[PLAYER]],TableTERanks[Player],0))),"")</f>
        <v>TE57</v>
      </c>
      <c r="AN56" s="2" t="str">
        <f>IFERROR(INDEX(TableTEMaster[TM],MATCH(TableWRTECalcPts[[#This Row],[POSRef]],TableTEMaster[TERef],0)),"")</f>
        <v>MIA</v>
      </c>
      <c r="AO56" s="2">
        <f>IFERROR(INDEX(TableTEMaster[BYE],MATCH(TableWRTECalcPts[[#This Row],[POSRef]],TableTEMaster[TERef],0)),"")</f>
        <v>6</v>
      </c>
      <c r="AP56" s="3">
        <f>IFERROR(INDEX(TableTEMaster[Custom],MATCH(TableWRTECalcPts[[#This Row],[POSRef]],TableTEMaster[TERef],0)),"")</f>
        <v>21.932373717418365</v>
      </c>
    </row>
    <row r="57" spans="1:42" x14ac:dyDescent="0.25">
      <c r="A57" s="4">
        <f>IFERROR(RANK(TableQBCalcPts[[#This Row],[Custom]],TableQBCalcPts[Custom])+COUNTIF($F$3:F57,F57)-1,"")</f>
        <v>10</v>
      </c>
      <c r="B57" s="2">
        <v>55</v>
      </c>
      <c r="C57" s="2" t="str">
        <f>IFERROR(INDEX(TableQBMaster[Player],MATCH(TableQBCalcPts[[#This Row],[QBRef]],TableQBMaster[QBRef],0)),"")</f>
        <v>Jalen Hurts</v>
      </c>
      <c r="D57" s="2" t="str">
        <f>IFERROR(INDEX(TableQBMaster[TM],MATCH(TableQBCalcPts[[#This Row],[QBRef]],TableQBMaster[QBRef],0)),"")</f>
        <v>PHI</v>
      </c>
      <c r="E57" s="2">
        <f>IFERROR(INDEX(TableQBMaster[BYE],MATCH(TableQBCalcPts[[#This Row],[QBRef]],TableQBMaster[QBRef],0)),"")</f>
        <v>10</v>
      </c>
      <c r="F57" s="3">
        <f>IFERROR(INDEX(TableQBMaster[Custom],MATCH(TableQBCalcPts[[#This Row],[QBRef]],TableQBMaster[QBRef],0)),"")</f>
        <v>411.78412724406013</v>
      </c>
      <c r="H57" s="2">
        <f>IFERROR(RANK(TableRBCalcPts[[#This Row],[Custom]],TableRBCalcPts[Custom])+COUNTIF($M$3:M57,M57)-1,"")</f>
        <v>101</v>
      </c>
      <c r="I57" s="2">
        <v>55</v>
      </c>
      <c r="J57" s="2" t="str">
        <f>IFERROR(INDEX(TableRBMaster[Player],MATCH(TableRBCalcPts[[#This Row],[RBRef]],TableRBMaster[RBRef],0)),"")</f>
        <v>Brashard Smith</v>
      </c>
      <c r="K57" s="2" t="str">
        <f>IFERROR(INDEX(TableRBMaster[TM],MATCH(TableRBCalcPts[[#This Row],[RBRef]],TableRBMaster[RBRef],0)),"")</f>
        <v>KC</v>
      </c>
      <c r="L57" s="2">
        <f>IFERROR(INDEX(TableRBMaster[BYE],MATCH(TableRBCalcPts[[#This Row],[RBRef]],TableRBMaster[RBRef],0)),"")</f>
        <v>5</v>
      </c>
      <c r="M57" s="3">
        <f>IFERROR(INDEX(TableRBMaster[Custom],MATCH(TableRBCalcPts[[#This Row],[RBRef]],TableRBMaster[RBRef],0)),"")</f>
        <v>11.255544510304615</v>
      </c>
      <c r="O57" s="2">
        <f>IFERROR(RANK(TableWRCalcPts[[#This Row],[Custom]],TableWRCalcPts[Custom])+COUNTIF($T$3:T57,T57)-1,"")</f>
        <v>119</v>
      </c>
      <c r="P57" s="2">
        <v>55</v>
      </c>
      <c r="Q57" s="2" t="str">
        <f>IFERROR(INDEX(TableWRMaster[Player],MATCH(TableWRCalcPts[[#This Row],[WRRef]],TableWRMaster[WRRef],0)),"")</f>
        <v>Marvin Mims</v>
      </c>
      <c r="R57" s="2" t="str">
        <f>IFERROR(INDEX(TableWRMaster[TM],MATCH(TableWRCalcPts[[#This Row],[WRRef]],TableWRMaster[WRRef],0)),"")</f>
        <v>DEN</v>
      </c>
      <c r="S57" s="2">
        <f>IFERROR(INDEX(TableWRMaster[BYE],MATCH(TableWRCalcPts[[#This Row],[WRRef]],TableWRMaster[WRRef],0)),"")</f>
        <v>10</v>
      </c>
      <c r="T57" s="3">
        <f>IFERROR(INDEX(TableWRMaster[Custom],MATCH(TableWRCalcPts[[#This Row],[WRRef]],TableWRMaster[WRRef],0)),"")</f>
        <v>33.661668735305163</v>
      </c>
      <c r="V57" s="2">
        <f>IFERROR(RANK(TableTECalcPts[[#This Row],[Custom]],TableTECalcPts[Custom])+COUNTIF($AA$3:AA57,AA57)-1,"")</f>
        <v>68</v>
      </c>
      <c r="W57" s="2">
        <v>55</v>
      </c>
      <c r="X57" s="2" t="str">
        <f>IFERROR(INDEX(TableTEMaster[Player],MATCH(TableTECalcPts[[#This Row],[TERef]],TableTEMaster[TERef],0)),"")</f>
        <v>Ben Sims</v>
      </c>
      <c r="Y57" s="2" t="str">
        <f>IFERROR(INDEX(TableTEMaster[TM],MATCH(TableTECalcPts[[#This Row],[TERef]],TableTEMaster[TERef],0)),"")</f>
        <v>MIA</v>
      </c>
      <c r="Z57" s="2">
        <f>IFERROR(INDEX(TableTEMaster[BYE],MATCH(TableTECalcPts[[#This Row],[TERef]],TableTEMaster[TERef],0)),"")</f>
        <v>6</v>
      </c>
      <c r="AA57" s="3">
        <f>IFERROR(INDEX(TableTEMaster[Custom],MATCH(TableTECalcPts[[#This Row],[TERef]],TableTEMaster[TERef],0)),"")</f>
        <v>12.296243042905495</v>
      </c>
      <c r="AI57" s="2" t="s">
        <v>8</v>
      </c>
      <c r="AJ57" s="2">
        <f>IFERROR(RANK(TableWRTECalcPts[[#This Row],[Custom]],TableWRTECalcPts[Custom])+COUNTIF($AP$3:AP57,AP57)-1,"")</f>
        <v>209</v>
      </c>
      <c r="AK57" s="2">
        <v>55</v>
      </c>
      <c r="AL57" s="2" t="str">
        <f>IFERROR(INDEX(TableTEMaster[Player],MATCH(TableWRTECalcPts[[#This Row],[POSRef]],TableTEMaster[TERef],0)),"")</f>
        <v>Ben Sims</v>
      </c>
      <c r="AM57" s="2" t="str">
        <f>IFERROR(_xlfn.CONCAT(TableWRTECalcPts[[#This Row],[POS]],INDEX(TableTERanks[RK],MATCH(TableWRTECalcPts[[#This Row],[PLAYER]],TableTERanks[Player],0))),"")</f>
        <v>TE68</v>
      </c>
      <c r="AN57" s="2" t="str">
        <f>IFERROR(INDEX(TableTEMaster[TM],MATCH(TableWRTECalcPts[[#This Row],[POSRef]],TableTEMaster[TERef],0)),"")</f>
        <v>MIA</v>
      </c>
      <c r="AO57" s="2">
        <f>IFERROR(INDEX(TableTEMaster[BYE],MATCH(TableWRTECalcPts[[#This Row],[POSRef]],TableTEMaster[TERef],0)),"")</f>
        <v>6</v>
      </c>
      <c r="AP57" s="3">
        <f>IFERROR(INDEX(TableTEMaster[Custom],MATCH(TableWRTECalcPts[[#This Row],[POSRef]],TableTEMaster[TERef],0)),"")</f>
        <v>12.296243042905495</v>
      </c>
    </row>
    <row r="58" spans="1:42" x14ac:dyDescent="0.25">
      <c r="A58" s="4">
        <f>IFERROR(RANK(TableQBCalcPts[[#This Row],[Custom]],TableQBCalcPts[Custom])+COUNTIF($F$3:F58,F58)-1,"")</f>
        <v>67</v>
      </c>
      <c r="B58" s="2">
        <v>56</v>
      </c>
      <c r="C58" s="2" t="str">
        <f>IFERROR(INDEX(TableQBMaster[Player],MATCH(TableQBCalcPts[[#This Row],[QBRef]],TableQBMaster[QBRef],0)),"")</f>
        <v>Tanner McKee</v>
      </c>
      <c r="D58" s="2" t="str">
        <f>IFERROR(INDEX(TableQBMaster[TM],MATCH(TableQBCalcPts[[#This Row],[QBRef]],TableQBMaster[QBRef],0)),"")</f>
        <v>PHI</v>
      </c>
      <c r="E58" s="2">
        <f>IFERROR(INDEX(TableQBMaster[BYE],MATCH(TableQBCalcPts[[#This Row],[QBRef]],TableQBMaster[QBRef],0)),"")</f>
        <v>10</v>
      </c>
      <c r="F58" s="3">
        <f>IFERROR(INDEX(TableQBMaster[Custom],MATCH(TableQBCalcPts[[#This Row],[QBRef]],TableQBMaster[QBRef],0)),"")</f>
        <v>2.6730286243949752</v>
      </c>
      <c r="H58" s="2">
        <f>IFERROR(RANK(TableRBCalcPts[[#This Row],[Custom]],TableRBCalcPts[Custom])+COUNTIF($M$3:M58,M58)-1,"")</f>
        <v>11</v>
      </c>
      <c r="I58" s="2">
        <v>56</v>
      </c>
      <c r="J58" s="2" t="str">
        <f>IFERROR(INDEX(TableRBMaster[Player],MATCH(TableRBCalcPts[[#This Row],[RBRef]],TableRBMaster[RBRef],0)),"")</f>
        <v>Omarion Hampton</v>
      </c>
      <c r="K58" s="2" t="str">
        <f>IFERROR(INDEX(TableRBMaster[TM],MATCH(TableRBCalcPts[[#This Row],[RBRef]],TableRBMaster[RBRef],0)),"")</f>
        <v>LAC</v>
      </c>
      <c r="L58" s="2">
        <f>IFERROR(INDEX(TableRBMaster[BYE],MATCH(TableRBCalcPts[[#This Row],[RBRef]],TableRBMaster[RBRef],0)),"")</f>
        <v>7</v>
      </c>
      <c r="M58" s="3">
        <f>IFERROR(INDEX(TableRBMaster[Custom],MATCH(TableRBCalcPts[[#This Row],[RBRef]],TableRBMaster[RBRef],0)),"")</f>
        <v>233.07683835007555</v>
      </c>
      <c r="O58" s="2">
        <f>IFERROR(RANK(TableWRCalcPts[[#This Row],[Custom]],TableWRCalcPts[Custom])+COUNTIF($T$3:T58,T58)-1,"")</f>
        <v>28</v>
      </c>
      <c r="P58" s="2">
        <v>56</v>
      </c>
      <c r="Q58" s="2" t="str">
        <f>IFERROR(INDEX(TableWRMaster[Player],MATCH(TableWRCalcPts[[#This Row],[WRRef]],TableWRMaster[WRRef],0)),"")</f>
        <v>Jameson Williams</v>
      </c>
      <c r="R58" s="2" t="str">
        <f>IFERROR(INDEX(TableWRMaster[TM],MATCH(TableWRCalcPts[[#This Row],[WRRef]],TableWRMaster[WRRef],0)),"")</f>
        <v>DET</v>
      </c>
      <c r="S58" s="2">
        <f>IFERROR(INDEX(TableWRMaster[BYE],MATCH(TableWRCalcPts[[#This Row],[WRRef]],TableWRMaster[WRRef],0)),"")</f>
        <v>6</v>
      </c>
      <c r="T58" s="3">
        <f>IFERROR(INDEX(TableWRMaster[Custom],MATCH(TableWRCalcPts[[#This Row],[WRRef]],TableWRMaster[WRRef],0)),"")</f>
        <v>184.03111003656136</v>
      </c>
      <c r="V58" s="2">
        <f>IFERROR(RANK(TableTECalcPts[[#This Row],[Custom]],TableTECalcPts[Custom])+COUNTIF($AA$3:AA58,AA58)-1,"")</f>
        <v>15</v>
      </c>
      <c r="W58" s="2">
        <v>56</v>
      </c>
      <c r="X58" s="2" t="str">
        <f>IFERROR(INDEX(TableTEMaster[Player],MATCH(TableTECalcPts[[#This Row],[TERef]],TableTEMaster[TERef],0)),"")</f>
        <v>T.J. Hockenson</v>
      </c>
      <c r="Y58" s="2" t="str">
        <f>IFERROR(INDEX(TableTEMaster[TM],MATCH(TableTECalcPts[[#This Row],[TERef]],TableTEMaster[TERef],0)),"")</f>
        <v>MIN</v>
      </c>
      <c r="Z58" s="2">
        <f>IFERROR(INDEX(TableTEMaster[BYE],MATCH(TableTECalcPts[[#This Row],[TERef]],TableTEMaster[TERef],0)),"")</f>
        <v>6</v>
      </c>
      <c r="AA58" s="3">
        <f>IFERROR(INDEX(TableTEMaster[Custom],MATCH(TableTECalcPts[[#This Row],[TERef]],TableTEMaster[TERef],0)),"")</f>
        <v>122.26222914582712</v>
      </c>
      <c r="AI58" s="2" t="s">
        <v>8</v>
      </c>
      <c r="AJ58" s="2">
        <f>IFERROR(RANK(TableWRTECalcPts[[#This Row],[Custom]],TableWRTECalcPts[Custom])+COUNTIF($AP$3:AP58,AP58)-1,"")</f>
        <v>69</v>
      </c>
      <c r="AK58" s="2">
        <v>56</v>
      </c>
      <c r="AL58" s="2" t="str">
        <f>IFERROR(INDEX(TableTEMaster[Player],MATCH(TableWRTECalcPts[[#This Row],[POSRef]],TableTEMaster[TERef],0)),"")</f>
        <v>T.J. Hockenson</v>
      </c>
      <c r="AM58" s="2" t="str">
        <f>IFERROR(_xlfn.CONCAT(TableWRTECalcPts[[#This Row],[POS]],INDEX(TableTERanks[RK],MATCH(TableWRTECalcPts[[#This Row],[PLAYER]],TableTERanks[Player],0))),"")</f>
        <v>TE15</v>
      </c>
      <c r="AN58" s="2" t="str">
        <f>IFERROR(INDEX(TableTEMaster[TM],MATCH(TableWRTECalcPts[[#This Row],[POSRef]],TableTEMaster[TERef],0)),"")</f>
        <v>MIN</v>
      </c>
      <c r="AO58" s="2">
        <f>IFERROR(INDEX(TableTEMaster[BYE],MATCH(TableWRTECalcPts[[#This Row],[POSRef]],TableTEMaster[TERef],0)),"")</f>
        <v>6</v>
      </c>
      <c r="AP58" s="3">
        <f>IFERROR(INDEX(TableTEMaster[Custom],MATCH(TableWRTECalcPts[[#This Row],[POSRef]],TableTEMaster[TERef],0)),"")</f>
        <v>122.26222914582712</v>
      </c>
    </row>
    <row r="59" spans="1:42" x14ac:dyDescent="0.25">
      <c r="A59" s="4">
        <f>IFERROR(RANK(TableQBCalcPts[[#This Row],[Custom]],TableQBCalcPts[Custom])+COUNTIF($F$3:F59,F59)-1,"")</f>
        <v>27</v>
      </c>
      <c r="B59" s="2">
        <v>57</v>
      </c>
      <c r="C59" s="2" t="str">
        <f>IFERROR(INDEX(TableQBMaster[Player],MATCH(TableQBCalcPts[[#This Row],[QBRef]],TableQBMaster[QBRef],0)),"")</f>
        <v>Aaron Rodgers</v>
      </c>
      <c r="D59" s="2" t="str">
        <f>IFERROR(INDEX(TableQBMaster[TM],MATCH(TableQBCalcPts[[#This Row],[QBRef]],TableQBMaster[QBRef],0)),"")</f>
        <v>PIT</v>
      </c>
      <c r="E59" s="2">
        <f>IFERROR(INDEX(TableQBMaster[BYE],MATCH(TableQBCalcPts[[#This Row],[QBRef]],TableQBMaster[QBRef],0)),"")</f>
        <v>9</v>
      </c>
      <c r="F59" s="3">
        <f>IFERROR(INDEX(TableQBMaster[Custom],MATCH(TableQBCalcPts[[#This Row],[QBRef]],TableQBMaster[QBRef],0)),"")</f>
        <v>321.29714883383383</v>
      </c>
      <c r="H59" s="2">
        <f>IFERROR(RANK(TableRBCalcPts[[#This Row],[Custom]],TableRBCalcPts[Custom])+COUNTIF($M$3:M59,M59)-1,"")</f>
        <v>54</v>
      </c>
      <c r="I59" s="2">
        <v>57</v>
      </c>
      <c r="J59" s="2" t="str">
        <f>IFERROR(INDEX(TableRBMaster[Player],MATCH(TableRBCalcPts[[#This Row],[RBRef]],TableRBMaster[RBRef],0)),"")</f>
        <v>Keaton Mitchell</v>
      </c>
      <c r="K59" s="2" t="str">
        <f>IFERROR(INDEX(TableRBMaster[TM],MATCH(TableRBCalcPts[[#This Row],[RBRef]],TableRBMaster[RBRef],0)),"")</f>
        <v>LAC</v>
      </c>
      <c r="L59" s="2">
        <f>IFERROR(INDEX(TableRBMaster[BYE],MATCH(TableRBCalcPts[[#This Row],[RBRef]],TableRBMaster[RBRef],0)),"")</f>
        <v>7</v>
      </c>
      <c r="M59" s="3">
        <f>IFERROR(INDEX(TableRBMaster[Custom],MATCH(TableRBCalcPts[[#This Row],[RBRef]],TableRBMaster[RBRef],0)),"")</f>
        <v>78.637323911068265</v>
      </c>
      <c r="O59" s="2">
        <f>IFERROR(RANK(TableWRCalcPts[[#This Row],[Custom]],TableWRCalcPts[Custom])+COUNTIF($T$3:T59,T59)-1,"")</f>
        <v>4</v>
      </c>
      <c r="P59" s="2">
        <v>57</v>
      </c>
      <c r="Q59" s="2" t="str">
        <f>IFERROR(INDEX(TableWRMaster[Player],MATCH(TableWRCalcPts[[#This Row],[WRRef]],TableWRMaster[WRRef],0)),"")</f>
        <v>Amon-Ra St. Brown</v>
      </c>
      <c r="R59" s="2" t="str">
        <f>IFERROR(INDEX(TableWRMaster[TM],MATCH(TableWRCalcPts[[#This Row],[WRRef]],TableWRMaster[WRRef],0)),"")</f>
        <v>DET</v>
      </c>
      <c r="S59" s="2">
        <f>IFERROR(INDEX(TableWRMaster[BYE],MATCH(TableWRCalcPts[[#This Row],[WRRef]],TableWRMaster[WRRef],0)),"")</f>
        <v>6</v>
      </c>
      <c r="T59" s="3">
        <f>IFERROR(INDEX(TableWRMaster[Custom],MATCH(TableWRCalcPts[[#This Row],[WRRef]],TableWRMaster[WRRef],0)),"")</f>
        <v>263.19537961810715</v>
      </c>
      <c r="V59" s="2">
        <f>IFERROR(RANK(TableTECalcPts[[#This Row],[Custom]],TableTECalcPts[Custom])+COUNTIF($AA$3:AA59,AA59)-1,"")</f>
        <v>58</v>
      </c>
      <c r="W59" s="2">
        <v>57</v>
      </c>
      <c r="X59" s="2" t="str">
        <f>IFERROR(INDEX(TableTEMaster[Player],MATCH(TableTECalcPts[[#This Row],[TERef]],TableTEMaster[TERef],0)),"")</f>
        <v>Josh Oliver</v>
      </c>
      <c r="Y59" s="2" t="str">
        <f>IFERROR(INDEX(TableTEMaster[TM],MATCH(TableTECalcPts[[#This Row],[TERef]],TableTEMaster[TERef],0)),"")</f>
        <v>MIN</v>
      </c>
      <c r="Z59" s="2">
        <f>IFERROR(INDEX(TableTEMaster[BYE],MATCH(TableTECalcPts[[#This Row],[TERef]],TableTEMaster[TERef],0)),"")</f>
        <v>6</v>
      </c>
      <c r="AA59" s="3">
        <f>IFERROR(INDEX(TableTEMaster[Custom],MATCH(TableTECalcPts[[#This Row],[TERef]],TableTEMaster[TERef],0)),"")</f>
        <v>21.025707823411203</v>
      </c>
      <c r="AI59" s="2" t="s">
        <v>8</v>
      </c>
      <c r="AJ59" s="2">
        <f>IFERROR(RANK(TableWRTECalcPts[[#This Row],[Custom]],TableWRTECalcPts[Custom])+COUNTIF($AP$3:AP59,AP59)-1,"")</f>
        <v>184</v>
      </c>
      <c r="AK59" s="2">
        <v>57</v>
      </c>
      <c r="AL59" s="2" t="str">
        <f>IFERROR(INDEX(TableTEMaster[Player],MATCH(TableWRTECalcPts[[#This Row],[POSRef]],TableTEMaster[TERef],0)),"")</f>
        <v>Josh Oliver</v>
      </c>
      <c r="AM59" s="2" t="str">
        <f>IFERROR(_xlfn.CONCAT(TableWRTECalcPts[[#This Row],[POS]],INDEX(TableTERanks[RK],MATCH(TableWRTECalcPts[[#This Row],[PLAYER]],TableTERanks[Player],0))),"")</f>
        <v>TE58</v>
      </c>
      <c r="AN59" s="2" t="str">
        <f>IFERROR(INDEX(TableTEMaster[TM],MATCH(TableWRTECalcPts[[#This Row],[POSRef]],TableTEMaster[TERef],0)),"")</f>
        <v>MIN</v>
      </c>
      <c r="AO59" s="2">
        <f>IFERROR(INDEX(TableTEMaster[BYE],MATCH(TableWRTECalcPts[[#This Row],[POSRef]],TableTEMaster[TERef],0)),"")</f>
        <v>6</v>
      </c>
      <c r="AP59" s="3">
        <f>IFERROR(INDEX(TableTEMaster[Custom],MATCH(TableWRTECalcPts[[#This Row],[POSRef]],TableTEMaster[TERef],0)),"")</f>
        <v>21.025707823411203</v>
      </c>
    </row>
    <row r="60" spans="1:42" x14ac:dyDescent="0.25">
      <c r="A60" s="4">
        <f>IFERROR(RANK(TableQBCalcPts[[#This Row],[Custom]],TableQBCalcPts[Custom])+COUNTIF($F$3:F60,F60)-1,"")</f>
        <v>45</v>
      </c>
      <c r="B60" s="2">
        <v>58</v>
      </c>
      <c r="C60" s="2" t="str">
        <f>IFERROR(INDEX(TableQBMaster[Player],MATCH(TableQBCalcPts[[#This Row],[QBRef]],TableQBMaster[QBRef],0)),"")</f>
        <v>Will Howard</v>
      </c>
      <c r="D60" s="2" t="str">
        <f>IFERROR(INDEX(TableQBMaster[TM],MATCH(TableQBCalcPts[[#This Row],[QBRef]],TableQBMaster[QBRef],0)),"")</f>
        <v>PIT</v>
      </c>
      <c r="E60" s="2">
        <f>IFERROR(INDEX(TableQBMaster[BYE],MATCH(TableQBCalcPts[[#This Row],[QBRef]],TableQBMaster[QBRef],0)),"")</f>
        <v>9</v>
      </c>
      <c r="F60" s="3">
        <f>IFERROR(INDEX(TableQBMaster[Custom],MATCH(TableQBCalcPts[[#This Row],[QBRef]],TableQBMaster[QBRef],0)),"")</f>
        <v>14.725827648000003</v>
      </c>
      <c r="H60" s="2">
        <f>IFERROR(RANK(TableRBCalcPts[[#This Row],[Custom]],TableRBCalcPts[Custom])+COUNTIF($M$3:M60,M60)-1,"")</f>
        <v>76</v>
      </c>
      <c r="I60" s="2">
        <v>58</v>
      </c>
      <c r="J60" s="2" t="str">
        <f>IFERROR(INDEX(TableRBMaster[Player],MATCH(TableRBCalcPts[[#This Row],[RBRef]],TableRBMaster[RBRef],0)),"")</f>
        <v>Kimani Vidal</v>
      </c>
      <c r="K60" s="2" t="str">
        <f>IFERROR(INDEX(TableRBMaster[TM],MATCH(TableRBCalcPts[[#This Row],[RBRef]],TableRBMaster[RBRef],0)),"")</f>
        <v>LAC</v>
      </c>
      <c r="L60" s="2">
        <f>IFERROR(INDEX(TableRBMaster[BYE],MATCH(TableRBCalcPts[[#This Row],[RBRef]],TableRBMaster[RBRef],0)),"")</f>
        <v>7</v>
      </c>
      <c r="M60" s="3">
        <f>IFERROR(INDEX(TableRBMaster[Custom],MATCH(TableRBCalcPts[[#This Row],[RBRef]],TableRBMaster[RBRef],0)),"")</f>
        <v>33.511478500499997</v>
      </c>
      <c r="O60" s="2">
        <f>IFERROR(RANK(TableWRCalcPts[[#This Row],[Custom]],TableWRCalcPts[Custom])+COUNTIF($T$3:T60,T60)-1,"")</f>
        <v>125</v>
      </c>
      <c r="P60" s="2">
        <v>58</v>
      </c>
      <c r="Q60" s="2" t="str">
        <f>IFERROR(INDEX(TableWRMaster[Player],MATCH(TableWRCalcPts[[#This Row],[WRRef]],TableWRMaster[WRRef],0)),"")</f>
        <v>Greg Dortch</v>
      </c>
      <c r="R60" s="2" t="str">
        <f>IFERROR(INDEX(TableWRMaster[TM],MATCH(TableWRCalcPts[[#This Row],[WRRef]],TableWRMaster[WRRef],0)),"")</f>
        <v>DET</v>
      </c>
      <c r="S60" s="2">
        <f>IFERROR(INDEX(TableWRMaster[BYE],MATCH(TableWRCalcPts[[#This Row],[WRRef]],TableWRMaster[WRRef],0)),"")</f>
        <v>6</v>
      </c>
      <c r="T60" s="3">
        <f>IFERROR(INDEX(TableWRMaster[Custom],MATCH(TableWRCalcPts[[#This Row],[WRRef]],TableWRMaster[WRRef],0)),"")</f>
        <v>22.326040630091825</v>
      </c>
      <c r="V60" s="2">
        <f>IFERROR(RANK(TableTECalcPts[[#This Row],[Custom]],TableTECalcPts[Custom])+COUNTIF($AA$3:AA60,AA60)-1,"")</f>
        <v>83</v>
      </c>
      <c r="W60" s="2">
        <v>58</v>
      </c>
      <c r="X60" s="2" t="str">
        <f>IFERROR(INDEX(TableTEMaster[Player],MATCH(TableTECalcPts[[#This Row],[TERef]],TableTEMaster[TERef],0)),"")</f>
        <v>Ben Yurosek</v>
      </c>
      <c r="Y60" s="2" t="str">
        <f>IFERROR(INDEX(TableTEMaster[TM],MATCH(TableTECalcPts[[#This Row],[TERef]],TableTEMaster[TERef],0)),"")</f>
        <v>MIN</v>
      </c>
      <c r="Z60" s="2">
        <f>IFERROR(INDEX(TableTEMaster[BYE],MATCH(TableTECalcPts[[#This Row],[TERef]],TableTEMaster[TERef],0)),"")</f>
        <v>6</v>
      </c>
      <c r="AA60" s="3">
        <f>IFERROR(INDEX(TableTEMaster[Custom],MATCH(TableTECalcPts[[#This Row],[TERef]],TableTEMaster[TERef],0)),"")</f>
        <v>2.8280353109866665</v>
      </c>
      <c r="AI60" s="2" t="s">
        <v>8</v>
      </c>
      <c r="AJ60" s="2">
        <f>IFERROR(RANK(TableWRTECalcPts[[#This Row],[Custom]],TableWRTECalcPts[Custom])+COUNTIF($AP$3:AP60,AP60)-1,"")</f>
        <v>263</v>
      </c>
      <c r="AK60" s="2">
        <v>58</v>
      </c>
      <c r="AL60" s="2" t="str">
        <f>IFERROR(INDEX(TableTEMaster[Player],MATCH(TableWRTECalcPts[[#This Row],[POSRef]],TableTEMaster[TERef],0)),"")</f>
        <v>Ben Yurosek</v>
      </c>
      <c r="AM60" s="2" t="str">
        <f>IFERROR(_xlfn.CONCAT(TableWRTECalcPts[[#This Row],[POS]],INDEX(TableTERanks[RK],MATCH(TableWRTECalcPts[[#This Row],[PLAYER]],TableTERanks[Player],0))),"")</f>
        <v>TE83</v>
      </c>
      <c r="AN60" s="2" t="str">
        <f>IFERROR(INDEX(TableTEMaster[TM],MATCH(TableWRTECalcPts[[#This Row],[POSRef]],TableTEMaster[TERef],0)),"")</f>
        <v>MIN</v>
      </c>
      <c r="AO60" s="2">
        <f>IFERROR(INDEX(TableTEMaster[BYE],MATCH(TableWRTECalcPts[[#This Row],[POSRef]],TableTEMaster[TERef],0)),"")</f>
        <v>6</v>
      </c>
      <c r="AP60" s="3">
        <f>IFERROR(INDEX(TableTEMaster[Custom],MATCH(TableWRTECalcPts[[#This Row],[POSRef]],TableTEMaster[TERef],0)),"")</f>
        <v>2.8280353109866665</v>
      </c>
    </row>
    <row r="61" spans="1:42" x14ac:dyDescent="0.25">
      <c r="A61" s="4">
        <f>IFERROR(RANK(TableQBCalcPts[[#This Row],[Custom]],TableQBCalcPts[Custom])+COUNTIF($F$3:F61,F61)-1,"")</f>
        <v>69</v>
      </c>
      <c r="B61" s="2">
        <v>59</v>
      </c>
      <c r="C61" s="2" t="str">
        <f>IFERROR(INDEX(TableQBMaster[Player],MATCH(TableQBCalcPts[[#This Row],[QBRef]],TableQBMaster[QBRef],0)),"")</f>
        <v>Drew Allar</v>
      </c>
      <c r="D61" s="2" t="str">
        <f>IFERROR(INDEX(TableQBMaster[TM],MATCH(TableQBCalcPts[[#This Row],[QBRef]],TableQBMaster[QBRef],0)),"")</f>
        <v>PIT</v>
      </c>
      <c r="E61" s="2">
        <f>IFERROR(INDEX(TableQBMaster[BYE],MATCH(TableQBCalcPts[[#This Row],[QBRef]],TableQBMaster[QBRef],0)),"")</f>
        <v>9</v>
      </c>
      <c r="F61" s="3">
        <f>IFERROR(INDEX(TableQBMaster[Custom],MATCH(TableQBCalcPts[[#This Row],[QBRef]],TableQBMaster[QBRef],0)),"")</f>
        <v>0</v>
      </c>
      <c r="H61" s="2">
        <f>IFERROR(RANK(TableRBCalcPts[[#This Row],[Custom]],TableRBCalcPts[Custom])+COUNTIF($M$3:M61,M61)-1,"")</f>
        <v>15</v>
      </c>
      <c r="I61" s="2">
        <v>59</v>
      </c>
      <c r="J61" s="2" t="str">
        <f>IFERROR(INDEX(TableRBMaster[Player],MATCH(TableRBCalcPts[[#This Row],[RBRef]],TableRBMaster[RBRef],0)),"")</f>
        <v>Kyren Williams</v>
      </c>
      <c r="K61" s="2" t="str">
        <f>IFERROR(INDEX(TableRBMaster[TM],MATCH(TableRBCalcPts[[#This Row],[RBRef]],TableRBMaster[RBRef],0)),"")</f>
        <v>LAR</v>
      </c>
      <c r="L61" s="2">
        <f>IFERROR(INDEX(TableRBMaster[BYE],MATCH(TableRBCalcPts[[#This Row],[RBRef]],TableRBMaster[RBRef],0)),"")</f>
        <v>11</v>
      </c>
      <c r="M61" s="3">
        <f>IFERROR(INDEX(TableRBMaster[Custom],MATCH(TableRBCalcPts[[#This Row],[RBRef]],TableRBMaster[RBRef],0)),"")</f>
        <v>222.27899113491048</v>
      </c>
      <c r="O61" s="2">
        <f>IFERROR(RANK(TableWRCalcPts[[#This Row],[Custom]],TableWRCalcPts[Custom])+COUNTIF($T$3:T61,T61)-1,"")</f>
        <v>74</v>
      </c>
      <c r="P61" s="2">
        <v>59</v>
      </c>
      <c r="Q61" s="2" t="str">
        <f>IFERROR(INDEX(TableWRMaster[Player],MATCH(TableWRCalcPts[[#This Row],[WRRef]],TableWRMaster[WRRef],0)),"")</f>
        <v>Isaac TeSlaa</v>
      </c>
      <c r="R61" s="2" t="str">
        <f>IFERROR(INDEX(TableWRMaster[TM],MATCH(TableWRCalcPts[[#This Row],[WRRef]],TableWRMaster[WRRef],0)),"")</f>
        <v>DET</v>
      </c>
      <c r="S61" s="2">
        <f>IFERROR(INDEX(TableWRMaster[BYE],MATCH(TableWRCalcPts[[#This Row],[WRRef]],TableWRMaster[WRRef],0)),"")</f>
        <v>6</v>
      </c>
      <c r="T61" s="3">
        <f>IFERROR(INDEX(TableWRMaster[Custom],MATCH(TableWRCalcPts[[#This Row],[WRRef]],TableWRMaster[WRRef],0)),"")</f>
        <v>88.820853202636783</v>
      </c>
      <c r="V61" s="2">
        <f>IFERROR(RANK(TableTECalcPts[[#This Row],[Custom]],TableTECalcPts[Custom])+COUNTIF($AA$3:AA61,AA61)-1,"")</f>
        <v>18</v>
      </c>
      <c r="W61" s="2">
        <v>59</v>
      </c>
      <c r="X61" s="2" t="str">
        <f>IFERROR(INDEX(TableTEMaster[Player],MATCH(TableTECalcPts[[#This Row],[TERef]],TableTEMaster[TERef],0)),"")</f>
        <v>Hunter Henry</v>
      </c>
      <c r="Y61" s="2" t="str">
        <f>IFERROR(INDEX(TableTEMaster[TM],MATCH(TableTECalcPts[[#This Row],[TERef]],TableTEMaster[TERef],0)),"")</f>
        <v>NE</v>
      </c>
      <c r="Z61" s="2">
        <f>IFERROR(INDEX(TableTEMaster[BYE],MATCH(TableTECalcPts[[#This Row],[TERef]],TableTEMaster[TERef],0)),"")</f>
        <v>11</v>
      </c>
      <c r="AA61" s="3">
        <f>IFERROR(INDEX(TableTEMaster[Custom],MATCH(TableTECalcPts[[#This Row],[TERef]],TableTEMaster[TERef],0)),"")</f>
        <v>119.83960027840953</v>
      </c>
      <c r="AI61" s="2" t="s">
        <v>8</v>
      </c>
      <c r="AJ61" s="2">
        <f>IFERROR(RANK(TableWRTECalcPts[[#This Row],[Custom]],TableWRTECalcPts[Custom])+COUNTIF($AP$3:AP61,AP61)-1,"")</f>
        <v>73</v>
      </c>
      <c r="AK61" s="2">
        <v>59</v>
      </c>
      <c r="AL61" s="2" t="str">
        <f>IFERROR(INDEX(TableTEMaster[Player],MATCH(TableWRTECalcPts[[#This Row],[POSRef]],TableTEMaster[TERef],0)),"")</f>
        <v>Hunter Henry</v>
      </c>
      <c r="AM61" s="2" t="str">
        <f>IFERROR(_xlfn.CONCAT(TableWRTECalcPts[[#This Row],[POS]],INDEX(TableTERanks[RK],MATCH(TableWRTECalcPts[[#This Row],[PLAYER]],TableTERanks[Player],0))),"")</f>
        <v>TE18</v>
      </c>
      <c r="AN61" s="2" t="str">
        <f>IFERROR(INDEX(TableTEMaster[TM],MATCH(TableWRTECalcPts[[#This Row],[POSRef]],TableTEMaster[TERef],0)),"")</f>
        <v>NE</v>
      </c>
      <c r="AO61" s="2">
        <f>IFERROR(INDEX(TableTEMaster[BYE],MATCH(TableWRTECalcPts[[#This Row],[POSRef]],TableTEMaster[TERef],0)),"")</f>
        <v>11</v>
      </c>
      <c r="AP61" s="3">
        <f>IFERROR(INDEX(TableTEMaster[Custom],MATCH(TableWRTECalcPts[[#This Row],[POSRef]],TableTEMaster[TERef],0)),"")</f>
        <v>119.83960027840953</v>
      </c>
    </row>
    <row r="62" spans="1:42" x14ac:dyDescent="0.25">
      <c r="A62" s="4">
        <f>IFERROR(RANK(TableQBCalcPts[[#This Row],[Custom]],TableQBCalcPts[Custom])+COUNTIF($F$3:F62,F62)-1,"")</f>
        <v>21</v>
      </c>
      <c r="B62" s="2">
        <v>60</v>
      </c>
      <c r="C62" s="2" t="str">
        <f>IFERROR(INDEX(TableQBMaster[Player],MATCH(TableQBCalcPts[[#This Row],[QBRef]],TableQBMaster[QBRef],0)),"")</f>
        <v>Sam Darnold</v>
      </c>
      <c r="D62" s="2" t="str">
        <f>IFERROR(INDEX(TableQBMaster[TM],MATCH(TableQBCalcPts[[#This Row],[QBRef]],TableQBMaster[QBRef],0)),"")</f>
        <v>SEA</v>
      </c>
      <c r="E62" s="2">
        <f>IFERROR(INDEX(TableQBMaster[BYE],MATCH(TableQBCalcPts[[#This Row],[QBRef]],TableQBMaster[QBRef],0)),"")</f>
        <v>11</v>
      </c>
      <c r="F62" s="3">
        <f>IFERROR(INDEX(TableQBMaster[Custom],MATCH(TableQBCalcPts[[#This Row],[QBRef]],TableQBMaster[QBRef],0)),"")</f>
        <v>361.25469849816261</v>
      </c>
      <c r="H62" s="2">
        <f>IFERROR(RANK(TableRBCalcPts[[#This Row],[Custom]],TableRBCalcPts[Custom])+COUNTIF($M$3:M62,M62)-1,"")</f>
        <v>36</v>
      </c>
      <c r="I62" s="2">
        <v>60</v>
      </c>
      <c r="J62" s="2" t="str">
        <f>IFERROR(INDEX(TableRBMaster[Player],MATCH(TableRBCalcPts[[#This Row],[RBRef]],TableRBMaster[RBRef],0)),"")</f>
        <v>Blake Corum</v>
      </c>
      <c r="K62" s="2" t="str">
        <f>IFERROR(INDEX(TableRBMaster[TM],MATCH(TableRBCalcPts[[#This Row],[RBRef]],TableRBMaster[RBRef],0)),"")</f>
        <v>LAR</v>
      </c>
      <c r="L62" s="2">
        <f>IFERROR(INDEX(TableRBMaster[BYE],MATCH(TableRBCalcPts[[#This Row],[RBRef]],TableRBMaster[RBRef],0)),"")</f>
        <v>11</v>
      </c>
      <c r="M62" s="3">
        <f>IFERROR(INDEX(TableRBMaster[Custom],MATCH(TableRBCalcPts[[#This Row],[RBRef]],TableRBMaster[RBRef],0)),"")</f>
        <v>132.20471392634317</v>
      </c>
      <c r="O62" s="2">
        <f>IFERROR(RANK(TableWRCalcPts[[#This Row],[Custom]],TableWRCalcPts[Custom])+COUNTIF($T$3:T62,T62)-1,"")</f>
        <v>154</v>
      </c>
      <c r="P62" s="2">
        <v>60</v>
      </c>
      <c r="Q62" s="2" t="str">
        <f>IFERROR(INDEX(TableWRMaster[Player],MATCH(TableWRCalcPts[[#This Row],[WRRef]],TableWRMaster[WRRef],0)),"")</f>
        <v>Cedrick Wilson</v>
      </c>
      <c r="R62" s="2" t="str">
        <f>IFERROR(INDEX(TableWRMaster[TM],MATCH(TableWRCalcPts[[#This Row],[WRRef]],TableWRMaster[WRRef],0)),"")</f>
        <v>DET</v>
      </c>
      <c r="S62" s="2">
        <f>IFERROR(INDEX(TableWRMaster[BYE],MATCH(TableWRCalcPts[[#This Row],[WRRef]],TableWRMaster[WRRef],0)),"")</f>
        <v>6</v>
      </c>
      <c r="T62" s="3">
        <f>IFERROR(INDEX(TableWRMaster[Custom],MATCH(TableWRCalcPts[[#This Row],[WRRef]],TableWRMaster[WRRef],0)),"")</f>
        <v>7.9979096735999979</v>
      </c>
      <c r="V62" s="2">
        <f>IFERROR(RANK(TableTECalcPts[[#This Row],[Custom]],TableTECalcPts[Custom])+COUNTIF($AA$3:AA62,AA62)-1,"")</f>
        <v>38</v>
      </c>
      <c r="W62" s="2">
        <v>60</v>
      </c>
      <c r="X62" s="2" t="str">
        <f>IFERROR(INDEX(TableTEMaster[Player],MATCH(TableTECalcPts[[#This Row],[TERef]],TableTEMaster[TERef],0)),"")</f>
        <v>Eli Raridon</v>
      </c>
      <c r="Y62" s="2" t="str">
        <f>IFERROR(INDEX(TableTEMaster[TM],MATCH(TableTECalcPts[[#This Row],[TERef]],TableTEMaster[TERef],0)),"")</f>
        <v>NE</v>
      </c>
      <c r="Z62" s="2">
        <f>IFERROR(INDEX(TableTEMaster[BYE],MATCH(TableTECalcPts[[#This Row],[TERef]],TableTEMaster[TERef],0)),"")</f>
        <v>11</v>
      </c>
      <c r="AA62" s="3">
        <f>IFERROR(INDEX(TableTEMaster[Custom],MATCH(TableTECalcPts[[#This Row],[TERef]],TableTEMaster[TERef],0)),"")</f>
        <v>50.386639635027102</v>
      </c>
      <c r="AI62" s="2" t="s">
        <v>8</v>
      </c>
      <c r="AJ62" s="2">
        <f>IFERROR(RANK(TableWRTECalcPts[[#This Row],[Custom]],TableWRTECalcPts[Custom])+COUNTIF($AP$3:AP62,AP62)-1,"")</f>
        <v>138</v>
      </c>
      <c r="AK62" s="2">
        <v>60</v>
      </c>
      <c r="AL62" s="2" t="str">
        <f>IFERROR(INDEX(TableTEMaster[Player],MATCH(TableWRTECalcPts[[#This Row],[POSRef]],TableTEMaster[TERef],0)),"")</f>
        <v>Eli Raridon</v>
      </c>
      <c r="AM62" s="2" t="str">
        <f>IFERROR(_xlfn.CONCAT(TableWRTECalcPts[[#This Row],[POS]],INDEX(TableTERanks[RK],MATCH(TableWRTECalcPts[[#This Row],[PLAYER]],TableTERanks[Player],0))),"")</f>
        <v>TE38</v>
      </c>
      <c r="AN62" s="2" t="str">
        <f>IFERROR(INDEX(TableTEMaster[TM],MATCH(TableWRTECalcPts[[#This Row],[POSRef]],TableTEMaster[TERef],0)),"")</f>
        <v>NE</v>
      </c>
      <c r="AO62" s="2">
        <f>IFERROR(INDEX(TableTEMaster[BYE],MATCH(TableWRTECalcPts[[#This Row],[POSRef]],TableTEMaster[TERef],0)),"")</f>
        <v>11</v>
      </c>
      <c r="AP62" s="3">
        <f>IFERROR(INDEX(TableTEMaster[Custom],MATCH(TableWRTECalcPts[[#This Row],[POSRef]],TableTEMaster[TERef],0)),"")</f>
        <v>50.386639635027102</v>
      </c>
    </row>
    <row r="63" spans="1:42" x14ac:dyDescent="0.25">
      <c r="A63" s="4">
        <f>IFERROR(RANK(TableQBCalcPts[[#This Row],[Custom]],TableQBCalcPts[Custom])+COUNTIF($F$3:F63,F63)-1,"")</f>
        <v>60</v>
      </c>
      <c r="B63" s="2">
        <v>61</v>
      </c>
      <c r="C63" s="2" t="str">
        <f>IFERROR(INDEX(TableQBMaster[Player],MATCH(TableQBCalcPts[[#This Row],[QBRef]],TableQBMaster[QBRef],0)),"")</f>
        <v>Jalen Milroe</v>
      </c>
      <c r="D63" s="2" t="str">
        <f>IFERROR(INDEX(TableQBMaster[TM],MATCH(TableQBCalcPts[[#This Row],[QBRef]],TableQBMaster[QBRef],0)),"")</f>
        <v>SEA</v>
      </c>
      <c r="E63" s="2">
        <f>IFERROR(INDEX(TableQBMaster[BYE],MATCH(TableQBCalcPts[[#This Row],[QBRef]],TableQBMaster[QBRef],0)),"")</f>
        <v>11</v>
      </c>
      <c r="F63" s="3">
        <f>IFERROR(INDEX(TableQBMaster[Custom],MATCH(TableQBCalcPts[[#This Row],[QBRef]],TableQBMaster[QBRef],0)),"")</f>
        <v>4.8799273820160005</v>
      </c>
      <c r="H63" s="2">
        <f>IFERROR(RANK(TableRBCalcPts[[#This Row],[Custom]],TableRBCalcPts[Custom])+COUNTIF($M$3:M63,M63)-1,"")</f>
        <v>105</v>
      </c>
      <c r="I63" s="2">
        <v>61</v>
      </c>
      <c r="J63" s="2" t="str">
        <f>IFERROR(INDEX(TableRBMaster[Player],MATCH(TableRBCalcPts[[#This Row],[RBRef]],TableRBMaster[RBRef],0)),"")</f>
        <v>Jarquez Hunter</v>
      </c>
      <c r="K63" s="2" t="str">
        <f>IFERROR(INDEX(TableRBMaster[TM],MATCH(TableRBCalcPts[[#This Row],[RBRef]],TableRBMaster[RBRef],0)),"")</f>
        <v>LAR</v>
      </c>
      <c r="L63" s="2">
        <f>IFERROR(INDEX(TableRBMaster[BYE],MATCH(TableRBCalcPts[[#This Row],[RBRef]],TableRBMaster[RBRef],0)),"")</f>
        <v>11</v>
      </c>
      <c r="M63" s="3">
        <f>IFERROR(INDEX(TableRBMaster[Custom],MATCH(TableRBCalcPts[[#This Row],[RBRef]],TableRBMaster[RBRef],0)),"")</f>
        <v>8.4242846217409966</v>
      </c>
      <c r="O63" s="2">
        <f>IFERROR(RANK(TableWRCalcPts[[#This Row],[Custom]],TableWRCalcPts[Custom])+COUNTIF($T$3:T63,T63)-1,"")</f>
        <v>29</v>
      </c>
      <c r="P63" s="2">
        <v>61</v>
      </c>
      <c r="Q63" s="2" t="str">
        <f>IFERROR(INDEX(TableWRMaster[Player],MATCH(TableWRCalcPts[[#This Row],[WRRef]],TableWRMaster[WRRef],0)),"")</f>
        <v>Christian Watson</v>
      </c>
      <c r="R63" s="2" t="str">
        <f>IFERROR(INDEX(TableWRMaster[TM],MATCH(TableWRCalcPts[[#This Row],[WRRef]],TableWRMaster[WRRef],0)),"")</f>
        <v>GB</v>
      </c>
      <c r="S63" s="2">
        <f>IFERROR(INDEX(TableWRMaster[BYE],MATCH(TableWRCalcPts[[#This Row],[WRRef]],TableWRMaster[WRRef],0)),"")</f>
        <v>11</v>
      </c>
      <c r="T63" s="3">
        <f>IFERROR(INDEX(TableWRMaster[Custom],MATCH(TableWRCalcPts[[#This Row],[WRRef]],TableWRMaster[WRRef],0)),"")</f>
        <v>180.53046356058982</v>
      </c>
      <c r="V63" s="2">
        <f>IFERROR(RANK(TableTECalcPts[[#This Row],[Custom]],TableTECalcPts[Custom])+COUNTIF($AA$3:AA63,AA63)-1,"")</f>
        <v>73</v>
      </c>
      <c r="W63" s="2">
        <v>61</v>
      </c>
      <c r="X63" s="2" t="str">
        <f>IFERROR(INDEX(TableTEMaster[Player],MATCH(TableTECalcPts[[#This Row],[TERef]],TableTEMaster[TERef],0)),"")</f>
        <v>Julian Hill</v>
      </c>
      <c r="Y63" s="2" t="str">
        <f>IFERROR(INDEX(TableTEMaster[TM],MATCH(TableTECalcPts[[#This Row],[TERef]],TableTEMaster[TERef],0)),"")</f>
        <v>NE</v>
      </c>
      <c r="Z63" s="2">
        <f>IFERROR(INDEX(TableTEMaster[BYE],MATCH(TableTECalcPts[[#This Row],[TERef]],TableTEMaster[TERef],0)),"")</f>
        <v>11</v>
      </c>
      <c r="AA63" s="3">
        <f>IFERROR(INDEX(TableTEMaster[Custom],MATCH(TableTECalcPts[[#This Row],[TERef]],TableTEMaster[TERef],0)),"")</f>
        <v>9.4153772017176021</v>
      </c>
      <c r="AI63" s="2" t="s">
        <v>8</v>
      </c>
      <c r="AJ63" s="2">
        <f>IFERROR(RANK(TableWRTECalcPts[[#This Row],[Custom]],TableWRTECalcPts[Custom])+COUNTIF($AP$3:AP63,AP63)-1,"")</f>
        <v>220</v>
      </c>
      <c r="AK63" s="2">
        <v>61</v>
      </c>
      <c r="AL63" s="2" t="str">
        <f>IFERROR(INDEX(TableTEMaster[Player],MATCH(TableWRTECalcPts[[#This Row],[POSRef]],TableTEMaster[TERef],0)),"")</f>
        <v>Julian Hill</v>
      </c>
      <c r="AM63" s="2" t="str">
        <f>IFERROR(_xlfn.CONCAT(TableWRTECalcPts[[#This Row],[POS]],INDEX(TableTERanks[RK],MATCH(TableWRTECalcPts[[#This Row],[PLAYER]],TableTERanks[Player],0))),"")</f>
        <v>TE73</v>
      </c>
      <c r="AN63" s="2" t="str">
        <f>IFERROR(INDEX(TableTEMaster[TM],MATCH(TableWRTECalcPts[[#This Row],[POSRef]],TableTEMaster[TERef],0)),"")</f>
        <v>NE</v>
      </c>
      <c r="AO63" s="2">
        <f>IFERROR(INDEX(TableTEMaster[BYE],MATCH(TableWRTECalcPts[[#This Row],[POSRef]],TableTEMaster[TERef],0)),"")</f>
        <v>11</v>
      </c>
      <c r="AP63" s="3">
        <f>IFERROR(INDEX(TableTEMaster[Custom],MATCH(TableWRTECalcPts[[#This Row],[POSRef]],TableTEMaster[TERef],0)),"")</f>
        <v>9.4153772017176021</v>
      </c>
    </row>
    <row r="64" spans="1:42" x14ac:dyDescent="0.25">
      <c r="A64" s="4">
        <f>IFERROR(RANK(TableQBCalcPts[[#This Row],[Custom]],TableQBCalcPts[Custom])+COUNTIF($F$3:F64,F64)-1,"")</f>
        <v>6</v>
      </c>
      <c r="B64" s="2">
        <v>62</v>
      </c>
      <c r="C64" s="2" t="str">
        <f>IFERROR(INDEX(TableQBMaster[Player],MATCH(TableQBCalcPts[[#This Row],[QBRef]],TableQBMaster[QBRef],0)),"")</f>
        <v>Brock Purdy</v>
      </c>
      <c r="D64" s="2" t="str">
        <f>IFERROR(INDEX(TableQBMaster[TM],MATCH(TableQBCalcPts[[#This Row],[QBRef]],TableQBMaster[QBRef],0)),"")</f>
        <v>SF</v>
      </c>
      <c r="E64" s="2">
        <f>IFERROR(INDEX(TableQBMaster[BYE],MATCH(TableQBCalcPts[[#This Row],[QBRef]],TableQBMaster[QBRef],0)),"")</f>
        <v>8</v>
      </c>
      <c r="F64" s="3">
        <f>IFERROR(INDEX(TableQBMaster[Custom],MATCH(TableQBCalcPts[[#This Row],[QBRef]],TableQBMaster[QBRef],0)),"")</f>
        <v>421.55036691030688</v>
      </c>
      <c r="H64" s="2">
        <f>IFERROR(RANK(TableRBCalcPts[[#This Row],[Custom]],TableRBCalcPts[Custom])+COUNTIF($M$3:M64,M64)-1,"")</f>
        <v>12</v>
      </c>
      <c r="I64" s="2">
        <v>62</v>
      </c>
      <c r="J64" s="2" t="str">
        <f>IFERROR(INDEX(TableRBMaster[Player],MATCH(TableRBCalcPts[[#This Row],[RBRef]],TableRBMaster[RBRef],0)),"")</f>
        <v>Ashton Jeanty</v>
      </c>
      <c r="K64" s="2" t="str">
        <f>IFERROR(INDEX(TableRBMaster[TM],MATCH(TableRBCalcPts[[#This Row],[RBRef]],TableRBMaster[RBRef],0)),"")</f>
        <v>LV</v>
      </c>
      <c r="L64" s="2">
        <f>IFERROR(INDEX(TableRBMaster[BYE],MATCH(TableRBCalcPts[[#This Row],[RBRef]],TableRBMaster[RBRef],0)),"")</f>
        <v>13</v>
      </c>
      <c r="M64" s="3">
        <f>IFERROR(INDEX(TableRBMaster[Custom],MATCH(TableRBCalcPts[[#This Row],[RBRef]],TableRBMaster[RBRef],0)),"")</f>
        <v>233.06399216070568</v>
      </c>
      <c r="O64" s="2">
        <f>IFERROR(RANK(TableWRCalcPts[[#This Row],[Custom]],TableWRCalcPts[Custom])+COUNTIF($T$3:T64,T64)-1,"")</f>
        <v>43</v>
      </c>
      <c r="P64" s="2">
        <v>62</v>
      </c>
      <c r="Q64" s="2" t="str">
        <f>IFERROR(INDEX(TableWRMaster[Player],MATCH(TableWRCalcPts[[#This Row],[WRRef]],TableWRMaster[WRRef],0)),"")</f>
        <v>Jayden Reed</v>
      </c>
      <c r="R64" s="2" t="str">
        <f>IFERROR(INDEX(TableWRMaster[TM],MATCH(TableWRCalcPts[[#This Row],[WRRef]],TableWRMaster[WRRef],0)),"")</f>
        <v>GB</v>
      </c>
      <c r="S64" s="2">
        <f>IFERROR(INDEX(TableWRMaster[BYE],MATCH(TableWRCalcPts[[#This Row],[WRRef]],TableWRMaster[WRRef],0)),"")</f>
        <v>11</v>
      </c>
      <c r="T64" s="3">
        <f>IFERROR(INDEX(TableWRMaster[Custom],MATCH(TableWRCalcPts[[#This Row],[WRRef]],TableWRMaster[WRRef],0)),"")</f>
        <v>148.99904400559308</v>
      </c>
      <c r="V64" s="2">
        <f>IFERROR(RANK(TableTECalcPts[[#This Row],[Custom]],TableTECalcPts[Custom])+COUNTIF($AA$3:AA64,AA64)-1,"")</f>
        <v>22</v>
      </c>
      <c r="W64" s="2">
        <v>62</v>
      </c>
      <c r="X64" s="2" t="str">
        <f>IFERROR(INDEX(TableTEMaster[Player],MATCH(TableTECalcPts[[#This Row],[TERef]],TableTEMaster[TERef],0)),"")</f>
        <v>Juwan Johnson</v>
      </c>
      <c r="Y64" s="2" t="str">
        <f>IFERROR(INDEX(TableTEMaster[TM],MATCH(TableTECalcPts[[#This Row],[TERef]],TableTEMaster[TERef],0)),"")</f>
        <v>NO</v>
      </c>
      <c r="Z64" s="2">
        <f>IFERROR(INDEX(TableTEMaster[BYE],MATCH(TableTECalcPts[[#This Row],[TERef]],TableTEMaster[TERef],0)),"")</f>
        <v>8</v>
      </c>
      <c r="AA64" s="3">
        <f>IFERROR(INDEX(TableTEMaster[Custom],MATCH(TableTECalcPts[[#This Row],[TERef]],TableTEMaster[TERef],0)),"")</f>
        <v>100.82874804237828</v>
      </c>
      <c r="AI64" s="2" t="s">
        <v>8</v>
      </c>
      <c r="AJ64" s="2">
        <f>IFERROR(RANK(TableWRTECalcPts[[#This Row],[Custom]],TableWRTECalcPts[Custom])+COUNTIF($AP$3:AP64,AP64)-1,"")</f>
        <v>86</v>
      </c>
      <c r="AK64" s="2">
        <v>62</v>
      </c>
      <c r="AL64" s="2" t="str">
        <f>IFERROR(INDEX(TableTEMaster[Player],MATCH(TableWRTECalcPts[[#This Row],[POSRef]],TableTEMaster[TERef],0)),"")</f>
        <v>Juwan Johnson</v>
      </c>
      <c r="AM64" s="2" t="str">
        <f>IFERROR(_xlfn.CONCAT(TableWRTECalcPts[[#This Row],[POS]],INDEX(TableTERanks[RK],MATCH(TableWRTECalcPts[[#This Row],[PLAYER]],TableTERanks[Player],0))),"")</f>
        <v>TE22</v>
      </c>
      <c r="AN64" s="2" t="str">
        <f>IFERROR(INDEX(TableTEMaster[TM],MATCH(TableWRTECalcPts[[#This Row],[POSRef]],TableTEMaster[TERef],0)),"")</f>
        <v>NO</v>
      </c>
      <c r="AO64" s="2">
        <f>IFERROR(INDEX(TableTEMaster[BYE],MATCH(TableWRTECalcPts[[#This Row],[POSRef]],TableTEMaster[TERef],0)),"")</f>
        <v>8</v>
      </c>
      <c r="AP64" s="3">
        <f>IFERROR(INDEX(TableTEMaster[Custom],MATCH(TableWRTECalcPts[[#This Row],[POSRef]],TableTEMaster[TERef],0)),"")</f>
        <v>100.82874804237828</v>
      </c>
    </row>
    <row r="65" spans="1:42" x14ac:dyDescent="0.25">
      <c r="A65" s="4">
        <f>IFERROR(RANK(TableQBCalcPts[[#This Row],[Custom]],TableQBCalcPts[Custom])+COUNTIF($F$3:F65,F65)-1,"")</f>
        <v>54</v>
      </c>
      <c r="B65" s="2">
        <v>63</v>
      </c>
      <c r="C65" s="2" t="str">
        <f>IFERROR(INDEX(TableQBMaster[Player],MATCH(TableQBCalcPts[[#This Row],[QBRef]],TableQBMaster[QBRef],0)),"")</f>
        <v>Mac Jones</v>
      </c>
      <c r="D65" s="2" t="str">
        <f>IFERROR(INDEX(TableQBMaster[TM],MATCH(TableQBCalcPts[[#This Row],[QBRef]],TableQBMaster[QBRef],0)),"")</f>
        <v>SF</v>
      </c>
      <c r="E65" s="2">
        <f>IFERROR(INDEX(TableQBMaster[BYE],MATCH(TableQBCalcPts[[#This Row],[QBRef]],TableQBMaster[QBRef],0)),"")</f>
        <v>8</v>
      </c>
      <c r="F65" s="3">
        <f>IFERROR(INDEX(TableQBMaster[Custom],MATCH(TableQBCalcPts[[#This Row],[QBRef]],TableQBMaster[QBRef],0)),"")</f>
        <v>6.8733165451226945</v>
      </c>
      <c r="H65" s="2">
        <f>IFERROR(RANK(TableRBCalcPts[[#This Row],[Custom]],TableRBCalcPts[Custom])+COUNTIF($M$3:M65,M65)-1,"")</f>
        <v>59</v>
      </c>
      <c r="I65" s="2">
        <v>63</v>
      </c>
      <c r="J65" s="2" t="str">
        <f>IFERROR(INDEX(TableRBMaster[Player],MATCH(TableRBCalcPts[[#This Row],[RBRef]],TableRBMaster[RBRef],0)),"")</f>
        <v>Mike Washington</v>
      </c>
      <c r="K65" s="2" t="str">
        <f>IFERROR(INDEX(TableRBMaster[TM],MATCH(TableRBCalcPts[[#This Row],[RBRef]],TableRBMaster[RBRef],0)),"")</f>
        <v>LV</v>
      </c>
      <c r="L65" s="2">
        <f>IFERROR(INDEX(TableRBMaster[BYE],MATCH(TableRBCalcPts[[#This Row],[RBRef]],TableRBMaster[RBRef],0)),"")</f>
        <v>13</v>
      </c>
      <c r="M65" s="3">
        <f>IFERROR(INDEX(TableRBMaster[Custom],MATCH(TableRBCalcPts[[#This Row],[RBRef]],TableRBMaster[RBRef],0)),"")</f>
        <v>64.418398641539639</v>
      </c>
      <c r="O65" s="2">
        <f>IFERROR(RANK(TableWRCalcPts[[#This Row],[Custom]],TableWRCalcPts[Custom])+COUNTIF($T$3:T65,T65)-1,"")</f>
        <v>55</v>
      </c>
      <c r="P65" s="2">
        <v>63</v>
      </c>
      <c r="Q65" s="2" t="str">
        <f>IFERROR(INDEX(TableWRMaster[Player],MATCH(TableWRCalcPts[[#This Row],[WRRef]],TableWRMaster[WRRef],0)),"")</f>
        <v>Matthew Golden</v>
      </c>
      <c r="R65" s="2" t="str">
        <f>IFERROR(INDEX(TableWRMaster[TM],MATCH(TableWRCalcPts[[#This Row],[WRRef]],TableWRMaster[WRRef],0)),"")</f>
        <v>GB</v>
      </c>
      <c r="S65" s="2">
        <f>IFERROR(INDEX(TableWRMaster[BYE],MATCH(TableWRCalcPts[[#This Row],[WRRef]],TableWRMaster[WRRef],0)),"")</f>
        <v>11</v>
      </c>
      <c r="T65" s="3">
        <f>IFERROR(INDEX(TableWRMaster[Custom],MATCH(TableWRCalcPts[[#This Row],[WRRef]],TableWRMaster[WRRef],0)),"")</f>
        <v>121.76900567298148</v>
      </c>
      <c r="V65" s="2">
        <f>IFERROR(RANK(TableTECalcPts[[#This Row],[Custom]],TableTECalcPts[Custom])+COUNTIF($AA$3:AA65,AA65)-1,"")</f>
        <v>55</v>
      </c>
      <c r="W65" s="2">
        <v>63</v>
      </c>
      <c r="X65" s="2" t="str">
        <f>IFERROR(INDEX(TableTEMaster[Player],MATCH(TableTECalcPts[[#This Row],[TERef]],TableTEMaster[TERef],0)),"")</f>
        <v>Noah Fant</v>
      </c>
      <c r="Y65" s="2" t="str">
        <f>IFERROR(INDEX(TableTEMaster[TM],MATCH(TableTECalcPts[[#This Row],[TERef]],TableTEMaster[TERef],0)),"")</f>
        <v>NO</v>
      </c>
      <c r="Z65" s="2">
        <f>IFERROR(INDEX(TableTEMaster[BYE],MATCH(TableTECalcPts[[#This Row],[TERef]],TableTEMaster[TERef],0)),"")</f>
        <v>8</v>
      </c>
      <c r="AA65" s="3">
        <f>IFERROR(INDEX(TableTEMaster[Custom],MATCH(TableTECalcPts[[#This Row],[TERef]],TableTEMaster[TERef],0)),"")</f>
        <v>23.644709993235693</v>
      </c>
      <c r="AI65" s="2" t="s">
        <v>8</v>
      </c>
      <c r="AJ65" s="2">
        <f>IFERROR(RANK(TableWRTECalcPts[[#This Row],[Custom]],TableWRTECalcPts[Custom])+COUNTIF($AP$3:AP65,AP65)-1,"")</f>
        <v>179</v>
      </c>
      <c r="AK65" s="2">
        <v>63</v>
      </c>
      <c r="AL65" s="2" t="str">
        <f>IFERROR(INDEX(TableTEMaster[Player],MATCH(TableWRTECalcPts[[#This Row],[POSRef]],TableTEMaster[TERef],0)),"")</f>
        <v>Noah Fant</v>
      </c>
      <c r="AM65" s="2" t="str">
        <f>IFERROR(_xlfn.CONCAT(TableWRTECalcPts[[#This Row],[POS]],INDEX(TableTERanks[RK],MATCH(TableWRTECalcPts[[#This Row],[PLAYER]],TableTERanks[Player],0))),"")</f>
        <v>TE55</v>
      </c>
      <c r="AN65" s="2" t="str">
        <f>IFERROR(INDEX(TableTEMaster[TM],MATCH(TableWRTECalcPts[[#This Row],[POSRef]],TableTEMaster[TERef],0)),"")</f>
        <v>NO</v>
      </c>
      <c r="AO65" s="2">
        <f>IFERROR(INDEX(TableTEMaster[BYE],MATCH(TableWRTECalcPts[[#This Row],[POSRef]],TableTEMaster[TERef],0)),"")</f>
        <v>8</v>
      </c>
      <c r="AP65" s="3">
        <f>IFERROR(INDEX(TableTEMaster[Custom],MATCH(TableWRTECalcPts[[#This Row],[POSRef]],TableTEMaster[TERef],0)),"")</f>
        <v>23.644709993235693</v>
      </c>
    </row>
    <row r="66" spans="1:42" x14ac:dyDescent="0.25">
      <c r="A66" s="4">
        <f>IFERROR(RANK(TableQBCalcPts[[#This Row],[Custom]],TableQBCalcPts[Custom])+COUNTIF($F$3:F66,F66)-1,"")</f>
        <v>17</v>
      </c>
      <c r="B66" s="2">
        <v>64</v>
      </c>
      <c r="C66" s="2" t="str">
        <f>IFERROR(INDEX(TableQBMaster[Player],MATCH(TableQBCalcPts[[#This Row],[QBRef]],TableQBMaster[QBRef],0)),"")</f>
        <v>Baker Mayfield</v>
      </c>
      <c r="D66" s="2" t="str">
        <f>IFERROR(INDEX(TableQBMaster[TM],MATCH(TableQBCalcPts[[#This Row],[QBRef]],TableQBMaster[QBRef],0)),"")</f>
        <v>TB</v>
      </c>
      <c r="E66" s="2">
        <f>IFERROR(INDEX(TableQBMaster[BYE],MATCH(TableQBCalcPts[[#This Row],[QBRef]],TableQBMaster[QBRef],0)),"")</f>
        <v>10</v>
      </c>
      <c r="F66" s="3">
        <f>IFERROR(INDEX(TableQBMaster[Custom],MATCH(TableQBCalcPts[[#This Row],[QBRef]],TableQBMaster[QBRef],0)),"")</f>
        <v>384.49518701509407</v>
      </c>
      <c r="H66" s="2">
        <f>IFERROR(RANK(TableRBCalcPts[[#This Row],[Custom]],TableRBCalcPts[Custom])+COUNTIF($M$3:M66,M66)-1,"")</f>
        <v>107</v>
      </c>
      <c r="I66" s="2">
        <v>64</v>
      </c>
      <c r="J66" s="2" t="str">
        <f>IFERROR(INDEX(TableRBMaster[Player],MATCH(TableRBCalcPts[[#This Row],[RBRef]],TableRBMaster[RBRef],0)),"")</f>
        <v>Dylan Laube</v>
      </c>
      <c r="K66" s="2" t="str">
        <f>IFERROR(INDEX(TableRBMaster[TM],MATCH(TableRBCalcPts[[#This Row],[RBRef]],TableRBMaster[RBRef],0)),"")</f>
        <v>LV</v>
      </c>
      <c r="L66" s="2">
        <f>IFERROR(INDEX(TableRBMaster[BYE],MATCH(TableRBCalcPts[[#This Row],[RBRef]],TableRBMaster[RBRef],0)),"")</f>
        <v>13</v>
      </c>
      <c r="M66" s="3">
        <f>IFERROR(INDEX(TableRBMaster[Custom],MATCH(TableRBCalcPts[[#This Row],[RBRef]],TableRBMaster[RBRef],0)),"")</f>
        <v>7.6774450373660468</v>
      </c>
      <c r="O66" s="2">
        <f>IFERROR(RANK(TableWRCalcPts[[#This Row],[Custom]],TableWRCalcPts[Custom])+COUNTIF($T$3:T66,T66)-1,"")</f>
        <v>101</v>
      </c>
      <c r="P66" s="2">
        <v>64</v>
      </c>
      <c r="Q66" s="2" t="str">
        <f>IFERROR(INDEX(TableWRMaster[Player],MATCH(TableWRCalcPts[[#This Row],[WRRef]],TableWRMaster[WRRef],0)),"")</f>
        <v>Savion Williams</v>
      </c>
      <c r="R66" s="2" t="str">
        <f>IFERROR(INDEX(TableWRMaster[TM],MATCH(TableWRCalcPts[[#This Row],[WRRef]],TableWRMaster[WRRef],0)),"")</f>
        <v>GB</v>
      </c>
      <c r="S66" s="2">
        <f>IFERROR(INDEX(TableWRMaster[BYE],MATCH(TableWRCalcPts[[#This Row],[WRRef]],TableWRMaster[WRRef],0)),"")</f>
        <v>11</v>
      </c>
      <c r="T66" s="3">
        <f>IFERROR(INDEX(TableWRMaster[Custom],MATCH(TableWRCalcPts[[#This Row],[WRRef]],TableWRMaster[WRRef],0)),"")</f>
        <v>50.259188410268962</v>
      </c>
      <c r="V66" s="2">
        <f>IFERROR(RANK(TableTECalcPts[[#This Row],[Custom]],TableTECalcPts[Custom])+COUNTIF($AA$3:AA66,AA66)-1,"")</f>
        <v>67</v>
      </c>
      <c r="W66" s="2">
        <v>64</v>
      </c>
      <c r="X66" s="2" t="str">
        <f>IFERROR(INDEX(TableTEMaster[Player],MATCH(TableTECalcPts[[#This Row],[TERef]],TableTEMaster[TERef],0)),"")</f>
        <v>Oscar Delp</v>
      </c>
      <c r="Y66" s="2" t="str">
        <f>IFERROR(INDEX(TableTEMaster[TM],MATCH(TableTECalcPts[[#This Row],[TERef]],TableTEMaster[TERef],0)),"")</f>
        <v>NO</v>
      </c>
      <c r="Z66" s="2">
        <f>IFERROR(INDEX(TableTEMaster[BYE],MATCH(TableTECalcPts[[#This Row],[TERef]],TableTEMaster[TERef],0)),"")</f>
        <v>8</v>
      </c>
      <c r="AA66" s="3">
        <f>IFERROR(INDEX(TableTEMaster[Custom],MATCH(TableTECalcPts[[#This Row],[TERef]],TableTEMaster[TERef],0)),"")</f>
        <v>13.780328907294518</v>
      </c>
      <c r="AI66" s="2" t="s">
        <v>8</v>
      </c>
      <c r="AJ66" s="2">
        <f>IFERROR(RANK(TableWRTECalcPts[[#This Row],[Custom]],TableWRTECalcPts[Custom])+COUNTIF($AP$3:AP66,AP66)-1,"")</f>
        <v>205</v>
      </c>
      <c r="AK66" s="2">
        <v>64</v>
      </c>
      <c r="AL66" s="2" t="str">
        <f>IFERROR(INDEX(TableTEMaster[Player],MATCH(TableWRTECalcPts[[#This Row],[POSRef]],TableTEMaster[TERef],0)),"")</f>
        <v>Oscar Delp</v>
      </c>
      <c r="AM66" s="2" t="str">
        <f>IFERROR(_xlfn.CONCAT(TableWRTECalcPts[[#This Row],[POS]],INDEX(TableTERanks[RK],MATCH(TableWRTECalcPts[[#This Row],[PLAYER]],TableTERanks[Player],0))),"")</f>
        <v>TE67</v>
      </c>
      <c r="AN66" s="2" t="str">
        <f>IFERROR(INDEX(TableTEMaster[TM],MATCH(TableWRTECalcPts[[#This Row],[POSRef]],TableTEMaster[TERef],0)),"")</f>
        <v>NO</v>
      </c>
      <c r="AO66" s="2">
        <f>IFERROR(INDEX(TableTEMaster[BYE],MATCH(TableWRTECalcPts[[#This Row],[POSRef]],TableTEMaster[TERef],0)),"")</f>
        <v>8</v>
      </c>
      <c r="AP66" s="3">
        <f>IFERROR(INDEX(TableTEMaster[Custom],MATCH(TableWRTECalcPts[[#This Row],[POSRef]],TableTEMaster[TERef],0)),"")</f>
        <v>13.780328907294518</v>
      </c>
    </row>
    <row r="67" spans="1:42" x14ac:dyDescent="0.25">
      <c r="A67" s="4">
        <f>IFERROR(RANK(TableQBCalcPts[[#This Row],[Custom]],TableQBCalcPts[Custom])+COUNTIF($F$3:F67,F67)-1,"")</f>
        <v>56</v>
      </c>
      <c r="B67" s="2">
        <v>65</v>
      </c>
      <c r="C67" s="2" t="str">
        <f>IFERROR(INDEX(TableQBMaster[Player],MATCH(TableQBCalcPts[[#This Row],[QBRef]],TableQBMaster[QBRef],0)),"")</f>
        <v>Jake Browning</v>
      </c>
      <c r="D67" s="2" t="str">
        <f>IFERROR(INDEX(TableQBMaster[TM],MATCH(TableQBCalcPts[[#This Row],[QBRef]],TableQBMaster[QBRef],0)),"")</f>
        <v>TB</v>
      </c>
      <c r="E67" s="2">
        <f>IFERROR(INDEX(TableQBMaster[BYE],MATCH(TableQBCalcPts[[#This Row],[QBRef]],TableQBMaster[QBRef],0)),"")</f>
        <v>10</v>
      </c>
      <c r="F67" s="3">
        <f>IFERROR(INDEX(TableQBMaster[Custom],MATCH(TableQBCalcPts[[#This Row],[QBRef]],TableQBMaster[QBRef],0)),"")</f>
        <v>6.6586480112464796</v>
      </c>
      <c r="H67" s="2">
        <f>IFERROR(RANK(TableRBCalcPts[[#This Row],[Custom]],TableRBCalcPts[Custom])+COUNTIF($M$3:M67,M67)-1,"")</f>
        <v>6</v>
      </c>
      <c r="I67" s="2">
        <v>65</v>
      </c>
      <c r="J67" s="2" t="str">
        <f>IFERROR(INDEX(TableRBMaster[Player],MATCH(TableRBCalcPts[[#This Row],[RBRef]],TableRBMaster[RBRef],0)),"")</f>
        <v>De'Von Achane</v>
      </c>
      <c r="K67" s="2" t="str">
        <f>IFERROR(INDEX(TableRBMaster[TM],MATCH(TableRBCalcPts[[#This Row],[RBRef]],TableRBMaster[RBRef],0)),"")</f>
        <v>MIA</v>
      </c>
      <c r="L67" s="2">
        <f>IFERROR(INDEX(TableRBMaster[BYE],MATCH(TableRBCalcPts[[#This Row],[RBRef]],TableRBMaster[RBRef],0)),"")</f>
        <v>6</v>
      </c>
      <c r="M67" s="3">
        <f>IFERROR(INDEX(TableRBMaster[Custom],MATCH(TableRBCalcPts[[#This Row],[RBRef]],TableRBMaster[RBRef],0)),"")</f>
        <v>249.37088241694448</v>
      </c>
      <c r="O67" s="2">
        <f>IFERROR(RANK(TableWRCalcPts[[#This Row],[Custom]],TableWRCalcPts[Custom])+COUNTIF($T$3:T67,T67)-1,"")</f>
        <v>155</v>
      </c>
      <c r="P67" s="2">
        <v>65</v>
      </c>
      <c r="Q67" s="2" t="str">
        <f>IFERROR(INDEX(TableWRMaster[Player],MATCH(TableWRCalcPts[[#This Row],[WRRef]],TableWRMaster[WRRef],0)),"")</f>
        <v>Bo Melton</v>
      </c>
      <c r="R67" s="2" t="str">
        <f>IFERROR(INDEX(TableWRMaster[TM],MATCH(TableWRCalcPts[[#This Row],[WRRef]],TableWRMaster[WRRef],0)),"")</f>
        <v>GB</v>
      </c>
      <c r="S67" s="2">
        <f>IFERROR(INDEX(TableWRMaster[BYE],MATCH(TableWRCalcPts[[#This Row],[WRRef]],TableWRMaster[WRRef],0)),"")</f>
        <v>11</v>
      </c>
      <c r="T67" s="3">
        <f>IFERROR(INDEX(TableWRMaster[Custom],MATCH(TableWRCalcPts[[#This Row],[WRRef]],TableWRMaster[WRRef],0)),"")</f>
        <v>7.8853193424873274</v>
      </c>
      <c r="V67" s="2">
        <f>IFERROR(RANK(TableTECalcPts[[#This Row],[Custom]],TableTECalcPts[Custom])+COUNTIF($AA$3:AA67,AA67)-1,"")</f>
        <v>9</v>
      </c>
      <c r="W67" s="2">
        <v>65</v>
      </c>
      <c r="X67" s="2" t="str">
        <f>IFERROR(INDEX(TableTEMaster[Player],MATCH(TableTECalcPts[[#This Row],[TERef]],TableTEMaster[TERef],0)),"")</f>
        <v>Isaiah Likely</v>
      </c>
      <c r="Y67" s="2" t="str">
        <f>IFERROR(INDEX(TableTEMaster[TM],MATCH(TableTECalcPts[[#This Row],[TERef]],TableTEMaster[TERef],0)),"")</f>
        <v>NYG</v>
      </c>
      <c r="Z67" s="2">
        <f>IFERROR(INDEX(TableTEMaster[BYE],MATCH(TableTECalcPts[[#This Row],[TERef]],TableTEMaster[TERef],0)),"")</f>
        <v>8</v>
      </c>
      <c r="AA67" s="3">
        <f>IFERROR(INDEX(TableTEMaster[Custom],MATCH(TableTECalcPts[[#This Row],[TERef]],TableTEMaster[TERef],0)),"")</f>
        <v>148.89250113248056</v>
      </c>
      <c r="AI67" s="2" t="s">
        <v>8</v>
      </c>
      <c r="AJ67" s="2">
        <f>IFERROR(RANK(TableWRTECalcPts[[#This Row],[Custom]],TableWRTECalcPts[Custom])+COUNTIF($AP$3:AP67,AP67)-1,"")</f>
        <v>52</v>
      </c>
      <c r="AK67" s="2">
        <v>65</v>
      </c>
      <c r="AL67" s="2" t="str">
        <f>IFERROR(INDEX(TableTEMaster[Player],MATCH(TableWRTECalcPts[[#This Row],[POSRef]],TableTEMaster[TERef],0)),"")</f>
        <v>Isaiah Likely</v>
      </c>
      <c r="AM67" s="2" t="str">
        <f>IFERROR(_xlfn.CONCAT(TableWRTECalcPts[[#This Row],[POS]],INDEX(TableTERanks[RK],MATCH(TableWRTECalcPts[[#This Row],[PLAYER]],TableTERanks[Player],0))),"")</f>
        <v>TE9</v>
      </c>
      <c r="AN67" s="2" t="str">
        <f>IFERROR(INDEX(TableTEMaster[TM],MATCH(TableWRTECalcPts[[#This Row],[POSRef]],TableTEMaster[TERef],0)),"")</f>
        <v>NYG</v>
      </c>
      <c r="AO67" s="2">
        <f>IFERROR(INDEX(TableTEMaster[BYE],MATCH(TableWRTECalcPts[[#This Row],[POSRef]],TableTEMaster[TERef],0)),"")</f>
        <v>8</v>
      </c>
      <c r="AP67" s="3">
        <f>IFERROR(INDEX(TableTEMaster[Custom],MATCH(TableWRTECalcPts[[#This Row],[POSRef]],TableTEMaster[TERef],0)),"")</f>
        <v>148.89250113248056</v>
      </c>
    </row>
    <row r="68" spans="1:42" x14ac:dyDescent="0.25">
      <c r="A68" s="4">
        <f>IFERROR(RANK(TableQBCalcPts[[#This Row],[Custom]],TableQBCalcPts[Custom])+COUNTIF($F$3:F68,F68)-1,"")</f>
        <v>24</v>
      </c>
      <c r="B68" s="2">
        <v>66</v>
      </c>
      <c r="C68" s="2" t="str">
        <f>IFERROR(INDEX(TableQBMaster[Player],MATCH(TableQBCalcPts[[#This Row],[QBRef]],TableQBMaster[QBRef],0)),"")</f>
        <v>Cam Ward</v>
      </c>
      <c r="D68" s="2" t="str">
        <f>IFERROR(INDEX(TableQBMaster[TM],MATCH(TableQBCalcPts[[#This Row],[QBRef]],TableQBMaster[QBRef],0)),"")</f>
        <v>TEN</v>
      </c>
      <c r="E68" s="2">
        <f>IFERROR(INDEX(TableQBMaster[BYE],MATCH(TableQBCalcPts[[#This Row],[QBRef]],TableQBMaster[QBRef],0)),"")</f>
        <v>9</v>
      </c>
      <c r="F68" s="3">
        <f>IFERROR(INDEX(TableQBMaster[Custom],MATCH(TableQBCalcPts[[#This Row],[QBRef]],TableQBMaster[QBRef],0)),"")</f>
        <v>351.54746339601598</v>
      </c>
      <c r="H68" s="2">
        <f>IFERROR(RANK(TableRBCalcPts[[#This Row],[Custom]],TableRBCalcPts[Custom])+COUNTIF($M$3:M68,M68)-1,"")</f>
        <v>65</v>
      </c>
      <c r="I68" s="2">
        <v>66</v>
      </c>
      <c r="J68" s="2" t="str">
        <f>IFERROR(INDEX(TableRBMaster[Player],MATCH(TableRBCalcPts[[#This Row],[RBRef]],TableRBMaster[RBRef],0)),"")</f>
        <v>Ollie Gordon</v>
      </c>
      <c r="K68" s="2" t="str">
        <f>IFERROR(INDEX(TableRBMaster[TM],MATCH(TableRBCalcPts[[#This Row],[RBRef]],TableRBMaster[RBRef],0)),"")</f>
        <v>MIA</v>
      </c>
      <c r="L68" s="2">
        <f>IFERROR(INDEX(TableRBMaster[BYE],MATCH(TableRBCalcPts[[#This Row],[RBRef]],TableRBMaster[RBRef],0)),"")</f>
        <v>6</v>
      </c>
      <c r="M68" s="3">
        <f>IFERROR(INDEX(TableRBMaster[Custom],MATCH(TableRBCalcPts[[#This Row],[RBRef]],TableRBMaster[RBRef],0)),"")</f>
        <v>48.085238757441402</v>
      </c>
      <c r="O68" s="2">
        <f>IFERROR(RANK(TableWRCalcPts[[#This Row],[Custom]],TableWRCalcPts[Custom])+COUNTIF($T$3:T68,T68)-1,"")</f>
        <v>182</v>
      </c>
      <c r="P68" s="2">
        <v>66</v>
      </c>
      <c r="Q68" s="2" t="str">
        <f>IFERROR(INDEX(TableWRMaster[Player],MATCH(TableWRCalcPts[[#This Row],[WRRef]],TableWRMaster[WRRef],0)),"")</f>
        <v>Skyy Moore</v>
      </c>
      <c r="R68" s="2" t="str">
        <f>IFERROR(INDEX(TableWRMaster[TM],MATCH(TableWRCalcPts[[#This Row],[WRRef]],TableWRMaster[WRRef],0)),"")</f>
        <v>GB</v>
      </c>
      <c r="S68" s="2">
        <f>IFERROR(INDEX(TableWRMaster[BYE],MATCH(TableWRCalcPts[[#This Row],[WRRef]],TableWRMaster[WRRef],0)),"")</f>
        <v>11</v>
      </c>
      <c r="T68" s="3">
        <f>IFERROR(INDEX(TableWRMaster[Custom],MATCH(TableWRCalcPts[[#This Row],[WRRef]],TableWRMaster[WRRef],0)),"")</f>
        <v>0</v>
      </c>
      <c r="V68" s="2">
        <f>IFERROR(RANK(TableTECalcPts[[#This Row],[Custom]],TableTECalcPts[Custom])+COUNTIF($AA$3:AA68,AA68)-1,"")</f>
        <v>44</v>
      </c>
      <c r="W68" s="2">
        <v>66</v>
      </c>
      <c r="X68" s="2" t="str">
        <f>IFERROR(INDEX(TableTEMaster[Player],MATCH(TableTECalcPts[[#This Row],[TERef]],TableTEMaster[TERef],0)),"")</f>
        <v>Theo Johnson</v>
      </c>
      <c r="Y68" s="2" t="str">
        <f>IFERROR(INDEX(TableTEMaster[TM],MATCH(TableTECalcPts[[#This Row],[TERef]],TableTEMaster[TERef],0)),"")</f>
        <v>NYG</v>
      </c>
      <c r="Z68" s="2">
        <f>IFERROR(INDEX(TableTEMaster[BYE],MATCH(TableTECalcPts[[#This Row],[TERef]],TableTEMaster[TERef],0)),"")</f>
        <v>8</v>
      </c>
      <c r="AA68" s="3">
        <f>IFERROR(INDEX(TableTEMaster[Custom],MATCH(TableTECalcPts[[#This Row],[TERef]],TableTEMaster[TERef],0)),"")</f>
        <v>41.026183631433959</v>
      </c>
      <c r="AI68" s="2" t="s">
        <v>8</v>
      </c>
      <c r="AJ68" s="2">
        <f>IFERROR(RANK(TableWRTECalcPts[[#This Row],[Custom]],TableWRTECalcPts[Custom])+COUNTIF($AP$3:AP68,AP68)-1,"")</f>
        <v>154</v>
      </c>
      <c r="AK68" s="2">
        <v>66</v>
      </c>
      <c r="AL68" s="2" t="str">
        <f>IFERROR(INDEX(TableTEMaster[Player],MATCH(TableWRTECalcPts[[#This Row],[POSRef]],TableTEMaster[TERef],0)),"")</f>
        <v>Theo Johnson</v>
      </c>
      <c r="AM68" s="2" t="str">
        <f>IFERROR(_xlfn.CONCAT(TableWRTECalcPts[[#This Row],[POS]],INDEX(TableTERanks[RK],MATCH(TableWRTECalcPts[[#This Row],[PLAYER]],TableTERanks[Player],0))),"")</f>
        <v>TE44</v>
      </c>
      <c r="AN68" s="2" t="str">
        <f>IFERROR(INDEX(TableTEMaster[TM],MATCH(TableWRTECalcPts[[#This Row],[POSRef]],TableTEMaster[TERef],0)),"")</f>
        <v>NYG</v>
      </c>
      <c r="AO68" s="2">
        <f>IFERROR(INDEX(TableTEMaster[BYE],MATCH(TableWRTECalcPts[[#This Row],[POSRef]],TableTEMaster[TERef],0)),"")</f>
        <v>8</v>
      </c>
      <c r="AP68" s="3">
        <f>IFERROR(INDEX(TableTEMaster[Custom],MATCH(TableWRTECalcPts[[#This Row],[POSRef]],TableTEMaster[TERef],0)),"")</f>
        <v>41.026183631433959</v>
      </c>
    </row>
    <row r="69" spans="1:42" x14ac:dyDescent="0.25">
      <c r="A69" s="4">
        <f>IFERROR(RANK(TableQBCalcPts[[#This Row],[Custom]],TableQBCalcPts[Custom])+COUNTIF($F$3:F69,F69)-1,"")</f>
        <v>53</v>
      </c>
      <c r="B69" s="2">
        <v>67</v>
      </c>
      <c r="C69" s="2" t="str">
        <f>IFERROR(INDEX(TableQBMaster[Player],MATCH(TableQBCalcPts[[#This Row],[QBRef]],TableQBMaster[QBRef],0)),"")</f>
        <v>Mitchell Trubisky</v>
      </c>
      <c r="D69" s="2" t="str">
        <f>IFERROR(INDEX(TableQBMaster[TM],MATCH(TableQBCalcPts[[#This Row],[QBRef]],TableQBMaster[QBRef],0)),"")</f>
        <v>TEN</v>
      </c>
      <c r="E69" s="2">
        <f>IFERROR(INDEX(TableQBMaster[BYE],MATCH(TableQBCalcPts[[#This Row],[QBRef]],TableQBMaster[QBRef],0)),"")</f>
        <v>9</v>
      </c>
      <c r="F69" s="3">
        <f>IFERROR(INDEX(TableQBMaster[Custom],MATCH(TableQBCalcPts[[#This Row],[QBRef]],TableQBMaster[QBRef],0)),"")</f>
        <v>6.8780731764705898</v>
      </c>
      <c r="H69" s="2">
        <f>IFERROR(RANK(TableRBCalcPts[[#This Row],[Custom]],TableRBCalcPts[Custom])+COUNTIF($M$3:M69,M69)-1,"")</f>
        <v>77</v>
      </c>
      <c r="I69" s="2">
        <v>67</v>
      </c>
      <c r="J69" s="2" t="str">
        <f>IFERROR(INDEX(TableRBMaster[Player],MATCH(TableRBCalcPts[[#This Row],[RBRef]],TableRBMaster[RBRef],0)),"")</f>
        <v>Jaylen Wright</v>
      </c>
      <c r="K69" s="2" t="str">
        <f>IFERROR(INDEX(TableRBMaster[TM],MATCH(TableRBCalcPts[[#This Row],[RBRef]],TableRBMaster[RBRef],0)),"")</f>
        <v>MIA</v>
      </c>
      <c r="L69" s="2">
        <f>IFERROR(INDEX(TableRBMaster[BYE],MATCH(TableRBCalcPts[[#This Row],[RBRef]],TableRBMaster[RBRef],0)),"")</f>
        <v>6</v>
      </c>
      <c r="M69" s="3">
        <f>IFERROR(INDEX(TableRBMaster[Custom],MATCH(TableRBCalcPts[[#This Row],[RBRef]],TableRBMaster[RBRef],0)),"")</f>
        <v>28.488157787613616</v>
      </c>
      <c r="O69" s="2">
        <f>IFERROR(RANK(TableWRCalcPts[[#This Row],[Custom]],TableWRCalcPts[Custom])+COUNTIF($T$3:T69,T69)-1,"")</f>
        <v>10</v>
      </c>
      <c r="P69" s="2">
        <v>67</v>
      </c>
      <c r="Q69" s="2" t="str">
        <f>IFERROR(INDEX(TableWRMaster[Player],MATCH(TableWRCalcPts[[#This Row],[WRRef]],TableWRMaster[WRRef],0)),"")</f>
        <v>Nico Collins</v>
      </c>
      <c r="R69" s="2" t="str">
        <f>IFERROR(INDEX(TableWRMaster[TM],MATCH(TableWRCalcPts[[#This Row],[WRRef]],TableWRMaster[WRRef],0)),"")</f>
        <v>HOU</v>
      </c>
      <c r="S69" s="2">
        <f>IFERROR(INDEX(TableWRMaster[BYE],MATCH(TableWRCalcPts[[#This Row],[WRRef]],TableWRMaster[WRRef],0)),"")</f>
        <v>8</v>
      </c>
      <c r="T69" s="3">
        <f>IFERROR(INDEX(TableWRMaster[Custom],MATCH(TableWRCalcPts[[#This Row],[WRRef]],TableWRMaster[WRRef],0)),"")</f>
        <v>212.48861218175085</v>
      </c>
      <c r="V69" s="2">
        <f>IFERROR(RANK(TableTECalcPts[[#This Row],[Custom]],TableTECalcPts[Custom])+COUNTIF($AA$3:AA69,AA69)-1,"")</f>
        <v>82</v>
      </c>
      <c r="W69" s="2">
        <v>67</v>
      </c>
      <c r="X69" s="2" t="str">
        <f>IFERROR(INDEX(TableTEMaster[Player],MATCH(TableTECalcPts[[#This Row],[TERef]],TableTEMaster[TERef],0)),"")</f>
        <v>Thomas Fidone</v>
      </c>
      <c r="Y69" s="2" t="str">
        <f>IFERROR(INDEX(TableTEMaster[TM],MATCH(TableTECalcPts[[#This Row],[TERef]],TableTEMaster[TERef],0)),"")</f>
        <v>NYG</v>
      </c>
      <c r="Z69" s="2">
        <f>IFERROR(INDEX(TableTEMaster[BYE],MATCH(TableTECalcPts[[#This Row],[TERef]],TableTEMaster[TERef],0)),"")</f>
        <v>8</v>
      </c>
      <c r="AA69" s="3">
        <f>IFERROR(INDEX(TableTEMaster[Custom],MATCH(TableTECalcPts[[#This Row],[TERef]],TableTEMaster[TERef],0)),"")</f>
        <v>2.8762172109034005</v>
      </c>
      <c r="AI69" s="2" t="s">
        <v>8</v>
      </c>
      <c r="AJ69" s="2">
        <f>IFERROR(RANK(TableWRTECalcPts[[#This Row],[Custom]],TableWRTECalcPts[Custom])+COUNTIF($AP$3:AP69,AP69)-1,"")</f>
        <v>262</v>
      </c>
      <c r="AK69" s="2">
        <v>67</v>
      </c>
      <c r="AL69" s="2" t="str">
        <f>IFERROR(INDEX(TableTEMaster[Player],MATCH(TableWRTECalcPts[[#This Row],[POSRef]],TableTEMaster[TERef],0)),"")</f>
        <v>Thomas Fidone</v>
      </c>
      <c r="AM69" s="2" t="str">
        <f>IFERROR(_xlfn.CONCAT(TableWRTECalcPts[[#This Row],[POS]],INDEX(TableTERanks[RK],MATCH(TableWRTECalcPts[[#This Row],[PLAYER]],TableTERanks[Player],0))),"")</f>
        <v>TE82</v>
      </c>
      <c r="AN69" s="2" t="str">
        <f>IFERROR(INDEX(TableTEMaster[TM],MATCH(TableWRTECalcPts[[#This Row],[POSRef]],TableTEMaster[TERef],0)),"")</f>
        <v>NYG</v>
      </c>
      <c r="AO69" s="2">
        <f>IFERROR(INDEX(TableTEMaster[BYE],MATCH(TableWRTECalcPts[[#This Row],[POSRef]],TableTEMaster[TERef],0)),"")</f>
        <v>8</v>
      </c>
      <c r="AP69" s="3">
        <f>IFERROR(INDEX(TableTEMaster[Custom],MATCH(TableWRTECalcPts[[#This Row],[POSRef]],TableTEMaster[TERef],0)),"")</f>
        <v>2.8762172109034005</v>
      </c>
    </row>
    <row r="70" spans="1:42" x14ac:dyDescent="0.25">
      <c r="A70" s="4">
        <f>IFERROR(RANK(TableQBCalcPts[[#This Row],[Custom]],TableQBCalcPts[Custom])+COUNTIF($F$3:F70,F70)-1,"")</f>
        <v>14</v>
      </c>
      <c r="B70" s="2">
        <v>68</v>
      </c>
      <c r="C70" s="2" t="str">
        <f>IFERROR(INDEX(TableQBMaster[Player],MATCH(TableQBCalcPts[[#This Row],[QBRef]],TableQBMaster[QBRef],0)),"")</f>
        <v>Jayden Daniels</v>
      </c>
      <c r="D70" s="2" t="str">
        <f>IFERROR(INDEX(TableQBMaster[TM],MATCH(TableQBCalcPts[[#This Row],[QBRef]],TableQBMaster[QBRef],0)),"")</f>
        <v>WSH</v>
      </c>
      <c r="E70" s="2">
        <f>IFERROR(INDEX(TableQBMaster[BYE],MATCH(TableQBCalcPts[[#This Row],[QBRef]],TableQBMaster[QBRef],0)),"")</f>
        <v>7</v>
      </c>
      <c r="F70" s="3">
        <f>IFERROR(INDEX(TableQBMaster[Custom],MATCH(TableQBCalcPts[[#This Row],[QBRef]],TableQBMaster[QBRef],0)),"")</f>
        <v>399.83546948934764</v>
      </c>
      <c r="H70" s="2">
        <f>IFERROR(RANK(TableRBCalcPts[[#This Row],[Custom]],TableRBCalcPts[Custom])+COUNTIF($M$3:M70,M70)-1,"")</f>
        <v>37</v>
      </c>
      <c r="I70" s="2">
        <v>68</v>
      </c>
      <c r="J70" s="2" t="str">
        <f>IFERROR(INDEX(TableRBMaster[Player],MATCH(TableRBCalcPts[[#This Row],[RBRef]],TableRBMaster[RBRef],0)),"")</f>
        <v>Aaron Jones</v>
      </c>
      <c r="K70" s="2" t="str">
        <f>IFERROR(INDEX(TableRBMaster[TM],MATCH(TableRBCalcPts[[#This Row],[RBRef]],TableRBMaster[RBRef],0)),"")</f>
        <v>MIN</v>
      </c>
      <c r="L70" s="2">
        <f>IFERROR(INDEX(TableRBMaster[BYE],MATCH(TableRBCalcPts[[#This Row],[RBRef]],TableRBMaster[RBRef],0)),"")</f>
        <v>6</v>
      </c>
      <c r="M70" s="3">
        <f>IFERROR(INDEX(TableRBMaster[Custom],MATCH(TableRBCalcPts[[#This Row],[RBRef]],TableRBMaster[RBRef],0)),"")</f>
        <v>130.92158640534046</v>
      </c>
      <c r="O70" s="2">
        <f>IFERROR(RANK(TableWRCalcPts[[#This Row],[Custom]],TableWRCalcPts[Custom])+COUNTIF($T$3:T70,T70)-1,"")</f>
        <v>40</v>
      </c>
      <c r="P70" s="2">
        <v>68</v>
      </c>
      <c r="Q70" s="2" t="str">
        <f>IFERROR(INDEX(TableWRMaster[Player],MATCH(TableWRCalcPts[[#This Row],[WRRef]],TableWRMaster[WRRef],0)),"")</f>
        <v>Jayden Higgins</v>
      </c>
      <c r="R70" s="2" t="str">
        <f>IFERROR(INDEX(TableWRMaster[TM],MATCH(TableWRCalcPts[[#This Row],[WRRef]],TableWRMaster[WRRef],0)),"")</f>
        <v>HOU</v>
      </c>
      <c r="S70" s="2">
        <f>IFERROR(INDEX(TableWRMaster[BYE],MATCH(TableWRCalcPts[[#This Row],[WRRef]],TableWRMaster[WRRef],0)),"")</f>
        <v>8</v>
      </c>
      <c r="T70" s="3">
        <f>IFERROR(INDEX(TableWRMaster[Custom],MATCH(TableWRCalcPts[[#This Row],[WRRef]],TableWRMaster[WRRef],0)),"")</f>
        <v>152.492255822088</v>
      </c>
      <c r="V70" s="2">
        <f>IFERROR(RANK(TableTECalcPts[[#This Row],[Custom]],TableTECalcPts[Custom])+COUNTIF($AA$3:AA70,AA70)-1,"")</f>
        <v>28</v>
      </c>
      <c r="W70" s="2">
        <v>68</v>
      </c>
      <c r="X70" s="2" t="str">
        <f>IFERROR(INDEX(TableTEMaster[Player],MATCH(TableTECalcPts[[#This Row],[TERef]],TableTEMaster[TERef],0)),"")</f>
        <v>Kenyon Sadiq</v>
      </c>
      <c r="Y70" s="2" t="str">
        <f>IFERROR(INDEX(TableTEMaster[TM],MATCH(TableTECalcPts[[#This Row],[TERef]],TableTEMaster[TERef],0)),"")</f>
        <v>NYJ</v>
      </c>
      <c r="Z70" s="2">
        <f>IFERROR(INDEX(TableTEMaster[BYE],MATCH(TableTECalcPts[[#This Row],[TERef]],TableTEMaster[TERef],0)),"")</f>
        <v>13</v>
      </c>
      <c r="AA70" s="3">
        <f>IFERROR(INDEX(TableTEMaster[Custom],MATCH(TableTECalcPts[[#This Row],[TERef]],TableTEMaster[TERef],0)),"")</f>
        <v>86.789669330026697</v>
      </c>
      <c r="AI70" s="2" t="s">
        <v>8</v>
      </c>
      <c r="AJ70" s="2">
        <f>IFERROR(RANK(TableWRTECalcPts[[#This Row],[Custom]],TableWRTECalcPts[Custom])+COUNTIF($AP$3:AP70,AP70)-1,"")</f>
        <v>103</v>
      </c>
      <c r="AK70" s="2">
        <v>68</v>
      </c>
      <c r="AL70" s="2" t="str">
        <f>IFERROR(INDEX(TableTEMaster[Player],MATCH(TableWRTECalcPts[[#This Row],[POSRef]],TableTEMaster[TERef],0)),"")</f>
        <v>Kenyon Sadiq</v>
      </c>
      <c r="AM70" s="2" t="str">
        <f>IFERROR(_xlfn.CONCAT(TableWRTECalcPts[[#This Row],[POS]],INDEX(TableTERanks[RK],MATCH(TableWRTECalcPts[[#This Row],[PLAYER]],TableTERanks[Player],0))),"")</f>
        <v>TE28</v>
      </c>
      <c r="AN70" s="2" t="str">
        <f>IFERROR(INDEX(TableTEMaster[TM],MATCH(TableWRTECalcPts[[#This Row],[POSRef]],TableTEMaster[TERef],0)),"")</f>
        <v>NYJ</v>
      </c>
      <c r="AO70" s="2">
        <f>IFERROR(INDEX(TableTEMaster[BYE],MATCH(TableWRTECalcPts[[#This Row],[POSRef]],TableTEMaster[TERef],0)),"")</f>
        <v>13</v>
      </c>
      <c r="AP70" s="3">
        <f>IFERROR(INDEX(TableTEMaster[Custom],MATCH(TableWRTECalcPts[[#This Row],[POSRef]],TableTEMaster[TERef],0)),"")</f>
        <v>86.789669330026697</v>
      </c>
    </row>
    <row r="71" spans="1:42" x14ac:dyDescent="0.25">
      <c r="A71" s="4">
        <f>IFERROR(RANK(TableQBCalcPts[[#This Row],[Custom]],TableQBCalcPts[Custom])+COUNTIF($F$3:F71,F71)-1,"")</f>
        <v>39</v>
      </c>
      <c r="B71" s="2">
        <v>69</v>
      </c>
      <c r="C71" s="2" t="str">
        <f>IFERROR(INDEX(TableQBMaster[Player],MATCH(TableQBCalcPts[[#This Row],[QBRef]],TableQBMaster[QBRef],0)),"")</f>
        <v>Marcus Mariota</v>
      </c>
      <c r="D71" s="2" t="str">
        <f>IFERROR(INDEX(TableQBMaster[TM],MATCH(TableQBCalcPts[[#This Row],[QBRef]],TableQBMaster[QBRef],0)),"")</f>
        <v>WSH</v>
      </c>
      <c r="E71" s="2">
        <f>IFERROR(INDEX(TableQBMaster[BYE],MATCH(TableQBCalcPts[[#This Row],[QBRef]],TableQBMaster[QBRef],0)),"")</f>
        <v>7</v>
      </c>
      <c r="F71" s="3">
        <f>IFERROR(INDEX(TableQBMaster[Custom],MATCH(TableQBCalcPts[[#This Row],[QBRef]],TableQBMaster[QBRef],0)),"")</f>
        <v>20.087651290103864</v>
      </c>
      <c r="H71" s="2">
        <f>IFERROR(RANK(TableRBCalcPts[[#This Row],[Custom]],TableRBCalcPts[Custom])+COUNTIF($M$3:M71,M71)-1,"")</f>
        <v>35</v>
      </c>
      <c r="I71" s="2">
        <v>69</v>
      </c>
      <c r="J71" s="2" t="str">
        <f>IFERROR(INDEX(TableRBMaster[Player],MATCH(TableRBCalcPts[[#This Row],[RBRef]],TableRBMaster[RBRef],0)),"")</f>
        <v>Jordan Mason</v>
      </c>
      <c r="K71" s="2" t="str">
        <f>IFERROR(INDEX(TableRBMaster[TM],MATCH(TableRBCalcPts[[#This Row],[RBRef]],TableRBMaster[RBRef],0)),"")</f>
        <v>MIN</v>
      </c>
      <c r="L71" s="2">
        <f>IFERROR(INDEX(TableRBMaster[BYE],MATCH(TableRBCalcPts[[#This Row],[RBRef]],TableRBMaster[RBRef],0)),"")</f>
        <v>6</v>
      </c>
      <c r="M71" s="3">
        <f>IFERROR(INDEX(TableRBMaster[Custom],MATCH(TableRBCalcPts[[#This Row],[RBRef]],TableRBMaster[RBRef],0)),"")</f>
        <v>132.30675892592791</v>
      </c>
      <c r="O71" s="2">
        <f>IFERROR(RANK(TableWRCalcPts[[#This Row],[Custom]],TableWRCalcPts[Custom])+COUNTIF($T$3:T71,T71)-1,"")</f>
        <v>79</v>
      </c>
      <c r="P71" s="2">
        <v>69</v>
      </c>
      <c r="Q71" s="2" t="str">
        <f>IFERROR(INDEX(TableWRMaster[Player],MATCH(TableWRCalcPts[[#This Row],[WRRef]],TableWRMaster[WRRef],0)),"")</f>
        <v>Jaylin Noel</v>
      </c>
      <c r="R71" s="2" t="str">
        <f>IFERROR(INDEX(TableWRMaster[TM],MATCH(TableWRCalcPts[[#This Row],[WRRef]],TableWRMaster[WRRef],0)),"")</f>
        <v>HOU</v>
      </c>
      <c r="S71" s="2">
        <f>IFERROR(INDEX(TableWRMaster[BYE],MATCH(TableWRCalcPts[[#This Row],[WRRef]],TableWRMaster[WRRef],0)),"")</f>
        <v>8</v>
      </c>
      <c r="T71" s="3">
        <f>IFERROR(INDEX(TableWRMaster[Custom],MATCH(TableWRCalcPts[[#This Row],[WRRef]],TableWRMaster[WRRef],0)),"")</f>
        <v>74.661111555857417</v>
      </c>
      <c r="V71" s="2">
        <f>IFERROR(RANK(TableTECalcPts[[#This Row],[Custom]],TableTECalcPts[Custom])+COUNTIF($AA$3:AA71,AA71)-1,"")</f>
        <v>33</v>
      </c>
      <c r="W71" s="2">
        <v>69</v>
      </c>
      <c r="X71" s="2" t="str">
        <f>IFERROR(INDEX(TableTEMaster[Player],MATCH(TableTECalcPts[[#This Row],[TERef]],TableTEMaster[TERef],0)),"")</f>
        <v>Mason Taylor</v>
      </c>
      <c r="Y71" s="2" t="str">
        <f>IFERROR(INDEX(TableTEMaster[TM],MATCH(TableTECalcPts[[#This Row],[TERef]],TableTEMaster[TERef],0)),"")</f>
        <v>NYJ</v>
      </c>
      <c r="Z71" s="2">
        <f>IFERROR(INDEX(TableTEMaster[BYE],MATCH(TableTECalcPts[[#This Row],[TERef]],TableTEMaster[TERef],0)),"")</f>
        <v>13</v>
      </c>
      <c r="AA71" s="3">
        <f>IFERROR(INDEX(TableTEMaster[Custom],MATCH(TableTECalcPts[[#This Row],[TERef]],TableTEMaster[TERef],0)),"")</f>
        <v>64.620107061078613</v>
      </c>
      <c r="AI71" s="2" t="s">
        <v>8</v>
      </c>
      <c r="AJ71" s="2">
        <f>IFERROR(RANK(TableWRTECalcPts[[#This Row],[Custom]],TableWRTECalcPts[Custom])+COUNTIF($AP$3:AP71,AP71)-1,"")</f>
        <v>115</v>
      </c>
      <c r="AK71" s="2">
        <v>69</v>
      </c>
      <c r="AL71" s="2" t="str">
        <f>IFERROR(INDEX(TableTEMaster[Player],MATCH(TableWRTECalcPts[[#This Row],[POSRef]],TableTEMaster[TERef],0)),"")</f>
        <v>Mason Taylor</v>
      </c>
      <c r="AM71" s="2" t="str">
        <f>IFERROR(_xlfn.CONCAT(TableWRTECalcPts[[#This Row],[POS]],INDEX(TableTERanks[RK],MATCH(TableWRTECalcPts[[#This Row],[PLAYER]],TableTERanks[Player],0))),"")</f>
        <v>TE33</v>
      </c>
      <c r="AN71" s="2" t="str">
        <f>IFERROR(INDEX(TableTEMaster[TM],MATCH(TableWRTECalcPts[[#This Row],[POSRef]],TableTEMaster[TERef],0)),"")</f>
        <v>NYJ</v>
      </c>
      <c r="AO71" s="2">
        <f>IFERROR(INDEX(TableTEMaster[BYE],MATCH(TableWRTECalcPts[[#This Row],[POSRef]],TableTEMaster[TERef],0)),"")</f>
        <v>13</v>
      </c>
      <c r="AP71" s="3">
        <f>IFERROR(INDEX(TableTEMaster[Custom],MATCH(TableWRTECalcPts[[#This Row],[POSRef]],TableTEMaster[TERef],0)),"")</f>
        <v>64.620107061078613</v>
      </c>
    </row>
    <row r="72" spans="1:42" x14ac:dyDescent="0.25">
      <c r="A72" s="4" t="str">
        <f>IFERROR(RANK(TableQBCalcPts[[#This Row],[Custom]],TableQBCalcPts[Custom])+COUNTIF($F$3:F72,F72)-1,"")</f>
        <v/>
      </c>
      <c r="B72" s="2">
        <v>70</v>
      </c>
      <c r="C72" s="2" t="str">
        <f>IFERROR(INDEX(TableQBMaster[Player],MATCH(TableQBCalcPts[[#This Row],[QBRef]],TableQBMaster[QBRef],0)),"")</f>
        <v/>
      </c>
      <c r="D72" s="2" t="str">
        <f>IFERROR(INDEX(TableQBMaster[TM],MATCH(TableQBCalcPts[[#This Row],[QBRef]],TableQBMaster[QBRef],0)),"")</f>
        <v/>
      </c>
      <c r="E72" s="2" t="str">
        <f>IFERROR(INDEX(TableQBMaster[BYE],MATCH(TableQBCalcPts[[#This Row],[QBRef]],TableQBMaster[QBRef],0)),"")</f>
        <v/>
      </c>
      <c r="F72" s="3" t="str">
        <f>IFERROR(INDEX(TableQBMaster[Custom],MATCH(TableQBCalcPts[[#This Row],[QBRef]],TableQBMaster[QBRef],0)),"")</f>
        <v/>
      </c>
      <c r="H72" s="2">
        <f>IFERROR(RANK(TableRBCalcPts[[#This Row],[Custom]],TableRBCalcPts[Custom])+COUNTIF($M$3:M72,M72)-1,"")</f>
        <v>69</v>
      </c>
      <c r="I72" s="2">
        <v>70</v>
      </c>
      <c r="J72" s="2" t="str">
        <f>IFERROR(INDEX(TableRBMaster[Player],MATCH(TableRBCalcPts[[#This Row],[RBRef]],TableRBMaster[RBRef],0)),"")</f>
        <v>Demond Claiborne</v>
      </c>
      <c r="K72" s="2" t="str">
        <f>IFERROR(INDEX(TableRBMaster[TM],MATCH(TableRBCalcPts[[#This Row],[RBRef]],TableRBMaster[RBRef],0)),"")</f>
        <v>MIN</v>
      </c>
      <c r="L72" s="2">
        <f>IFERROR(INDEX(TableRBMaster[BYE],MATCH(TableRBCalcPts[[#This Row],[RBRef]],TableRBMaster[RBRef],0)),"")</f>
        <v>6</v>
      </c>
      <c r="M72" s="3">
        <f>IFERROR(INDEX(TableRBMaster[Custom],MATCH(TableRBCalcPts[[#This Row],[RBRef]],TableRBMaster[RBRef],0)),"")</f>
        <v>41.682847688636514</v>
      </c>
      <c r="O72" s="2">
        <f>IFERROR(RANK(TableWRCalcPts[[#This Row],[Custom]],TableWRCalcPts[Custom])+COUNTIF($T$3:T72,T72)-1,"")</f>
        <v>81</v>
      </c>
      <c r="P72" s="2">
        <v>70</v>
      </c>
      <c r="Q72" s="2" t="str">
        <f>IFERROR(INDEX(TableWRMaster[Player],MATCH(TableWRCalcPts[[#This Row],[WRRef]],TableWRMaster[WRRef],0)),"")</f>
        <v>Tank Dell</v>
      </c>
      <c r="R72" s="2" t="str">
        <f>IFERROR(INDEX(TableWRMaster[TM],MATCH(TableWRCalcPts[[#This Row],[WRRef]],TableWRMaster[WRRef],0)),"")</f>
        <v>HOU</v>
      </c>
      <c r="S72" s="2">
        <f>IFERROR(INDEX(TableWRMaster[BYE],MATCH(TableWRCalcPts[[#This Row],[WRRef]],TableWRMaster[WRRef],0)),"")</f>
        <v>8</v>
      </c>
      <c r="T72" s="3">
        <f>IFERROR(INDEX(TableWRMaster[Custom],MATCH(TableWRCalcPts[[#This Row],[WRRef]],TableWRMaster[WRRef],0)),"")</f>
        <v>69.155467284078</v>
      </c>
      <c r="V72" s="2">
        <f>IFERROR(RANK(TableTECalcPts[[#This Row],[Custom]],TableTECalcPts[Custom])+COUNTIF($AA$3:AA72,AA72)-1,"")</f>
        <v>74</v>
      </c>
      <c r="W72" s="2">
        <v>70</v>
      </c>
      <c r="X72" s="2" t="str">
        <f>IFERROR(INDEX(TableTEMaster[Player],MATCH(TableTECalcPts[[#This Row],[TERef]],TableTEMaster[TERef],0)),"")</f>
        <v>Jeremy Ruckert</v>
      </c>
      <c r="Y72" s="2" t="str">
        <f>IFERROR(INDEX(TableTEMaster[TM],MATCH(TableTECalcPts[[#This Row],[TERef]],TableTEMaster[TERef],0)),"")</f>
        <v>NYJ</v>
      </c>
      <c r="Z72" s="2">
        <f>IFERROR(INDEX(TableTEMaster[BYE],MATCH(TableTECalcPts[[#This Row],[TERef]],TableTEMaster[TERef],0)),"")</f>
        <v>13</v>
      </c>
      <c r="AA72" s="3">
        <f>IFERROR(INDEX(TableTEMaster[Custom],MATCH(TableTECalcPts[[#This Row],[TERef]],TableTEMaster[TERef],0)),"")</f>
        <v>9.0281802845379744</v>
      </c>
      <c r="AI72" s="2" t="s">
        <v>8</v>
      </c>
      <c r="AJ72" s="2">
        <f>IFERROR(RANK(TableWRTECalcPts[[#This Row],[Custom]],TableWRTECalcPts[Custom])+COUNTIF($AP$3:AP72,AP72)-1,"")</f>
        <v>222</v>
      </c>
      <c r="AK72" s="2">
        <v>70</v>
      </c>
      <c r="AL72" s="2" t="str">
        <f>IFERROR(INDEX(TableTEMaster[Player],MATCH(TableWRTECalcPts[[#This Row],[POSRef]],TableTEMaster[TERef],0)),"")</f>
        <v>Jeremy Ruckert</v>
      </c>
      <c r="AM72" s="2" t="str">
        <f>IFERROR(_xlfn.CONCAT(TableWRTECalcPts[[#This Row],[POS]],INDEX(TableTERanks[RK],MATCH(TableWRTECalcPts[[#This Row],[PLAYER]],TableTERanks[Player],0))),"")</f>
        <v>TE74</v>
      </c>
      <c r="AN72" s="2" t="str">
        <f>IFERROR(INDEX(TableTEMaster[TM],MATCH(TableWRTECalcPts[[#This Row],[POSRef]],TableTEMaster[TERef],0)),"")</f>
        <v>NYJ</v>
      </c>
      <c r="AO72" s="2">
        <f>IFERROR(INDEX(TableTEMaster[BYE],MATCH(TableWRTECalcPts[[#This Row],[POSRef]],TableTEMaster[TERef],0)),"")</f>
        <v>13</v>
      </c>
      <c r="AP72" s="3">
        <f>IFERROR(INDEX(TableTEMaster[Custom],MATCH(TableWRTECalcPts[[#This Row],[POSRef]],TableTEMaster[TERef],0)),"")</f>
        <v>9.0281802845379744</v>
      </c>
    </row>
    <row r="73" spans="1:42" x14ac:dyDescent="0.25">
      <c r="A73" s="4" t="str">
        <f>IFERROR(RANK(TableQBCalcPts[[#This Row],[Custom]],TableQBCalcPts[Custom])+COUNTIF($F$3:F73,F73)-1,"")</f>
        <v/>
      </c>
      <c r="B73" s="2">
        <v>71</v>
      </c>
      <c r="C73" s="2" t="str">
        <f>IFERROR(INDEX(TableQBMaster[Player],MATCH(TableQBCalcPts[[#This Row],[QBRef]],TableQBMaster[QBRef],0)),"")</f>
        <v/>
      </c>
      <c r="D73" s="2" t="str">
        <f>IFERROR(INDEX(TableQBMaster[TM],MATCH(TableQBCalcPts[[#This Row],[QBRef]],TableQBMaster[QBRef],0)),"")</f>
        <v/>
      </c>
      <c r="E73" s="2" t="str">
        <f>IFERROR(INDEX(TableQBMaster[BYE],MATCH(TableQBCalcPts[[#This Row],[QBRef]],TableQBMaster[QBRef],0)),"")</f>
        <v/>
      </c>
      <c r="F73" s="3" t="str">
        <f>IFERROR(INDEX(TableQBMaster[Custom],MATCH(TableQBCalcPts[[#This Row],[QBRef]],TableQBMaster[QBRef],0)),"")</f>
        <v/>
      </c>
      <c r="H73" s="2">
        <f>IFERROR(RANK(TableRBCalcPts[[#This Row],[Custom]],TableRBCalcPts[Custom])+COUNTIF($M$3:M73,M73)-1,"")</f>
        <v>22</v>
      </c>
      <c r="I73" s="2">
        <v>71</v>
      </c>
      <c r="J73" s="2" t="str">
        <f>IFERROR(INDEX(TableRBMaster[Player],MATCH(TableRBCalcPts[[#This Row],[RBRef]],TableRBMaster[RBRef],0)),"")</f>
        <v>TreVeyon Henderson</v>
      </c>
      <c r="K73" s="2" t="str">
        <f>IFERROR(INDEX(TableRBMaster[TM],MATCH(TableRBCalcPts[[#This Row],[RBRef]],TableRBMaster[RBRef],0)),"")</f>
        <v>NE</v>
      </c>
      <c r="L73" s="2">
        <f>IFERROR(INDEX(TableRBMaster[BYE],MATCH(TableRBCalcPts[[#This Row],[RBRef]],TableRBMaster[RBRef],0)),"")</f>
        <v>11</v>
      </c>
      <c r="M73" s="3">
        <f>IFERROR(INDEX(TableRBMaster[Custom],MATCH(TableRBCalcPts[[#This Row],[RBRef]],TableRBMaster[RBRef],0)),"")</f>
        <v>190.66909293364586</v>
      </c>
      <c r="O73" s="2">
        <f>IFERROR(RANK(TableWRCalcPts[[#This Row],[Custom]],TableWRCalcPts[Custom])+COUNTIF($T$3:T73,T73)-1,"")</f>
        <v>131</v>
      </c>
      <c r="P73" s="2">
        <v>71</v>
      </c>
      <c r="Q73" s="2" t="str">
        <f>IFERROR(INDEX(TableWRMaster[Player],MATCH(TableWRCalcPts[[#This Row],[WRRef]],TableWRMaster[WRRef],0)),"")</f>
        <v>Xavier Hutchinson</v>
      </c>
      <c r="R73" s="2" t="str">
        <f>IFERROR(INDEX(TableWRMaster[TM],MATCH(TableWRCalcPts[[#This Row],[WRRef]],TableWRMaster[WRRef],0)),"")</f>
        <v>HOU</v>
      </c>
      <c r="S73" s="2">
        <f>IFERROR(INDEX(TableWRMaster[BYE],MATCH(TableWRCalcPts[[#This Row],[WRRef]],TableWRMaster[WRRef],0)),"")</f>
        <v>8</v>
      </c>
      <c r="T73" s="3">
        <f>IFERROR(INDEX(TableWRMaster[Custom],MATCH(TableWRCalcPts[[#This Row],[WRRef]],TableWRMaster[WRRef],0)),"")</f>
        <v>19.341758900520006</v>
      </c>
      <c r="V73" s="2">
        <f>IFERROR(RANK(TableTECalcPts[[#This Row],[Custom]],TableTECalcPts[Custom])+COUNTIF($AA$3:AA73,AA73)-1,"")</f>
        <v>2</v>
      </c>
      <c r="W73" s="2">
        <v>71</v>
      </c>
      <c r="X73" s="2" t="str">
        <f>IFERROR(INDEX(TableTEMaster[Player],MATCH(TableTECalcPts[[#This Row],[TERef]],TableTEMaster[TERef],0)),"")</f>
        <v>Brock Bowers</v>
      </c>
      <c r="Y73" s="2" t="str">
        <f>IFERROR(INDEX(TableTEMaster[TM],MATCH(TableTECalcPts[[#This Row],[TERef]],TableTEMaster[TERef],0)),"")</f>
        <v>LV</v>
      </c>
      <c r="Z73" s="2">
        <f>IFERROR(INDEX(TableTEMaster[BYE],MATCH(TableTECalcPts[[#This Row],[TERef]],TableTEMaster[TERef],0)),"")</f>
        <v>13</v>
      </c>
      <c r="AA73" s="3">
        <f>IFERROR(INDEX(TableTEMaster[Custom],MATCH(TableTECalcPts[[#This Row],[TERef]],TableTEMaster[TERef],0)),"")</f>
        <v>189.22979775372039</v>
      </c>
      <c r="AI73" s="2" t="s">
        <v>8</v>
      </c>
      <c r="AJ73" s="2">
        <f>IFERROR(RANK(TableWRTECalcPts[[#This Row],[Custom]],TableWRTECalcPts[Custom])+COUNTIF($AP$3:AP73,AP73)-1,"")</f>
        <v>24</v>
      </c>
      <c r="AK73" s="2">
        <v>71</v>
      </c>
      <c r="AL73" s="2" t="str">
        <f>IFERROR(INDEX(TableTEMaster[Player],MATCH(TableWRTECalcPts[[#This Row],[POSRef]],TableTEMaster[TERef],0)),"")</f>
        <v>Brock Bowers</v>
      </c>
      <c r="AM73" s="2" t="str">
        <f>IFERROR(_xlfn.CONCAT(TableWRTECalcPts[[#This Row],[POS]],INDEX(TableTERanks[RK],MATCH(TableWRTECalcPts[[#This Row],[PLAYER]],TableTERanks[Player],0))),"")</f>
        <v>TE2</v>
      </c>
      <c r="AN73" s="2" t="str">
        <f>IFERROR(INDEX(TableTEMaster[TM],MATCH(TableWRTECalcPts[[#This Row],[POSRef]],TableTEMaster[TERef],0)),"")</f>
        <v>LV</v>
      </c>
      <c r="AO73" s="2">
        <f>IFERROR(INDEX(TableTEMaster[BYE],MATCH(TableWRTECalcPts[[#This Row],[POSRef]],TableTEMaster[TERef],0)),"")</f>
        <v>13</v>
      </c>
      <c r="AP73" s="3">
        <f>IFERROR(INDEX(TableTEMaster[Custom],MATCH(TableWRTECalcPts[[#This Row],[POSRef]],TableTEMaster[TERef],0)),"")</f>
        <v>189.22979775372039</v>
      </c>
    </row>
    <row r="74" spans="1:42" x14ac:dyDescent="0.25">
      <c r="A74" s="4" t="str">
        <f>IFERROR(RANK(TableQBCalcPts[[#This Row],[Custom]],TableQBCalcPts[Custom])+COUNTIF($F$3:F74,F74)-1,"")</f>
        <v/>
      </c>
      <c r="B74" s="2">
        <v>72</v>
      </c>
      <c r="C74" s="2" t="str">
        <f>IFERROR(INDEX(TableQBMaster[Player],MATCH(TableQBCalcPts[[#This Row],[QBRef]],TableQBMaster[QBRef],0)),"")</f>
        <v/>
      </c>
      <c r="D74" s="2" t="str">
        <f>IFERROR(INDEX(TableQBMaster[TM],MATCH(TableQBCalcPts[[#This Row],[QBRef]],TableQBMaster[QBRef],0)),"")</f>
        <v/>
      </c>
      <c r="E74" s="2" t="str">
        <f>IFERROR(INDEX(TableQBMaster[BYE],MATCH(TableQBCalcPts[[#This Row],[QBRef]],TableQBMaster[QBRef],0)),"")</f>
        <v/>
      </c>
      <c r="F74" s="3" t="str">
        <f>IFERROR(INDEX(TableQBMaster[Custom],MATCH(TableQBCalcPts[[#This Row],[QBRef]],TableQBMaster[QBRef],0)),"")</f>
        <v/>
      </c>
      <c r="H74" s="2">
        <f>IFERROR(RANK(TableRBCalcPts[[#This Row],[Custom]],TableRBCalcPts[Custom])+COUNTIF($M$3:M74,M74)-1,"")</f>
        <v>23</v>
      </c>
      <c r="I74" s="2">
        <v>72</v>
      </c>
      <c r="J74" s="2" t="str">
        <f>IFERROR(INDEX(TableRBMaster[Player],MATCH(TableRBCalcPts[[#This Row],[RBRef]],TableRBMaster[RBRef],0)),"")</f>
        <v>Rhamondre Stevenson</v>
      </c>
      <c r="K74" s="2" t="str">
        <f>IFERROR(INDEX(TableRBMaster[TM],MATCH(TableRBCalcPts[[#This Row],[RBRef]],TableRBMaster[RBRef],0)),"")</f>
        <v>NE</v>
      </c>
      <c r="L74" s="2">
        <f>IFERROR(INDEX(TableRBMaster[BYE],MATCH(TableRBCalcPts[[#This Row],[RBRef]],TableRBMaster[RBRef],0)),"")</f>
        <v>11</v>
      </c>
      <c r="M74" s="3">
        <f>IFERROR(INDEX(TableRBMaster[Custom],MATCH(TableRBCalcPts[[#This Row],[RBRef]],TableRBMaster[RBRef],0)),"")</f>
        <v>189.05386180345894</v>
      </c>
      <c r="O74" s="2">
        <f>IFERROR(RANK(TableWRCalcPts[[#This Row],[Custom]],TableWRCalcPts[Custom])+COUNTIF($T$3:T74,T74)-1,"")</f>
        <v>167</v>
      </c>
      <c r="P74" s="2">
        <v>72</v>
      </c>
      <c r="Q74" s="2" t="str">
        <f>IFERROR(INDEX(TableWRMaster[Player],MATCH(TableWRCalcPts[[#This Row],[WRRef]],TableWRMaster[WRRef],0)),"")</f>
        <v>Justin Watson</v>
      </c>
      <c r="R74" s="2" t="str">
        <f>IFERROR(INDEX(TableWRMaster[TM],MATCH(TableWRCalcPts[[#This Row],[WRRef]],TableWRMaster[WRRef],0)),"")</f>
        <v>HOU</v>
      </c>
      <c r="S74" s="2">
        <f>IFERROR(INDEX(TableWRMaster[BYE],MATCH(TableWRCalcPts[[#This Row],[WRRef]],TableWRMaster[WRRef],0)),"")</f>
        <v>8</v>
      </c>
      <c r="T74" s="3">
        <f>IFERROR(INDEX(TableWRMaster[Custom],MATCH(TableWRCalcPts[[#This Row],[WRRef]],TableWRMaster[WRRef],0)),"")</f>
        <v>6.2971187382564455</v>
      </c>
      <c r="V74" s="2">
        <f>IFERROR(RANK(TableTECalcPts[[#This Row],[Custom]],TableTECalcPts[Custom])+COUNTIF($AA$3:AA74,AA74)-1,"")</f>
        <v>41</v>
      </c>
      <c r="W74" s="2">
        <v>72</v>
      </c>
      <c r="X74" s="2" t="str">
        <f>IFERROR(INDEX(TableTEMaster[Player],MATCH(TableTECalcPts[[#This Row],[TERef]],TableTEMaster[TERef],0)),"")</f>
        <v>Michael Mayer</v>
      </c>
      <c r="Y74" s="2" t="str">
        <f>IFERROR(INDEX(TableTEMaster[TM],MATCH(TableTECalcPts[[#This Row],[TERef]],TableTEMaster[TERef],0)),"")</f>
        <v>LV</v>
      </c>
      <c r="Z74" s="2">
        <f>IFERROR(INDEX(TableTEMaster[BYE],MATCH(TableTECalcPts[[#This Row],[TERef]],TableTEMaster[TERef],0)),"")</f>
        <v>13</v>
      </c>
      <c r="AA74" s="3">
        <f>IFERROR(INDEX(TableTEMaster[Custom],MATCH(TableTECalcPts[[#This Row],[TERef]],TableTEMaster[TERef],0)),"")</f>
        <v>46.282097929207907</v>
      </c>
      <c r="AI74" s="2" t="s">
        <v>8</v>
      </c>
      <c r="AJ74" s="2">
        <f>IFERROR(RANK(TableWRTECalcPts[[#This Row],[Custom]],TableWRTECalcPts[Custom])+COUNTIF($AP$3:AP74,AP74)-1,"")</f>
        <v>145</v>
      </c>
      <c r="AK74" s="2">
        <v>72</v>
      </c>
      <c r="AL74" s="2" t="str">
        <f>IFERROR(INDEX(TableTEMaster[Player],MATCH(TableWRTECalcPts[[#This Row],[POSRef]],TableTEMaster[TERef],0)),"")</f>
        <v>Michael Mayer</v>
      </c>
      <c r="AM74" s="2" t="str">
        <f>IFERROR(_xlfn.CONCAT(TableWRTECalcPts[[#This Row],[POS]],INDEX(TableTERanks[RK],MATCH(TableWRTECalcPts[[#This Row],[PLAYER]],TableTERanks[Player],0))),"")</f>
        <v>TE41</v>
      </c>
      <c r="AN74" s="2" t="str">
        <f>IFERROR(INDEX(TableTEMaster[TM],MATCH(TableWRTECalcPts[[#This Row],[POSRef]],TableTEMaster[TERef],0)),"")</f>
        <v>LV</v>
      </c>
      <c r="AO74" s="2">
        <f>IFERROR(INDEX(TableTEMaster[BYE],MATCH(TableWRTECalcPts[[#This Row],[POSRef]],TableTEMaster[TERef],0)),"")</f>
        <v>13</v>
      </c>
      <c r="AP74" s="3">
        <f>IFERROR(INDEX(TableTEMaster[Custom],MATCH(TableWRTECalcPts[[#This Row],[POSRef]],TableTEMaster[TERef],0)),"")</f>
        <v>46.282097929207907</v>
      </c>
    </row>
    <row r="75" spans="1:42" x14ac:dyDescent="0.25">
      <c r="A75" s="4" t="str">
        <f>IFERROR(RANK(TableQBCalcPts[[#This Row],[Custom]],TableQBCalcPts[Custom])+COUNTIF($F$3:F75,F75)-1,"")</f>
        <v/>
      </c>
      <c r="B75" s="2">
        <v>73</v>
      </c>
      <c r="C75" s="2" t="str">
        <f>IFERROR(INDEX(TableQBMaster[Player],MATCH(TableQBCalcPts[[#This Row],[QBRef]],TableQBMaster[QBRef],0)),"")</f>
        <v/>
      </c>
      <c r="D75" s="2" t="str">
        <f>IFERROR(INDEX(TableQBMaster[TM],MATCH(TableQBCalcPts[[#This Row],[QBRef]],TableQBMaster[QBRef],0)),"")</f>
        <v/>
      </c>
      <c r="E75" s="2" t="str">
        <f>IFERROR(INDEX(TableQBMaster[BYE],MATCH(TableQBCalcPts[[#This Row],[QBRef]],TableQBMaster[QBRef],0)),"")</f>
        <v/>
      </c>
      <c r="F75" s="3" t="str">
        <f>IFERROR(INDEX(TableQBMaster[Custom],MATCH(TableQBCalcPts[[#This Row],[QBRef]],TableQBMaster[QBRef],0)),"")</f>
        <v/>
      </c>
      <c r="H75" s="2">
        <f>IFERROR(RANK(TableRBCalcPts[[#This Row],[Custom]],TableRBCalcPts[Custom])+COUNTIF($M$3:M75,M75)-1,"")</f>
        <v>95</v>
      </c>
      <c r="I75" s="2">
        <v>73</v>
      </c>
      <c r="J75" s="2" t="str">
        <f>IFERROR(INDEX(TableRBMaster[Player],MATCH(TableRBCalcPts[[#This Row],[RBRef]],TableRBMaster[RBRef],0)),"")</f>
        <v>Jam Miller</v>
      </c>
      <c r="K75" s="2" t="str">
        <f>IFERROR(INDEX(TableRBMaster[TM],MATCH(TableRBCalcPts[[#This Row],[RBRef]],TableRBMaster[RBRef],0)),"")</f>
        <v>NE</v>
      </c>
      <c r="L75" s="2">
        <f>IFERROR(INDEX(TableRBMaster[BYE],MATCH(TableRBCalcPts[[#This Row],[RBRef]],TableRBMaster[RBRef],0)),"")</f>
        <v>11</v>
      </c>
      <c r="M75" s="3">
        <f>IFERROR(INDEX(TableRBMaster[Custom],MATCH(TableRBCalcPts[[#This Row],[RBRef]],TableRBMaster[RBRef],0)),"")</f>
        <v>13.865478244445967</v>
      </c>
      <c r="O75" s="2">
        <f>IFERROR(RANK(TableWRCalcPts[[#This Row],[Custom]],TableWRCalcPts[Custom])+COUNTIF($T$3:T75,T75)-1,"")</f>
        <v>31</v>
      </c>
      <c r="P75" s="2">
        <v>73</v>
      </c>
      <c r="Q75" s="2" t="str">
        <f>IFERROR(INDEX(TableWRMaster[Player],MATCH(TableWRCalcPts[[#This Row],[WRRef]],TableWRMaster[WRRef],0)),"")</f>
        <v>Alec Pierce</v>
      </c>
      <c r="R75" s="2" t="str">
        <f>IFERROR(INDEX(TableWRMaster[TM],MATCH(TableWRCalcPts[[#This Row],[WRRef]],TableWRMaster[WRRef],0)),"")</f>
        <v>IND</v>
      </c>
      <c r="S75" s="2">
        <f>IFERROR(INDEX(TableWRMaster[BYE],MATCH(TableWRCalcPts[[#This Row],[WRRef]],TableWRMaster[WRRef],0)),"")</f>
        <v>13</v>
      </c>
      <c r="T75" s="3">
        <f>IFERROR(INDEX(TableWRMaster[Custom],MATCH(TableWRCalcPts[[#This Row],[WRRef]],TableWRMaster[WRRef],0)),"")</f>
        <v>172.58925215568158</v>
      </c>
      <c r="V75" s="2">
        <f>IFERROR(RANK(TableTECalcPts[[#This Row],[Custom]],TableTECalcPts[Custom])+COUNTIF($AA$3:AA75,AA75)-1,"")</f>
        <v>19</v>
      </c>
      <c r="W75" s="2">
        <v>73</v>
      </c>
      <c r="X75" s="2" t="str">
        <f>IFERROR(INDEX(TableTEMaster[Player],MATCH(TableTECalcPts[[#This Row],[TERef]],TableTEMaster[TERef],0)),"")</f>
        <v>Dallas Goedert</v>
      </c>
      <c r="Y75" s="2" t="str">
        <f>IFERROR(INDEX(TableTEMaster[TM],MATCH(TableTECalcPts[[#This Row],[TERef]],TableTEMaster[TERef],0)),"")</f>
        <v>PHI</v>
      </c>
      <c r="Z75" s="2">
        <f>IFERROR(INDEX(TableTEMaster[BYE],MATCH(TableTECalcPts[[#This Row],[TERef]],TableTEMaster[TERef],0)),"")</f>
        <v>10</v>
      </c>
      <c r="AA75" s="3">
        <f>IFERROR(INDEX(TableTEMaster[Custom],MATCH(TableTECalcPts[[#This Row],[TERef]],TableTEMaster[TERef],0)),"")</f>
        <v>114.12704445993541</v>
      </c>
      <c r="AI75" s="2" t="s">
        <v>8</v>
      </c>
      <c r="AJ75" s="2">
        <f>IFERROR(RANK(TableWRTECalcPts[[#This Row],[Custom]],TableWRTECalcPts[Custom])+COUNTIF($AP$3:AP75,AP75)-1,"")</f>
        <v>75</v>
      </c>
      <c r="AK75" s="2">
        <v>73</v>
      </c>
      <c r="AL75" s="2" t="str">
        <f>IFERROR(INDEX(TableTEMaster[Player],MATCH(TableWRTECalcPts[[#This Row],[POSRef]],TableTEMaster[TERef],0)),"")</f>
        <v>Dallas Goedert</v>
      </c>
      <c r="AM75" s="2" t="str">
        <f>IFERROR(_xlfn.CONCAT(TableWRTECalcPts[[#This Row],[POS]],INDEX(TableTERanks[RK],MATCH(TableWRTECalcPts[[#This Row],[PLAYER]],TableTERanks[Player],0))),"")</f>
        <v>TE19</v>
      </c>
      <c r="AN75" s="2" t="str">
        <f>IFERROR(INDEX(TableTEMaster[TM],MATCH(TableWRTECalcPts[[#This Row],[POSRef]],TableTEMaster[TERef],0)),"")</f>
        <v>PHI</v>
      </c>
      <c r="AO75" s="2">
        <f>IFERROR(INDEX(TableTEMaster[BYE],MATCH(TableWRTECalcPts[[#This Row],[POSRef]],TableTEMaster[TERef],0)),"")</f>
        <v>10</v>
      </c>
      <c r="AP75" s="3">
        <f>IFERROR(INDEX(TableTEMaster[Custom],MATCH(TableWRTECalcPts[[#This Row],[POSRef]],TableTEMaster[TERef],0)),"")</f>
        <v>114.12704445993541</v>
      </c>
    </row>
    <row r="76" spans="1:42" x14ac:dyDescent="0.25">
      <c r="A76" s="4" t="str">
        <f>IFERROR(RANK(TableQBCalcPts[[#This Row],[Custom]],TableQBCalcPts[Custom])+COUNTIF($F$3:F76,F76)-1,"")</f>
        <v/>
      </c>
      <c r="B76" s="2">
        <v>74</v>
      </c>
      <c r="C76" s="2" t="str">
        <f>IFERROR(INDEX(TableQBMaster[Player],MATCH(TableQBCalcPts[[#This Row],[QBRef]],TableQBMaster[QBRef],0)),"")</f>
        <v/>
      </c>
      <c r="D76" s="2" t="str">
        <f>IFERROR(INDEX(TableQBMaster[TM],MATCH(TableQBCalcPts[[#This Row],[QBRef]],TableQBMaster[QBRef],0)),"")</f>
        <v/>
      </c>
      <c r="E76" s="2" t="str">
        <f>IFERROR(INDEX(TableQBMaster[BYE],MATCH(TableQBCalcPts[[#This Row],[QBRef]],TableQBMaster[QBRef],0)),"")</f>
        <v/>
      </c>
      <c r="F76" s="3" t="str">
        <f>IFERROR(INDEX(TableQBMaster[Custom],MATCH(TableQBCalcPts[[#This Row],[QBRef]],TableQBMaster[QBRef],0)),"")</f>
        <v/>
      </c>
      <c r="H76" s="2">
        <f>IFERROR(RANK(TableRBCalcPts[[#This Row],[Custom]],TableRBCalcPts[Custom])+COUNTIF($M$3:M76,M76)-1,"")</f>
        <v>19</v>
      </c>
      <c r="I76" s="2">
        <v>74</v>
      </c>
      <c r="J76" s="2" t="str">
        <f>IFERROR(INDEX(TableRBMaster[Player],MATCH(TableRBCalcPts[[#This Row],[RBRef]],TableRBMaster[RBRef],0)),"")</f>
        <v>Travis Etienne</v>
      </c>
      <c r="K76" s="2" t="str">
        <f>IFERROR(INDEX(TableRBMaster[TM],MATCH(TableRBCalcPts[[#This Row],[RBRef]],TableRBMaster[RBRef],0)),"")</f>
        <v>NO</v>
      </c>
      <c r="L76" s="2">
        <f>IFERROR(INDEX(TableRBMaster[BYE],MATCH(TableRBCalcPts[[#This Row],[RBRef]],TableRBMaster[RBRef],0)),"")</f>
        <v>8</v>
      </c>
      <c r="M76" s="3">
        <f>IFERROR(INDEX(TableRBMaster[Custom],MATCH(TableRBCalcPts[[#This Row],[RBRef]],TableRBMaster[RBRef],0)),"")</f>
        <v>206.70738022037409</v>
      </c>
      <c r="O76" s="2">
        <f>IFERROR(RANK(TableWRCalcPts[[#This Row],[Custom]],TableWRCalcPts[Custom])+COUNTIF($T$3:T76,T76)-1,"")</f>
        <v>44</v>
      </c>
      <c r="P76" s="2">
        <v>74</v>
      </c>
      <c r="Q76" s="2" t="str">
        <f>IFERROR(INDEX(TableWRMaster[Player],MATCH(TableWRCalcPts[[#This Row],[WRRef]],TableWRMaster[WRRef],0)),"")</f>
        <v>Josh Downs</v>
      </c>
      <c r="R76" s="2" t="str">
        <f>IFERROR(INDEX(TableWRMaster[TM],MATCH(TableWRCalcPts[[#This Row],[WRRef]],TableWRMaster[WRRef],0)),"")</f>
        <v>IND</v>
      </c>
      <c r="S76" s="2">
        <f>IFERROR(INDEX(TableWRMaster[BYE],MATCH(TableWRCalcPts[[#This Row],[WRRef]],TableWRMaster[WRRef],0)),"")</f>
        <v>13</v>
      </c>
      <c r="T76" s="3">
        <f>IFERROR(INDEX(TableWRMaster[Custom],MATCH(TableWRCalcPts[[#This Row],[WRRef]],TableWRMaster[WRRef],0)),"")</f>
        <v>148.75355445006602</v>
      </c>
      <c r="V76" s="2">
        <f>IFERROR(RANK(TableTECalcPts[[#This Row],[Custom]],TableTECalcPts[Custom])+COUNTIF($AA$3:AA76,AA76)-1,"")</f>
        <v>49</v>
      </c>
      <c r="W76" s="2">
        <v>74</v>
      </c>
      <c r="X76" s="2" t="str">
        <f>IFERROR(INDEX(TableTEMaster[Player],MATCH(TableTECalcPts[[#This Row],[TERef]],TableTEMaster[TERef],0)),"")</f>
        <v>Eli Stowers</v>
      </c>
      <c r="Y76" s="2" t="str">
        <f>IFERROR(INDEX(TableTEMaster[TM],MATCH(TableTECalcPts[[#This Row],[TERef]],TableTEMaster[TERef],0)),"")</f>
        <v>PHI</v>
      </c>
      <c r="Z76" s="2">
        <f>IFERROR(INDEX(TableTEMaster[BYE],MATCH(TableTECalcPts[[#This Row],[TERef]],TableTEMaster[TERef],0)),"")</f>
        <v>10</v>
      </c>
      <c r="AA76" s="3">
        <f>IFERROR(INDEX(TableTEMaster[Custom],MATCH(TableTECalcPts[[#This Row],[TERef]],TableTEMaster[TERef],0)),"")</f>
        <v>32.087305180512104</v>
      </c>
      <c r="AI76" s="2" t="s">
        <v>8</v>
      </c>
      <c r="AJ76" s="2">
        <f>IFERROR(RANK(TableWRTECalcPts[[#This Row],[Custom]],TableWRTECalcPts[Custom])+COUNTIF($AP$3:AP76,AP76)-1,"")</f>
        <v>170</v>
      </c>
      <c r="AK76" s="2">
        <v>74</v>
      </c>
      <c r="AL76" s="2" t="str">
        <f>IFERROR(INDEX(TableTEMaster[Player],MATCH(TableWRTECalcPts[[#This Row],[POSRef]],TableTEMaster[TERef],0)),"")</f>
        <v>Eli Stowers</v>
      </c>
      <c r="AM76" s="2" t="str">
        <f>IFERROR(_xlfn.CONCAT(TableWRTECalcPts[[#This Row],[POS]],INDEX(TableTERanks[RK],MATCH(TableWRTECalcPts[[#This Row],[PLAYER]],TableTERanks[Player],0))),"")</f>
        <v>TE49</v>
      </c>
      <c r="AN76" s="2" t="str">
        <f>IFERROR(INDEX(TableTEMaster[TM],MATCH(TableWRTECalcPts[[#This Row],[POSRef]],TableTEMaster[TERef],0)),"")</f>
        <v>PHI</v>
      </c>
      <c r="AO76" s="2">
        <f>IFERROR(INDEX(TableTEMaster[BYE],MATCH(TableWRTECalcPts[[#This Row],[POSRef]],TableTEMaster[TERef],0)),"")</f>
        <v>10</v>
      </c>
      <c r="AP76" s="3">
        <f>IFERROR(INDEX(TableTEMaster[Custom],MATCH(TableWRTECalcPts[[#This Row],[POSRef]],TableTEMaster[TERef],0)),"")</f>
        <v>32.087305180512104</v>
      </c>
    </row>
    <row r="77" spans="1:42" x14ac:dyDescent="0.25">
      <c r="A77" s="4" t="str">
        <f>IFERROR(RANK(TableQBCalcPts[[#This Row],[Custom]],TableQBCalcPts[Custom])+COUNTIF($F$3:F77,F77)-1,"")</f>
        <v/>
      </c>
      <c r="B77" s="2">
        <v>75</v>
      </c>
      <c r="C77" s="2" t="str">
        <f>IFERROR(INDEX(TableQBMaster[Player],MATCH(TableQBCalcPts[[#This Row],[QBRef]],TableQBMaster[QBRef],0)),"")</f>
        <v/>
      </c>
      <c r="D77" s="2" t="str">
        <f>IFERROR(INDEX(TableQBMaster[TM],MATCH(TableQBCalcPts[[#This Row],[QBRef]],TableQBMaster[QBRef],0)),"")</f>
        <v/>
      </c>
      <c r="E77" s="2" t="str">
        <f>IFERROR(INDEX(TableQBMaster[BYE],MATCH(TableQBCalcPts[[#This Row],[QBRef]],TableQBMaster[QBRef],0)),"")</f>
        <v/>
      </c>
      <c r="F77" s="3" t="str">
        <f>IFERROR(INDEX(TableQBMaster[Custom],MATCH(TableQBCalcPts[[#This Row],[QBRef]],TableQBMaster[QBRef],0)),"")</f>
        <v/>
      </c>
      <c r="H77" s="2">
        <f>IFERROR(RANK(TableRBCalcPts[[#This Row],[Custom]],TableRBCalcPts[Custom])+COUNTIF($M$3:M77,M77)-1,"")</f>
        <v>44</v>
      </c>
      <c r="I77" s="2">
        <v>75</v>
      </c>
      <c r="J77" s="2" t="str">
        <f>IFERROR(INDEX(TableRBMaster[Player],MATCH(TableRBCalcPts[[#This Row],[RBRef]],TableRBMaster[RBRef],0)),"")</f>
        <v>Alvin Kamara</v>
      </c>
      <c r="K77" s="2" t="str">
        <f>IFERROR(INDEX(TableRBMaster[TM],MATCH(TableRBCalcPts[[#This Row],[RBRef]],TableRBMaster[RBRef],0)),"")</f>
        <v>NO</v>
      </c>
      <c r="L77" s="2">
        <f>IFERROR(INDEX(TableRBMaster[BYE],MATCH(TableRBCalcPts[[#This Row],[RBRef]],TableRBMaster[RBRef],0)),"")</f>
        <v>8</v>
      </c>
      <c r="M77" s="3">
        <f>IFERROR(INDEX(TableRBMaster[Custom],MATCH(TableRBCalcPts[[#This Row],[RBRef]],TableRBMaster[RBRef],0)),"")</f>
        <v>104.00783923102738</v>
      </c>
      <c r="O77" s="2">
        <f>IFERROR(RANK(TableWRCalcPts[[#This Row],[Custom]],TableWRCalcPts[Custom])+COUNTIF($T$3:T77,T77)-1,"")</f>
        <v>82</v>
      </c>
      <c r="P77" s="2">
        <v>75</v>
      </c>
      <c r="Q77" s="2" t="str">
        <f>IFERROR(INDEX(TableWRMaster[Player],MATCH(TableWRCalcPts[[#This Row],[WRRef]],TableWRMaster[WRRef],0)),"")</f>
        <v>Nick Westbrook-Ikhine</v>
      </c>
      <c r="R77" s="2" t="str">
        <f>IFERROR(INDEX(TableWRMaster[TM],MATCH(TableWRCalcPts[[#This Row],[WRRef]],TableWRMaster[WRRef],0)),"")</f>
        <v>IND</v>
      </c>
      <c r="S77" s="2">
        <f>IFERROR(INDEX(TableWRMaster[BYE],MATCH(TableWRCalcPts[[#This Row],[WRRef]],TableWRMaster[WRRef],0)),"")</f>
        <v>13</v>
      </c>
      <c r="T77" s="3">
        <f>IFERROR(INDEX(TableWRMaster[Custom],MATCH(TableWRCalcPts[[#This Row],[WRRef]],TableWRMaster[WRRef],0)),"")</f>
        <v>68.744066857804796</v>
      </c>
      <c r="V77" s="2">
        <f>IFERROR(RANK(TableTECalcPts[[#This Row],[Custom]],TableTECalcPts[Custom])+COUNTIF($AA$3:AA77,AA77)-1,"")</f>
        <v>84</v>
      </c>
      <c r="W77" s="2">
        <v>75</v>
      </c>
      <c r="X77" s="2" t="str">
        <f>IFERROR(INDEX(TableTEMaster[Player],MATCH(TableTECalcPts[[#This Row],[TERef]],TableTEMaster[TERef],0)),"")</f>
        <v>Grant Calcaterra</v>
      </c>
      <c r="Y77" s="2" t="str">
        <f>IFERROR(INDEX(TableTEMaster[TM],MATCH(TableTECalcPts[[#This Row],[TERef]],TableTEMaster[TERef],0)),"")</f>
        <v>PHI</v>
      </c>
      <c r="Z77" s="2">
        <f>IFERROR(INDEX(TableTEMaster[BYE],MATCH(TableTECalcPts[[#This Row],[TERef]],TableTEMaster[TERef],0)),"")</f>
        <v>10</v>
      </c>
      <c r="AA77" s="3">
        <f>IFERROR(INDEX(TableTEMaster[Custom],MATCH(TableTECalcPts[[#This Row],[TERef]],TableTEMaster[TERef],0)),"")</f>
        <v>2.7483376113387723</v>
      </c>
      <c r="AI77" s="2" t="s">
        <v>8</v>
      </c>
      <c r="AJ77" s="2">
        <f>IFERROR(RANK(TableWRTECalcPts[[#This Row],[Custom]],TableWRTECalcPts[Custom])+COUNTIF($AP$3:AP77,AP77)-1,"")</f>
        <v>265</v>
      </c>
      <c r="AK77" s="2">
        <v>75</v>
      </c>
      <c r="AL77" s="2" t="str">
        <f>IFERROR(INDEX(TableTEMaster[Player],MATCH(TableWRTECalcPts[[#This Row],[POSRef]],TableTEMaster[TERef],0)),"")</f>
        <v>Grant Calcaterra</v>
      </c>
      <c r="AM77" s="2" t="str">
        <f>IFERROR(_xlfn.CONCAT(TableWRTECalcPts[[#This Row],[POS]],INDEX(TableTERanks[RK],MATCH(TableWRTECalcPts[[#This Row],[PLAYER]],TableTERanks[Player],0))),"")</f>
        <v>TE84</v>
      </c>
      <c r="AN77" s="2" t="str">
        <f>IFERROR(INDEX(TableTEMaster[TM],MATCH(TableWRTECalcPts[[#This Row],[POSRef]],TableTEMaster[TERef],0)),"")</f>
        <v>PHI</v>
      </c>
      <c r="AO77" s="2">
        <f>IFERROR(INDEX(TableTEMaster[BYE],MATCH(TableWRTECalcPts[[#This Row],[POSRef]],TableTEMaster[TERef],0)),"")</f>
        <v>10</v>
      </c>
      <c r="AP77" s="3">
        <f>IFERROR(INDEX(TableTEMaster[Custom],MATCH(TableWRTECalcPts[[#This Row],[POSRef]],TableTEMaster[TERef],0)),"")</f>
        <v>2.7483376113387723</v>
      </c>
    </row>
    <row r="78" spans="1:42" x14ac:dyDescent="0.25">
      <c r="A78" s="4" t="str">
        <f>IFERROR(RANK(TableQBCalcPts[[#This Row],[Custom]],TableQBCalcPts[Custom])+COUNTIF($F$3:F78,F78)-1,"")</f>
        <v/>
      </c>
      <c r="B78" s="2">
        <v>76</v>
      </c>
      <c r="C78" s="2" t="str">
        <f>IFERROR(INDEX(TableQBMaster[Player],MATCH(TableQBCalcPts[[#This Row],[QBRef]],TableQBMaster[QBRef],0)),"")</f>
        <v/>
      </c>
      <c r="D78" s="2" t="str">
        <f>IFERROR(INDEX(TableQBMaster[TM],MATCH(TableQBCalcPts[[#This Row],[QBRef]],TableQBMaster[QBRef],0)),"")</f>
        <v/>
      </c>
      <c r="E78" s="2" t="str">
        <f>IFERROR(INDEX(TableQBMaster[BYE],MATCH(TableQBCalcPts[[#This Row],[QBRef]],TableQBMaster[QBRef],0)),"")</f>
        <v/>
      </c>
      <c r="F78" s="3" t="str">
        <f>IFERROR(INDEX(TableQBMaster[Custom],MATCH(TableQBCalcPts[[#This Row],[QBRef]],TableQBMaster[QBRef],0)),"")</f>
        <v/>
      </c>
      <c r="H78" s="2">
        <f>IFERROR(RANK(TableRBCalcPts[[#This Row],[Custom]],TableRBCalcPts[Custom])+COUNTIF($M$3:M78,M78)-1,"")</f>
        <v>84</v>
      </c>
      <c r="I78" s="2">
        <v>76</v>
      </c>
      <c r="J78" s="2" t="str">
        <f>IFERROR(INDEX(TableRBMaster[Player],MATCH(TableRBCalcPts[[#This Row],[RBRef]],TableRBMaster[RBRef],0)),"")</f>
        <v>Kendre Miller</v>
      </c>
      <c r="K78" s="2" t="str">
        <f>IFERROR(INDEX(TableRBMaster[TM],MATCH(TableRBCalcPts[[#This Row],[RBRef]],TableRBMaster[RBRef],0)),"")</f>
        <v>NO</v>
      </c>
      <c r="L78" s="2">
        <f>IFERROR(INDEX(TableRBMaster[BYE],MATCH(TableRBCalcPts[[#This Row],[RBRef]],TableRBMaster[RBRef],0)),"")</f>
        <v>8</v>
      </c>
      <c r="M78" s="3">
        <f>IFERROR(INDEX(TableRBMaster[Custom],MATCH(TableRBCalcPts[[#This Row],[RBRef]],TableRBMaster[RBRef],0)),"")</f>
        <v>19.692740092522268</v>
      </c>
      <c r="O78" s="2">
        <f>IFERROR(RANK(TableWRCalcPts[[#This Row],[Custom]],TableWRCalcPts[Custom])+COUNTIF($T$3:T78,T78)-1,"")</f>
        <v>127</v>
      </c>
      <c r="P78" s="2">
        <v>76</v>
      </c>
      <c r="Q78" s="2" t="str">
        <f>IFERROR(INDEX(TableWRMaster[Player],MATCH(TableWRCalcPts[[#This Row],[WRRef]],TableWRMaster[WRRef],0)),"")</f>
        <v>Deion Burks</v>
      </c>
      <c r="R78" s="2" t="str">
        <f>IFERROR(INDEX(TableWRMaster[TM],MATCH(TableWRCalcPts[[#This Row],[WRRef]],TableWRMaster[WRRef],0)),"")</f>
        <v>IND</v>
      </c>
      <c r="S78" s="2">
        <f>IFERROR(INDEX(TableWRMaster[BYE],MATCH(TableWRCalcPts[[#This Row],[WRRef]],TableWRMaster[WRRef],0)),"")</f>
        <v>13</v>
      </c>
      <c r="T78" s="3">
        <f>IFERROR(INDEX(TableWRMaster[Custom],MATCH(TableWRCalcPts[[#This Row],[WRRef]],TableWRMaster[WRRef],0)),"")</f>
        <v>20.528811020256004</v>
      </c>
      <c r="V78" s="2">
        <f>IFERROR(RANK(TableTECalcPts[[#This Row],[Custom]],TableTECalcPts[Custom])+COUNTIF($AA$3:AA78,AA78)-1,"")</f>
        <v>21</v>
      </c>
      <c r="W78" s="2">
        <v>76</v>
      </c>
      <c r="X78" s="2" t="str">
        <f>IFERROR(INDEX(TableTEMaster[Player],MATCH(TableTECalcPts[[#This Row],[TERef]],TableTEMaster[TERef],0)),"")</f>
        <v>Pat Freiermuth</v>
      </c>
      <c r="Y78" s="2" t="str">
        <f>IFERROR(INDEX(TableTEMaster[TM],MATCH(TableTECalcPts[[#This Row],[TERef]],TableTEMaster[TERef],0)),"")</f>
        <v>PIT</v>
      </c>
      <c r="Z78" s="2">
        <f>IFERROR(INDEX(TableTEMaster[BYE],MATCH(TableTECalcPts[[#This Row],[TERef]],TableTEMaster[TERef],0)),"")</f>
        <v>9</v>
      </c>
      <c r="AA78" s="3">
        <f>IFERROR(INDEX(TableTEMaster[Custom],MATCH(TableTECalcPts[[#This Row],[TERef]],TableTEMaster[TERef],0)),"")</f>
        <v>109.06915797030996</v>
      </c>
      <c r="AI78" s="2" t="s">
        <v>8</v>
      </c>
      <c r="AJ78" s="2">
        <f>IFERROR(RANK(TableWRTECalcPts[[#This Row],[Custom]],TableWRTECalcPts[Custom])+COUNTIF($AP$3:AP78,AP78)-1,"")</f>
        <v>77</v>
      </c>
      <c r="AK78" s="2">
        <v>76</v>
      </c>
      <c r="AL78" s="2" t="str">
        <f>IFERROR(INDEX(TableTEMaster[Player],MATCH(TableWRTECalcPts[[#This Row],[POSRef]],TableTEMaster[TERef],0)),"")</f>
        <v>Pat Freiermuth</v>
      </c>
      <c r="AM78" s="2" t="str">
        <f>IFERROR(_xlfn.CONCAT(TableWRTECalcPts[[#This Row],[POS]],INDEX(TableTERanks[RK],MATCH(TableWRTECalcPts[[#This Row],[PLAYER]],TableTERanks[Player],0))),"")</f>
        <v>TE21</v>
      </c>
      <c r="AN78" s="2" t="str">
        <f>IFERROR(INDEX(TableTEMaster[TM],MATCH(TableWRTECalcPts[[#This Row],[POSRef]],TableTEMaster[TERef],0)),"")</f>
        <v>PIT</v>
      </c>
      <c r="AO78" s="2">
        <f>IFERROR(INDEX(TableTEMaster[BYE],MATCH(TableWRTECalcPts[[#This Row],[POSRef]],TableTEMaster[TERef],0)),"")</f>
        <v>9</v>
      </c>
      <c r="AP78" s="3">
        <f>IFERROR(INDEX(TableTEMaster[Custom],MATCH(TableWRTECalcPts[[#This Row],[POSRef]],TableTEMaster[TERef],0)),"")</f>
        <v>109.06915797030996</v>
      </c>
    </row>
    <row r="79" spans="1:42" x14ac:dyDescent="0.25">
      <c r="A79" s="4" t="str">
        <f>IFERROR(RANK(TableQBCalcPts[[#This Row],[Custom]],TableQBCalcPts[Custom])+COUNTIF($F$3:F79,F79)-1,"")</f>
        <v/>
      </c>
      <c r="B79" s="2">
        <v>77</v>
      </c>
      <c r="C79" s="2" t="str">
        <f>IFERROR(INDEX(TableQBMaster[Player],MATCH(TableQBCalcPts[[#This Row],[QBRef]],TableQBMaster[QBRef],0)),"")</f>
        <v/>
      </c>
      <c r="D79" s="2" t="str">
        <f>IFERROR(INDEX(TableQBMaster[TM],MATCH(TableQBCalcPts[[#This Row],[QBRef]],TableQBMaster[QBRef],0)),"")</f>
        <v/>
      </c>
      <c r="E79" s="2" t="str">
        <f>IFERROR(INDEX(TableQBMaster[BYE],MATCH(TableQBCalcPts[[#This Row],[QBRef]],TableQBMaster[QBRef],0)),"")</f>
        <v/>
      </c>
      <c r="F79" s="3" t="str">
        <f>IFERROR(INDEX(TableQBMaster[Custom],MATCH(TableQBCalcPts[[#This Row],[QBRef]],TableQBMaster[QBRef],0)),"")</f>
        <v/>
      </c>
      <c r="H79" s="2">
        <f>IFERROR(RANK(TableRBCalcPts[[#This Row],[Custom]],TableRBCalcPts[Custom])+COUNTIF($M$3:M79,M79)-1,"")</f>
        <v>106</v>
      </c>
      <c r="I79" s="2">
        <v>77</v>
      </c>
      <c r="J79" s="2" t="str">
        <f>IFERROR(INDEX(TableRBMaster[Player],MATCH(TableRBCalcPts[[#This Row],[RBRef]],TableRBMaster[RBRef],0)),"")</f>
        <v>Devin Neal</v>
      </c>
      <c r="K79" s="2" t="str">
        <f>IFERROR(INDEX(TableRBMaster[TM],MATCH(TableRBCalcPts[[#This Row],[RBRef]],TableRBMaster[RBRef],0)),"")</f>
        <v>NO</v>
      </c>
      <c r="L79" s="2">
        <f>IFERROR(INDEX(TableRBMaster[BYE],MATCH(TableRBCalcPts[[#This Row],[RBRef]],TableRBMaster[RBRef],0)),"")</f>
        <v>8</v>
      </c>
      <c r="M79" s="3">
        <f>IFERROR(INDEX(TableRBMaster[Custom],MATCH(TableRBCalcPts[[#This Row],[RBRef]],TableRBMaster[RBRef],0)),"")</f>
        <v>7.6840138446847996</v>
      </c>
      <c r="O79" s="2">
        <f>IFERROR(RANK(TableWRCalcPts[[#This Row],[Custom]],TableWRCalcPts[Custom])+COUNTIF($T$3:T79,T79)-1,"")</f>
        <v>136</v>
      </c>
      <c r="P79" s="2">
        <v>77</v>
      </c>
      <c r="Q79" s="2" t="str">
        <f>IFERROR(INDEX(TableWRMaster[Player],MATCH(TableWRCalcPts[[#This Row],[WRRef]],TableWRMaster[WRRef],0)),"")</f>
        <v>Ashton Dulin</v>
      </c>
      <c r="R79" s="2" t="str">
        <f>IFERROR(INDEX(TableWRMaster[TM],MATCH(TableWRCalcPts[[#This Row],[WRRef]],TableWRMaster[WRRef],0)),"")</f>
        <v>IND</v>
      </c>
      <c r="S79" s="2">
        <f>IFERROR(INDEX(TableWRMaster[BYE],MATCH(TableWRCalcPts[[#This Row],[WRRef]],TableWRMaster[WRRef],0)),"")</f>
        <v>13</v>
      </c>
      <c r="T79" s="3">
        <f>IFERROR(INDEX(TableWRMaster[Custom],MATCH(TableWRCalcPts[[#This Row],[WRRef]],TableWRMaster[WRRef],0)),"")</f>
        <v>15.8948597865901</v>
      </c>
      <c r="V79" s="2">
        <f>IFERROR(RANK(TableTECalcPts[[#This Row],[Custom]],TableTECalcPts[Custom])+COUNTIF($AA$3:AA79,AA79)-1,"")</f>
        <v>34</v>
      </c>
      <c r="W79" s="2">
        <v>77</v>
      </c>
      <c r="X79" s="2" t="str">
        <f>IFERROR(INDEX(TableTEMaster[Player],MATCH(TableTECalcPts[[#This Row],[TERef]],TableTEMaster[TERef],0)),"")</f>
        <v>Darnell Washington</v>
      </c>
      <c r="Y79" s="2" t="str">
        <f>IFERROR(INDEX(TableTEMaster[TM],MATCH(TableTECalcPts[[#This Row],[TERef]],TableTEMaster[TERef],0)),"")</f>
        <v>PIT</v>
      </c>
      <c r="Z79" s="2">
        <f>IFERROR(INDEX(TableTEMaster[BYE],MATCH(TableTECalcPts[[#This Row],[TERef]],TableTEMaster[TERef],0)),"")</f>
        <v>9</v>
      </c>
      <c r="AA79" s="3">
        <f>IFERROR(INDEX(TableTEMaster[Custom],MATCH(TableTECalcPts[[#This Row],[TERef]],TableTEMaster[TERef],0)),"")</f>
        <v>63.316144832859713</v>
      </c>
      <c r="AI79" s="2" t="s">
        <v>8</v>
      </c>
      <c r="AJ79" s="2">
        <f>IFERROR(RANK(TableWRTECalcPts[[#This Row],[Custom]],TableWRTECalcPts[Custom])+COUNTIF($AP$3:AP79,AP79)-1,"")</f>
        <v>118</v>
      </c>
      <c r="AK79" s="2">
        <v>77</v>
      </c>
      <c r="AL79" s="2" t="str">
        <f>IFERROR(INDEX(TableTEMaster[Player],MATCH(TableWRTECalcPts[[#This Row],[POSRef]],TableTEMaster[TERef],0)),"")</f>
        <v>Darnell Washington</v>
      </c>
      <c r="AM79" s="2" t="str">
        <f>IFERROR(_xlfn.CONCAT(TableWRTECalcPts[[#This Row],[POS]],INDEX(TableTERanks[RK],MATCH(TableWRTECalcPts[[#This Row],[PLAYER]],TableTERanks[Player],0))),"")</f>
        <v>TE34</v>
      </c>
      <c r="AN79" s="2" t="str">
        <f>IFERROR(INDEX(TableTEMaster[TM],MATCH(TableWRTECalcPts[[#This Row],[POSRef]],TableTEMaster[TERef],0)),"")</f>
        <v>PIT</v>
      </c>
      <c r="AO79" s="2">
        <f>IFERROR(INDEX(TableTEMaster[BYE],MATCH(TableWRTECalcPts[[#This Row],[POSRef]],TableTEMaster[TERef],0)),"")</f>
        <v>9</v>
      </c>
      <c r="AP79" s="3">
        <f>IFERROR(INDEX(TableTEMaster[Custom],MATCH(TableWRTECalcPts[[#This Row],[POSRef]],TableTEMaster[TERef],0)),"")</f>
        <v>63.316144832859713</v>
      </c>
    </row>
    <row r="80" spans="1:42" x14ac:dyDescent="0.25">
      <c r="A80" s="4" t="str">
        <f>IFERROR(RANK(TableQBCalcPts[[#This Row],[Custom]],TableQBCalcPts[Custom])+COUNTIF($F$3:F80,F80)-1,"")</f>
        <v/>
      </c>
      <c r="B80" s="2">
        <v>78</v>
      </c>
      <c r="C80" s="2" t="str">
        <f>IFERROR(INDEX(TableQBMaster[Player],MATCH(TableQBCalcPts[[#This Row],[QBRef]],TableQBMaster[QBRef],0)),"")</f>
        <v/>
      </c>
      <c r="D80" s="2" t="str">
        <f>IFERROR(INDEX(TableQBMaster[TM],MATCH(TableQBCalcPts[[#This Row],[QBRef]],TableQBMaster[QBRef],0)),"")</f>
        <v/>
      </c>
      <c r="E80" s="2" t="str">
        <f>IFERROR(INDEX(TableQBMaster[BYE],MATCH(TableQBCalcPts[[#This Row],[QBRef]],TableQBMaster[QBRef],0)),"")</f>
        <v/>
      </c>
      <c r="F80" s="3" t="str">
        <f>IFERROR(INDEX(TableQBMaster[Custom],MATCH(TableQBCalcPts[[#This Row],[QBRef]],TableQBMaster[QBRef],0)),"")</f>
        <v/>
      </c>
      <c r="H80" s="2">
        <f>IFERROR(RANK(TableRBCalcPts[[#This Row],[Custom]],TableRBCalcPts[Custom])+COUNTIF($M$3:M80,M80)-1,"")</f>
        <v>14</v>
      </c>
      <c r="I80" s="2">
        <v>78</v>
      </c>
      <c r="J80" s="2" t="str">
        <f>IFERROR(INDEX(TableRBMaster[Player],MATCH(TableRBCalcPts[[#This Row],[RBRef]],TableRBMaster[RBRef],0)),"")</f>
        <v>Cam Skattebo</v>
      </c>
      <c r="K80" s="2" t="str">
        <f>IFERROR(INDEX(TableRBMaster[TM],MATCH(TableRBCalcPts[[#This Row],[RBRef]],TableRBMaster[RBRef],0)),"")</f>
        <v>NYG</v>
      </c>
      <c r="L80" s="2">
        <f>IFERROR(INDEX(TableRBMaster[BYE],MATCH(TableRBCalcPts[[#This Row],[RBRef]],TableRBMaster[RBRef],0)),"")</f>
        <v>8</v>
      </c>
      <c r="M80" s="3">
        <f>IFERROR(INDEX(TableRBMaster[Custom],MATCH(TableRBCalcPts[[#This Row],[RBRef]],TableRBMaster[RBRef],0)),"")</f>
        <v>223.78050509921496</v>
      </c>
      <c r="O80" s="2">
        <f>IFERROR(RANK(TableWRCalcPts[[#This Row],[Custom]],TableWRCalcPts[Custom])+COUNTIF($T$3:T80,T80)-1,"")</f>
        <v>174</v>
      </c>
      <c r="P80" s="2">
        <v>78</v>
      </c>
      <c r="Q80" s="2" t="str">
        <f>IFERROR(INDEX(TableWRMaster[Player],MATCH(TableWRCalcPts[[#This Row],[WRRef]],TableWRMaster[WRRef],0)),"")</f>
        <v>Anthony Gould</v>
      </c>
      <c r="R80" s="2" t="str">
        <f>IFERROR(INDEX(TableWRMaster[TM],MATCH(TableWRCalcPts[[#This Row],[WRRef]],TableWRMaster[WRRef],0)),"")</f>
        <v>IND</v>
      </c>
      <c r="S80" s="2">
        <f>IFERROR(INDEX(TableWRMaster[BYE],MATCH(TableWRCalcPts[[#This Row],[WRRef]],TableWRMaster[WRRef],0)),"")</f>
        <v>13</v>
      </c>
      <c r="T80" s="3">
        <f>IFERROR(INDEX(TableWRMaster[Custom],MATCH(TableWRCalcPts[[#This Row],[WRRef]],TableWRMaster[WRRef],0)),"")</f>
        <v>5.4349145164160007</v>
      </c>
      <c r="V80" s="2">
        <f>IFERROR(RANK(TableTECalcPts[[#This Row],[Custom]],TableTECalcPts[Custom])+COUNTIF($AA$3:AA80,AA80)-1,"")</f>
        <v>29</v>
      </c>
      <c r="W80" s="2">
        <v>78</v>
      </c>
      <c r="X80" s="2" t="str">
        <f>IFERROR(INDEX(TableTEMaster[Player],MATCH(TableTECalcPts[[#This Row],[TERef]],TableTEMaster[TERef],0)),"")</f>
        <v>AJ Barner</v>
      </c>
      <c r="Y80" s="2" t="str">
        <f>IFERROR(INDEX(TableTEMaster[TM],MATCH(TableTECalcPts[[#This Row],[TERef]],TableTEMaster[TERef],0)),"")</f>
        <v>SEA</v>
      </c>
      <c r="Z80" s="2">
        <f>IFERROR(INDEX(TableTEMaster[BYE],MATCH(TableTECalcPts[[#This Row],[TERef]],TableTEMaster[TERef],0)),"")</f>
        <v>11</v>
      </c>
      <c r="AA80" s="3">
        <f>IFERROR(INDEX(TableTEMaster[Custom],MATCH(TableTECalcPts[[#This Row],[TERef]],TableTEMaster[TERef],0)),"")</f>
        <v>84.45884130942207</v>
      </c>
      <c r="AI80" s="2" t="s">
        <v>8</v>
      </c>
      <c r="AJ80" s="2">
        <f>IFERROR(RANK(TableWRTECalcPts[[#This Row],[Custom]],TableWRTECalcPts[Custom])+COUNTIF($AP$3:AP80,AP80)-1,"")</f>
        <v>104</v>
      </c>
      <c r="AK80" s="2">
        <v>78</v>
      </c>
      <c r="AL80" s="2" t="str">
        <f>IFERROR(INDEX(TableTEMaster[Player],MATCH(TableWRTECalcPts[[#This Row],[POSRef]],TableTEMaster[TERef],0)),"")</f>
        <v>AJ Barner</v>
      </c>
      <c r="AM80" s="2" t="str">
        <f>IFERROR(_xlfn.CONCAT(TableWRTECalcPts[[#This Row],[POS]],INDEX(TableTERanks[RK],MATCH(TableWRTECalcPts[[#This Row],[PLAYER]],TableTERanks[Player],0))),"")</f>
        <v>TE29</v>
      </c>
      <c r="AN80" s="2" t="str">
        <f>IFERROR(INDEX(TableTEMaster[TM],MATCH(TableWRTECalcPts[[#This Row],[POSRef]],TableTEMaster[TERef],0)),"")</f>
        <v>SEA</v>
      </c>
      <c r="AO80" s="2">
        <f>IFERROR(INDEX(TableTEMaster[BYE],MATCH(TableWRTECalcPts[[#This Row],[POSRef]],TableTEMaster[TERef],0)),"")</f>
        <v>11</v>
      </c>
      <c r="AP80" s="3">
        <f>IFERROR(INDEX(TableTEMaster[Custom],MATCH(TableWRTECalcPts[[#This Row],[POSRef]],TableTEMaster[TERef],0)),"")</f>
        <v>84.45884130942207</v>
      </c>
    </row>
    <row r="81" spans="1:42" x14ac:dyDescent="0.25">
      <c r="A81" s="4" t="str">
        <f>IFERROR(RANK(TableQBCalcPts[[#This Row],[Custom]],TableQBCalcPts[Custom])+COUNTIF($F$3:F81,F81)-1,"")</f>
        <v/>
      </c>
      <c r="B81" s="2">
        <v>79</v>
      </c>
      <c r="C81" s="2" t="str">
        <f>IFERROR(INDEX(TableQBMaster[Player],MATCH(TableQBCalcPts[[#This Row],[QBRef]],TableQBMaster[QBRef],0)),"")</f>
        <v/>
      </c>
      <c r="D81" s="2" t="str">
        <f>IFERROR(INDEX(TableQBMaster[TM],MATCH(TableQBCalcPts[[#This Row],[QBRef]],TableQBMaster[QBRef],0)),"")</f>
        <v/>
      </c>
      <c r="E81" s="2" t="str">
        <f>IFERROR(INDEX(TableQBMaster[BYE],MATCH(TableQBCalcPts[[#This Row],[QBRef]],TableQBMaster[QBRef],0)),"")</f>
        <v/>
      </c>
      <c r="F81" s="3" t="str">
        <f>IFERROR(INDEX(TableQBMaster[Custom],MATCH(TableQBCalcPts[[#This Row],[QBRef]],TableQBMaster[QBRef],0)),"")</f>
        <v/>
      </c>
      <c r="H81" s="2">
        <f>IFERROR(RANK(TableRBCalcPts[[#This Row],[Custom]],TableRBCalcPts[Custom])+COUNTIF($M$3:M81,M81)-1,"")</f>
        <v>50</v>
      </c>
      <c r="I81" s="2">
        <v>79</v>
      </c>
      <c r="J81" s="2" t="str">
        <f>IFERROR(INDEX(TableRBMaster[Player],MATCH(TableRBCalcPts[[#This Row],[RBRef]],TableRBMaster[RBRef],0)),"")</f>
        <v>Tyrone Tracy</v>
      </c>
      <c r="K81" s="2" t="str">
        <f>IFERROR(INDEX(TableRBMaster[TM],MATCH(TableRBCalcPts[[#This Row],[RBRef]],TableRBMaster[RBRef],0)),"")</f>
        <v>NYG</v>
      </c>
      <c r="L81" s="2">
        <f>IFERROR(INDEX(TableRBMaster[BYE],MATCH(TableRBCalcPts[[#This Row],[RBRef]],TableRBMaster[RBRef],0)),"")</f>
        <v>8</v>
      </c>
      <c r="M81" s="3">
        <f>IFERROR(INDEX(TableRBMaster[Custom],MATCH(TableRBCalcPts[[#This Row],[RBRef]],TableRBMaster[RBRef],0)),"")</f>
        <v>90.423360797211956</v>
      </c>
      <c r="O81" s="2">
        <f>IFERROR(RANK(TableWRCalcPts[[#This Row],[Custom]],TableWRCalcPts[Custom])+COUNTIF($T$3:T81,T81)-1,"")</f>
        <v>24</v>
      </c>
      <c r="P81" s="2">
        <v>79</v>
      </c>
      <c r="Q81" s="2" t="str">
        <f>IFERROR(INDEX(TableWRMaster[Player],MATCH(TableWRCalcPts[[#This Row],[WRRef]],TableWRMaster[WRRef],0)),"")</f>
        <v>Parker Washington</v>
      </c>
      <c r="R81" s="2" t="str">
        <f>IFERROR(INDEX(TableWRMaster[TM],MATCH(TableWRCalcPts[[#This Row],[WRRef]],TableWRMaster[WRRef],0)),"")</f>
        <v>JAX</v>
      </c>
      <c r="S81" s="2">
        <f>IFERROR(INDEX(TableWRMaster[BYE],MATCH(TableWRCalcPts[[#This Row],[WRRef]],TableWRMaster[WRRef],0)),"")</f>
        <v>7</v>
      </c>
      <c r="T81" s="3">
        <f>IFERROR(INDEX(TableWRMaster[Custom],MATCH(TableWRCalcPts[[#This Row],[WRRef]],TableWRMaster[WRRef],0)),"")</f>
        <v>188.01132302400001</v>
      </c>
      <c r="V81" s="2">
        <f>IFERROR(RANK(TableTECalcPts[[#This Row],[Custom]],TableTECalcPts[Custom])+COUNTIF($AA$3:AA81,AA81)-1,"")</f>
        <v>42</v>
      </c>
      <c r="W81" s="2">
        <v>79</v>
      </c>
      <c r="X81" s="2" t="str">
        <f>IFERROR(INDEX(TableTEMaster[Player],MATCH(TableTECalcPts[[#This Row],[TERef]],TableTEMaster[TERef],0)),"")</f>
        <v>Elijah Arroyo</v>
      </c>
      <c r="Y81" s="2" t="str">
        <f>IFERROR(INDEX(TableTEMaster[TM],MATCH(TableTECalcPts[[#This Row],[TERef]],TableTEMaster[TERef],0)),"")</f>
        <v>SEA</v>
      </c>
      <c r="Z81" s="2">
        <f>IFERROR(INDEX(TableTEMaster[BYE],MATCH(TableTECalcPts[[#This Row],[TERef]],TableTEMaster[TERef],0)),"")</f>
        <v>11</v>
      </c>
      <c r="AA81" s="3">
        <f>IFERROR(INDEX(TableTEMaster[Custom],MATCH(TableTECalcPts[[#This Row],[TERef]],TableTEMaster[TERef],0)),"")</f>
        <v>41.558434084112932</v>
      </c>
      <c r="AI81" s="2" t="s">
        <v>8</v>
      </c>
      <c r="AJ81" s="2">
        <f>IFERROR(RANK(TableWRTECalcPts[[#This Row],[Custom]],TableWRTECalcPts[Custom])+COUNTIF($AP$3:AP81,AP81)-1,"")</f>
        <v>152</v>
      </c>
      <c r="AK81" s="2">
        <v>79</v>
      </c>
      <c r="AL81" s="2" t="str">
        <f>IFERROR(INDEX(TableTEMaster[Player],MATCH(TableWRTECalcPts[[#This Row],[POSRef]],TableTEMaster[TERef],0)),"")</f>
        <v>Elijah Arroyo</v>
      </c>
      <c r="AM81" s="2" t="str">
        <f>IFERROR(_xlfn.CONCAT(TableWRTECalcPts[[#This Row],[POS]],INDEX(TableTERanks[RK],MATCH(TableWRTECalcPts[[#This Row],[PLAYER]],TableTERanks[Player],0))),"")</f>
        <v>TE42</v>
      </c>
      <c r="AN81" s="2" t="str">
        <f>IFERROR(INDEX(TableTEMaster[TM],MATCH(TableWRTECalcPts[[#This Row],[POSRef]],TableTEMaster[TERef],0)),"")</f>
        <v>SEA</v>
      </c>
      <c r="AO81" s="2">
        <f>IFERROR(INDEX(TableTEMaster[BYE],MATCH(TableWRTECalcPts[[#This Row],[POSRef]],TableTEMaster[TERef],0)),"")</f>
        <v>11</v>
      </c>
      <c r="AP81" s="3">
        <f>IFERROR(INDEX(TableTEMaster[Custom],MATCH(TableWRTECalcPts[[#This Row],[POSRef]],TableTEMaster[TERef],0)),"")</f>
        <v>41.558434084112932</v>
      </c>
    </row>
    <row r="82" spans="1:42" x14ac:dyDescent="0.25">
      <c r="A82" s="4" t="str">
        <f>IFERROR(RANK(TableQBCalcPts[[#This Row],[Custom]],TableQBCalcPts[Custom])+COUNTIF($F$3:F82,F82)-1,"")</f>
        <v/>
      </c>
      <c r="B82" s="2">
        <v>80</v>
      </c>
      <c r="C82" s="2" t="str">
        <f>IFERROR(INDEX(TableQBMaster[Player],MATCH(TableQBCalcPts[[#This Row],[QBRef]],TableQBMaster[QBRef],0)),"")</f>
        <v/>
      </c>
      <c r="D82" s="2" t="str">
        <f>IFERROR(INDEX(TableQBMaster[TM],MATCH(TableQBCalcPts[[#This Row],[QBRef]],TableQBMaster[QBRef],0)),"")</f>
        <v/>
      </c>
      <c r="E82" s="2" t="str">
        <f>IFERROR(INDEX(TableQBMaster[BYE],MATCH(TableQBCalcPts[[#This Row],[QBRef]],TableQBMaster[QBRef],0)),"")</f>
        <v/>
      </c>
      <c r="F82" s="3" t="str">
        <f>IFERROR(INDEX(TableQBMaster[Custom],MATCH(TableQBCalcPts[[#This Row],[QBRef]],TableQBMaster[QBRef],0)),"")</f>
        <v/>
      </c>
      <c r="H82" s="2">
        <f>IFERROR(RANK(TableRBCalcPts[[#This Row],[Custom]],TableRBCalcPts[Custom])+COUNTIF($M$3:M82,M82)-1,"")</f>
        <v>89</v>
      </c>
      <c r="I82" s="2">
        <v>80</v>
      </c>
      <c r="J82" s="2" t="str">
        <f>IFERROR(INDEX(TableRBMaster[Player],MATCH(TableRBCalcPts[[#This Row],[RBRef]],TableRBMaster[RBRef],0)),"")</f>
        <v>Devin Singletary</v>
      </c>
      <c r="K82" s="2" t="str">
        <f>IFERROR(INDEX(TableRBMaster[TM],MATCH(TableRBCalcPts[[#This Row],[RBRef]],TableRBMaster[RBRef],0)),"")</f>
        <v>NYG</v>
      </c>
      <c r="L82" s="2">
        <f>IFERROR(INDEX(TableRBMaster[BYE],MATCH(TableRBCalcPts[[#This Row],[RBRef]],TableRBMaster[RBRef],0)),"")</f>
        <v>8</v>
      </c>
      <c r="M82" s="3">
        <f>IFERROR(INDEX(TableRBMaster[Custom],MATCH(TableRBCalcPts[[#This Row],[RBRef]],TableRBMaster[RBRef],0)),"")</f>
        <v>17.45946486942</v>
      </c>
      <c r="O82" s="2">
        <f>IFERROR(RANK(TableWRCalcPts[[#This Row],[Custom]],TableWRCalcPts[Custom])+COUNTIF($T$3:T82,T82)-1,"")</f>
        <v>46</v>
      </c>
      <c r="P82" s="2">
        <v>80</v>
      </c>
      <c r="Q82" s="2" t="str">
        <f>IFERROR(INDEX(TableWRMaster[Player],MATCH(TableWRCalcPts[[#This Row],[WRRef]],TableWRMaster[WRRef],0)),"")</f>
        <v>Brian Thomas</v>
      </c>
      <c r="R82" s="2" t="str">
        <f>IFERROR(INDEX(TableWRMaster[TM],MATCH(TableWRCalcPts[[#This Row],[WRRef]],TableWRMaster[WRRef],0)),"")</f>
        <v>JAX</v>
      </c>
      <c r="S82" s="2">
        <f>IFERROR(INDEX(TableWRMaster[BYE],MATCH(TableWRCalcPts[[#This Row],[WRRef]],TableWRMaster[WRRef],0)),"")</f>
        <v>7</v>
      </c>
      <c r="T82" s="3">
        <f>IFERROR(INDEX(TableWRMaster[Custom],MATCH(TableWRCalcPts[[#This Row],[WRRef]],TableWRMaster[WRRef],0)),"")</f>
        <v>145.44104743852742</v>
      </c>
      <c r="V82" s="2">
        <f>IFERROR(RANK(TableTECalcPts[[#This Row],[Custom]],TableTECalcPts[Custom])+COUNTIF($AA$3:AA82,AA82)-1,"")</f>
        <v>6</v>
      </c>
      <c r="W82" s="2">
        <v>80</v>
      </c>
      <c r="X82" s="2" t="str">
        <f>IFERROR(INDEX(TableTEMaster[Player],MATCH(TableTECalcPts[[#This Row],[TERef]],TableTEMaster[TERef],0)),"")</f>
        <v>George Kittle</v>
      </c>
      <c r="Y82" s="2" t="str">
        <f>IFERROR(INDEX(TableTEMaster[TM],MATCH(TableTECalcPts[[#This Row],[TERef]],TableTEMaster[TERef],0)),"")</f>
        <v>SF</v>
      </c>
      <c r="Z82" s="2">
        <f>IFERROR(INDEX(TableTEMaster[BYE],MATCH(TableTECalcPts[[#This Row],[TERef]],TableTEMaster[TERef],0)),"")</f>
        <v>8</v>
      </c>
      <c r="AA82" s="3">
        <f>IFERROR(INDEX(TableTEMaster[Custom],MATCH(TableTECalcPts[[#This Row],[TERef]],TableTEMaster[TERef],0)),"")</f>
        <v>155.06993486799362</v>
      </c>
      <c r="AI82" s="2" t="s">
        <v>8</v>
      </c>
      <c r="AJ82" s="2">
        <f>IFERROR(RANK(TableWRTECalcPts[[#This Row],[Custom]],TableWRTECalcPts[Custom])+COUNTIF($AP$3:AP82,AP82)-1,"")</f>
        <v>45</v>
      </c>
      <c r="AK82" s="2">
        <v>80</v>
      </c>
      <c r="AL82" s="2" t="str">
        <f>IFERROR(INDEX(TableTEMaster[Player],MATCH(TableWRTECalcPts[[#This Row],[POSRef]],TableTEMaster[TERef],0)),"")</f>
        <v>George Kittle</v>
      </c>
      <c r="AM82" s="2" t="str">
        <f>IFERROR(_xlfn.CONCAT(TableWRTECalcPts[[#This Row],[POS]],INDEX(TableTERanks[RK],MATCH(TableWRTECalcPts[[#This Row],[PLAYER]],TableTERanks[Player],0))),"")</f>
        <v>TE6</v>
      </c>
      <c r="AN82" s="2" t="str">
        <f>IFERROR(INDEX(TableTEMaster[TM],MATCH(TableWRTECalcPts[[#This Row],[POSRef]],TableTEMaster[TERef],0)),"")</f>
        <v>SF</v>
      </c>
      <c r="AO82" s="2">
        <f>IFERROR(INDEX(TableTEMaster[BYE],MATCH(TableWRTECalcPts[[#This Row],[POSRef]],TableTEMaster[TERef],0)),"")</f>
        <v>8</v>
      </c>
      <c r="AP82" s="3">
        <f>IFERROR(INDEX(TableTEMaster[Custom],MATCH(TableWRTECalcPts[[#This Row],[POSRef]],TableTEMaster[TERef],0)),"")</f>
        <v>155.06993486799362</v>
      </c>
    </row>
    <row r="83" spans="1:42" x14ac:dyDescent="0.25">
      <c r="A83" s="4" t="str">
        <f>IFERROR(RANK(TableQBCalcPts[[#This Row],[Custom]],TableQBCalcPts[Custom])+COUNTIF($F$3:F83,F83)-1,"")</f>
        <v/>
      </c>
      <c r="B83" s="2">
        <v>81</v>
      </c>
      <c r="C83" s="2" t="str">
        <f>IFERROR(INDEX(TableQBMaster[Player],MATCH(TableQBCalcPts[[#This Row],[QBRef]],TableQBMaster[QBRef],0)),"")</f>
        <v/>
      </c>
      <c r="D83" s="2" t="str">
        <f>IFERROR(INDEX(TableQBMaster[TM],MATCH(TableQBCalcPts[[#This Row],[QBRef]],TableQBMaster[QBRef],0)),"")</f>
        <v/>
      </c>
      <c r="E83" s="2" t="str">
        <f>IFERROR(INDEX(TableQBMaster[BYE],MATCH(TableQBCalcPts[[#This Row],[QBRef]],TableQBMaster[QBRef],0)),"")</f>
        <v/>
      </c>
      <c r="F83" s="3" t="str">
        <f>IFERROR(INDEX(TableQBMaster[Custom],MATCH(TableQBCalcPts[[#This Row],[QBRef]],TableQBMaster[QBRef],0)),"")</f>
        <v/>
      </c>
      <c r="H83" s="2">
        <f>IFERROR(RANK(TableRBCalcPts[[#This Row],[Custom]],TableRBCalcPts[Custom])+COUNTIF($M$3:M83,M83)-1,"")</f>
        <v>16</v>
      </c>
      <c r="I83" s="2">
        <v>81</v>
      </c>
      <c r="J83" s="2" t="str">
        <f>IFERROR(INDEX(TableRBMaster[Player],MATCH(TableRBCalcPts[[#This Row],[RBRef]],TableRBMaster[RBRef],0)),"")</f>
        <v>Breece Hall</v>
      </c>
      <c r="K83" s="2" t="str">
        <f>IFERROR(INDEX(TableRBMaster[TM],MATCH(TableRBCalcPts[[#This Row],[RBRef]],TableRBMaster[RBRef],0)),"")</f>
        <v>NYJ</v>
      </c>
      <c r="L83" s="2">
        <f>IFERROR(INDEX(TableRBMaster[BYE],MATCH(TableRBCalcPts[[#This Row],[RBRef]],TableRBMaster[RBRef],0)),"")</f>
        <v>13</v>
      </c>
      <c r="M83" s="3">
        <f>IFERROR(INDEX(TableRBMaster[Custom],MATCH(TableRBCalcPts[[#This Row],[RBRef]],TableRBMaster[RBRef],0)),"")</f>
        <v>219.69324965444545</v>
      </c>
      <c r="O83" s="2">
        <f>IFERROR(RANK(TableWRCalcPts[[#This Row],[Custom]],TableWRCalcPts[Custom])+COUNTIF($T$3:T83,T83)-1,"")</f>
        <v>50</v>
      </c>
      <c r="P83" s="2">
        <v>81</v>
      </c>
      <c r="Q83" s="2" t="str">
        <f>IFERROR(INDEX(TableWRMaster[Player],MATCH(TableWRCalcPts[[#This Row],[WRRef]],TableWRMaster[WRRef],0)),"")</f>
        <v>Jakobi Meyers</v>
      </c>
      <c r="R83" s="2" t="str">
        <f>IFERROR(INDEX(TableWRMaster[TM],MATCH(TableWRCalcPts[[#This Row],[WRRef]],TableWRMaster[WRRef],0)),"")</f>
        <v>JAX</v>
      </c>
      <c r="S83" s="2">
        <f>IFERROR(INDEX(TableWRMaster[BYE],MATCH(TableWRCalcPts[[#This Row],[WRRef]],TableWRMaster[WRRef],0)),"")</f>
        <v>7</v>
      </c>
      <c r="T83" s="3">
        <f>IFERROR(INDEX(TableWRMaster[Custom],MATCH(TableWRCalcPts[[#This Row],[WRRef]],TableWRMaster[WRRef],0)),"")</f>
        <v>137.56599358807983</v>
      </c>
      <c r="V83" s="2">
        <f>IFERROR(RANK(TableTECalcPts[[#This Row],[Custom]],TableTECalcPts[Custom])+COUNTIF($AA$3:AA83,AA83)-1,"")</f>
        <v>48</v>
      </c>
      <c r="W83" s="2">
        <v>81</v>
      </c>
      <c r="X83" s="2" t="str">
        <f>IFERROR(INDEX(TableTEMaster[Player],MATCH(TableTECalcPts[[#This Row],[TERef]],TableTEMaster[TERef],0)),"")</f>
        <v>Jake Tonges</v>
      </c>
      <c r="Y83" s="2" t="str">
        <f>IFERROR(INDEX(TableTEMaster[TM],MATCH(TableTECalcPts[[#This Row],[TERef]],TableTEMaster[TERef],0)),"")</f>
        <v>SF</v>
      </c>
      <c r="Z83" s="2">
        <f>IFERROR(INDEX(TableTEMaster[BYE],MATCH(TableTECalcPts[[#This Row],[TERef]],TableTEMaster[TERef],0)),"")</f>
        <v>8</v>
      </c>
      <c r="AA83" s="3">
        <f>IFERROR(INDEX(TableTEMaster[Custom],MATCH(TableTECalcPts[[#This Row],[TERef]],TableTEMaster[TERef],0)),"")</f>
        <v>32.157489867619205</v>
      </c>
      <c r="AI83" s="2" t="s">
        <v>8</v>
      </c>
      <c r="AJ83" s="2">
        <f>IFERROR(RANK(TableWRTECalcPts[[#This Row],[Custom]],TableWRTECalcPts[Custom])+COUNTIF($AP$3:AP83,AP83)-1,"")</f>
        <v>169</v>
      </c>
      <c r="AK83" s="2">
        <v>81</v>
      </c>
      <c r="AL83" s="2" t="str">
        <f>IFERROR(INDEX(TableTEMaster[Player],MATCH(TableWRTECalcPts[[#This Row],[POSRef]],TableTEMaster[TERef],0)),"")</f>
        <v>Jake Tonges</v>
      </c>
      <c r="AM83" s="2" t="str">
        <f>IFERROR(_xlfn.CONCAT(TableWRTECalcPts[[#This Row],[POS]],INDEX(TableTERanks[RK],MATCH(TableWRTECalcPts[[#This Row],[PLAYER]],TableTERanks[Player],0))),"")</f>
        <v>TE48</v>
      </c>
      <c r="AN83" s="2" t="str">
        <f>IFERROR(INDEX(TableTEMaster[TM],MATCH(TableWRTECalcPts[[#This Row],[POSRef]],TableTEMaster[TERef],0)),"")</f>
        <v>SF</v>
      </c>
      <c r="AO83" s="2">
        <f>IFERROR(INDEX(TableTEMaster[BYE],MATCH(TableWRTECalcPts[[#This Row],[POSRef]],TableTEMaster[TERef],0)),"")</f>
        <v>8</v>
      </c>
      <c r="AP83" s="3">
        <f>IFERROR(INDEX(TableTEMaster[Custom],MATCH(TableWRTECalcPts[[#This Row],[POSRef]],TableTEMaster[TERef],0)),"")</f>
        <v>32.157489867619205</v>
      </c>
    </row>
    <row r="84" spans="1:42" x14ac:dyDescent="0.25">
      <c r="A84" s="4" t="str">
        <f>IFERROR(RANK(TableQBCalcPts[[#This Row],[Custom]],TableQBCalcPts[Custom])+COUNTIF($F$3:F84,F84)-1,"")</f>
        <v/>
      </c>
      <c r="B84" s="2">
        <v>82</v>
      </c>
      <c r="C84" s="2" t="str">
        <f>IFERROR(INDEX(TableQBMaster[Player],MATCH(TableQBCalcPts[[#This Row],[QBRef]],TableQBMaster[QBRef],0)),"")</f>
        <v/>
      </c>
      <c r="D84" s="2" t="str">
        <f>IFERROR(INDEX(TableQBMaster[TM],MATCH(TableQBCalcPts[[#This Row],[QBRef]],TableQBMaster[QBRef],0)),"")</f>
        <v/>
      </c>
      <c r="E84" s="2" t="str">
        <f>IFERROR(INDEX(TableQBMaster[BYE],MATCH(TableQBCalcPts[[#This Row],[QBRef]],TableQBMaster[QBRef],0)),"")</f>
        <v/>
      </c>
      <c r="F84" s="3" t="str">
        <f>IFERROR(INDEX(TableQBMaster[Custom],MATCH(TableQBCalcPts[[#This Row],[QBRef]],TableQBMaster[QBRef],0)),"")</f>
        <v/>
      </c>
      <c r="H84" s="2">
        <f>IFERROR(RANK(TableRBCalcPts[[#This Row],[Custom]],TableRBCalcPts[Custom])+COUNTIF($M$3:M84,M84)-1,"")</f>
        <v>47</v>
      </c>
      <c r="I84" s="2">
        <v>82</v>
      </c>
      <c r="J84" s="2" t="str">
        <f>IFERROR(INDEX(TableRBMaster[Player],MATCH(TableRBCalcPts[[#This Row],[RBRef]],TableRBMaster[RBRef],0)),"")</f>
        <v>Braelon Allen</v>
      </c>
      <c r="K84" s="2" t="str">
        <f>IFERROR(INDEX(TableRBMaster[TM],MATCH(TableRBCalcPts[[#This Row],[RBRef]],TableRBMaster[RBRef],0)),"")</f>
        <v>NYJ</v>
      </c>
      <c r="L84" s="2">
        <f>IFERROR(INDEX(TableRBMaster[BYE],MATCH(TableRBCalcPts[[#This Row],[RBRef]],TableRBMaster[RBRef],0)),"")</f>
        <v>13</v>
      </c>
      <c r="M84" s="3">
        <f>IFERROR(INDEX(TableRBMaster[Custom],MATCH(TableRBCalcPts[[#This Row],[RBRef]],TableRBMaster[RBRef],0)),"")</f>
        <v>93.604943826069501</v>
      </c>
      <c r="O84" s="2">
        <f>IFERROR(RANK(TableWRCalcPts[[#This Row],[Custom]],TableWRCalcPts[Custom])+COUNTIF($T$3:T84,T84)-1,"")</f>
        <v>105</v>
      </c>
      <c r="P84" s="2">
        <v>82</v>
      </c>
      <c r="Q84" s="2" t="str">
        <f>IFERROR(INDEX(TableWRMaster[Player],MATCH(TableWRCalcPts[[#This Row],[WRRef]],TableWRMaster[WRRef],0)),"")</f>
        <v>Travis Hunter</v>
      </c>
      <c r="R84" s="2" t="str">
        <f>IFERROR(INDEX(TableWRMaster[TM],MATCH(TableWRCalcPts[[#This Row],[WRRef]],TableWRMaster[WRRef],0)),"")</f>
        <v>JAX</v>
      </c>
      <c r="S84" s="2">
        <f>IFERROR(INDEX(TableWRMaster[BYE],MATCH(TableWRCalcPts[[#This Row],[WRRef]],TableWRMaster[WRRef],0)),"")</f>
        <v>7</v>
      </c>
      <c r="T84" s="3">
        <f>IFERROR(INDEX(TableWRMaster[Custom],MATCH(TableWRCalcPts[[#This Row],[WRRef]],TableWRMaster[WRRef],0)),"")</f>
        <v>45.395094095769608</v>
      </c>
      <c r="V84" s="2">
        <f>IFERROR(RANK(TableTECalcPts[[#This Row],[Custom]],TableTECalcPts[Custom])+COUNTIF($AA$3:AA84,AA84)-1,"")</f>
        <v>26</v>
      </c>
      <c r="W84" s="2">
        <v>82</v>
      </c>
      <c r="X84" s="2" t="str">
        <f>IFERROR(INDEX(TableTEMaster[Player],MATCH(TableTECalcPts[[#This Row],[TERef]],TableTEMaster[TERef],0)),"")</f>
        <v>Cade Otton</v>
      </c>
      <c r="Y84" s="2" t="str">
        <f>IFERROR(INDEX(TableTEMaster[TM],MATCH(TableTECalcPts[[#This Row],[TERef]],TableTEMaster[TERef],0)),"")</f>
        <v>TB</v>
      </c>
      <c r="Z84" s="2">
        <f>IFERROR(INDEX(TableTEMaster[BYE],MATCH(TableTECalcPts[[#This Row],[TERef]],TableTEMaster[TERef],0)),"")</f>
        <v>10</v>
      </c>
      <c r="AA84" s="3">
        <f>IFERROR(INDEX(TableTEMaster[Custom],MATCH(TableTECalcPts[[#This Row],[TERef]],TableTEMaster[TERef],0)),"")</f>
        <v>87.892710735944519</v>
      </c>
      <c r="AI84" s="2" t="s">
        <v>8</v>
      </c>
      <c r="AJ84" s="2">
        <f>IFERROR(RANK(TableWRTECalcPts[[#This Row],[Custom]],TableWRTECalcPts[Custom])+COUNTIF($AP$3:AP84,AP84)-1,"")</f>
        <v>101</v>
      </c>
      <c r="AK84" s="2">
        <v>82</v>
      </c>
      <c r="AL84" s="2" t="str">
        <f>IFERROR(INDEX(TableTEMaster[Player],MATCH(TableWRTECalcPts[[#This Row],[POSRef]],TableTEMaster[TERef],0)),"")</f>
        <v>Cade Otton</v>
      </c>
      <c r="AM84" s="2" t="str">
        <f>IFERROR(_xlfn.CONCAT(TableWRTECalcPts[[#This Row],[POS]],INDEX(TableTERanks[RK],MATCH(TableWRTECalcPts[[#This Row],[PLAYER]],TableTERanks[Player],0))),"")</f>
        <v>TE26</v>
      </c>
      <c r="AN84" s="2" t="str">
        <f>IFERROR(INDEX(TableTEMaster[TM],MATCH(TableWRTECalcPts[[#This Row],[POSRef]],TableTEMaster[TERef],0)),"")</f>
        <v>TB</v>
      </c>
      <c r="AO84" s="2">
        <f>IFERROR(INDEX(TableTEMaster[BYE],MATCH(TableWRTECalcPts[[#This Row],[POSRef]],TableTEMaster[TERef],0)),"")</f>
        <v>10</v>
      </c>
      <c r="AP84" s="3">
        <f>IFERROR(INDEX(TableTEMaster[Custom],MATCH(TableWRTECalcPts[[#This Row],[POSRef]],TableTEMaster[TERef],0)),"")</f>
        <v>87.892710735944519</v>
      </c>
    </row>
    <row r="85" spans="1:42" x14ac:dyDescent="0.25">
      <c r="A85" s="4" t="str">
        <f>IFERROR(RANK(TableQBCalcPts[[#This Row],[Custom]],TableQBCalcPts[Custom])+COUNTIF($F$3:F85,F85)-1,"")</f>
        <v/>
      </c>
      <c r="B85" s="2">
        <v>83</v>
      </c>
      <c r="C85" s="2" t="str">
        <f>IFERROR(INDEX(TableQBMaster[Player],MATCH(TableQBCalcPts[[#This Row],[QBRef]],TableQBMaster[QBRef],0)),"")</f>
        <v/>
      </c>
      <c r="D85" s="2" t="str">
        <f>IFERROR(INDEX(TableQBMaster[TM],MATCH(TableQBCalcPts[[#This Row],[QBRef]],TableQBMaster[QBRef],0)),"")</f>
        <v/>
      </c>
      <c r="E85" s="2" t="str">
        <f>IFERROR(INDEX(TableQBMaster[BYE],MATCH(TableQBCalcPts[[#This Row],[QBRef]],TableQBMaster[QBRef],0)),"")</f>
        <v/>
      </c>
      <c r="F85" s="3" t="str">
        <f>IFERROR(INDEX(TableQBMaster[Custom],MATCH(TableQBCalcPts[[#This Row],[QBRef]],TableQBMaster[QBRef],0)),"")</f>
        <v/>
      </c>
      <c r="H85" s="2">
        <f>IFERROR(RANK(TableRBCalcPts[[#This Row],[Custom]],TableRBCalcPts[Custom])+COUNTIF($M$3:M85,M85)-1,"")</f>
        <v>79</v>
      </c>
      <c r="I85" s="2">
        <v>83</v>
      </c>
      <c r="J85" s="2" t="str">
        <f>IFERROR(INDEX(TableRBMaster[Player],MATCH(TableRBCalcPts[[#This Row],[RBRef]],TableRBMaster[RBRef],0)),"")</f>
        <v>Isaiah Davis</v>
      </c>
      <c r="K85" s="2" t="str">
        <f>IFERROR(INDEX(TableRBMaster[TM],MATCH(TableRBCalcPts[[#This Row],[RBRef]],TableRBMaster[RBRef],0)),"")</f>
        <v>NYJ</v>
      </c>
      <c r="L85" s="2">
        <f>IFERROR(INDEX(TableRBMaster[BYE],MATCH(TableRBCalcPts[[#This Row],[RBRef]],TableRBMaster[RBRef],0)),"")</f>
        <v>13</v>
      </c>
      <c r="M85" s="3">
        <f>IFERROR(INDEX(TableRBMaster[Custom],MATCH(TableRBCalcPts[[#This Row],[RBRef]],TableRBMaster[RBRef],0)),"")</f>
        <v>27.570308632263728</v>
      </c>
      <c r="O85" s="2">
        <f>IFERROR(RANK(TableWRCalcPts[[#This Row],[Custom]],TableWRCalcPts[Custom])+COUNTIF($T$3:T85,T85)-1,"")</f>
        <v>170</v>
      </c>
      <c r="P85" s="2">
        <v>83</v>
      </c>
      <c r="Q85" s="2" t="str">
        <f>IFERROR(INDEX(TableWRMaster[Player],MATCH(TableWRCalcPts[[#This Row],[WRRef]],TableWRMaster[WRRef],0)),"")</f>
        <v>CJ Williams</v>
      </c>
      <c r="R85" s="2" t="str">
        <f>IFERROR(INDEX(TableWRMaster[TM],MATCH(TableWRCalcPts[[#This Row],[WRRef]],TableWRMaster[WRRef],0)),"")</f>
        <v>JAX</v>
      </c>
      <c r="S85" s="2">
        <f>IFERROR(INDEX(TableWRMaster[BYE],MATCH(TableWRCalcPts[[#This Row],[WRRef]],TableWRMaster[WRRef],0)),"")</f>
        <v>7</v>
      </c>
      <c r="T85" s="3">
        <f>IFERROR(INDEX(TableWRMaster[Custom],MATCH(TableWRCalcPts[[#This Row],[WRRef]],TableWRMaster[WRRef],0)),"")</f>
        <v>5.9840247851999999</v>
      </c>
      <c r="V85" s="2">
        <f>IFERROR(RANK(TableTECalcPts[[#This Row],[Custom]],TableTECalcPts[Custom])+COUNTIF($AA$3:AA85,AA85)-1,"")</f>
        <v>69</v>
      </c>
      <c r="W85" s="2">
        <v>83</v>
      </c>
      <c r="X85" s="2" t="str">
        <f>IFERROR(INDEX(TableTEMaster[Player],MATCH(TableTECalcPts[[#This Row],[TERef]],TableTEMaster[TERef],0)),"")</f>
        <v>Payne Durham</v>
      </c>
      <c r="Y85" s="2" t="str">
        <f>IFERROR(INDEX(TableTEMaster[TM],MATCH(TableTECalcPts[[#This Row],[TERef]],TableTEMaster[TERef],0)),"")</f>
        <v>TB</v>
      </c>
      <c r="Z85" s="2">
        <f>IFERROR(INDEX(TableTEMaster[BYE],MATCH(TableTECalcPts[[#This Row],[TERef]],TableTEMaster[TERef],0)),"")</f>
        <v>10</v>
      </c>
      <c r="AA85" s="3">
        <f>IFERROR(INDEX(TableTEMaster[Custom],MATCH(TableTECalcPts[[#This Row],[TERef]],TableTEMaster[TERef],0)),"")</f>
        <v>11.544060613315855</v>
      </c>
      <c r="AI85" s="2" t="s">
        <v>8</v>
      </c>
      <c r="AJ85" s="2">
        <f>IFERROR(RANK(TableWRTECalcPts[[#This Row],[Custom]],TableWRTECalcPts[Custom])+COUNTIF($AP$3:AP85,AP85)-1,"")</f>
        <v>212</v>
      </c>
      <c r="AK85" s="2">
        <v>83</v>
      </c>
      <c r="AL85" s="2" t="str">
        <f>IFERROR(INDEX(TableTEMaster[Player],MATCH(TableWRTECalcPts[[#This Row],[POSRef]],TableTEMaster[TERef],0)),"")</f>
        <v>Payne Durham</v>
      </c>
      <c r="AM85" s="2" t="str">
        <f>IFERROR(_xlfn.CONCAT(TableWRTECalcPts[[#This Row],[POS]],INDEX(TableTERanks[RK],MATCH(TableWRTECalcPts[[#This Row],[PLAYER]],TableTERanks[Player],0))),"")</f>
        <v>TE69</v>
      </c>
      <c r="AN85" s="2" t="str">
        <f>IFERROR(INDEX(TableTEMaster[TM],MATCH(TableWRTECalcPts[[#This Row],[POSRef]],TableTEMaster[TERef],0)),"")</f>
        <v>TB</v>
      </c>
      <c r="AO85" s="2">
        <f>IFERROR(INDEX(TableTEMaster[BYE],MATCH(TableWRTECalcPts[[#This Row],[POSRef]],TableTEMaster[TERef],0)),"")</f>
        <v>10</v>
      </c>
      <c r="AP85" s="3">
        <f>IFERROR(INDEX(TableTEMaster[Custom],MATCH(TableWRTECalcPts[[#This Row],[POSRef]],TableTEMaster[TERef],0)),"")</f>
        <v>11.544060613315855</v>
      </c>
    </row>
    <row r="86" spans="1:42" x14ac:dyDescent="0.25">
      <c r="A86" s="4" t="str">
        <f>IFERROR(RANK(TableQBCalcPts[[#This Row],[Custom]],TableQBCalcPts[Custom])+COUNTIF($F$3:F86,F86)-1,"")</f>
        <v/>
      </c>
      <c r="B86" s="2">
        <v>84</v>
      </c>
      <c r="C86" s="2" t="str">
        <f>IFERROR(INDEX(TableQBMaster[Player],MATCH(TableQBCalcPts[[#This Row],[QBRef]],TableQBMaster[QBRef],0)),"")</f>
        <v/>
      </c>
      <c r="D86" s="2" t="str">
        <f>IFERROR(INDEX(TableQBMaster[TM],MATCH(TableQBCalcPts[[#This Row],[QBRef]],TableQBMaster[QBRef],0)),"")</f>
        <v/>
      </c>
      <c r="E86" s="2" t="str">
        <f>IFERROR(INDEX(TableQBMaster[BYE],MATCH(TableQBCalcPts[[#This Row],[QBRef]],TableQBMaster[QBRef],0)),"")</f>
        <v/>
      </c>
      <c r="F86" s="3" t="str">
        <f>IFERROR(INDEX(TableQBMaster[Custom],MATCH(TableQBCalcPts[[#This Row],[QBRef]],TableQBMaster[QBRef],0)),"")</f>
        <v/>
      </c>
      <c r="H86" s="2">
        <f>IFERROR(RANK(TableRBCalcPts[[#This Row],[Custom]],TableRBCalcPts[Custom])+COUNTIF($M$3:M86,M86)-1,"")</f>
        <v>9</v>
      </c>
      <c r="I86" s="2">
        <v>84</v>
      </c>
      <c r="J86" s="2" t="str">
        <f>IFERROR(INDEX(TableRBMaster[Player],MATCH(TableRBCalcPts[[#This Row],[RBRef]],TableRBMaster[RBRef],0)),"")</f>
        <v>Saquon Barkley</v>
      </c>
      <c r="K86" s="2" t="str">
        <f>IFERROR(INDEX(TableRBMaster[TM],MATCH(TableRBCalcPts[[#This Row],[RBRef]],TableRBMaster[RBRef],0)),"")</f>
        <v>PHI</v>
      </c>
      <c r="L86" s="2">
        <f>IFERROR(INDEX(TableRBMaster[BYE],MATCH(TableRBCalcPts[[#This Row],[RBRef]],TableRBMaster[RBRef],0)),"")</f>
        <v>10</v>
      </c>
      <c r="M86" s="3">
        <f>IFERROR(INDEX(TableRBMaster[Custom],MATCH(TableRBCalcPts[[#This Row],[RBRef]],TableRBMaster[RBRef],0)),"")</f>
        <v>234.04588385981933</v>
      </c>
      <c r="O86" s="2">
        <f>IFERROR(RANK(TableWRCalcPts[[#This Row],[Custom]],TableWRCalcPts[Custom])+COUNTIF($T$3:T86,T86)-1,"")</f>
        <v>176</v>
      </c>
      <c r="P86" s="2">
        <v>84</v>
      </c>
      <c r="Q86" s="2" t="str">
        <f>IFERROR(INDEX(TableWRMaster[Player],MATCH(TableWRCalcPts[[#This Row],[WRRef]],TableWRMaster[WRRef],0)),"")</f>
        <v>Josh Cameron</v>
      </c>
      <c r="R86" s="2" t="str">
        <f>IFERROR(INDEX(TableWRMaster[TM],MATCH(TableWRCalcPts[[#This Row],[WRRef]],TableWRMaster[WRRef],0)),"")</f>
        <v>JAX</v>
      </c>
      <c r="S86" s="2">
        <f>IFERROR(INDEX(TableWRMaster[BYE],MATCH(TableWRCalcPts[[#This Row],[WRRef]],TableWRMaster[WRRef],0)),"")</f>
        <v>7</v>
      </c>
      <c r="T86" s="3">
        <f>IFERROR(INDEX(TableWRMaster[Custom],MATCH(TableWRCalcPts[[#This Row],[WRRef]],TableWRMaster[WRRef],0)),"")</f>
        <v>3.4133063186250001</v>
      </c>
      <c r="V86" s="2">
        <f>IFERROR(RANK(TableTECalcPts[[#This Row],[Custom]],TableTECalcPts[Custom])+COUNTIF($AA$3:AA86,AA86)-1,"")</f>
        <v>30</v>
      </c>
      <c r="W86" s="2">
        <v>84</v>
      </c>
      <c r="X86" s="2" t="str">
        <f>IFERROR(INDEX(TableTEMaster[Player],MATCH(TableTECalcPts[[#This Row],[TERef]],TableTEMaster[TERef],0)),"")</f>
        <v>Gunnar Helm</v>
      </c>
      <c r="Y86" s="2" t="str">
        <f>IFERROR(INDEX(TableTEMaster[TM],MATCH(TableTECalcPts[[#This Row],[TERef]],TableTEMaster[TERef],0)),"")</f>
        <v>TEN</v>
      </c>
      <c r="Z86" s="2">
        <f>IFERROR(INDEX(TableTEMaster[BYE],MATCH(TableTECalcPts[[#This Row],[TERef]],TableTEMaster[TERef],0)),"")</f>
        <v>9</v>
      </c>
      <c r="AA86" s="3">
        <f>IFERROR(INDEX(TableTEMaster[Custom],MATCH(TableTECalcPts[[#This Row],[TERef]],TableTEMaster[TERef],0)),"")</f>
        <v>77.885793976241686</v>
      </c>
      <c r="AI86" s="2" t="s">
        <v>8</v>
      </c>
      <c r="AJ86" s="2">
        <f>IFERROR(RANK(TableWRTECalcPts[[#This Row],[Custom]],TableWRTECalcPts[Custom])+COUNTIF($AP$3:AP86,AP86)-1,"")</f>
        <v>108</v>
      </c>
      <c r="AK86" s="2">
        <v>84</v>
      </c>
      <c r="AL86" s="2" t="str">
        <f>IFERROR(INDEX(TableTEMaster[Player],MATCH(TableWRTECalcPts[[#This Row],[POSRef]],TableTEMaster[TERef],0)),"")</f>
        <v>Gunnar Helm</v>
      </c>
      <c r="AM86" s="2" t="str">
        <f>IFERROR(_xlfn.CONCAT(TableWRTECalcPts[[#This Row],[POS]],INDEX(TableTERanks[RK],MATCH(TableWRTECalcPts[[#This Row],[PLAYER]],TableTERanks[Player],0))),"")</f>
        <v>TE30</v>
      </c>
      <c r="AN86" s="2" t="str">
        <f>IFERROR(INDEX(TableTEMaster[TM],MATCH(TableWRTECalcPts[[#This Row],[POSRef]],TableTEMaster[TERef],0)),"")</f>
        <v>TEN</v>
      </c>
      <c r="AO86" s="2">
        <f>IFERROR(INDEX(TableTEMaster[BYE],MATCH(TableWRTECalcPts[[#This Row],[POSRef]],TableTEMaster[TERef],0)),"")</f>
        <v>9</v>
      </c>
      <c r="AP86" s="3">
        <f>IFERROR(INDEX(TableTEMaster[Custom],MATCH(TableWRTECalcPts[[#This Row],[POSRef]],TableTEMaster[TERef],0)),"")</f>
        <v>77.885793976241686</v>
      </c>
    </row>
    <row r="87" spans="1:42" x14ac:dyDescent="0.25">
      <c r="A87" s="4" t="str">
        <f>IFERROR(RANK(TableQBCalcPts[[#This Row],[Custom]],TableQBCalcPts[Custom])+COUNTIF($F$3:F87,F87)-1,"")</f>
        <v/>
      </c>
      <c r="B87" s="2">
        <v>85</v>
      </c>
      <c r="C87" s="2" t="str">
        <f>IFERROR(INDEX(TableQBMaster[Player],MATCH(TableQBCalcPts[[#This Row],[QBRef]],TableQBMaster[QBRef],0)),"")</f>
        <v/>
      </c>
      <c r="D87" s="2" t="str">
        <f>IFERROR(INDEX(TableQBMaster[TM],MATCH(TableQBCalcPts[[#This Row],[QBRef]],TableQBMaster[QBRef],0)),"")</f>
        <v/>
      </c>
      <c r="E87" s="2" t="str">
        <f>IFERROR(INDEX(TableQBMaster[BYE],MATCH(TableQBCalcPts[[#This Row],[QBRef]],TableQBMaster[QBRef],0)),"")</f>
        <v/>
      </c>
      <c r="F87" s="3" t="str">
        <f>IFERROR(INDEX(TableQBMaster[Custom],MATCH(TableQBCalcPts[[#This Row],[QBRef]],TableQBMaster[QBRef],0)),"")</f>
        <v/>
      </c>
      <c r="H87" s="2">
        <f>IFERROR(RANK(TableRBCalcPts[[#This Row],[Custom]],TableRBCalcPts[Custom])+COUNTIF($M$3:M87,M87)-1,"")</f>
        <v>57</v>
      </c>
      <c r="I87" s="2">
        <v>85</v>
      </c>
      <c r="J87" s="2" t="str">
        <f>IFERROR(INDEX(TableRBMaster[Player],MATCH(TableRBCalcPts[[#This Row],[RBRef]],TableRBMaster[RBRef],0)),"")</f>
        <v>Tank Bigsby</v>
      </c>
      <c r="K87" s="2" t="str">
        <f>IFERROR(INDEX(TableRBMaster[TM],MATCH(TableRBCalcPts[[#This Row],[RBRef]],TableRBMaster[RBRef],0)),"")</f>
        <v>PHI</v>
      </c>
      <c r="L87" s="2">
        <f>IFERROR(INDEX(TableRBMaster[BYE],MATCH(TableRBCalcPts[[#This Row],[RBRef]],TableRBMaster[RBRef],0)),"")</f>
        <v>10</v>
      </c>
      <c r="M87" s="3">
        <f>IFERROR(INDEX(TableRBMaster[Custom],MATCH(TableRBCalcPts[[#This Row],[RBRef]],TableRBMaster[RBRef],0)),"")</f>
        <v>72.150537063075149</v>
      </c>
      <c r="O87" s="2">
        <f>IFERROR(RANK(TableWRCalcPts[[#This Row],[Custom]],TableWRCalcPts[Custom])+COUNTIF($T$3:T87,T87)-1,"")</f>
        <v>17</v>
      </c>
      <c r="P87" s="2">
        <v>85</v>
      </c>
      <c r="Q87" s="2" t="str">
        <f>IFERROR(INDEX(TableWRMaster[Player],MATCH(TableWRCalcPts[[#This Row],[WRRef]],TableWRMaster[WRRef],0)),"")</f>
        <v>Rashee Rice</v>
      </c>
      <c r="R87" s="2" t="str">
        <f>IFERROR(INDEX(TableWRMaster[TM],MATCH(TableWRCalcPts[[#This Row],[WRRef]],TableWRMaster[WRRef],0)),"")</f>
        <v>KC</v>
      </c>
      <c r="S87" s="2">
        <f>IFERROR(INDEX(TableWRMaster[BYE],MATCH(TableWRCalcPts[[#This Row],[WRRef]],TableWRMaster[WRRef],0)),"")</f>
        <v>5</v>
      </c>
      <c r="T87" s="3">
        <f>IFERROR(INDEX(TableWRMaster[Custom],MATCH(TableWRCalcPts[[#This Row],[WRRef]],TableWRMaster[WRRef],0)),"")</f>
        <v>197.06183681925825</v>
      </c>
      <c r="V87" s="2">
        <f>IFERROR(RANK(TableTECalcPts[[#This Row],[Custom]],TableTECalcPts[Custom])+COUNTIF($AA$3:AA87,AA87)-1,"")</f>
        <v>53</v>
      </c>
      <c r="W87" s="2">
        <v>85</v>
      </c>
      <c r="X87" s="2" t="str">
        <f>IFERROR(INDEX(TableTEMaster[Player],MATCH(TableTECalcPts[[#This Row],[TERef]],TableTEMaster[TERef],0)),"")</f>
        <v>Daniel Bellinger</v>
      </c>
      <c r="Y87" s="2" t="str">
        <f>IFERROR(INDEX(TableTEMaster[TM],MATCH(TableTECalcPts[[#This Row],[TERef]],TableTEMaster[TERef],0)),"")</f>
        <v>TEN</v>
      </c>
      <c r="Z87" s="2">
        <f>IFERROR(INDEX(TableTEMaster[BYE],MATCH(TableTECalcPts[[#This Row],[TERef]],TableTEMaster[TERef],0)),"")</f>
        <v>9</v>
      </c>
      <c r="AA87" s="3">
        <f>IFERROR(INDEX(TableTEMaster[Custom],MATCH(TableTECalcPts[[#This Row],[TERef]],TableTEMaster[TERef],0)),"")</f>
        <v>27.803954362383365</v>
      </c>
      <c r="AI87" s="2" t="s">
        <v>8</v>
      </c>
      <c r="AJ87" s="2">
        <f>IFERROR(RANK(TableWRTECalcPts[[#This Row],[Custom]],TableWRTECalcPts[Custom])+COUNTIF($AP$3:AP87,AP87)-1,"")</f>
        <v>175</v>
      </c>
      <c r="AK87" s="2">
        <v>85</v>
      </c>
      <c r="AL87" s="2" t="str">
        <f>IFERROR(INDEX(TableTEMaster[Player],MATCH(TableWRTECalcPts[[#This Row],[POSRef]],TableTEMaster[TERef],0)),"")</f>
        <v>Daniel Bellinger</v>
      </c>
      <c r="AM87" s="2" t="str">
        <f>IFERROR(_xlfn.CONCAT(TableWRTECalcPts[[#This Row],[POS]],INDEX(TableTERanks[RK],MATCH(TableWRTECalcPts[[#This Row],[PLAYER]],TableTERanks[Player],0))),"")</f>
        <v>TE53</v>
      </c>
      <c r="AN87" s="2" t="str">
        <f>IFERROR(INDEX(TableTEMaster[TM],MATCH(TableWRTECalcPts[[#This Row],[POSRef]],TableTEMaster[TERef],0)),"")</f>
        <v>TEN</v>
      </c>
      <c r="AO87" s="2">
        <f>IFERROR(INDEX(TableTEMaster[BYE],MATCH(TableWRTECalcPts[[#This Row],[POSRef]],TableTEMaster[TERef],0)),"")</f>
        <v>9</v>
      </c>
      <c r="AP87" s="3">
        <f>IFERROR(INDEX(TableTEMaster[Custom],MATCH(TableWRTECalcPts[[#This Row],[POSRef]],TableTEMaster[TERef],0)),"")</f>
        <v>27.803954362383365</v>
      </c>
    </row>
    <row r="88" spans="1:42" x14ac:dyDescent="0.25">
      <c r="A88" s="4" t="str">
        <f>IFERROR(RANK(TableQBCalcPts[[#This Row],[Custom]],TableQBCalcPts[Custom])+COUNTIF($F$3:F88,F88)-1,"")</f>
        <v/>
      </c>
      <c r="B88" s="2">
        <v>86</v>
      </c>
      <c r="C88" s="2" t="str">
        <f>IFERROR(INDEX(TableQBMaster[Player],MATCH(TableQBCalcPts[[#This Row],[QBRef]],TableQBMaster[QBRef],0)),"")</f>
        <v/>
      </c>
      <c r="D88" s="2" t="str">
        <f>IFERROR(INDEX(TableQBMaster[TM],MATCH(TableQBCalcPts[[#This Row],[QBRef]],TableQBMaster[QBRef],0)),"")</f>
        <v/>
      </c>
      <c r="E88" s="2" t="str">
        <f>IFERROR(INDEX(TableQBMaster[BYE],MATCH(TableQBCalcPts[[#This Row],[QBRef]],TableQBMaster[QBRef],0)),"")</f>
        <v/>
      </c>
      <c r="F88" s="3" t="str">
        <f>IFERROR(INDEX(TableQBMaster[Custom],MATCH(TableQBCalcPts[[#This Row],[QBRef]],TableQBMaster[QBRef],0)),"")</f>
        <v/>
      </c>
      <c r="H88" s="2">
        <f>IFERROR(RANK(TableRBCalcPts[[#This Row],[Custom]],TableRBCalcPts[Custom])+COUNTIF($M$3:M88,M88)-1,"")</f>
        <v>97</v>
      </c>
      <c r="I88" s="2">
        <v>86</v>
      </c>
      <c r="J88" s="2" t="str">
        <f>IFERROR(INDEX(TableRBMaster[Player],MATCH(TableRBCalcPts[[#This Row],[RBRef]],TableRBMaster[RBRef],0)),"")</f>
        <v>Will Shipley</v>
      </c>
      <c r="K88" s="2" t="str">
        <f>IFERROR(INDEX(TableRBMaster[TM],MATCH(TableRBCalcPts[[#This Row],[RBRef]],TableRBMaster[RBRef],0)),"")</f>
        <v>PHI</v>
      </c>
      <c r="L88" s="2">
        <f>IFERROR(INDEX(TableRBMaster[BYE],MATCH(TableRBCalcPts[[#This Row],[RBRef]],TableRBMaster[RBRef],0)),"")</f>
        <v>10</v>
      </c>
      <c r="M88" s="3">
        <f>IFERROR(INDEX(TableRBMaster[Custom],MATCH(TableRBCalcPts[[#This Row],[RBRef]],TableRBMaster[RBRef],0)),"")</f>
        <v>13.630349818932</v>
      </c>
      <c r="O88" s="2">
        <f>IFERROR(RANK(TableWRCalcPts[[#This Row],[Custom]],TableWRCalcPts[Custom])+COUNTIF($T$3:T88,T88)-1,"")</f>
        <v>49</v>
      </c>
      <c r="P88" s="2">
        <v>86</v>
      </c>
      <c r="Q88" s="2" t="str">
        <f>IFERROR(INDEX(TableWRMaster[Player],MATCH(TableWRCalcPts[[#This Row],[WRRef]],TableWRMaster[WRRef],0)),"")</f>
        <v>Xavier Worthy</v>
      </c>
      <c r="R88" s="2" t="str">
        <f>IFERROR(INDEX(TableWRMaster[TM],MATCH(TableWRCalcPts[[#This Row],[WRRef]],TableWRMaster[WRRef],0)),"")</f>
        <v>KC</v>
      </c>
      <c r="S88" s="2">
        <f>IFERROR(INDEX(TableWRMaster[BYE],MATCH(TableWRCalcPts[[#This Row],[WRRef]],TableWRMaster[WRRef],0)),"")</f>
        <v>5</v>
      </c>
      <c r="T88" s="3">
        <f>IFERROR(INDEX(TableWRMaster[Custom],MATCH(TableWRCalcPts[[#This Row],[WRRef]],TableWRMaster[WRRef],0)),"")</f>
        <v>142.00991741360272</v>
      </c>
      <c r="V88" s="2">
        <f>IFERROR(RANK(TableTECalcPts[[#This Row],[Custom]],TableTECalcPts[Custom])+COUNTIF($AA$3:AA88,AA88)-1,"")</f>
        <v>16</v>
      </c>
      <c r="W88" s="2">
        <v>86</v>
      </c>
      <c r="X88" s="2" t="str">
        <f>IFERROR(INDEX(TableTEMaster[Player],MATCH(TableTECalcPts[[#This Row],[TERef]],TableTEMaster[TERef],0)),"")</f>
        <v>Chig Okonkwo</v>
      </c>
      <c r="Y88" s="2" t="str">
        <f>IFERROR(INDEX(TableTEMaster[TM],MATCH(TableTECalcPts[[#This Row],[TERef]],TableTEMaster[TERef],0)),"")</f>
        <v>WSH</v>
      </c>
      <c r="Z88" s="2">
        <f>IFERROR(INDEX(TableTEMaster[BYE],MATCH(TableTECalcPts[[#This Row],[TERef]],TableTEMaster[TERef],0)),"")</f>
        <v>7</v>
      </c>
      <c r="AA88" s="3">
        <f>IFERROR(INDEX(TableTEMaster[Custom],MATCH(TableTECalcPts[[#This Row],[TERef]],TableTEMaster[TERef],0)),"")</f>
        <v>121.96386463260998</v>
      </c>
      <c r="AI88" s="2" t="s">
        <v>8</v>
      </c>
      <c r="AJ88" s="2">
        <f>IFERROR(RANK(TableWRTECalcPts[[#This Row],[Custom]],TableWRTECalcPts[Custom])+COUNTIF($AP$3:AP88,AP88)-1,"")</f>
        <v>70</v>
      </c>
      <c r="AK88" s="2">
        <v>86</v>
      </c>
      <c r="AL88" s="2" t="str">
        <f>IFERROR(INDEX(TableTEMaster[Player],MATCH(TableWRTECalcPts[[#This Row],[POSRef]],TableTEMaster[TERef],0)),"")</f>
        <v>Chig Okonkwo</v>
      </c>
      <c r="AM88" s="2" t="str">
        <f>IFERROR(_xlfn.CONCAT(TableWRTECalcPts[[#This Row],[POS]],INDEX(TableTERanks[RK],MATCH(TableWRTECalcPts[[#This Row],[PLAYER]],TableTERanks[Player],0))),"")</f>
        <v>TE16</v>
      </c>
      <c r="AN88" s="2" t="str">
        <f>IFERROR(INDEX(TableTEMaster[TM],MATCH(TableWRTECalcPts[[#This Row],[POSRef]],TableTEMaster[TERef],0)),"")</f>
        <v>WSH</v>
      </c>
      <c r="AO88" s="2">
        <f>IFERROR(INDEX(TableTEMaster[BYE],MATCH(TableWRTECalcPts[[#This Row],[POSRef]],TableTEMaster[TERef],0)),"")</f>
        <v>7</v>
      </c>
      <c r="AP88" s="3">
        <f>IFERROR(INDEX(TableTEMaster[Custom],MATCH(TableWRTECalcPts[[#This Row],[POSRef]],TableTEMaster[TERef],0)),"")</f>
        <v>121.96386463260998</v>
      </c>
    </row>
    <row r="89" spans="1:42" x14ac:dyDescent="0.25">
      <c r="A89" s="4" t="str">
        <f>IFERROR(RANK(TableQBCalcPts[[#This Row],[Custom]],TableQBCalcPts[Custom])+COUNTIF($F$3:F89,F89)-1,"")</f>
        <v/>
      </c>
      <c r="B89" s="2">
        <v>87</v>
      </c>
      <c r="C89" s="2" t="str">
        <f>IFERROR(INDEX(TableQBMaster[Player],MATCH(TableQBCalcPts[[#This Row],[QBRef]],TableQBMaster[QBRef],0)),"")</f>
        <v/>
      </c>
      <c r="D89" s="2" t="str">
        <f>IFERROR(INDEX(TableQBMaster[TM],MATCH(TableQBCalcPts[[#This Row],[QBRef]],TableQBMaster[QBRef],0)),"")</f>
        <v/>
      </c>
      <c r="E89" s="2" t="str">
        <f>IFERROR(INDEX(TableQBMaster[BYE],MATCH(TableQBCalcPts[[#This Row],[QBRef]],TableQBMaster[QBRef],0)),"")</f>
        <v/>
      </c>
      <c r="F89" s="3" t="str">
        <f>IFERROR(INDEX(TableQBMaster[Custom],MATCH(TableQBCalcPts[[#This Row],[QBRef]],TableQBMaster[QBRef],0)),"")</f>
        <v/>
      </c>
      <c r="H89" s="2">
        <f>IFERROR(RANK(TableRBCalcPts[[#This Row],[Custom]],TableRBCalcPts[Custom])+COUNTIF($M$3:M89,M89)-1,"")</f>
        <v>31</v>
      </c>
      <c r="I89" s="2">
        <v>87</v>
      </c>
      <c r="J89" s="2" t="str">
        <f>IFERROR(INDEX(TableRBMaster[Player],MATCH(TableRBCalcPts[[#This Row],[RBRef]],TableRBMaster[RBRef],0)),"")</f>
        <v>Rico Dowdle</v>
      </c>
      <c r="K89" s="2" t="str">
        <f>IFERROR(INDEX(TableRBMaster[TM],MATCH(TableRBCalcPts[[#This Row],[RBRef]],TableRBMaster[RBRef],0)),"")</f>
        <v>PIT</v>
      </c>
      <c r="L89" s="2">
        <f>IFERROR(INDEX(TableRBMaster[BYE],MATCH(TableRBCalcPts[[#This Row],[RBRef]],TableRBMaster[RBRef],0)),"")</f>
        <v>9</v>
      </c>
      <c r="M89" s="3">
        <f>IFERROR(INDEX(TableRBMaster[Custom],MATCH(TableRBCalcPts[[#This Row],[RBRef]],TableRBMaster[RBRef],0)),"")</f>
        <v>168.56500158390702</v>
      </c>
      <c r="O89" s="2">
        <f>IFERROR(RANK(TableWRCalcPts[[#This Row],[Custom]],TableWRCalcPts[Custom])+COUNTIF($T$3:T89,T89)-1,"")</f>
        <v>58</v>
      </c>
      <c r="P89" s="2">
        <v>87</v>
      </c>
      <c r="Q89" s="2" t="str">
        <f>IFERROR(INDEX(TableWRMaster[Player],MATCH(TableWRCalcPts[[#This Row],[WRRef]],TableWRMaster[WRRef],0)),"")</f>
        <v>Tyquan Thornton</v>
      </c>
      <c r="R89" s="2" t="str">
        <f>IFERROR(INDEX(TableWRMaster[TM],MATCH(TableWRCalcPts[[#This Row],[WRRef]],TableWRMaster[WRRef],0)),"")</f>
        <v>KC</v>
      </c>
      <c r="S89" s="2">
        <f>IFERROR(INDEX(TableWRMaster[BYE],MATCH(TableWRCalcPts[[#This Row],[WRRef]],TableWRMaster[WRRef],0)),"")</f>
        <v>5</v>
      </c>
      <c r="T89" s="3">
        <f>IFERROR(INDEX(TableWRMaster[Custom],MATCH(TableWRCalcPts[[#This Row],[WRRef]],TableWRMaster[WRRef],0)),"")</f>
        <v>105.42376555000021</v>
      </c>
      <c r="V89" s="2">
        <f>IFERROR(RANK(TableTECalcPts[[#This Row],[Custom]],TableTECalcPts[Custom])+COUNTIF($AA$3:AA89,AA89)-1,"")</f>
        <v>64</v>
      </c>
      <c r="W89" s="2">
        <v>87</v>
      </c>
      <c r="X89" s="2" t="str">
        <f>IFERROR(INDEX(TableTEMaster[Player],MATCH(TableTECalcPts[[#This Row],[TERef]],TableTEMaster[TERef],0)),"")</f>
        <v>Ben Sinnott</v>
      </c>
      <c r="Y89" s="2" t="str">
        <f>IFERROR(INDEX(TableTEMaster[TM],MATCH(TableTECalcPts[[#This Row],[TERef]],TableTEMaster[TERef],0)),"")</f>
        <v>WSH</v>
      </c>
      <c r="Z89" s="2">
        <f>IFERROR(INDEX(TableTEMaster[BYE],MATCH(TableTECalcPts[[#This Row],[TERef]],TableTEMaster[TERef],0)),"")</f>
        <v>7</v>
      </c>
      <c r="AA89" s="3">
        <f>IFERROR(INDEX(TableTEMaster[Custom],MATCH(TableTECalcPts[[#This Row],[TERef]],TableTEMaster[TERef],0)),"")</f>
        <v>17.804662151116609</v>
      </c>
      <c r="AI89" s="2" t="s">
        <v>8</v>
      </c>
      <c r="AJ89" s="2">
        <f>IFERROR(RANK(TableWRTECalcPts[[#This Row],[Custom]],TableWRTECalcPts[Custom])+COUNTIF($AP$3:AP89,AP89)-1,"")</f>
        <v>197</v>
      </c>
      <c r="AK89" s="2">
        <v>87</v>
      </c>
      <c r="AL89" s="2" t="str">
        <f>IFERROR(INDEX(TableTEMaster[Player],MATCH(TableWRTECalcPts[[#This Row],[POSRef]],TableTEMaster[TERef],0)),"")</f>
        <v>Ben Sinnott</v>
      </c>
      <c r="AM89" s="2" t="str">
        <f>IFERROR(_xlfn.CONCAT(TableWRTECalcPts[[#This Row],[POS]],INDEX(TableTERanks[RK],MATCH(TableWRTECalcPts[[#This Row],[PLAYER]],TableTERanks[Player],0))),"")</f>
        <v>TE64</v>
      </c>
      <c r="AN89" s="2" t="str">
        <f>IFERROR(INDEX(TableTEMaster[TM],MATCH(TableWRTECalcPts[[#This Row],[POSRef]],TableTEMaster[TERef],0)),"")</f>
        <v>WSH</v>
      </c>
      <c r="AO89" s="2">
        <f>IFERROR(INDEX(TableTEMaster[BYE],MATCH(TableWRTECalcPts[[#This Row],[POSRef]],TableTEMaster[TERef],0)),"")</f>
        <v>7</v>
      </c>
      <c r="AP89" s="3">
        <f>IFERROR(INDEX(TableTEMaster[Custom],MATCH(TableWRTECalcPts[[#This Row],[POSRef]],TableTEMaster[TERef],0)),"")</f>
        <v>17.804662151116609</v>
      </c>
    </row>
    <row r="90" spans="1:42" x14ac:dyDescent="0.25">
      <c r="A90" s="4" t="str">
        <f>IFERROR(RANK(TableQBCalcPts[[#This Row],[Custom]],TableQBCalcPts[Custom])+COUNTIF($F$3:F90,F90)-1,"")</f>
        <v/>
      </c>
      <c r="B90" s="2">
        <v>88</v>
      </c>
      <c r="C90" s="2" t="str">
        <f>IFERROR(INDEX(TableQBMaster[Player],MATCH(TableQBCalcPts[[#This Row],[QBRef]],TableQBMaster[QBRef],0)),"")</f>
        <v/>
      </c>
      <c r="D90" s="2" t="str">
        <f>IFERROR(INDEX(TableQBMaster[TM],MATCH(TableQBCalcPts[[#This Row],[QBRef]],TableQBMaster[QBRef],0)),"")</f>
        <v/>
      </c>
      <c r="E90" s="2" t="str">
        <f>IFERROR(INDEX(TableQBMaster[BYE],MATCH(TableQBCalcPts[[#This Row],[QBRef]],TableQBMaster[QBRef],0)),"")</f>
        <v/>
      </c>
      <c r="F90" s="3" t="str">
        <f>IFERROR(INDEX(TableQBMaster[Custom],MATCH(TableQBCalcPts[[#This Row],[QBRef]],TableQBMaster[QBRef],0)),"")</f>
        <v/>
      </c>
      <c r="H90" s="2">
        <f>IFERROR(RANK(TableRBCalcPts[[#This Row],[Custom]],TableRBCalcPts[Custom])+COUNTIF($M$3:M90,M90)-1,"")</f>
        <v>33</v>
      </c>
      <c r="I90" s="2">
        <v>88</v>
      </c>
      <c r="J90" s="2" t="str">
        <f>IFERROR(INDEX(TableRBMaster[Player],MATCH(TableRBCalcPts[[#This Row],[RBRef]],TableRBMaster[RBRef],0)),"")</f>
        <v>Jaylen Warren</v>
      </c>
      <c r="K90" s="2" t="str">
        <f>IFERROR(INDEX(TableRBMaster[TM],MATCH(TableRBCalcPts[[#This Row],[RBRef]],TableRBMaster[RBRef],0)),"")</f>
        <v>PIT</v>
      </c>
      <c r="L90" s="2">
        <f>IFERROR(INDEX(TableRBMaster[BYE],MATCH(TableRBCalcPts[[#This Row],[RBRef]],TableRBMaster[RBRef],0)),"")</f>
        <v>9</v>
      </c>
      <c r="M90" s="3">
        <f>IFERROR(INDEX(TableRBMaster[Custom],MATCH(TableRBCalcPts[[#This Row],[RBRef]],TableRBMaster[RBRef],0)),"")</f>
        <v>165.46939748922614</v>
      </c>
      <c r="O90" s="2">
        <f>IFERROR(RANK(TableWRCalcPts[[#This Row],[Custom]],TableWRCalcPts[Custom])+COUNTIF($T$3:T90,T90)-1,"")</f>
        <v>120</v>
      </c>
      <c r="P90" s="2">
        <v>88</v>
      </c>
      <c r="Q90" s="2" t="str">
        <f>IFERROR(INDEX(TableWRMaster[Player],MATCH(TableWRCalcPts[[#This Row],[WRRef]],TableWRMaster[WRRef],0)),"")</f>
        <v>Jalen Royals</v>
      </c>
      <c r="R90" s="2" t="str">
        <f>IFERROR(INDEX(TableWRMaster[TM],MATCH(TableWRCalcPts[[#This Row],[WRRef]],TableWRMaster[WRRef],0)),"")</f>
        <v>KC</v>
      </c>
      <c r="S90" s="2">
        <f>IFERROR(INDEX(TableWRMaster[BYE],MATCH(TableWRCalcPts[[#This Row],[WRRef]],TableWRMaster[WRRef],0)),"")</f>
        <v>5</v>
      </c>
      <c r="T90" s="3">
        <f>IFERROR(INDEX(TableWRMaster[Custom],MATCH(TableWRCalcPts[[#This Row],[WRRef]],TableWRMaster[WRRef],0)),"")</f>
        <v>33.070103720230257</v>
      </c>
      <c r="V90" s="2" t="str">
        <f>IFERROR(RANK(TableTECalcPts[[#This Row],[Custom]],TableTECalcPts[Custom])+COUNTIF($AA$3:AA90,AA90)-1,"")</f>
        <v/>
      </c>
      <c r="W90" s="2">
        <v>88</v>
      </c>
      <c r="X90" s="2" t="str">
        <f>IFERROR(INDEX(TableTEMaster[Player],MATCH(TableTECalcPts[[#This Row],[TERef]],TableTEMaster[TERef],0)),"")</f>
        <v/>
      </c>
      <c r="Y90" s="2" t="str">
        <f>IFERROR(INDEX(TableTEMaster[TM],MATCH(TableTECalcPts[[#This Row],[TERef]],TableTEMaster[TERef],0)),"")</f>
        <v/>
      </c>
      <c r="Z90" s="2" t="str">
        <f>IFERROR(INDEX(TableTEMaster[BYE],MATCH(TableTECalcPts[[#This Row],[TERef]],TableTEMaster[TERef],0)),"")</f>
        <v/>
      </c>
      <c r="AA90" s="3" t="str">
        <f>IFERROR(INDEX(TableTEMaster[Custom],MATCH(TableTECalcPts[[#This Row],[TERef]],TableTEMaster[TERef],0)),"")</f>
        <v/>
      </c>
      <c r="AI90" s="2" t="s">
        <v>8</v>
      </c>
      <c r="AJ90" s="2" t="str">
        <f>IFERROR(RANK(TableWRTECalcPts[[#This Row],[Custom]],TableWRTECalcPts[Custom])+COUNTIF($AP$3:AP90,AP90)-1,"")</f>
        <v/>
      </c>
      <c r="AK90" s="2">
        <v>88</v>
      </c>
      <c r="AL90" s="2" t="str">
        <f>IFERROR(INDEX(TableTEMaster[Player],MATCH(TableWRTECalcPts[[#This Row],[POSRef]],TableTEMaster[TERef],0)),"")</f>
        <v/>
      </c>
      <c r="AM90" s="2" t="str">
        <f>IFERROR(_xlfn.CONCAT(TableWRTECalcPts[[#This Row],[POS]],INDEX(TableTERanks[RK],MATCH(TableWRTECalcPts[[#This Row],[PLAYER]],TableTERanks[Player],0))),"")</f>
        <v>TE88</v>
      </c>
      <c r="AN90" s="2" t="str">
        <f>IFERROR(INDEX(TableTEMaster[TM],MATCH(TableWRTECalcPts[[#This Row],[POSRef]],TableTEMaster[TERef],0)),"")</f>
        <v/>
      </c>
      <c r="AO90" s="2" t="str">
        <f>IFERROR(INDEX(TableTEMaster[BYE],MATCH(TableWRTECalcPts[[#This Row],[POSRef]],TableTEMaster[TERef],0)),"")</f>
        <v/>
      </c>
      <c r="AP90" s="3" t="str">
        <f>IFERROR(INDEX(TableTEMaster[Custom],MATCH(TableWRTECalcPts[[#This Row],[POSRef]],TableTEMaster[TERef],0)),"")</f>
        <v/>
      </c>
    </row>
    <row r="91" spans="1:42" x14ac:dyDescent="0.25">
      <c r="A91" s="4" t="str">
        <f>IFERROR(RANK(TableQBCalcPts[[#This Row],[Custom]],TableQBCalcPts[Custom])+COUNTIF($F$3:F91,F91)-1,"")</f>
        <v/>
      </c>
      <c r="B91" s="2">
        <v>89</v>
      </c>
      <c r="C91" s="2" t="str">
        <f>IFERROR(INDEX(TableQBMaster[Player],MATCH(TableQBCalcPts[[#This Row],[QBRef]],TableQBMaster[QBRef],0)),"")</f>
        <v/>
      </c>
      <c r="D91" s="2" t="str">
        <f>IFERROR(INDEX(TableQBMaster[TM],MATCH(TableQBCalcPts[[#This Row],[QBRef]],TableQBMaster[QBRef],0)),"")</f>
        <v/>
      </c>
      <c r="E91" s="2" t="str">
        <f>IFERROR(INDEX(TableQBMaster[BYE],MATCH(TableQBCalcPts[[#This Row],[QBRef]],TableQBMaster[QBRef],0)),"")</f>
        <v/>
      </c>
      <c r="F91" s="3" t="str">
        <f>IFERROR(INDEX(TableQBMaster[Custom],MATCH(TableQBCalcPts[[#This Row],[QBRef]],TableQBMaster[QBRef],0)),"")</f>
        <v/>
      </c>
      <c r="H91" s="2">
        <f>IFERROR(RANK(TableRBCalcPts[[#This Row],[Custom]],TableRBCalcPts[Custom])+COUNTIF($M$3:M91,M91)-1,"")</f>
        <v>102</v>
      </c>
      <c r="I91" s="2">
        <v>89</v>
      </c>
      <c r="J91" s="2" t="str">
        <f>IFERROR(INDEX(TableRBMaster[Player],MATCH(TableRBCalcPts[[#This Row],[RBRef]],TableRBMaster[RBRef],0)),"")</f>
        <v>Kaleb Johnson</v>
      </c>
      <c r="K91" s="2" t="str">
        <f>IFERROR(INDEX(TableRBMaster[TM],MATCH(TableRBCalcPts[[#This Row],[RBRef]],TableRBMaster[RBRef],0)),"")</f>
        <v>PIT</v>
      </c>
      <c r="L91" s="2">
        <f>IFERROR(INDEX(TableRBMaster[BYE],MATCH(TableRBCalcPts[[#This Row],[RBRef]],TableRBMaster[RBRef],0)),"")</f>
        <v>9</v>
      </c>
      <c r="M91" s="3">
        <f>IFERROR(INDEX(TableRBMaster[Custom],MATCH(TableRBCalcPts[[#This Row],[RBRef]],TableRBMaster[RBRef],0)),"")</f>
        <v>9.8838128931439329</v>
      </c>
      <c r="O91" s="2">
        <f>IFERROR(RANK(TableWRCalcPts[[#This Row],[Custom]],TableWRCalcPts[Custom])+COUNTIF($T$3:T91,T91)-1,"")</f>
        <v>146</v>
      </c>
      <c r="P91" s="2">
        <v>89</v>
      </c>
      <c r="Q91" s="2" t="str">
        <f>IFERROR(INDEX(TableWRMaster[Player],MATCH(TableWRCalcPts[[#This Row],[WRRef]],TableWRMaster[WRRef],0)),"")</f>
        <v>Cyrus Allen</v>
      </c>
      <c r="R91" s="2" t="str">
        <f>IFERROR(INDEX(TableWRMaster[TM],MATCH(TableWRCalcPts[[#This Row],[WRRef]],TableWRMaster[WRRef],0)),"")</f>
        <v>KC</v>
      </c>
      <c r="S91" s="2">
        <f>IFERROR(INDEX(TableWRMaster[BYE],MATCH(TableWRCalcPts[[#This Row],[WRRef]],TableWRMaster[WRRef],0)),"")</f>
        <v>5</v>
      </c>
      <c r="T91" s="3">
        <f>IFERROR(INDEX(TableWRMaster[Custom],MATCH(TableWRCalcPts[[#This Row],[WRRef]],TableWRMaster[WRRef],0)),"")</f>
        <v>9.8725740621899973</v>
      </c>
      <c r="V91" s="2" t="str">
        <f>IFERROR(RANK(TableTECalcPts[[#This Row],[Custom]],TableTECalcPts[Custom])+COUNTIF($AA$3:AA91,AA91)-1,"")</f>
        <v/>
      </c>
      <c r="W91" s="2">
        <v>89</v>
      </c>
      <c r="X91" s="2" t="str">
        <f>IFERROR(INDEX(TableTEMaster[Player],MATCH(TableTECalcPts[[#This Row],[TERef]],TableTEMaster[TERef],0)),"")</f>
        <v/>
      </c>
      <c r="Y91" s="2" t="str">
        <f>IFERROR(INDEX(TableTEMaster[TM],MATCH(TableTECalcPts[[#This Row],[TERef]],TableTEMaster[TERef],0)),"")</f>
        <v/>
      </c>
      <c r="Z91" s="2" t="str">
        <f>IFERROR(INDEX(TableTEMaster[BYE],MATCH(TableTECalcPts[[#This Row],[TERef]],TableTEMaster[TERef],0)),"")</f>
        <v/>
      </c>
      <c r="AA91" s="3" t="str">
        <f>IFERROR(INDEX(TableTEMaster[Custom],MATCH(TableTECalcPts[[#This Row],[TERef]],TableTEMaster[TERef],0)),"")</f>
        <v/>
      </c>
      <c r="AI91" s="2" t="s">
        <v>8</v>
      </c>
      <c r="AJ91" s="2" t="str">
        <f>IFERROR(RANK(TableWRTECalcPts[[#This Row],[Custom]],TableWRTECalcPts[Custom])+COUNTIF($AP$3:AP91,AP91)-1,"")</f>
        <v/>
      </c>
      <c r="AK91" s="2">
        <v>89</v>
      </c>
      <c r="AL91" s="2" t="str">
        <f>IFERROR(INDEX(TableTEMaster[Player],MATCH(TableWRTECalcPts[[#This Row],[POSRef]],TableTEMaster[TERef],0)),"")</f>
        <v/>
      </c>
      <c r="AM91" s="2" t="str">
        <f>IFERROR(_xlfn.CONCAT(TableWRTECalcPts[[#This Row],[POS]],INDEX(TableTERanks[RK],MATCH(TableWRTECalcPts[[#This Row],[PLAYER]],TableTERanks[Player],0))),"")</f>
        <v>TE88</v>
      </c>
      <c r="AN91" s="2" t="str">
        <f>IFERROR(INDEX(TableTEMaster[TM],MATCH(TableWRTECalcPts[[#This Row],[POSRef]],TableTEMaster[TERef],0)),"")</f>
        <v/>
      </c>
      <c r="AO91" s="2" t="str">
        <f>IFERROR(INDEX(TableTEMaster[BYE],MATCH(TableWRTECalcPts[[#This Row],[POSRef]],TableTEMaster[TERef],0)),"")</f>
        <v/>
      </c>
      <c r="AP91" s="3" t="str">
        <f>IFERROR(INDEX(TableTEMaster[Custom],MATCH(TableWRTECalcPts[[#This Row],[POSRef]],TableTEMaster[TERef],0)),"")</f>
        <v/>
      </c>
    </row>
    <row r="92" spans="1:42" x14ac:dyDescent="0.25">
      <c r="A92" s="4" t="str">
        <f>IFERROR(RANK(TableQBCalcPts[[#This Row],[Custom]],TableQBCalcPts[Custom])+COUNTIF($F$3:F92,F92)-1,"")</f>
        <v/>
      </c>
      <c r="B92" s="2">
        <v>90</v>
      </c>
      <c r="C92" s="2" t="str">
        <f>IFERROR(INDEX(TableQBMaster[Player],MATCH(TableQBCalcPts[[#This Row],[QBRef]],TableQBMaster[QBRef],0)),"")</f>
        <v/>
      </c>
      <c r="D92" s="2" t="str">
        <f>IFERROR(INDEX(TableQBMaster[TM],MATCH(TableQBCalcPts[[#This Row],[QBRef]],TableQBMaster[QBRef],0)),"")</f>
        <v/>
      </c>
      <c r="E92" s="2" t="str">
        <f>IFERROR(INDEX(TableQBMaster[BYE],MATCH(TableQBCalcPts[[#This Row],[QBRef]],TableQBMaster[QBRef],0)),"")</f>
        <v/>
      </c>
      <c r="F92" s="3" t="str">
        <f>IFERROR(INDEX(TableQBMaster[Custom],MATCH(TableQBCalcPts[[#This Row],[QBRef]],TableQBMaster[QBRef],0)),"")</f>
        <v/>
      </c>
      <c r="H92" s="2">
        <f>IFERROR(RANK(TableRBCalcPts[[#This Row],[Custom]],TableRBCalcPts[Custom])+COUNTIF($M$3:M92,M92)-1,"")</f>
        <v>86</v>
      </c>
      <c r="I92" s="2">
        <v>90</v>
      </c>
      <c r="J92" s="2" t="str">
        <f>IFERROR(INDEX(TableRBMaster[Player],MATCH(TableRBCalcPts[[#This Row],[RBRef]],TableRBMaster[RBRef],0)),"")</f>
        <v>Eli Heidenreich</v>
      </c>
      <c r="K92" s="2" t="str">
        <f>IFERROR(INDEX(TableRBMaster[TM],MATCH(TableRBCalcPts[[#This Row],[RBRef]],TableRBMaster[RBRef],0)),"")</f>
        <v>PIT</v>
      </c>
      <c r="L92" s="2">
        <f>IFERROR(INDEX(TableRBMaster[BYE],MATCH(TableRBCalcPts[[#This Row],[RBRef]],TableRBMaster[RBRef],0)),"")</f>
        <v>9</v>
      </c>
      <c r="M92" s="3">
        <f>IFERROR(INDEX(TableRBMaster[Custom],MATCH(TableRBCalcPts[[#This Row],[RBRef]],TableRBMaster[RBRef],0)),"")</f>
        <v>18.546025150799998</v>
      </c>
      <c r="O92" s="2">
        <f>IFERROR(RANK(TableWRCalcPts[[#This Row],[Custom]],TableWRCalcPts[Custom])+COUNTIF($T$3:T92,T92)-1,"")</f>
        <v>177</v>
      </c>
      <c r="P92" s="2">
        <v>90</v>
      </c>
      <c r="Q92" s="2" t="str">
        <f>IFERROR(INDEX(TableWRMaster[Player],MATCH(TableWRCalcPts[[#This Row],[WRRef]],TableWRMaster[WRRef],0)),"")</f>
        <v>Jeff Caldwell</v>
      </c>
      <c r="R92" s="2" t="str">
        <f>IFERROR(INDEX(TableWRMaster[TM],MATCH(TableWRCalcPts[[#This Row],[WRRef]],TableWRMaster[WRRef],0)),"")</f>
        <v>KC</v>
      </c>
      <c r="S92" s="2">
        <f>IFERROR(INDEX(TableWRMaster[BYE],MATCH(TableWRCalcPts[[#This Row],[WRRef]],TableWRMaster[WRRef],0)),"")</f>
        <v>5</v>
      </c>
      <c r="T92" s="3">
        <f>IFERROR(INDEX(TableWRMaster[Custom],MATCH(TableWRCalcPts[[#This Row],[WRRef]],TableWRMaster[WRRef],0)),"")</f>
        <v>3.3126962941800002</v>
      </c>
      <c r="V92" s="2" t="str">
        <f>IFERROR(RANK(TableTECalcPts[[#This Row],[Custom]],TableTECalcPts[Custom])+COUNTIF($AA$3:AA92,AA92)-1,"")</f>
        <v/>
      </c>
      <c r="W92" s="2">
        <v>90</v>
      </c>
      <c r="X92" s="2" t="str">
        <f>IFERROR(INDEX(TableTEMaster[Player],MATCH(TableTECalcPts[[#This Row],[TERef]],TableTEMaster[TERef],0)),"")</f>
        <v/>
      </c>
      <c r="Y92" s="2" t="str">
        <f>IFERROR(INDEX(TableTEMaster[TM],MATCH(TableTECalcPts[[#This Row],[TERef]],TableTEMaster[TERef],0)),"")</f>
        <v/>
      </c>
      <c r="Z92" s="2" t="str">
        <f>IFERROR(INDEX(TableTEMaster[BYE],MATCH(TableTECalcPts[[#This Row],[TERef]],TableTEMaster[TERef],0)),"")</f>
        <v/>
      </c>
      <c r="AA92" s="3" t="str">
        <f>IFERROR(INDEX(TableTEMaster[Custom],MATCH(TableTECalcPts[[#This Row],[TERef]],TableTEMaster[TERef],0)),"")</f>
        <v/>
      </c>
      <c r="AI92" s="2" t="s">
        <v>8</v>
      </c>
      <c r="AJ92" s="2" t="str">
        <f>IFERROR(RANK(TableWRTECalcPts[[#This Row],[Custom]],TableWRTECalcPts[Custom])+COUNTIF($AP$3:AP92,AP92)-1,"")</f>
        <v/>
      </c>
      <c r="AK92" s="2">
        <v>90</v>
      </c>
      <c r="AL92" s="2" t="str">
        <f>IFERROR(INDEX(TableTEMaster[Player],MATCH(TableWRTECalcPts[[#This Row],[POSRef]],TableTEMaster[TERef],0)),"")</f>
        <v/>
      </c>
      <c r="AM92" s="2" t="str">
        <f>IFERROR(_xlfn.CONCAT(TableWRTECalcPts[[#This Row],[POS]],INDEX(TableTERanks[RK],MATCH(TableWRTECalcPts[[#This Row],[PLAYER]],TableTERanks[Player],0))),"")</f>
        <v>TE88</v>
      </c>
      <c r="AN92" s="2" t="str">
        <f>IFERROR(INDEX(TableTEMaster[TM],MATCH(TableWRTECalcPts[[#This Row],[POSRef]],TableTEMaster[TERef],0)),"")</f>
        <v/>
      </c>
      <c r="AO92" s="2" t="str">
        <f>IFERROR(INDEX(TableTEMaster[BYE],MATCH(TableWRTECalcPts[[#This Row],[POSRef]],TableTEMaster[TERef],0)),"")</f>
        <v/>
      </c>
      <c r="AP92" s="3" t="str">
        <f>IFERROR(INDEX(TableTEMaster[Custom],MATCH(TableWRTECalcPts[[#This Row],[POSRef]],TableTEMaster[TERef],0)),"")</f>
        <v/>
      </c>
    </row>
    <row r="93" spans="1:42" x14ac:dyDescent="0.25">
      <c r="A93" s="4" t="str">
        <f>IFERROR(RANK(TableQBCalcPts[[#This Row],[Custom]],TableQBCalcPts[Custom])+COUNTIF($F$3:F93,F93)-1,"")</f>
        <v/>
      </c>
      <c r="B93" s="2">
        <v>91</v>
      </c>
      <c r="C93" s="2" t="str">
        <f>IFERROR(INDEX(TableQBMaster[Player],MATCH(TableQBCalcPts[[#This Row],[QBRef]],TableQBMaster[QBRef],0)),"")</f>
        <v/>
      </c>
      <c r="D93" s="2" t="str">
        <f>IFERROR(INDEX(TableQBMaster[TM],MATCH(TableQBCalcPts[[#This Row],[QBRef]],TableQBMaster[QBRef],0)),"")</f>
        <v/>
      </c>
      <c r="E93" s="2" t="str">
        <f>IFERROR(INDEX(TableQBMaster[BYE],MATCH(TableQBCalcPts[[#This Row],[QBRef]],TableQBMaster[QBRef],0)),"")</f>
        <v/>
      </c>
      <c r="F93" s="3" t="str">
        <f>IFERROR(INDEX(TableQBMaster[Custom],MATCH(TableQBCalcPts[[#This Row],[QBRef]],TableQBMaster[QBRef],0)),"")</f>
        <v/>
      </c>
      <c r="H93" s="2">
        <f>IFERROR(RANK(TableRBCalcPts[[#This Row],[Custom]],TableRBCalcPts[Custom])+COUNTIF($M$3:M93,M93)-1,"")</f>
        <v>25</v>
      </c>
      <c r="I93" s="2">
        <v>91</v>
      </c>
      <c r="J93" s="2" t="str">
        <f>IFERROR(INDEX(TableRBMaster[Player],MATCH(TableRBCalcPts[[#This Row],[RBRef]],TableRBMaster[RBRef],0)),"")</f>
        <v>Jadarian Price</v>
      </c>
      <c r="K93" s="2" t="str">
        <f>IFERROR(INDEX(TableRBMaster[TM],MATCH(TableRBCalcPts[[#This Row],[RBRef]],TableRBMaster[RBRef],0)),"")</f>
        <v>SEA</v>
      </c>
      <c r="L93" s="2">
        <f>IFERROR(INDEX(TableRBMaster[BYE],MATCH(TableRBCalcPts[[#This Row],[RBRef]],TableRBMaster[RBRef],0)),"")</f>
        <v>11</v>
      </c>
      <c r="M93" s="3">
        <f>IFERROR(INDEX(TableRBMaster[Custom],MATCH(TableRBCalcPts[[#This Row],[RBRef]],TableRBMaster[RBRef],0)),"")</f>
        <v>182.32508966027049</v>
      </c>
      <c r="O93" s="2">
        <f>IFERROR(RANK(TableWRCalcPts[[#This Row],[Custom]],TableWRCalcPts[Custom])+COUNTIF($T$3:T93,T93)-1,"")</f>
        <v>18</v>
      </c>
      <c r="P93" s="2">
        <v>91</v>
      </c>
      <c r="Q93" s="2" t="str">
        <f>IFERROR(INDEX(TableWRMaster[Player],MATCH(TableWRCalcPts[[#This Row],[WRRef]],TableWRMaster[WRRef],0)),"")</f>
        <v>Ladd McConkey</v>
      </c>
      <c r="R93" s="2" t="str">
        <f>IFERROR(INDEX(TableWRMaster[TM],MATCH(TableWRCalcPts[[#This Row],[WRRef]],TableWRMaster[WRRef],0)),"")</f>
        <v>LAC</v>
      </c>
      <c r="S93" s="2">
        <f>IFERROR(INDEX(TableWRMaster[BYE],MATCH(TableWRCalcPts[[#This Row],[WRRef]],TableWRMaster[WRRef],0)),"")</f>
        <v>7</v>
      </c>
      <c r="T93" s="3">
        <f>IFERROR(INDEX(TableWRMaster[Custom],MATCH(TableWRCalcPts[[#This Row],[WRRef]],TableWRMaster[WRRef],0)),"")</f>
        <v>196.40430309354878</v>
      </c>
      <c r="V93" s="2" t="str">
        <f>IFERROR(RANK(TableTECalcPts[[#This Row],[Custom]],TableTECalcPts[Custom])+COUNTIF($AA$3:AA93,AA93)-1,"")</f>
        <v/>
      </c>
      <c r="W93" s="2">
        <v>91</v>
      </c>
      <c r="X93" s="2" t="str">
        <f>IFERROR(INDEX(TableTEMaster[Player],MATCH(TableTECalcPts[[#This Row],[TERef]],TableTEMaster[TERef],0)),"")</f>
        <v/>
      </c>
      <c r="Y93" s="2" t="str">
        <f>IFERROR(INDEX(TableTEMaster[TM],MATCH(TableTECalcPts[[#This Row],[TERef]],TableTEMaster[TERef],0)),"")</f>
        <v/>
      </c>
      <c r="Z93" s="2" t="str">
        <f>IFERROR(INDEX(TableTEMaster[BYE],MATCH(TableTECalcPts[[#This Row],[TERef]],TableTEMaster[TERef],0)),"")</f>
        <v/>
      </c>
      <c r="AA93" s="3" t="str">
        <f>IFERROR(INDEX(TableTEMaster[Custom],MATCH(TableTECalcPts[[#This Row],[TERef]],TableTEMaster[TERef],0)),"")</f>
        <v/>
      </c>
      <c r="AI93" s="2" t="s">
        <v>8</v>
      </c>
      <c r="AJ93" s="2" t="str">
        <f>IFERROR(RANK(TableWRTECalcPts[[#This Row],[Custom]],TableWRTECalcPts[Custom])+COUNTIF($AP$3:AP93,AP93)-1,"")</f>
        <v/>
      </c>
      <c r="AK93" s="2">
        <v>91</v>
      </c>
      <c r="AL93" s="2" t="str">
        <f>IFERROR(INDEX(TableTEMaster[Player],MATCH(TableWRTECalcPts[[#This Row],[POSRef]],TableTEMaster[TERef],0)),"")</f>
        <v/>
      </c>
      <c r="AM93" s="2" t="str">
        <f>IFERROR(_xlfn.CONCAT(TableWRTECalcPts[[#This Row],[POS]],INDEX(TableTERanks[RK],MATCH(TableWRTECalcPts[[#This Row],[PLAYER]],TableTERanks[Player],0))),"")</f>
        <v>TE88</v>
      </c>
      <c r="AN93" s="2" t="str">
        <f>IFERROR(INDEX(TableTEMaster[TM],MATCH(TableWRTECalcPts[[#This Row],[POSRef]],TableTEMaster[TERef],0)),"")</f>
        <v/>
      </c>
      <c r="AO93" s="2" t="str">
        <f>IFERROR(INDEX(TableTEMaster[BYE],MATCH(TableWRTECalcPts[[#This Row],[POSRef]],TableTEMaster[TERef],0)),"")</f>
        <v/>
      </c>
      <c r="AP93" s="3" t="str">
        <f>IFERROR(INDEX(TableTEMaster[Custom],MATCH(TableWRTECalcPts[[#This Row],[POSRef]],TableTEMaster[TERef],0)),"")</f>
        <v/>
      </c>
    </row>
    <row r="94" spans="1:42" x14ac:dyDescent="0.25">
      <c r="A94" s="4" t="str">
        <f>IFERROR(RANK(TableQBCalcPts[[#This Row],[Custom]],TableQBCalcPts[Custom])+COUNTIF($F$3:F94,F94)-1,"")</f>
        <v/>
      </c>
      <c r="B94" s="2">
        <v>92</v>
      </c>
      <c r="C94" s="2" t="str">
        <f>IFERROR(INDEX(TableQBMaster[Player],MATCH(TableQBCalcPts[[#This Row],[QBRef]],TableQBMaster[QBRef],0)),"")</f>
        <v/>
      </c>
      <c r="D94" s="2" t="str">
        <f>IFERROR(INDEX(TableQBMaster[TM],MATCH(TableQBCalcPts[[#This Row],[QBRef]],TableQBMaster[QBRef],0)),"")</f>
        <v/>
      </c>
      <c r="E94" s="2" t="str">
        <f>IFERROR(INDEX(TableQBMaster[BYE],MATCH(TableQBCalcPts[[#This Row],[QBRef]],TableQBMaster[QBRef],0)),"")</f>
        <v/>
      </c>
      <c r="F94" s="3" t="str">
        <f>IFERROR(INDEX(TableQBMaster[Custom],MATCH(TableQBCalcPts[[#This Row],[QBRef]],TableQBMaster[QBRef],0)),"")</f>
        <v/>
      </c>
      <c r="H94" s="2">
        <f>IFERROR(RANK(TableRBCalcPts[[#This Row],[Custom]],TableRBCalcPts[Custom])+COUNTIF($M$3:M94,M94)-1,"")</f>
        <v>42</v>
      </c>
      <c r="I94" s="2">
        <v>92</v>
      </c>
      <c r="J94" s="2" t="str">
        <f>IFERROR(INDEX(TableRBMaster[Player],MATCH(TableRBCalcPts[[#This Row],[RBRef]],TableRBMaster[RBRef],0)),"")</f>
        <v>Emanuel Wilson</v>
      </c>
      <c r="K94" s="2" t="str">
        <f>IFERROR(INDEX(TableRBMaster[TM],MATCH(TableRBCalcPts[[#This Row],[RBRef]],TableRBMaster[RBRef],0)),"")</f>
        <v>SEA</v>
      </c>
      <c r="L94" s="2">
        <f>IFERROR(INDEX(TableRBMaster[BYE],MATCH(TableRBCalcPts[[#This Row],[RBRef]],TableRBMaster[RBRef],0)),"")</f>
        <v>11</v>
      </c>
      <c r="M94" s="3">
        <f>IFERROR(INDEX(TableRBMaster[Custom],MATCH(TableRBCalcPts[[#This Row],[RBRef]],TableRBMaster[RBRef],0)),"")</f>
        <v>113.57008395871891</v>
      </c>
      <c r="O94" s="2">
        <f>IFERROR(RANK(TableWRCalcPts[[#This Row],[Custom]],TableWRCalcPts[Custom])+COUNTIF($T$3:T94,T94)-1,"")</f>
        <v>35</v>
      </c>
      <c r="P94" s="2">
        <v>92</v>
      </c>
      <c r="Q94" s="2" t="str">
        <f>IFERROR(INDEX(TableWRMaster[Player],MATCH(TableWRCalcPts[[#This Row],[WRRef]],TableWRMaster[WRRef],0)),"")</f>
        <v>Quentin Johnston</v>
      </c>
      <c r="R94" s="2" t="str">
        <f>IFERROR(INDEX(TableWRMaster[TM],MATCH(TableWRCalcPts[[#This Row],[WRRef]],TableWRMaster[WRRef],0)),"")</f>
        <v>LAC</v>
      </c>
      <c r="S94" s="2">
        <f>IFERROR(INDEX(TableWRMaster[BYE],MATCH(TableWRCalcPts[[#This Row],[WRRef]],TableWRMaster[WRRef],0)),"")</f>
        <v>7</v>
      </c>
      <c r="T94" s="3">
        <f>IFERROR(INDEX(TableWRMaster[Custom],MATCH(TableWRCalcPts[[#This Row],[WRRef]],TableWRMaster[WRRef],0)),"")</f>
        <v>164.51076219862676</v>
      </c>
      <c r="V94" s="2" t="str">
        <f>IFERROR(RANK(TableTECalcPts[[#This Row],[Custom]],TableTECalcPts[Custom])+COUNTIF($AA$3:AA94,AA94)-1,"")</f>
        <v/>
      </c>
      <c r="W94" s="2">
        <v>92</v>
      </c>
      <c r="X94" s="2" t="str">
        <f>IFERROR(INDEX(TableTEMaster[Player],MATCH(TableTECalcPts[[#This Row],[TERef]],TableTEMaster[TERef],0)),"")</f>
        <v/>
      </c>
      <c r="Y94" s="2" t="str">
        <f>IFERROR(INDEX(TableTEMaster[TM],MATCH(TableTECalcPts[[#This Row],[TERef]],TableTEMaster[TERef],0)),"")</f>
        <v/>
      </c>
      <c r="Z94" s="2" t="str">
        <f>IFERROR(INDEX(TableTEMaster[BYE],MATCH(TableTECalcPts[[#This Row],[TERef]],TableTEMaster[TERef],0)),"")</f>
        <v/>
      </c>
      <c r="AA94" s="3" t="str">
        <f>IFERROR(INDEX(TableTEMaster[Custom],MATCH(TableTECalcPts[[#This Row],[TERef]],TableTEMaster[TERef],0)),"")</f>
        <v/>
      </c>
      <c r="AI94" s="2" t="s">
        <v>8</v>
      </c>
      <c r="AJ94" s="2" t="str">
        <f>IFERROR(RANK(TableWRTECalcPts[[#This Row],[Custom]],TableWRTECalcPts[Custom])+COUNTIF($AP$3:AP94,AP94)-1,"")</f>
        <v/>
      </c>
      <c r="AK94" s="2">
        <v>92</v>
      </c>
      <c r="AL94" s="2" t="str">
        <f>IFERROR(INDEX(TableTEMaster[Player],MATCH(TableWRTECalcPts[[#This Row],[POSRef]],TableTEMaster[TERef],0)),"")</f>
        <v/>
      </c>
      <c r="AM94" s="2" t="str">
        <f>IFERROR(_xlfn.CONCAT(TableWRTECalcPts[[#This Row],[POS]],INDEX(TableTERanks[RK],MATCH(TableWRTECalcPts[[#This Row],[PLAYER]],TableTERanks[Player],0))),"")</f>
        <v>TE88</v>
      </c>
      <c r="AN94" s="2" t="str">
        <f>IFERROR(INDEX(TableTEMaster[TM],MATCH(TableWRTECalcPts[[#This Row],[POSRef]],TableTEMaster[TERef],0)),"")</f>
        <v/>
      </c>
      <c r="AO94" s="2" t="str">
        <f>IFERROR(INDEX(TableTEMaster[BYE],MATCH(TableWRTECalcPts[[#This Row],[POSRef]],TableTEMaster[TERef],0)),"")</f>
        <v/>
      </c>
      <c r="AP94" s="3" t="str">
        <f>IFERROR(INDEX(TableTEMaster[Custom],MATCH(TableWRTECalcPts[[#This Row],[POSRef]],TableTEMaster[TERef],0)),"")</f>
        <v/>
      </c>
    </row>
    <row r="95" spans="1:42" x14ac:dyDescent="0.25">
      <c r="A95" s="4" t="str">
        <f>IFERROR(RANK(TableQBCalcPts[[#This Row],[Custom]],TableQBCalcPts[Custom])+COUNTIF($F$3:F95,F95)-1,"")</f>
        <v/>
      </c>
      <c r="B95" s="2">
        <v>93</v>
      </c>
      <c r="C95" s="2" t="str">
        <f>IFERROR(INDEX(TableQBMaster[Player],MATCH(TableQBCalcPts[[#This Row],[QBRef]],TableQBMaster[QBRef],0)),"")</f>
        <v/>
      </c>
      <c r="D95" s="2" t="str">
        <f>IFERROR(INDEX(TableQBMaster[TM],MATCH(TableQBCalcPts[[#This Row],[QBRef]],TableQBMaster[QBRef],0)),"")</f>
        <v/>
      </c>
      <c r="E95" s="2" t="str">
        <f>IFERROR(INDEX(TableQBMaster[BYE],MATCH(TableQBCalcPts[[#This Row],[QBRef]],TableQBMaster[QBRef],0)),"")</f>
        <v/>
      </c>
      <c r="F95" s="3" t="str">
        <f>IFERROR(INDEX(TableQBMaster[Custom],MATCH(TableQBCalcPts[[#This Row],[QBRef]],TableQBMaster[QBRef],0)),"")</f>
        <v/>
      </c>
      <c r="H95" s="2">
        <f>IFERROR(RANK(TableRBCalcPts[[#This Row],[Custom]],TableRBCalcPts[Custom])+COUNTIF($M$3:M95,M95)-1,"")</f>
        <v>72</v>
      </c>
      <c r="I95" s="2">
        <v>93</v>
      </c>
      <c r="J95" s="2" t="str">
        <f>IFERROR(INDEX(TableRBMaster[Player],MATCH(TableRBCalcPts[[#This Row],[RBRef]],TableRBMaster[RBRef],0)),"")</f>
        <v>Zach Charbonnet</v>
      </c>
      <c r="K95" s="2" t="str">
        <f>IFERROR(INDEX(TableRBMaster[TM],MATCH(TableRBCalcPts[[#This Row],[RBRef]],TableRBMaster[RBRef],0)),"")</f>
        <v>SEA</v>
      </c>
      <c r="L95" s="2">
        <f>IFERROR(INDEX(TableRBMaster[BYE],MATCH(TableRBCalcPts[[#This Row],[RBRef]],TableRBMaster[RBRef],0)),"")</f>
        <v>11</v>
      </c>
      <c r="M95" s="3">
        <f>IFERROR(INDEX(TableRBMaster[Custom],MATCH(TableRBCalcPts[[#This Row],[RBRef]],TableRBMaster[RBRef],0)),"")</f>
        <v>37.480893777180206</v>
      </c>
      <c r="O95" s="2">
        <f>IFERROR(RANK(TableWRCalcPts[[#This Row],[Custom]],TableWRCalcPts[Custom])+COUNTIF($T$3:T95,T95)-1,"")</f>
        <v>95</v>
      </c>
      <c r="P95" s="2">
        <v>93</v>
      </c>
      <c r="Q95" s="2" t="str">
        <f>IFERROR(INDEX(TableWRMaster[Player],MATCH(TableWRCalcPts[[#This Row],[WRRef]],TableWRMaster[WRRef],0)),"")</f>
        <v>Tre' Harris</v>
      </c>
      <c r="R95" s="2" t="str">
        <f>IFERROR(INDEX(TableWRMaster[TM],MATCH(TableWRCalcPts[[#This Row],[WRRef]],TableWRMaster[WRRef],0)),"")</f>
        <v>LAC</v>
      </c>
      <c r="S95" s="2">
        <f>IFERROR(INDEX(TableWRMaster[BYE],MATCH(TableWRCalcPts[[#This Row],[WRRef]],TableWRMaster[WRRef],0)),"")</f>
        <v>7</v>
      </c>
      <c r="T95" s="3">
        <f>IFERROR(INDEX(TableWRMaster[Custom],MATCH(TableWRCalcPts[[#This Row],[WRRef]],TableWRMaster[WRRef],0)),"")</f>
        <v>54.683768684072831</v>
      </c>
      <c r="V95" s="2" t="str">
        <f>IFERROR(RANK(TableTECalcPts[[#This Row],[Custom]],TableTECalcPts[Custom])+COUNTIF($AA$3:AA95,AA95)-1,"")</f>
        <v/>
      </c>
      <c r="W95" s="2">
        <v>93</v>
      </c>
      <c r="X95" s="2" t="str">
        <f>IFERROR(INDEX(TableTEMaster[Player],MATCH(TableTECalcPts[[#This Row],[TERef]],TableTEMaster[TERef],0)),"")</f>
        <v/>
      </c>
      <c r="Y95" s="2" t="str">
        <f>IFERROR(INDEX(TableTEMaster[TM],MATCH(TableTECalcPts[[#This Row],[TERef]],TableTEMaster[TERef],0)),"")</f>
        <v/>
      </c>
      <c r="Z95" s="2" t="str">
        <f>IFERROR(INDEX(TableTEMaster[BYE],MATCH(TableTECalcPts[[#This Row],[TERef]],TableTEMaster[TERef],0)),"")</f>
        <v/>
      </c>
      <c r="AA95" s="3" t="str">
        <f>IFERROR(INDEX(TableTEMaster[Custom],MATCH(TableTECalcPts[[#This Row],[TERef]],TableTEMaster[TERef],0)),"")</f>
        <v/>
      </c>
      <c r="AI95" s="2" t="s">
        <v>8</v>
      </c>
      <c r="AJ95" s="2" t="str">
        <f>IFERROR(RANK(TableWRTECalcPts[[#This Row],[Custom]],TableWRTECalcPts[Custom])+COUNTIF($AP$3:AP95,AP95)-1,"")</f>
        <v/>
      </c>
      <c r="AK95" s="2">
        <v>93</v>
      </c>
      <c r="AL95" s="2" t="str">
        <f>IFERROR(INDEX(TableTEMaster[Player],MATCH(TableWRTECalcPts[[#This Row],[POSRef]],TableTEMaster[TERef],0)),"")</f>
        <v/>
      </c>
      <c r="AM95" s="2" t="str">
        <f>IFERROR(_xlfn.CONCAT(TableWRTECalcPts[[#This Row],[POS]],INDEX(TableTERanks[RK],MATCH(TableWRTECalcPts[[#This Row],[PLAYER]],TableTERanks[Player],0))),"")</f>
        <v>TE88</v>
      </c>
      <c r="AN95" s="2" t="str">
        <f>IFERROR(INDEX(TableTEMaster[TM],MATCH(TableWRTECalcPts[[#This Row],[POSRef]],TableTEMaster[TERef],0)),"")</f>
        <v/>
      </c>
      <c r="AO95" s="2" t="str">
        <f>IFERROR(INDEX(TableTEMaster[BYE],MATCH(TableWRTECalcPts[[#This Row],[POSRef]],TableTEMaster[TERef],0)),"")</f>
        <v/>
      </c>
      <c r="AP95" s="3" t="str">
        <f>IFERROR(INDEX(TableTEMaster[Custom],MATCH(TableWRTECalcPts[[#This Row],[POSRef]],TableTEMaster[TERef],0)),"")</f>
        <v/>
      </c>
    </row>
    <row r="96" spans="1:42" x14ac:dyDescent="0.25">
      <c r="A96" s="4" t="str">
        <f>IFERROR(RANK(TableQBCalcPts[[#This Row],[Custom]],TableQBCalcPts[Custom])+COUNTIF($F$3:F96,F96)-1,"")</f>
        <v/>
      </c>
      <c r="B96" s="2">
        <v>94</v>
      </c>
      <c r="C96" s="2" t="str">
        <f>IFERROR(INDEX(TableQBMaster[Player],MATCH(TableQBCalcPts[[#This Row],[QBRef]],TableQBMaster[QBRef],0)),"")</f>
        <v/>
      </c>
      <c r="D96" s="2" t="str">
        <f>IFERROR(INDEX(TableQBMaster[TM],MATCH(TableQBCalcPts[[#This Row],[QBRef]],TableQBMaster[QBRef],0)),"")</f>
        <v/>
      </c>
      <c r="E96" s="2" t="str">
        <f>IFERROR(INDEX(TableQBMaster[BYE],MATCH(TableQBCalcPts[[#This Row],[QBRef]],TableQBMaster[QBRef],0)),"")</f>
        <v/>
      </c>
      <c r="F96" s="3" t="str">
        <f>IFERROR(INDEX(TableQBMaster[Custom],MATCH(TableQBCalcPts[[#This Row],[QBRef]],TableQBMaster[QBRef],0)),"")</f>
        <v/>
      </c>
      <c r="H96" s="2">
        <f>IFERROR(RANK(TableRBCalcPts[[#This Row],[Custom]],TableRBCalcPts[Custom])+COUNTIF($M$3:M96,M96)-1,"")</f>
        <v>98</v>
      </c>
      <c r="I96" s="2">
        <v>94</v>
      </c>
      <c r="J96" s="2" t="str">
        <f>IFERROR(INDEX(TableRBMaster[Player],MATCH(TableRBCalcPts[[#This Row],[RBRef]],TableRBMaster[RBRef],0)),"")</f>
        <v>George Holani</v>
      </c>
      <c r="K96" s="2" t="str">
        <f>IFERROR(INDEX(TableRBMaster[TM],MATCH(TableRBCalcPts[[#This Row],[RBRef]],TableRBMaster[RBRef],0)),"")</f>
        <v>SEA</v>
      </c>
      <c r="L96" s="2">
        <f>IFERROR(INDEX(TableRBMaster[BYE],MATCH(TableRBCalcPts[[#This Row],[RBRef]],TableRBMaster[RBRef],0)),"")</f>
        <v>11</v>
      </c>
      <c r="M96" s="3">
        <f>IFERROR(INDEX(TableRBMaster[Custom],MATCH(TableRBCalcPts[[#This Row],[RBRef]],TableRBMaster[RBRef],0)),"")</f>
        <v>12.132345115509112</v>
      </c>
      <c r="O96" s="2">
        <f>IFERROR(RANK(TableWRCalcPts[[#This Row],[Custom]],TableWRCalcPts[Custom])+COUNTIF($T$3:T96,T96)-1,"")</f>
        <v>124</v>
      </c>
      <c r="P96" s="2">
        <v>94</v>
      </c>
      <c r="Q96" s="2" t="str">
        <f>IFERROR(INDEX(TableWRMaster[Player],MATCH(TableWRCalcPts[[#This Row],[WRRef]],TableWRMaster[WRRef],0)),"")</f>
        <v>Brenen Thompson</v>
      </c>
      <c r="R96" s="2" t="str">
        <f>IFERROR(INDEX(TableWRMaster[TM],MATCH(TableWRCalcPts[[#This Row],[WRRef]],TableWRMaster[WRRef],0)),"")</f>
        <v>LAC</v>
      </c>
      <c r="S96" s="2">
        <f>IFERROR(INDEX(TableWRMaster[BYE],MATCH(TableWRCalcPts[[#This Row],[WRRef]],TableWRMaster[WRRef],0)),"")</f>
        <v>7</v>
      </c>
      <c r="T96" s="3">
        <f>IFERROR(INDEX(TableWRMaster[Custom],MATCH(TableWRCalcPts[[#This Row],[WRRef]],TableWRMaster[WRRef],0)),"")</f>
        <v>26.470364031111</v>
      </c>
      <c r="V96" s="2" t="str">
        <f>IFERROR(RANK(TableTECalcPts[[#This Row],[Custom]],TableTECalcPts[Custom])+COUNTIF($AA$3:AA96,AA96)-1,"")</f>
        <v/>
      </c>
      <c r="W96" s="2">
        <v>94</v>
      </c>
      <c r="X96" s="2" t="str">
        <f>IFERROR(INDEX(TableTEMaster[Player],MATCH(TableTECalcPts[[#This Row],[TERef]],TableTEMaster[TERef],0)),"")</f>
        <v/>
      </c>
      <c r="Y96" s="2" t="str">
        <f>IFERROR(INDEX(TableTEMaster[TM],MATCH(TableTECalcPts[[#This Row],[TERef]],TableTEMaster[TERef],0)),"")</f>
        <v/>
      </c>
      <c r="Z96" s="2" t="str">
        <f>IFERROR(INDEX(TableTEMaster[BYE],MATCH(TableTECalcPts[[#This Row],[TERef]],TableTEMaster[TERef],0)),"")</f>
        <v/>
      </c>
      <c r="AA96" s="3" t="str">
        <f>IFERROR(INDEX(TableTEMaster[Custom],MATCH(TableTECalcPts[[#This Row],[TERef]],TableTEMaster[TERef],0)),"")</f>
        <v/>
      </c>
      <c r="AI96" s="2" t="s">
        <v>8</v>
      </c>
      <c r="AJ96" s="2" t="str">
        <f>IFERROR(RANK(TableWRTECalcPts[[#This Row],[Custom]],TableWRTECalcPts[Custom])+COUNTIF($AP$3:AP96,AP96)-1,"")</f>
        <v/>
      </c>
      <c r="AK96" s="2">
        <v>94</v>
      </c>
      <c r="AL96" s="2" t="str">
        <f>IFERROR(INDEX(TableTEMaster[Player],MATCH(TableWRTECalcPts[[#This Row],[POSRef]],TableTEMaster[TERef],0)),"")</f>
        <v/>
      </c>
      <c r="AM96" s="2" t="str">
        <f>IFERROR(_xlfn.CONCAT(TableWRTECalcPts[[#This Row],[POS]],INDEX(TableTERanks[RK],MATCH(TableWRTECalcPts[[#This Row],[PLAYER]],TableTERanks[Player],0))),"")</f>
        <v>TE88</v>
      </c>
      <c r="AN96" s="2" t="str">
        <f>IFERROR(INDEX(TableTEMaster[TM],MATCH(TableWRTECalcPts[[#This Row],[POSRef]],TableTEMaster[TERef],0)),"")</f>
        <v/>
      </c>
      <c r="AO96" s="2" t="str">
        <f>IFERROR(INDEX(TableTEMaster[BYE],MATCH(TableWRTECalcPts[[#This Row],[POSRef]],TableTEMaster[TERef],0)),"")</f>
        <v/>
      </c>
      <c r="AP96" s="3" t="str">
        <f>IFERROR(INDEX(TableTEMaster[Custom],MATCH(TableWRTECalcPts[[#This Row],[POSRef]],TableTEMaster[TERef],0)),"")</f>
        <v/>
      </c>
    </row>
    <row r="97" spans="1:42" x14ac:dyDescent="0.25">
      <c r="A97" s="4" t="str">
        <f>IFERROR(RANK(TableQBCalcPts[[#This Row],[Custom]],TableQBCalcPts[Custom])+COUNTIF($F$3:F97,F97)-1,"")</f>
        <v/>
      </c>
      <c r="B97" s="2">
        <v>95</v>
      </c>
      <c r="C97" s="2" t="str">
        <f>IFERROR(INDEX(TableQBMaster[Player],MATCH(TableQBCalcPts[[#This Row],[QBRef]],TableQBMaster[QBRef],0)),"")</f>
        <v/>
      </c>
      <c r="D97" s="2" t="str">
        <f>IFERROR(INDEX(TableQBMaster[TM],MATCH(TableQBCalcPts[[#This Row],[QBRef]],TableQBMaster[QBRef],0)),"")</f>
        <v/>
      </c>
      <c r="E97" s="2" t="str">
        <f>IFERROR(INDEX(TableQBMaster[BYE],MATCH(TableQBCalcPts[[#This Row],[QBRef]],TableQBMaster[QBRef],0)),"")</f>
        <v/>
      </c>
      <c r="F97" s="3" t="str">
        <f>IFERROR(INDEX(TableQBMaster[Custom],MATCH(TableQBCalcPts[[#This Row],[QBRef]],TableQBMaster[QBRef],0)),"")</f>
        <v/>
      </c>
      <c r="H97" s="2">
        <f>IFERROR(RANK(TableRBCalcPts[[#This Row],[Custom]],TableRBCalcPts[Custom])+COUNTIF($M$3:M97,M97)-1,"")</f>
        <v>3</v>
      </c>
      <c r="I97" s="2">
        <v>95</v>
      </c>
      <c r="J97" s="2" t="str">
        <f>IFERROR(INDEX(TableRBMaster[Player],MATCH(TableRBCalcPts[[#This Row],[RBRef]],TableRBMaster[RBRef],0)),"")</f>
        <v>Christian McCaffrey</v>
      </c>
      <c r="K97" s="2" t="str">
        <f>IFERROR(INDEX(TableRBMaster[TM],MATCH(TableRBCalcPts[[#This Row],[RBRef]],TableRBMaster[RBRef],0)),"")</f>
        <v>SF</v>
      </c>
      <c r="L97" s="2">
        <f>IFERROR(INDEX(TableRBMaster[BYE],MATCH(TableRBCalcPts[[#This Row],[RBRef]],TableRBMaster[RBRef],0)),"")</f>
        <v>8</v>
      </c>
      <c r="M97" s="3">
        <f>IFERROR(INDEX(TableRBMaster[Custom],MATCH(TableRBCalcPts[[#This Row],[RBRef]],TableRBMaster[RBRef],0)),"")</f>
        <v>307.77619531315895</v>
      </c>
      <c r="O97" s="2">
        <f>IFERROR(RANK(TableWRCalcPts[[#This Row],[Custom]],TableWRCalcPts[Custom])+COUNTIF($T$3:T97,T97)-1,"")</f>
        <v>141</v>
      </c>
      <c r="P97" s="2">
        <v>95</v>
      </c>
      <c r="Q97" s="2" t="str">
        <f>IFERROR(INDEX(TableWRMaster[Player],MATCH(TableWRCalcPts[[#This Row],[WRRef]],TableWRMaster[WRRef],0)),"")</f>
        <v>KeAndre Lambert-Smith</v>
      </c>
      <c r="R97" s="2" t="str">
        <f>IFERROR(INDEX(TableWRMaster[TM],MATCH(TableWRCalcPts[[#This Row],[WRRef]],TableWRMaster[WRRef],0)),"")</f>
        <v>LAC</v>
      </c>
      <c r="S97" s="2">
        <f>IFERROR(INDEX(TableWRMaster[BYE],MATCH(TableWRCalcPts[[#This Row],[WRRef]],TableWRMaster[WRRef],0)),"")</f>
        <v>7</v>
      </c>
      <c r="T97" s="3">
        <f>IFERROR(INDEX(TableWRMaster[Custom],MATCH(TableWRCalcPts[[#This Row],[WRRef]],TableWRMaster[WRRef],0)),"")</f>
        <v>12.662289954847298</v>
      </c>
      <c r="V97" s="2" t="str">
        <f>IFERROR(RANK(TableTECalcPts[[#This Row],[Custom]],TableTECalcPts[Custom])+COUNTIF($AA$3:AA97,AA97)-1,"")</f>
        <v/>
      </c>
      <c r="W97" s="2">
        <v>95</v>
      </c>
      <c r="X97" s="2" t="str">
        <f>IFERROR(INDEX(TableTEMaster[Player],MATCH(TableTECalcPts[[#This Row],[TERef]],TableTEMaster[TERef],0)),"")</f>
        <v/>
      </c>
      <c r="Y97" s="2" t="str">
        <f>IFERROR(INDEX(TableTEMaster[TM],MATCH(TableTECalcPts[[#This Row],[TERef]],TableTEMaster[TERef],0)),"")</f>
        <v/>
      </c>
      <c r="Z97" s="2" t="str">
        <f>IFERROR(INDEX(TableTEMaster[BYE],MATCH(TableTECalcPts[[#This Row],[TERef]],TableTEMaster[TERef],0)),"")</f>
        <v/>
      </c>
      <c r="AA97" s="3" t="str">
        <f>IFERROR(INDEX(TableTEMaster[Custom],MATCH(TableTECalcPts[[#This Row],[TERef]],TableTEMaster[TERef],0)),"")</f>
        <v/>
      </c>
      <c r="AI97" s="2" t="s">
        <v>8</v>
      </c>
      <c r="AJ97" s="2" t="str">
        <f>IFERROR(RANK(TableWRTECalcPts[[#This Row],[Custom]],TableWRTECalcPts[Custom])+COUNTIF($AP$3:AP97,AP97)-1,"")</f>
        <v/>
      </c>
      <c r="AK97" s="2">
        <v>95</v>
      </c>
      <c r="AL97" s="2" t="str">
        <f>IFERROR(INDEX(TableTEMaster[Player],MATCH(TableWRTECalcPts[[#This Row],[POSRef]],TableTEMaster[TERef],0)),"")</f>
        <v/>
      </c>
      <c r="AM97" s="2" t="str">
        <f>IFERROR(_xlfn.CONCAT(TableWRTECalcPts[[#This Row],[POS]],INDEX(TableTERanks[RK],MATCH(TableWRTECalcPts[[#This Row],[PLAYER]],TableTERanks[Player],0))),"")</f>
        <v>TE88</v>
      </c>
      <c r="AN97" s="2" t="str">
        <f>IFERROR(INDEX(TableTEMaster[TM],MATCH(TableWRTECalcPts[[#This Row],[POSRef]],TableTEMaster[TERef],0)),"")</f>
        <v/>
      </c>
      <c r="AO97" s="2" t="str">
        <f>IFERROR(INDEX(TableTEMaster[BYE],MATCH(TableWRTECalcPts[[#This Row],[POSRef]],TableTEMaster[TERef],0)),"")</f>
        <v/>
      </c>
      <c r="AP97" s="3" t="str">
        <f>IFERROR(INDEX(TableTEMaster[Custom],MATCH(TableWRTECalcPts[[#This Row],[POSRef]],TableTEMaster[TERef],0)),"")</f>
        <v/>
      </c>
    </row>
    <row r="98" spans="1:42" x14ac:dyDescent="0.25">
      <c r="A98" s="4" t="str">
        <f>IFERROR(RANK(TableQBCalcPts[[#This Row],[Custom]],TableQBCalcPts[Custom])+COUNTIF($F$3:F98,F98)-1,"")</f>
        <v/>
      </c>
      <c r="B98" s="2">
        <v>96</v>
      </c>
      <c r="C98" s="2" t="str">
        <f>IFERROR(INDEX(TableQBMaster[Player],MATCH(TableQBCalcPts[[#This Row],[QBRef]],TableQBMaster[QBRef],0)),"")</f>
        <v/>
      </c>
      <c r="D98" s="2" t="str">
        <f>IFERROR(INDEX(TableQBMaster[TM],MATCH(TableQBCalcPts[[#This Row],[QBRef]],TableQBMaster[QBRef],0)),"")</f>
        <v/>
      </c>
      <c r="E98" s="2" t="str">
        <f>IFERROR(INDEX(TableQBMaster[BYE],MATCH(TableQBCalcPts[[#This Row],[QBRef]],TableQBMaster[QBRef],0)),"")</f>
        <v/>
      </c>
      <c r="F98" s="3" t="str">
        <f>IFERROR(INDEX(TableQBMaster[Custom],MATCH(TableQBCalcPts[[#This Row],[QBRef]],TableQBMaster[QBRef],0)),"")</f>
        <v/>
      </c>
      <c r="H98" s="2">
        <f>IFERROR(RANK(TableRBCalcPts[[#This Row],[Custom]],TableRBCalcPts[Custom])+COUNTIF($M$3:M98,M98)-1,"")</f>
        <v>68</v>
      </c>
      <c r="I98" s="2">
        <v>96</v>
      </c>
      <c r="J98" s="2" t="str">
        <f>IFERROR(INDEX(TableRBMaster[Player],MATCH(TableRBCalcPts[[#This Row],[RBRef]],TableRBMaster[RBRef],0)),"")</f>
        <v>Kaelon Black</v>
      </c>
      <c r="K98" s="2" t="str">
        <f>IFERROR(INDEX(TableRBMaster[TM],MATCH(TableRBCalcPts[[#This Row],[RBRef]],TableRBMaster[RBRef],0)),"")</f>
        <v>SF</v>
      </c>
      <c r="L98" s="2">
        <f>IFERROR(INDEX(TableRBMaster[BYE],MATCH(TableRBCalcPts[[#This Row],[RBRef]],TableRBMaster[RBRef],0)),"")</f>
        <v>8</v>
      </c>
      <c r="M98" s="3">
        <f>IFERROR(INDEX(TableRBMaster[Custom],MATCH(TableRBCalcPts[[#This Row],[RBRef]],TableRBMaster[RBRef],0)),"")</f>
        <v>43.76929730431057</v>
      </c>
      <c r="O98" s="2">
        <f>IFERROR(RANK(TableWRCalcPts[[#This Row],[Custom]],TableWRCalcPts[Custom])+COUNTIF($T$3:T98,T98)-1,"")</f>
        <v>178</v>
      </c>
      <c r="P98" s="2">
        <v>96</v>
      </c>
      <c r="Q98" s="2" t="str">
        <f>IFERROR(INDEX(TableWRMaster[Player],MATCH(TableWRCalcPts[[#This Row],[WRRef]],TableWRMaster[WRRef],0)),"")</f>
        <v>Derius Davis</v>
      </c>
      <c r="R98" s="2" t="str">
        <f>IFERROR(INDEX(TableWRMaster[TM],MATCH(TableWRCalcPts[[#This Row],[WRRef]],TableWRMaster[WRRef],0)),"")</f>
        <v>LAC</v>
      </c>
      <c r="S98" s="2">
        <f>IFERROR(INDEX(TableWRMaster[BYE],MATCH(TableWRCalcPts[[#This Row],[WRRef]],TableWRMaster[WRRef],0)),"")</f>
        <v>7</v>
      </c>
      <c r="T98" s="3">
        <f>IFERROR(INDEX(TableWRMaster[Custom],MATCH(TableWRCalcPts[[#This Row],[WRRef]],TableWRMaster[WRRef],0)),"")</f>
        <v>3.2245767982961859</v>
      </c>
      <c r="V98" s="2" t="str">
        <f>IFERROR(RANK(TableTECalcPts[[#This Row],[Custom]],TableTECalcPts[Custom])+COUNTIF($AA$3:AA98,AA98)-1,"")</f>
        <v/>
      </c>
      <c r="W98" s="2">
        <v>96</v>
      </c>
      <c r="X98" s="2" t="str">
        <f>IFERROR(INDEX(TableTEMaster[Player],MATCH(TableTECalcPts[[#This Row],[TERef]],TableTEMaster[TERef],0)),"")</f>
        <v/>
      </c>
      <c r="Y98" s="2" t="str">
        <f>IFERROR(INDEX(TableTEMaster[TM],MATCH(TableTECalcPts[[#This Row],[TERef]],TableTEMaster[TERef],0)),"")</f>
        <v/>
      </c>
      <c r="Z98" s="2" t="str">
        <f>IFERROR(INDEX(TableTEMaster[BYE],MATCH(TableTECalcPts[[#This Row],[TERef]],TableTEMaster[TERef],0)),"")</f>
        <v/>
      </c>
      <c r="AA98" s="3" t="str">
        <f>IFERROR(INDEX(TableTEMaster[Custom],MATCH(TableTECalcPts[[#This Row],[TERef]],TableTEMaster[TERef],0)),"")</f>
        <v/>
      </c>
      <c r="AI98" s="2" t="s">
        <v>8</v>
      </c>
      <c r="AJ98" s="2" t="str">
        <f>IFERROR(RANK(TableWRTECalcPts[[#This Row],[Custom]],TableWRTECalcPts[Custom])+COUNTIF($AP$3:AP98,AP98)-1,"")</f>
        <v/>
      </c>
      <c r="AK98" s="2">
        <v>96</v>
      </c>
      <c r="AL98" s="2" t="str">
        <f>IFERROR(INDEX(TableTEMaster[Player],MATCH(TableWRTECalcPts[[#This Row],[POSRef]],TableTEMaster[TERef],0)),"")</f>
        <v/>
      </c>
      <c r="AM98" s="2" t="str">
        <f>IFERROR(_xlfn.CONCAT(TableWRTECalcPts[[#This Row],[POS]],INDEX(TableTERanks[RK],MATCH(TableWRTECalcPts[[#This Row],[PLAYER]],TableTERanks[Player],0))),"")</f>
        <v>TE88</v>
      </c>
      <c r="AN98" s="2" t="str">
        <f>IFERROR(INDEX(TableTEMaster[TM],MATCH(TableWRTECalcPts[[#This Row],[POSRef]],TableTEMaster[TERef],0)),"")</f>
        <v/>
      </c>
      <c r="AO98" s="2" t="str">
        <f>IFERROR(INDEX(TableTEMaster[BYE],MATCH(TableWRTECalcPts[[#This Row],[POSRef]],TableTEMaster[TERef],0)),"")</f>
        <v/>
      </c>
      <c r="AP98" s="3" t="str">
        <f>IFERROR(INDEX(TableTEMaster[Custom],MATCH(TableWRTECalcPts[[#This Row],[POSRef]],TableTEMaster[TERef],0)),"")</f>
        <v/>
      </c>
    </row>
    <row r="99" spans="1:42" x14ac:dyDescent="0.25">
      <c r="A99" s="4" t="str">
        <f>IFERROR(RANK(TableQBCalcPts[[#This Row],[Custom]],TableQBCalcPts[Custom])+COUNTIF($F$3:F99,F99)-1,"")</f>
        <v/>
      </c>
      <c r="B99" s="2">
        <v>97</v>
      </c>
      <c r="C99" s="2" t="str">
        <f>IFERROR(INDEX(TableQBMaster[Player],MATCH(TableQBCalcPts[[#This Row],[QBRef]],TableQBMaster[QBRef],0)),"")</f>
        <v/>
      </c>
      <c r="D99" s="2" t="str">
        <f>IFERROR(INDEX(TableQBMaster[TM],MATCH(TableQBCalcPts[[#This Row],[QBRef]],TableQBMaster[QBRef],0)),"")</f>
        <v/>
      </c>
      <c r="E99" s="2" t="str">
        <f>IFERROR(INDEX(TableQBMaster[BYE],MATCH(TableQBCalcPts[[#This Row],[QBRef]],TableQBMaster[QBRef],0)),"")</f>
        <v/>
      </c>
      <c r="F99" s="3" t="str">
        <f>IFERROR(INDEX(TableQBMaster[Custom],MATCH(TableQBCalcPts[[#This Row],[QBRef]],TableQBMaster[QBRef],0)),"")</f>
        <v/>
      </c>
      <c r="H99" s="2">
        <f>IFERROR(RANK(TableRBCalcPts[[#This Row],[Custom]],TableRBCalcPts[Custom])+COUNTIF($M$3:M99,M99)-1,"")</f>
        <v>73</v>
      </c>
      <c r="I99" s="2">
        <v>97</v>
      </c>
      <c r="J99" s="2" t="str">
        <f>IFERROR(INDEX(TableRBMaster[Player],MATCH(TableRBCalcPts[[#This Row],[RBRef]],TableRBMaster[RBRef],0)),"")</f>
        <v>Jordan James</v>
      </c>
      <c r="K99" s="2" t="str">
        <f>IFERROR(INDEX(TableRBMaster[TM],MATCH(TableRBCalcPts[[#This Row],[RBRef]],TableRBMaster[RBRef],0)),"")</f>
        <v>SF</v>
      </c>
      <c r="L99" s="2">
        <f>IFERROR(INDEX(TableRBMaster[BYE],MATCH(TableRBCalcPts[[#This Row],[RBRef]],TableRBMaster[RBRef],0)),"")</f>
        <v>8</v>
      </c>
      <c r="M99" s="3">
        <f>IFERROR(INDEX(TableRBMaster[Custom],MATCH(TableRBCalcPts[[#This Row],[RBRef]],TableRBMaster[RBRef],0)),"")</f>
        <v>36.135550445991981</v>
      </c>
      <c r="O99" s="2">
        <f>IFERROR(RANK(TableWRCalcPts[[#This Row],[Custom]],TableWRCalcPts[Custom])+COUNTIF($T$3:T99,T99)-1,"")</f>
        <v>22</v>
      </c>
      <c r="P99" s="2">
        <v>97</v>
      </c>
      <c r="Q99" s="2" t="str">
        <f>IFERROR(INDEX(TableWRMaster[Player],MATCH(TableWRCalcPts[[#This Row],[WRRef]],TableWRMaster[WRRef],0)),"")</f>
        <v>Davante Adams</v>
      </c>
      <c r="R99" s="2" t="str">
        <f>IFERROR(INDEX(TableWRMaster[TM],MATCH(TableWRCalcPts[[#This Row],[WRRef]],TableWRMaster[WRRef],0)),"")</f>
        <v>LAR</v>
      </c>
      <c r="S99" s="2">
        <f>IFERROR(INDEX(TableWRMaster[BYE],MATCH(TableWRCalcPts[[#This Row],[WRRef]],TableWRMaster[WRRef],0)),"")</f>
        <v>11</v>
      </c>
      <c r="T99" s="3">
        <f>IFERROR(INDEX(TableWRMaster[Custom],MATCH(TableWRCalcPts[[#This Row],[WRRef]],TableWRMaster[WRRef],0)),"")</f>
        <v>189.81633003807275</v>
      </c>
      <c r="V99" s="2" t="str">
        <f>IFERROR(RANK(TableTECalcPts[[#This Row],[Custom]],TableTECalcPts[Custom])+COUNTIF($AA$3:AA99,AA99)-1,"")</f>
        <v/>
      </c>
      <c r="W99" s="2">
        <v>97</v>
      </c>
      <c r="X99" s="2" t="str">
        <f>IFERROR(INDEX(TableTEMaster[Player],MATCH(TableTECalcPts[[#This Row],[TERef]],TableTEMaster[TERef],0)),"")</f>
        <v/>
      </c>
      <c r="Y99" s="2" t="str">
        <f>IFERROR(INDEX(TableTEMaster[TM],MATCH(TableTECalcPts[[#This Row],[TERef]],TableTEMaster[TERef],0)),"")</f>
        <v/>
      </c>
      <c r="Z99" s="2" t="str">
        <f>IFERROR(INDEX(TableTEMaster[BYE],MATCH(TableTECalcPts[[#This Row],[TERef]],TableTEMaster[TERef],0)),"")</f>
        <v/>
      </c>
      <c r="AA99" s="3" t="str">
        <f>IFERROR(INDEX(TableTEMaster[Custom],MATCH(TableTECalcPts[[#This Row],[TERef]],TableTEMaster[TERef],0)),"")</f>
        <v/>
      </c>
      <c r="AI99" s="2" t="s">
        <v>8</v>
      </c>
      <c r="AJ99" s="2" t="str">
        <f>IFERROR(RANK(TableWRTECalcPts[[#This Row],[Custom]],TableWRTECalcPts[Custom])+COUNTIF($AP$3:AP99,AP99)-1,"")</f>
        <v/>
      </c>
      <c r="AK99" s="2">
        <v>97</v>
      </c>
      <c r="AL99" s="2" t="str">
        <f>IFERROR(INDEX(TableTEMaster[Player],MATCH(TableWRTECalcPts[[#This Row],[POSRef]],TableTEMaster[TERef],0)),"")</f>
        <v/>
      </c>
      <c r="AM99" s="2" t="str">
        <f>IFERROR(_xlfn.CONCAT(TableWRTECalcPts[[#This Row],[POS]],INDEX(TableTERanks[RK],MATCH(TableWRTECalcPts[[#This Row],[PLAYER]],TableTERanks[Player],0))),"")</f>
        <v>TE88</v>
      </c>
      <c r="AN99" s="2" t="str">
        <f>IFERROR(INDEX(TableTEMaster[TM],MATCH(TableWRTECalcPts[[#This Row],[POSRef]],TableTEMaster[TERef],0)),"")</f>
        <v/>
      </c>
      <c r="AO99" s="2" t="str">
        <f>IFERROR(INDEX(TableTEMaster[BYE],MATCH(TableWRTECalcPts[[#This Row],[POSRef]],TableTEMaster[TERef],0)),"")</f>
        <v/>
      </c>
      <c r="AP99" s="3" t="str">
        <f>IFERROR(INDEX(TableTEMaster[Custom],MATCH(TableWRTECalcPts[[#This Row],[POSRef]],TableTEMaster[TERef],0)),"")</f>
        <v/>
      </c>
    </row>
    <row r="100" spans="1:42" x14ac:dyDescent="0.25">
      <c r="A100" s="4" t="str">
        <f>IFERROR(RANK(TableQBCalcPts[[#This Row],[Custom]],TableQBCalcPts[Custom])+COUNTIF($F$3:F100,F100)-1,"")</f>
        <v/>
      </c>
      <c r="B100" s="2">
        <v>98</v>
      </c>
      <c r="C100" s="2" t="str">
        <f>IFERROR(INDEX(TableQBMaster[Player],MATCH(TableQBCalcPts[[#This Row],[QBRef]],TableQBMaster[QBRef],0)),"")</f>
        <v/>
      </c>
      <c r="D100" s="2" t="str">
        <f>IFERROR(INDEX(TableQBMaster[TM],MATCH(TableQBCalcPts[[#This Row],[QBRef]],TableQBMaster[QBRef],0)),"")</f>
        <v/>
      </c>
      <c r="E100" s="2" t="str">
        <f>IFERROR(INDEX(TableQBMaster[BYE],MATCH(TableQBCalcPts[[#This Row],[QBRef]],TableQBMaster[QBRef],0)),"")</f>
        <v/>
      </c>
      <c r="F100" s="3" t="str">
        <f>IFERROR(INDEX(TableQBMaster[Custom],MATCH(TableQBCalcPts[[#This Row],[QBRef]],TableQBMaster[QBRef],0)),"")</f>
        <v/>
      </c>
      <c r="H100" s="2">
        <f>IFERROR(RANK(TableRBCalcPts[[#This Row],[Custom]],TableRBCalcPts[Custom])+COUNTIF($M$3:M100,M100)-1,"")</f>
        <v>83</v>
      </c>
      <c r="I100" s="2">
        <v>98</v>
      </c>
      <c r="J100" s="2" t="str">
        <f>IFERROR(INDEX(TableRBMaster[Player],MATCH(TableRBCalcPts[[#This Row],[RBRef]],TableRBMaster[RBRef],0)),"")</f>
        <v>Isaac Guerendo</v>
      </c>
      <c r="K100" s="2" t="str">
        <f>IFERROR(INDEX(TableRBMaster[TM],MATCH(TableRBCalcPts[[#This Row],[RBRef]],TableRBMaster[RBRef],0)),"")</f>
        <v>SF</v>
      </c>
      <c r="L100" s="2">
        <f>IFERROR(INDEX(TableRBMaster[BYE],MATCH(TableRBCalcPts[[#This Row],[RBRef]],TableRBMaster[RBRef],0)),"")</f>
        <v>8</v>
      </c>
      <c r="M100" s="3">
        <f>IFERROR(INDEX(TableRBMaster[Custom],MATCH(TableRBCalcPts[[#This Row],[RBRef]],TableRBMaster[RBRef],0)),"")</f>
        <v>23.5249336472157</v>
      </c>
      <c r="O100" s="2">
        <f>IFERROR(RANK(TableWRCalcPts[[#This Row],[Custom]],TableWRCalcPts[Custom])+COUNTIF($T$3:T100,T100)-1,"")</f>
        <v>3</v>
      </c>
      <c r="P100" s="2">
        <v>98</v>
      </c>
      <c r="Q100" s="2" t="str">
        <f>IFERROR(INDEX(TableWRMaster[Player],MATCH(TableWRCalcPts[[#This Row],[WRRef]],TableWRMaster[WRRef],0)),"")</f>
        <v>Puka Nacua</v>
      </c>
      <c r="R100" s="2" t="str">
        <f>IFERROR(INDEX(TableWRMaster[TM],MATCH(TableWRCalcPts[[#This Row],[WRRef]],TableWRMaster[WRRef],0)),"")</f>
        <v>LAR</v>
      </c>
      <c r="S100" s="2">
        <f>IFERROR(INDEX(TableWRMaster[BYE],MATCH(TableWRCalcPts[[#This Row],[WRRef]],TableWRMaster[WRRef],0)),"")</f>
        <v>11</v>
      </c>
      <c r="T100" s="3">
        <f>IFERROR(INDEX(TableWRMaster[Custom],MATCH(TableWRCalcPts[[#This Row],[WRRef]],TableWRMaster[WRRef],0)),"")</f>
        <v>288.94554919043696</v>
      </c>
      <c r="V100" s="2" t="str">
        <f>IFERROR(RANK(TableTECalcPts[[#This Row],[Custom]],TableTECalcPts[Custom])+COUNTIF($AA$3:AA100,AA100)-1,"")</f>
        <v/>
      </c>
      <c r="W100" s="2">
        <v>98</v>
      </c>
      <c r="X100" s="2" t="str">
        <f>IFERROR(INDEX(TableTEMaster[Player],MATCH(TableTECalcPts[[#This Row],[TERef]],TableTEMaster[TERef],0)),"")</f>
        <v/>
      </c>
      <c r="Y100" s="2" t="str">
        <f>IFERROR(INDEX(TableTEMaster[TM],MATCH(TableTECalcPts[[#This Row],[TERef]],TableTEMaster[TERef],0)),"")</f>
        <v/>
      </c>
      <c r="Z100" s="2" t="str">
        <f>IFERROR(INDEX(TableTEMaster[BYE],MATCH(TableTECalcPts[[#This Row],[TERef]],TableTEMaster[TERef],0)),"")</f>
        <v/>
      </c>
      <c r="AA100" s="3" t="str">
        <f>IFERROR(INDEX(TableTEMaster[Custom],MATCH(TableTECalcPts[[#This Row],[TERef]],TableTEMaster[TERef],0)),"")</f>
        <v/>
      </c>
      <c r="AI100" s="2" t="s">
        <v>8</v>
      </c>
      <c r="AJ100" s="2" t="str">
        <f>IFERROR(RANK(TableWRTECalcPts[[#This Row],[Custom]],TableWRTECalcPts[Custom])+COUNTIF($AP$3:AP100,AP100)-1,"")</f>
        <v/>
      </c>
      <c r="AK100" s="2">
        <v>98</v>
      </c>
      <c r="AL100" s="2" t="str">
        <f>IFERROR(INDEX(TableTEMaster[Player],MATCH(TableWRTECalcPts[[#This Row],[POSRef]],TableTEMaster[TERef],0)),"")</f>
        <v/>
      </c>
      <c r="AM100" s="2" t="str">
        <f>IFERROR(_xlfn.CONCAT(TableWRTECalcPts[[#This Row],[POS]],INDEX(TableTERanks[RK],MATCH(TableWRTECalcPts[[#This Row],[PLAYER]],TableTERanks[Player],0))),"")</f>
        <v>TE88</v>
      </c>
      <c r="AN100" s="2" t="str">
        <f>IFERROR(INDEX(TableTEMaster[TM],MATCH(TableWRTECalcPts[[#This Row],[POSRef]],TableTEMaster[TERef],0)),"")</f>
        <v/>
      </c>
      <c r="AO100" s="2" t="str">
        <f>IFERROR(INDEX(TableTEMaster[BYE],MATCH(TableWRTECalcPts[[#This Row],[POSRef]],TableTEMaster[TERef],0)),"")</f>
        <v/>
      </c>
      <c r="AP100" s="3" t="str">
        <f>IFERROR(INDEX(TableTEMaster[Custom],MATCH(TableWRTECalcPts[[#This Row],[POSRef]],TableTEMaster[TERef],0)),"")</f>
        <v/>
      </c>
    </row>
    <row r="101" spans="1:42" x14ac:dyDescent="0.25">
      <c r="A101" s="4" t="str">
        <f>IFERROR(RANK(TableQBCalcPts[[#This Row],[Custom]],TableQBCalcPts[Custom])+COUNTIF($F$3:F101,F101)-1,"")</f>
        <v/>
      </c>
      <c r="B101" s="2">
        <v>99</v>
      </c>
      <c r="C101" s="2" t="str">
        <f>IFERROR(INDEX(TableQBMaster[Player],MATCH(TableQBCalcPts[[#This Row],[QBRef]],TableQBMaster[QBRef],0)),"")</f>
        <v/>
      </c>
      <c r="D101" s="2" t="str">
        <f>IFERROR(INDEX(TableQBMaster[TM],MATCH(TableQBCalcPts[[#This Row],[QBRef]],TableQBMaster[QBRef],0)),"")</f>
        <v/>
      </c>
      <c r="E101" s="2" t="str">
        <f>IFERROR(INDEX(TableQBMaster[BYE],MATCH(TableQBCalcPts[[#This Row],[QBRef]],TableQBMaster[QBRef],0)),"")</f>
        <v/>
      </c>
      <c r="F101" s="3" t="str">
        <f>IFERROR(INDEX(TableQBMaster[Custom],MATCH(TableQBCalcPts[[#This Row],[QBRef]],TableQBMaster[QBRef],0)),"")</f>
        <v/>
      </c>
      <c r="H101" s="2">
        <f>IFERROR(RANK(TableRBCalcPts[[#This Row],[Custom]],TableRBCalcPts[Custom])+COUNTIF($M$3:M101,M101)-1,"")</f>
        <v>29</v>
      </c>
      <c r="I101" s="2">
        <v>99</v>
      </c>
      <c r="J101" s="2" t="str">
        <f>IFERROR(INDEX(TableRBMaster[Player],MATCH(TableRBCalcPts[[#This Row],[RBRef]],TableRBMaster[RBRef],0)),"")</f>
        <v>Bucky Irving</v>
      </c>
      <c r="K101" s="2" t="str">
        <f>IFERROR(INDEX(TableRBMaster[TM],MATCH(TableRBCalcPts[[#This Row],[RBRef]],TableRBMaster[RBRef],0)),"")</f>
        <v>TB</v>
      </c>
      <c r="L101" s="2">
        <f>IFERROR(INDEX(TableRBMaster[BYE],MATCH(TableRBCalcPts[[#This Row],[RBRef]],TableRBMaster[RBRef],0)),"")</f>
        <v>10</v>
      </c>
      <c r="M101" s="3">
        <f>IFERROR(INDEX(TableRBMaster[Custom],MATCH(TableRBCalcPts[[#This Row],[RBRef]],TableRBMaster[RBRef],0)),"")</f>
        <v>171.20211567868358</v>
      </c>
      <c r="O101" s="2">
        <f>IFERROR(RANK(TableWRCalcPts[[#This Row],[Custom]],TableWRCalcPts[Custom])+COUNTIF($T$3:T101,T101)-1,"")</f>
        <v>113</v>
      </c>
      <c r="P101" s="2">
        <v>99</v>
      </c>
      <c r="Q101" s="2" t="str">
        <f>IFERROR(INDEX(TableWRMaster[Player],MATCH(TableWRCalcPts[[#This Row],[WRRef]],TableWRMaster[WRRef],0)),"")</f>
        <v>Konata Mumpfield</v>
      </c>
      <c r="R101" s="2" t="str">
        <f>IFERROR(INDEX(TableWRMaster[TM],MATCH(TableWRCalcPts[[#This Row],[WRRef]],TableWRMaster[WRRef],0)),"")</f>
        <v>LAR</v>
      </c>
      <c r="S101" s="2">
        <f>IFERROR(INDEX(TableWRMaster[BYE],MATCH(TableWRCalcPts[[#This Row],[WRRef]],TableWRMaster[WRRef],0)),"")</f>
        <v>11</v>
      </c>
      <c r="T101" s="3">
        <f>IFERROR(INDEX(TableWRMaster[Custom],MATCH(TableWRCalcPts[[#This Row],[WRRef]],TableWRMaster[WRRef],0)),"")</f>
        <v>39.670482529071322</v>
      </c>
      <c r="V101" s="2" t="str">
        <f>IFERROR(RANK(TableTECalcPts[[#This Row],[Custom]],TableTECalcPts[Custom])+COUNTIF($AA$3:AA101,AA101)-1,"")</f>
        <v/>
      </c>
      <c r="W101" s="2">
        <v>99</v>
      </c>
      <c r="X101" s="2" t="str">
        <f>IFERROR(INDEX(TableTEMaster[Player],MATCH(TableTECalcPts[[#This Row],[TERef]],TableTEMaster[TERef],0)),"")</f>
        <v/>
      </c>
      <c r="Y101" s="2" t="str">
        <f>IFERROR(INDEX(TableTEMaster[TM],MATCH(TableTECalcPts[[#This Row],[TERef]],TableTEMaster[TERef],0)),"")</f>
        <v/>
      </c>
      <c r="Z101" s="2" t="str">
        <f>IFERROR(INDEX(TableTEMaster[BYE],MATCH(TableTECalcPts[[#This Row],[TERef]],TableTEMaster[TERef],0)),"")</f>
        <v/>
      </c>
      <c r="AA101" s="3" t="str">
        <f>IFERROR(INDEX(TableTEMaster[Custom],MATCH(TableTECalcPts[[#This Row],[TERef]],TableTEMaster[TERef],0)),"")</f>
        <v/>
      </c>
      <c r="AI101" s="2" t="s">
        <v>8</v>
      </c>
      <c r="AJ101" s="2" t="str">
        <f>IFERROR(RANK(TableWRTECalcPts[[#This Row],[Custom]],TableWRTECalcPts[Custom])+COUNTIF($AP$3:AP101,AP101)-1,"")</f>
        <v/>
      </c>
      <c r="AK101" s="2">
        <v>99</v>
      </c>
      <c r="AL101" s="2" t="str">
        <f>IFERROR(INDEX(TableTEMaster[Player],MATCH(TableWRTECalcPts[[#This Row],[POSRef]],TableTEMaster[TERef],0)),"")</f>
        <v/>
      </c>
      <c r="AM101" s="2" t="str">
        <f>IFERROR(_xlfn.CONCAT(TableWRTECalcPts[[#This Row],[POS]],INDEX(TableTERanks[RK],MATCH(TableWRTECalcPts[[#This Row],[PLAYER]],TableTERanks[Player],0))),"")</f>
        <v>TE88</v>
      </c>
      <c r="AN101" s="2" t="str">
        <f>IFERROR(INDEX(TableTEMaster[TM],MATCH(TableWRTECalcPts[[#This Row],[POSRef]],TableTEMaster[TERef],0)),"")</f>
        <v/>
      </c>
      <c r="AO101" s="2" t="str">
        <f>IFERROR(INDEX(TableTEMaster[BYE],MATCH(TableWRTECalcPts[[#This Row],[POSRef]],TableTEMaster[TERef],0)),"")</f>
        <v/>
      </c>
      <c r="AP101" s="3" t="str">
        <f>IFERROR(INDEX(TableTEMaster[Custom],MATCH(TableWRTECalcPts[[#This Row],[POSRef]],TableTEMaster[TERef],0)),"")</f>
        <v/>
      </c>
    </row>
    <row r="102" spans="1:42" x14ac:dyDescent="0.25">
      <c r="A102" s="4" t="str">
        <f>IFERROR(RANK(TableQBCalcPts[[#This Row],[Custom]],TableQBCalcPts[Custom])+COUNTIF($F$3:F102,F102)-1,"")</f>
        <v/>
      </c>
      <c r="B102" s="2">
        <v>100</v>
      </c>
      <c r="C102" s="2" t="str">
        <f>IFERROR(INDEX(TableQBMaster[Player],MATCH(TableQBCalcPts[[#This Row],[QBRef]],TableQBMaster[QBRef],0)),"")</f>
        <v/>
      </c>
      <c r="D102" s="2" t="str">
        <f>IFERROR(INDEX(TableQBMaster[TM],MATCH(TableQBCalcPts[[#This Row],[QBRef]],TableQBMaster[QBRef],0)),"")</f>
        <v/>
      </c>
      <c r="E102" s="2" t="str">
        <f>IFERROR(INDEX(TableQBMaster[BYE],MATCH(TableQBCalcPts[[#This Row],[QBRef]],TableQBMaster[QBRef],0)),"")</f>
        <v/>
      </c>
      <c r="F102" s="3" t="str">
        <f>IFERROR(INDEX(TableQBMaster[Custom],MATCH(TableQBCalcPts[[#This Row],[QBRef]],TableQBMaster[QBRef],0)),"")</f>
        <v/>
      </c>
      <c r="H102" s="2">
        <f>IFERROR(RANK(TableRBCalcPts[[#This Row],[Custom]],TableRBCalcPts[Custom])+COUNTIF($M$3:M102,M102)-1,"")</f>
        <v>26</v>
      </c>
      <c r="I102" s="2">
        <v>100</v>
      </c>
      <c r="J102" s="2" t="str">
        <f>IFERROR(INDEX(TableRBMaster[Player],MATCH(TableRBCalcPts[[#This Row],[RBRef]],TableRBMaster[RBRef],0)),"")</f>
        <v>Kenneth Gainwell</v>
      </c>
      <c r="K102" s="2" t="str">
        <f>IFERROR(INDEX(TableRBMaster[TM],MATCH(TableRBCalcPts[[#This Row],[RBRef]],TableRBMaster[RBRef],0)),"")</f>
        <v>TB</v>
      </c>
      <c r="L102" s="2">
        <f>IFERROR(INDEX(TableRBMaster[BYE],MATCH(TableRBCalcPts[[#This Row],[RBRef]],TableRBMaster[RBRef],0)),"")</f>
        <v>10</v>
      </c>
      <c r="M102" s="3">
        <f>IFERROR(INDEX(TableRBMaster[Custom],MATCH(TableRBCalcPts[[#This Row],[RBRef]],TableRBMaster[RBRef],0)),"")</f>
        <v>181.82786219161196</v>
      </c>
      <c r="O102" s="2">
        <f>IFERROR(RANK(TableWRCalcPts[[#This Row],[Custom]],TableWRCalcPts[Custom])+COUNTIF($T$3:T102,T102)-1,"")</f>
        <v>128</v>
      </c>
      <c r="P102" s="2">
        <v>100</v>
      </c>
      <c r="Q102" s="2" t="str">
        <f>IFERROR(INDEX(TableWRMaster[Player],MATCH(TableWRCalcPts[[#This Row],[WRRef]],TableWRMaster[WRRef],0)),"")</f>
        <v>Jordan Whittington</v>
      </c>
      <c r="R102" s="2" t="str">
        <f>IFERROR(INDEX(TableWRMaster[TM],MATCH(TableWRCalcPts[[#This Row],[WRRef]],TableWRMaster[WRRef],0)),"")</f>
        <v>LAR</v>
      </c>
      <c r="S102" s="2">
        <f>IFERROR(INDEX(TableWRMaster[BYE],MATCH(TableWRCalcPts[[#This Row],[WRRef]],TableWRMaster[WRRef],0)),"")</f>
        <v>11</v>
      </c>
      <c r="T102" s="3">
        <f>IFERROR(INDEX(TableWRMaster[Custom],MATCH(TableWRCalcPts[[#This Row],[WRRef]],TableWRMaster[WRRef],0)),"")</f>
        <v>20.472066670981437</v>
      </c>
      <c r="V102" s="2" t="str">
        <f>IFERROR(RANK(TableTECalcPts[[#This Row],[Custom]],TableTECalcPts[Custom])+COUNTIF($AA$3:AA102,AA102)-1,"")</f>
        <v/>
      </c>
      <c r="W102" s="2">
        <v>100</v>
      </c>
      <c r="X102" s="2" t="str">
        <f>IFERROR(INDEX(TableTEMaster[Player],MATCH(TableTECalcPts[[#This Row],[TERef]],TableTEMaster[TERef],0)),"")</f>
        <v/>
      </c>
      <c r="Y102" s="2" t="str">
        <f>IFERROR(INDEX(TableTEMaster[TM],MATCH(TableTECalcPts[[#This Row],[TERef]],TableTEMaster[TERef],0)),"")</f>
        <v/>
      </c>
      <c r="Z102" s="2" t="str">
        <f>IFERROR(INDEX(TableTEMaster[BYE],MATCH(TableTECalcPts[[#This Row],[TERef]],TableTEMaster[TERef],0)),"")</f>
        <v/>
      </c>
      <c r="AA102" s="3" t="str">
        <f>IFERROR(INDEX(TableTEMaster[Custom],MATCH(TableTECalcPts[[#This Row],[TERef]],TableTEMaster[TERef],0)),"")</f>
        <v/>
      </c>
      <c r="AI102" s="2" t="s">
        <v>8</v>
      </c>
      <c r="AJ102" s="2" t="str">
        <f>IFERROR(RANK(TableWRTECalcPts[[#This Row],[Custom]],TableWRTECalcPts[Custom])+COUNTIF($AP$3:AP102,AP102)-1,"")</f>
        <v/>
      </c>
      <c r="AK102" s="2">
        <v>100</v>
      </c>
      <c r="AL102" s="2" t="str">
        <f>IFERROR(INDEX(TableTEMaster[Player],MATCH(TableWRTECalcPts[[#This Row],[POSRef]],TableTEMaster[TERef],0)),"")</f>
        <v/>
      </c>
      <c r="AM102" s="2" t="str">
        <f>IFERROR(_xlfn.CONCAT(TableWRTECalcPts[[#This Row],[POS]],INDEX(TableTERanks[RK],MATCH(TableWRTECalcPts[[#This Row],[PLAYER]],TableTERanks[Player],0))),"")</f>
        <v>TE88</v>
      </c>
      <c r="AN102" s="2" t="str">
        <f>IFERROR(INDEX(TableTEMaster[TM],MATCH(TableWRTECalcPts[[#This Row],[POSRef]],TableTEMaster[TERef],0)),"")</f>
        <v/>
      </c>
      <c r="AO102" s="2" t="str">
        <f>IFERROR(INDEX(TableTEMaster[BYE],MATCH(TableWRTECalcPts[[#This Row],[POSRef]],TableTEMaster[TERef],0)),"")</f>
        <v/>
      </c>
      <c r="AP102" s="3" t="str">
        <f>IFERROR(INDEX(TableTEMaster[Custom],MATCH(TableWRTECalcPts[[#This Row],[POSRef]],TableTEMaster[TERef],0)),"")</f>
        <v/>
      </c>
    </row>
    <row r="103" spans="1:42" x14ac:dyDescent="0.25">
      <c r="H103" s="2">
        <f>IFERROR(RANK(TableRBCalcPts[[#This Row],[Custom]],TableRBCalcPts[Custom])+COUNTIF($M$3:M103,M103)-1,"")</f>
        <v>70</v>
      </c>
      <c r="I103" s="2">
        <v>101</v>
      </c>
      <c r="J103" s="2" t="str">
        <f>IFERROR(INDEX(TableRBMaster[Player],MATCH(TableRBCalcPts[[#This Row],[RBRef]],TableRBMaster[RBRef],0)),"")</f>
        <v>Sean Tucker</v>
      </c>
      <c r="K103" s="2" t="str">
        <f>IFERROR(INDEX(TableRBMaster[TM],MATCH(TableRBCalcPts[[#This Row],[RBRef]],TableRBMaster[RBRef],0)),"")</f>
        <v>TB</v>
      </c>
      <c r="L103" s="2">
        <f>IFERROR(INDEX(TableRBMaster[BYE],MATCH(TableRBCalcPts[[#This Row],[RBRef]],TableRBMaster[RBRef],0)),"")</f>
        <v>10</v>
      </c>
      <c r="M103" s="3">
        <f>IFERROR(INDEX(TableRBMaster[Custom],MATCH(TableRBCalcPts[[#This Row],[RBRef]],TableRBMaster[RBRef],0)),"")</f>
        <v>39.186673354115001</v>
      </c>
      <c r="O103" s="2">
        <f>IFERROR(RANK(TableWRCalcPts[[#This Row],[Custom]],TableWRCalcPts[Custom])+COUNTIF($T$3:T103,T103)-1,"")</f>
        <v>135</v>
      </c>
      <c r="P103" s="2">
        <v>101</v>
      </c>
      <c r="Q103" s="2" t="str">
        <f>IFERROR(INDEX(TableWRMaster[Player],MATCH(TableWRCalcPts[[#This Row],[WRRef]],TableWRMaster[WRRef],0)),"")</f>
        <v>Xavier Smith</v>
      </c>
      <c r="R103" s="2" t="str">
        <f>IFERROR(INDEX(TableWRMaster[TM],MATCH(TableWRCalcPts[[#This Row],[WRRef]],TableWRMaster[WRRef],0)),"")</f>
        <v>LAR</v>
      </c>
      <c r="S103" s="2">
        <f>IFERROR(INDEX(TableWRMaster[BYE],MATCH(TableWRCalcPts[[#This Row],[WRRef]],TableWRMaster[WRRef],0)),"")</f>
        <v>11</v>
      </c>
      <c r="T103" s="3">
        <f>IFERROR(INDEX(TableWRMaster[Custom],MATCH(TableWRCalcPts[[#This Row],[WRRef]],TableWRMaster[WRRef],0)),"")</f>
        <v>16.653893820591978</v>
      </c>
      <c r="AI103" s="2" t="s">
        <v>148</v>
      </c>
      <c r="AJ103" s="2">
        <f>IFERROR(RANK(TableWRTECalcPts[[#This Row],[Custom]],TableWRTECalcPts[Custom])+COUNTIF($AP$3:AP103,AP103)-1,"")</f>
        <v>43</v>
      </c>
      <c r="AK103" s="20">
        <v>1</v>
      </c>
      <c r="AL103" s="20" t="str">
        <f>IFERROR(INDEX(TableWRMaster[Player],MATCH(TableWRTECalcPts[[#This Row],[POSRef]],TableWRMaster[WRRef],0)),"")</f>
        <v>Marvin Harrison</v>
      </c>
      <c r="AM103" s="20" t="str">
        <f>IFERROR(_xlfn.CONCAT(TableWRTECalcPts[[#This Row],[POS]],INDEX(TableWRRanks[RK],MATCH(TableWRTECalcPts[[#This Row],[PLAYER]],TableWRRanks[Player],0))),"")</f>
        <v>WR39</v>
      </c>
      <c r="AN103" s="20" t="str">
        <f>IFERROR(INDEX(TableWRMaster[TM],MATCH(TableWRTECalcPts[[#This Row],[POSRef]],TableWRMaster[WRRef],0)),"")</f>
        <v>ARI</v>
      </c>
      <c r="AO103" s="20">
        <f>IFERROR(INDEX(TableWRMaster[BYE],MATCH(TableWRTECalcPts[[#This Row],[POSRef]],TableWRMaster[WRRef],0)),"")</f>
        <v>14</v>
      </c>
      <c r="AP103" s="18">
        <f>IFERROR(INDEX(TableWRMaster[Custom],MATCH(TableWRTECalcPts[[#This Row],[POSRef]],TableWRMaster[WRRef],0)),"")</f>
        <v>159.00760212908483</v>
      </c>
    </row>
    <row r="104" spans="1:42" x14ac:dyDescent="0.25">
      <c r="H104" s="2">
        <f>IFERROR(RANK(TableRBCalcPts[[#This Row],[Custom]],TableRBCalcPts[Custom])+COUNTIF($M$3:M104,M104)-1,"")</f>
        <v>27</v>
      </c>
      <c r="I104" s="2">
        <v>102</v>
      </c>
      <c r="J104" s="2" t="str">
        <f>IFERROR(INDEX(TableRBMaster[Player],MATCH(TableRBCalcPts[[#This Row],[RBRef]],TableRBMaster[RBRef],0)),"")</f>
        <v>Tony Pollard</v>
      </c>
      <c r="K104" s="2" t="str">
        <f>IFERROR(INDEX(TableRBMaster[TM],MATCH(TableRBCalcPts[[#This Row],[RBRef]],TableRBMaster[RBRef],0)),"")</f>
        <v>TEN</v>
      </c>
      <c r="L104" s="2">
        <f>IFERROR(INDEX(TableRBMaster[BYE],MATCH(TableRBCalcPts[[#This Row],[RBRef]],TableRBMaster[RBRef],0)),"")</f>
        <v>9</v>
      </c>
      <c r="M104" s="3">
        <f>IFERROR(INDEX(TableRBMaster[Custom],MATCH(TableRBCalcPts[[#This Row],[RBRef]],TableRBMaster[RBRef],0)),"")</f>
        <v>181.12993898194946</v>
      </c>
      <c r="O104" s="2">
        <f>IFERROR(RANK(TableWRCalcPts[[#This Row],[Custom]],TableWRCalcPts[Custom])+COUNTIF($T$3:T104,T104)-1,"")</f>
        <v>165</v>
      </c>
      <c r="P104" s="2">
        <v>102</v>
      </c>
      <c r="Q104" s="2" t="str">
        <f>IFERROR(INDEX(TableWRMaster[Player],MATCH(TableWRCalcPts[[#This Row],[WRRef]],TableWRMaster[WRRef],0)),"")</f>
        <v>CJ Daniels</v>
      </c>
      <c r="R104" s="2" t="str">
        <f>IFERROR(INDEX(TableWRMaster[TM],MATCH(TableWRCalcPts[[#This Row],[WRRef]],TableWRMaster[WRRef],0)),"")</f>
        <v>LAR</v>
      </c>
      <c r="S104" s="2">
        <f>IFERROR(INDEX(TableWRMaster[BYE],MATCH(TableWRCalcPts[[#This Row],[WRRef]],TableWRMaster[WRRef],0)),"")</f>
        <v>11</v>
      </c>
      <c r="T104" s="3">
        <f>IFERROR(INDEX(TableWRMaster[Custom],MATCH(TableWRCalcPts[[#This Row],[WRRef]],TableWRMaster[WRRef],0)),"")</f>
        <v>6.4120360256657101</v>
      </c>
      <c r="AI104" s="2" t="s">
        <v>148</v>
      </c>
      <c r="AJ104" s="2">
        <f>IFERROR(RANK(TableWRTECalcPts[[#This Row],[Custom]],TableWRTECalcPts[Custom])+COUNTIF($AP$3:AP104,AP104)-1,"")</f>
        <v>58</v>
      </c>
      <c r="AK104" s="20">
        <v>2</v>
      </c>
      <c r="AL104" s="20" t="str">
        <f>IFERROR(INDEX(TableWRMaster[Player],MATCH(TableWRTECalcPts[[#This Row],[POSRef]],TableWRMaster[WRRef],0)),"")</f>
        <v>Michael Wilson</v>
      </c>
      <c r="AM104" s="20" t="str">
        <f>IFERROR(_xlfn.CONCAT(TableWRTECalcPts[[#This Row],[POS]],INDEX(TableWRRanks[RK],MATCH(TableWRTECalcPts[[#This Row],[PLAYER]],TableWRRanks[Player],0))),"")</f>
        <v>WR48</v>
      </c>
      <c r="AN104" s="20" t="str">
        <f>IFERROR(INDEX(TableWRMaster[TM],MATCH(TableWRTECalcPts[[#This Row],[POSRef]],TableWRMaster[WRRef],0)),"")</f>
        <v>ARI</v>
      </c>
      <c r="AO104" s="20">
        <f>IFERROR(INDEX(TableWRMaster[BYE],MATCH(TableWRTECalcPts[[#This Row],[POSRef]],TableWRMaster[WRRef],0)),"")</f>
        <v>14</v>
      </c>
      <c r="AP104" s="18">
        <f>IFERROR(INDEX(TableWRMaster[Custom],MATCH(TableWRTECalcPts[[#This Row],[POSRef]],TableWRMaster[WRRef],0)),"")</f>
        <v>143.41848778330626</v>
      </c>
    </row>
    <row r="105" spans="1:42" x14ac:dyDescent="0.25">
      <c r="H105" s="2">
        <f>IFERROR(RANK(TableRBCalcPts[[#This Row],[Custom]],TableRBCalcPts[Custom])+COUNTIF($M$3:M105,M105)-1,"")</f>
        <v>56</v>
      </c>
      <c r="I105" s="2">
        <v>103</v>
      </c>
      <c r="J105" s="2" t="str">
        <f>IFERROR(INDEX(TableRBMaster[Player],MATCH(TableRBCalcPts[[#This Row],[RBRef]],TableRBMaster[RBRef],0)),"")</f>
        <v>Tyjae Spears</v>
      </c>
      <c r="K105" s="2" t="str">
        <f>IFERROR(INDEX(TableRBMaster[TM],MATCH(TableRBCalcPts[[#This Row],[RBRef]],TableRBMaster[RBRef],0)),"")</f>
        <v>TEN</v>
      </c>
      <c r="L105" s="2">
        <f>IFERROR(INDEX(TableRBMaster[BYE],MATCH(TableRBCalcPts[[#This Row],[RBRef]],TableRBMaster[RBRef],0)),"")</f>
        <v>9</v>
      </c>
      <c r="M105" s="3">
        <f>IFERROR(INDEX(TableRBMaster[Custom],MATCH(TableRBCalcPts[[#This Row],[RBRef]],TableRBMaster[RBRef],0)),"")</f>
        <v>75.595537882991906</v>
      </c>
      <c r="O105" s="2">
        <f>IFERROR(RANK(TableWRCalcPts[[#This Row],[Custom]],TableWRCalcPts[Custom])+COUNTIF($T$3:T105,T105)-1,"")</f>
        <v>61</v>
      </c>
      <c r="P105" s="2">
        <v>103</v>
      </c>
      <c r="Q105" s="2" t="str">
        <f>IFERROR(INDEX(TableWRMaster[Player],MATCH(TableWRCalcPts[[#This Row],[WRRef]],TableWRMaster[WRRef],0)),"")</f>
        <v>Jalen Nailor</v>
      </c>
      <c r="R105" s="2" t="str">
        <f>IFERROR(INDEX(TableWRMaster[TM],MATCH(TableWRCalcPts[[#This Row],[WRRef]],TableWRMaster[WRRef],0)),"")</f>
        <v>LV</v>
      </c>
      <c r="S105" s="2">
        <f>IFERROR(INDEX(TableWRMaster[BYE],MATCH(TableWRCalcPts[[#This Row],[WRRef]],TableWRMaster[WRRef],0)),"")</f>
        <v>13</v>
      </c>
      <c r="T105" s="3">
        <f>IFERROR(INDEX(TableWRMaster[Custom],MATCH(TableWRCalcPts[[#This Row],[WRRef]],TableWRMaster[WRRef],0)),"")</f>
        <v>103.21973275557887</v>
      </c>
      <c r="AI105" s="2" t="s">
        <v>148</v>
      </c>
      <c r="AJ105" s="2">
        <f>IFERROR(RANK(TableWRTECalcPts[[#This Row],[Custom]],TableWRTECalcPts[Custom])+COUNTIF($AP$3:AP105,AP105)-1,"")</f>
        <v>132</v>
      </c>
      <c r="AK105" s="20">
        <v>3</v>
      </c>
      <c r="AL105" s="20" t="str">
        <f>IFERROR(INDEX(TableWRMaster[Player],MATCH(TableWRTECalcPts[[#This Row],[POSRef]],TableWRMaster[WRRef],0)),"")</f>
        <v>Kendrick Bourne</v>
      </c>
      <c r="AM105" s="20" t="str">
        <f>IFERROR(_xlfn.CONCAT(TableWRTECalcPts[[#This Row],[POS]],INDEX(TableWRRanks[RK],MATCH(TableWRTECalcPts[[#This Row],[PLAYER]],TableWRRanks[Player],0))),"")</f>
        <v>WR96</v>
      </c>
      <c r="AN105" s="20" t="str">
        <f>IFERROR(INDEX(TableWRMaster[TM],MATCH(TableWRTECalcPts[[#This Row],[POSRef]],TableWRMaster[WRRef],0)),"")</f>
        <v>ARI</v>
      </c>
      <c r="AO105" s="20">
        <f>IFERROR(INDEX(TableWRMaster[BYE],MATCH(TableWRTECalcPts[[#This Row],[POSRef]],TableWRMaster[WRRef],0)),"")</f>
        <v>14</v>
      </c>
      <c r="AP105" s="18">
        <f>IFERROR(INDEX(TableWRMaster[Custom],MATCH(TableWRTECalcPts[[#This Row],[POSRef]],TableWRMaster[WRRef],0)),"")</f>
        <v>53.352890943744001</v>
      </c>
    </row>
    <row r="106" spans="1:42" x14ac:dyDescent="0.25">
      <c r="H106" s="2">
        <f>IFERROR(RANK(TableRBCalcPts[[#This Row],[Custom]],TableRBCalcPts[Custom])+COUNTIF($M$3:M106,M106)-1,"")</f>
        <v>62</v>
      </c>
      <c r="I106" s="2">
        <v>104</v>
      </c>
      <c r="J106" s="2" t="str">
        <f>IFERROR(INDEX(TableRBMaster[Player],MATCH(TableRBCalcPts[[#This Row],[RBRef]],TableRBMaster[RBRef],0)),"")</f>
        <v>Nicholas Singleton</v>
      </c>
      <c r="K106" s="2" t="str">
        <f>IFERROR(INDEX(TableRBMaster[TM],MATCH(TableRBCalcPts[[#This Row],[RBRef]],TableRBMaster[RBRef],0)),"")</f>
        <v>TEN</v>
      </c>
      <c r="L106" s="2">
        <f>IFERROR(INDEX(TableRBMaster[BYE],MATCH(TableRBCalcPts[[#This Row],[RBRef]],TableRBMaster[RBRef],0)),"")</f>
        <v>9</v>
      </c>
      <c r="M106" s="3">
        <f>IFERROR(INDEX(TableRBMaster[Custom],MATCH(TableRBCalcPts[[#This Row],[RBRef]],TableRBMaster[RBRef],0)),"")</f>
        <v>50.882765347008004</v>
      </c>
      <c r="O106" s="2">
        <f>IFERROR(RANK(TableWRCalcPts[[#This Row],[Custom]],TableWRCalcPts[Custom])+COUNTIF($T$3:T106,T106)-1,"")</f>
        <v>63</v>
      </c>
      <c r="P106" s="2">
        <v>104</v>
      </c>
      <c r="Q106" s="2" t="str">
        <f>IFERROR(INDEX(TableWRMaster[Player],MATCH(TableWRCalcPts[[#This Row],[WRRef]],TableWRMaster[WRRef],0)),"")</f>
        <v>Jack Bech</v>
      </c>
      <c r="R106" s="2" t="str">
        <f>IFERROR(INDEX(TableWRMaster[TM],MATCH(TableWRCalcPts[[#This Row],[WRRef]],TableWRMaster[WRRef],0)),"")</f>
        <v>LV</v>
      </c>
      <c r="S106" s="2">
        <f>IFERROR(INDEX(TableWRMaster[BYE],MATCH(TableWRCalcPts[[#This Row],[WRRef]],TableWRMaster[WRRef],0)),"")</f>
        <v>13</v>
      </c>
      <c r="T106" s="3">
        <f>IFERROR(INDEX(TableWRMaster[Custom],MATCH(TableWRCalcPts[[#This Row],[WRRef]],TableWRMaster[WRRef],0)),"")</f>
        <v>101.30747732999711</v>
      </c>
      <c r="AI106" s="2" t="s">
        <v>148</v>
      </c>
      <c r="AJ106" s="2">
        <f>IFERROR(RANK(TableWRTECalcPts[[#This Row],[Custom]],TableWRTECalcPts[Custom])+COUNTIF($AP$3:AP106,AP106)-1,"")</f>
        <v>232</v>
      </c>
      <c r="AK106" s="20">
        <v>4</v>
      </c>
      <c r="AL106" s="20" t="str">
        <f>IFERROR(INDEX(TableWRMaster[Player],MATCH(TableWRTECalcPts[[#This Row],[POSRef]],TableWRMaster[WRRef],0)),"")</f>
        <v>Reggie Virgil</v>
      </c>
      <c r="AM106" s="20" t="str">
        <f>IFERROR(_xlfn.CONCAT(TableWRTECalcPts[[#This Row],[POS]],INDEX(TableWRRanks[RK],MATCH(TableWRTECalcPts[[#This Row],[PLAYER]],TableWRRanks[Player],0))),"")</f>
        <v>WR157</v>
      </c>
      <c r="AN106" s="20" t="str">
        <f>IFERROR(INDEX(TableWRMaster[TM],MATCH(TableWRTECalcPts[[#This Row],[POSRef]],TableWRMaster[WRRef],0)),"")</f>
        <v>ARI</v>
      </c>
      <c r="AO106" s="20">
        <f>IFERROR(INDEX(TableWRMaster[BYE],MATCH(TableWRTECalcPts[[#This Row],[POSRef]],TableWRMaster[WRRef],0)),"")</f>
        <v>14</v>
      </c>
      <c r="AP106" s="18">
        <f>IFERROR(INDEX(TableWRMaster[Custom],MATCH(TableWRTECalcPts[[#This Row],[POSRef]],TableWRMaster[WRRef],0)),"")</f>
        <v>7.6309495955056024</v>
      </c>
    </row>
    <row r="107" spans="1:42" x14ac:dyDescent="0.25">
      <c r="H107" s="2">
        <f>IFERROR(RANK(TableRBCalcPts[[#This Row],[Custom]],TableRBCalcPts[Custom])+COUNTIF($M$3:M107,M107)-1,"")</f>
        <v>40</v>
      </c>
      <c r="I107" s="2">
        <v>105</v>
      </c>
      <c r="J107" s="2" t="str">
        <f>IFERROR(INDEX(TableRBMaster[Player],MATCH(TableRBCalcPts[[#This Row],[RBRef]],TableRBMaster[RBRef],0)),"")</f>
        <v>Jacory Croskey-Merritt</v>
      </c>
      <c r="K107" s="2" t="str">
        <f>IFERROR(INDEX(TableRBMaster[TM],MATCH(TableRBCalcPts[[#This Row],[RBRef]],TableRBMaster[RBRef],0)),"")</f>
        <v>WSH</v>
      </c>
      <c r="L107" s="2">
        <f>IFERROR(INDEX(TableRBMaster[BYE],MATCH(TableRBCalcPts[[#This Row],[RBRef]],TableRBMaster[RBRef],0)),"")</f>
        <v>7</v>
      </c>
      <c r="M107" s="3">
        <f>IFERROR(INDEX(TableRBMaster[Custom],MATCH(TableRBCalcPts[[#This Row],[RBRef]],TableRBMaster[RBRef],0)),"")</f>
        <v>123.7224200487051</v>
      </c>
      <c r="O107" s="2">
        <f>IFERROR(RANK(TableWRCalcPts[[#This Row],[Custom]],TableWRCalcPts[Custom])+COUNTIF($T$3:T107,T107)-1,"")</f>
        <v>70</v>
      </c>
      <c r="P107" s="2">
        <v>105</v>
      </c>
      <c r="Q107" s="2" t="str">
        <f>IFERROR(INDEX(TableWRMaster[Player],MATCH(TableWRCalcPts[[#This Row],[WRRef]],TableWRMaster[WRRef],0)),"")</f>
        <v>Tre Tucker</v>
      </c>
      <c r="R107" s="2" t="str">
        <f>IFERROR(INDEX(TableWRMaster[TM],MATCH(TableWRCalcPts[[#This Row],[WRRef]],TableWRMaster[WRRef],0)),"")</f>
        <v>LV</v>
      </c>
      <c r="S107" s="2">
        <f>IFERROR(INDEX(TableWRMaster[BYE],MATCH(TableWRCalcPts[[#This Row],[WRRef]],TableWRMaster[WRRef],0)),"")</f>
        <v>13</v>
      </c>
      <c r="T107" s="3">
        <f>IFERROR(INDEX(TableWRMaster[Custom],MATCH(TableWRCalcPts[[#This Row],[WRRef]],TableWRMaster[WRRef],0)),"")</f>
        <v>92.360874869434014</v>
      </c>
      <c r="AI107" s="2" t="s">
        <v>148</v>
      </c>
      <c r="AJ107" s="2">
        <f>IFERROR(RANK(TableWRTECalcPts[[#This Row],[Custom]],TableWRTECalcPts[Custom])+COUNTIF($AP$3:AP107,AP107)-1,"")</f>
        <v>250</v>
      </c>
      <c r="AK107" s="20">
        <v>5</v>
      </c>
      <c r="AL107" s="20" t="str">
        <f>IFERROR(INDEX(TableWRMaster[Player],MATCH(TableWRTECalcPts[[#This Row],[POSRef]],TableWRMaster[WRRef],0)),"")</f>
        <v>Devin Duvernay</v>
      </c>
      <c r="AM107" s="20" t="str">
        <f>IFERROR(_xlfn.CONCAT(TableWRTECalcPts[[#This Row],[POS]],INDEX(TableWRRanks[RK],MATCH(TableWRTECalcPts[[#This Row],[PLAYER]],TableWRRanks[Player],0))),"")</f>
        <v>WR173</v>
      </c>
      <c r="AN107" s="20" t="str">
        <f>IFERROR(INDEX(TableWRMaster[TM],MATCH(TableWRTECalcPts[[#This Row],[POSRef]],TableWRMaster[WRRef],0)),"")</f>
        <v>ARI</v>
      </c>
      <c r="AO107" s="20">
        <f>IFERROR(INDEX(TableWRMaster[BYE],MATCH(TableWRTECalcPts[[#This Row],[POSRef]],TableWRMaster[WRRef],0)),"")</f>
        <v>14</v>
      </c>
      <c r="AP107" s="18">
        <f>IFERROR(INDEX(TableWRMaster[Custom],MATCH(TableWRTECalcPts[[#This Row],[POSRef]],TableWRMaster[WRRef],0)),"")</f>
        <v>5.4590765981733336</v>
      </c>
    </row>
    <row r="108" spans="1:42" x14ac:dyDescent="0.25">
      <c r="H108" s="2">
        <f>IFERROR(RANK(TableRBCalcPts[[#This Row],[Custom]],TableRBCalcPts[Custom])+COUNTIF($M$3:M108,M108)-1,"")</f>
        <v>39</v>
      </c>
      <c r="I108" s="2">
        <v>106</v>
      </c>
      <c r="J108" s="2" t="str">
        <f>IFERROR(INDEX(TableRBMaster[Player],MATCH(TableRBCalcPts[[#This Row],[RBRef]],TableRBMaster[RBRef],0)),"")</f>
        <v>Rachaad White</v>
      </c>
      <c r="K108" s="2" t="str">
        <f>IFERROR(INDEX(TableRBMaster[TM],MATCH(TableRBCalcPts[[#This Row],[RBRef]],TableRBMaster[RBRef],0)),"")</f>
        <v>WSH</v>
      </c>
      <c r="L108" s="2">
        <f>IFERROR(INDEX(TableRBMaster[BYE],MATCH(TableRBCalcPts[[#This Row],[RBRef]],TableRBMaster[RBRef],0)),"")</f>
        <v>7</v>
      </c>
      <c r="M108" s="3">
        <f>IFERROR(INDEX(TableRBMaster[Custom],MATCH(TableRBCalcPts[[#This Row],[RBRef]],TableRBMaster[RBRef],0)),"")</f>
        <v>124.03637026247482</v>
      </c>
      <c r="O108" s="2">
        <f>IFERROR(RANK(TableWRCalcPts[[#This Row],[Custom]],TableWRCalcPts[Custom])+COUNTIF($T$3:T108,T108)-1,"")</f>
        <v>88</v>
      </c>
      <c r="P108" s="2">
        <v>106</v>
      </c>
      <c r="Q108" s="2" t="str">
        <f>IFERROR(INDEX(TableWRMaster[Player],MATCH(TableWRCalcPts[[#This Row],[WRRef]],TableWRMaster[WRRef],0)),"")</f>
        <v>Dont'e Thornton</v>
      </c>
      <c r="R108" s="2" t="str">
        <f>IFERROR(INDEX(TableWRMaster[TM],MATCH(TableWRCalcPts[[#This Row],[WRRef]],TableWRMaster[WRRef],0)),"")</f>
        <v>LV</v>
      </c>
      <c r="S108" s="2">
        <f>IFERROR(INDEX(TableWRMaster[BYE],MATCH(TableWRCalcPts[[#This Row],[WRRef]],TableWRMaster[WRRef],0)),"")</f>
        <v>13</v>
      </c>
      <c r="T108" s="3">
        <f>IFERROR(INDEX(TableWRMaster[Custom],MATCH(TableWRCalcPts[[#This Row],[WRRef]],TableWRMaster[WRRef],0)),"")</f>
        <v>59.321079235535038</v>
      </c>
      <c r="AI108" s="2" t="s">
        <v>148</v>
      </c>
      <c r="AJ108" s="2">
        <f>IFERROR(RANK(TableWRTECalcPts[[#This Row],[Custom]],TableWRTECalcPts[Custom])+COUNTIF($AP$3:AP108,AP108)-1,"")</f>
        <v>261</v>
      </c>
      <c r="AK108" s="20">
        <v>6</v>
      </c>
      <c r="AL108" s="20" t="str">
        <f>IFERROR(INDEX(TableWRMaster[Player],MATCH(TableWRTECalcPts[[#This Row],[POSRef]],TableWRMaster[WRRef],0)),"")</f>
        <v>Xavier Weaver</v>
      </c>
      <c r="AM108" s="20" t="str">
        <f>IFERROR(_xlfn.CONCAT(TableWRTECalcPts[[#This Row],[POS]],INDEX(TableWRRanks[RK],MATCH(TableWRTECalcPts[[#This Row],[PLAYER]],TableWRRanks[Player],0))),"")</f>
        <v>WR180</v>
      </c>
      <c r="AN108" s="20" t="str">
        <f>IFERROR(INDEX(TableWRMaster[TM],MATCH(TableWRTECalcPts[[#This Row],[POSRef]],TableWRMaster[WRRef],0)),"")</f>
        <v>ARI</v>
      </c>
      <c r="AO108" s="20">
        <f>IFERROR(INDEX(TableWRMaster[BYE],MATCH(TableWRTECalcPts[[#This Row],[POSRef]],TableWRMaster[WRRef],0)),"")</f>
        <v>14</v>
      </c>
      <c r="AP108" s="18">
        <f>IFERROR(INDEX(TableWRMaster[Custom],MATCH(TableWRTECalcPts[[#This Row],[POSRef]],TableWRMaster[WRRef],0)),"")</f>
        <v>3.0454781350000002</v>
      </c>
    </row>
    <row r="109" spans="1:42" x14ac:dyDescent="0.25">
      <c r="H109" s="2">
        <f>IFERROR(RANK(TableRBCalcPts[[#This Row],[Custom]],TableRBCalcPts[Custom])+COUNTIF($M$3:M109,M109)-1,"")</f>
        <v>60</v>
      </c>
      <c r="I109" s="2">
        <v>107</v>
      </c>
      <c r="J109" s="2" t="str">
        <f>IFERROR(INDEX(TableRBMaster[Player],MATCH(TableRBCalcPts[[#This Row],[RBRef]],TableRBMaster[RBRef],0)),"")</f>
        <v>Kaytron Allen</v>
      </c>
      <c r="K109" s="2" t="str">
        <f>IFERROR(INDEX(TableRBMaster[TM],MATCH(TableRBCalcPts[[#This Row],[RBRef]],TableRBMaster[RBRef],0)),"")</f>
        <v>WSH</v>
      </c>
      <c r="L109" s="2">
        <f>IFERROR(INDEX(TableRBMaster[BYE],MATCH(TableRBCalcPts[[#This Row],[RBRef]],TableRBMaster[RBRef],0)),"")</f>
        <v>7</v>
      </c>
      <c r="M109" s="3">
        <f>IFERROR(INDEX(TableRBMaster[Custom],MATCH(TableRBCalcPts[[#This Row],[RBRef]],TableRBMaster[RBRef],0)),"")</f>
        <v>62.6839114986672</v>
      </c>
      <c r="O109" s="2">
        <f>IFERROR(RANK(TableWRCalcPts[[#This Row],[Custom]],TableWRCalcPts[Custom])+COUNTIF($T$3:T109,T109)-1,"")</f>
        <v>172</v>
      </c>
      <c r="P109" s="2">
        <v>107</v>
      </c>
      <c r="Q109" s="2" t="str">
        <f>IFERROR(INDEX(TableWRMaster[Player],MATCH(TableWRCalcPts[[#This Row],[WRRef]],TableWRMaster[WRRef],0)),"")</f>
        <v>Dareke Young</v>
      </c>
      <c r="R109" s="2" t="str">
        <f>IFERROR(INDEX(TableWRMaster[TM],MATCH(TableWRCalcPts[[#This Row],[WRRef]],TableWRMaster[WRRef],0)),"")</f>
        <v>LV</v>
      </c>
      <c r="S109" s="2">
        <f>IFERROR(INDEX(TableWRMaster[BYE],MATCH(TableWRCalcPts[[#This Row],[WRRef]],TableWRMaster[WRRef],0)),"")</f>
        <v>13</v>
      </c>
      <c r="T109" s="3">
        <f>IFERROR(INDEX(TableWRMaster[Custom],MATCH(TableWRCalcPts[[#This Row],[WRRef]],TableWRMaster[WRRef],0)),"")</f>
        <v>5.5403300973887992</v>
      </c>
      <c r="AI109" s="2" t="s">
        <v>148</v>
      </c>
      <c r="AJ109" s="2">
        <f>IFERROR(RANK(TableWRTECalcPts[[#This Row],[Custom]],TableWRTECalcPts[Custom])+COUNTIF($AP$3:AP109,AP109)-1,"")</f>
        <v>6</v>
      </c>
      <c r="AK109" s="20">
        <v>7</v>
      </c>
      <c r="AL109" s="20" t="str">
        <f>IFERROR(INDEX(TableWRMaster[Player],MATCH(TableWRTECalcPts[[#This Row],[POSRef]],TableWRMaster[WRRef],0)),"")</f>
        <v>Drake London</v>
      </c>
      <c r="AM109" s="20" t="str">
        <f>IFERROR(_xlfn.CONCAT(TableWRTECalcPts[[#This Row],[POS]],INDEX(TableWRRanks[RK],MATCH(TableWRTECalcPts[[#This Row],[PLAYER]],TableWRRanks[Player],0))),"")</f>
        <v>WR6</v>
      </c>
      <c r="AN109" s="20" t="str">
        <f>IFERROR(INDEX(TableWRMaster[TM],MATCH(TableWRTECalcPts[[#This Row],[POSRef]],TableWRMaster[WRRef],0)),"")</f>
        <v>ATL</v>
      </c>
      <c r="AO109" s="20">
        <f>IFERROR(INDEX(TableWRMaster[BYE],MATCH(TableWRTECalcPts[[#This Row],[POSRef]],TableWRMaster[WRRef],0)),"")</f>
        <v>11</v>
      </c>
      <c r="AP109" s="18">
        <f>IFERROR(INDEX(TableWRMaster[Custom],MATCH(TableWRTECalcPts[[#This Row],[POSRef]],TableWRMaster[WRRef],0)),"")</f>
        <v>228.86490868413486</v>
      </c>
    </row>
    <row r="110" spans="1:42" x14ac:dyDescent="0.25">
      <c r="H110" s="2">
        <f>IFERROR(RANK(TableRBCalcPts[[#This Row],[Custom]],TableRBCalcPts[Custom])+COUNTIF($M$3:M110,M110)-1,"")</f>
        <v>87</v>
      </c>
      <c r="I110" s="2">
        <v>108</v>
      </c>
      <c r="J110" s="2" t="str">
        <f>IFERROR(INDEX(TableRBMaster[Player],MATCH(TableRBCalcPts[[#This Row],[RBRef]],TableRBMaster[RBRef],0)),"")</f>
        <v>Jeremy McNichols</v>
      </c>
      <c r="K110" s="2" t="str">
        <f>IFERROR(INDEX(TableRBMaster[TM],MATCH(TableRBCalcPts[[#This Row],[RBRef]],TableRBMaster[RBRef],0)),"")</f>
        <v>WSH</v>
      </c>
      <c r="L110" s="2">
        <f>IFERROR(INDEX(TableRBMaster[BYE],MATCH(TableRBCalcPts[[#This Row],[RBRef]],TableRBMaster[RBRef],0)),"")</f>
        <v>7</v>
      </c>
      <c r="M110" s="3">
        <f>IFERROR(INDEX(TableRBMaster[Custom],MATCH(TableRBCalcPts[[#This Row],[RBRef]],TableRBMaster[RBRef],0)),"")</f>
        <v>17.610929481321268</v>
      </c>
      <c r="O110" s="2">
        <f>IFERROR(RANK(TableWRCalcPts[[#This Row],[Custom]],TableWRCalcPts[Custom])+COUNTIF($T$3:T110,T110)-1,"")</f>
        <v>179</v>
      </c>
      <c r="P110" s="2">
        <v>108</v>
      </c>
      <c r="Q110" s="2" t="str">
        <f>IFERROR(INDEX(TableWRMaster[Player],MATCH(TableWRCalcPts[[#This Row],[WRRef]],TableWRMaster[WRRef],0)),"")</f>
        <v>Malik Benson</v>
      </c>
      <c r="R110" s="2" t="str">
        <f>IFERROR(INDEX(TableWRMaster[TM],MATCH(TableWRCalcPts[[#This Row],[WRRef]],TableWRMaster[WRRef],0)),"")</f>
        <v>LV</v>
      </c>
      <c r="S110" s="2">
        <f>IFERROR(INDEX(TableWRMaster[BYE],MATCH(TableWRCalcPts[[#This Row],[WRRef]],TableWRMaster[WRRef],0)),"")</f>
        <v>13</v>
      </c>
      <c r="T110" s="3">
        <f>IFERROR(INDEX(TableWRMaster[Custom],MATCH(TableWRCalcPts[[#This Row],[WRRef]],TableWRMaster[WRRef],0)),"")</f>
        <v>3.1943596859999999</v>
      </c>
      <c r="AI110" s="2" t="s">
        <v>148</v>
      </c>
      <c r="AJ110" s="2">
        <f>IFERROR(RANK(TableWRTECalcPts[[#This Row],[Custom]],TableWRTECalcPts[Custom])+COUNTIF($AP$3:AP110,AP110)-1,"")</f>
        <v>110</v>
      </c>
      <c r="AK110" s="20">
        <v>8</v>
      </c>
      <c r="AL110" s="20" t="str">
        <f>IFERROR(INDEX(TableWRMaster[Player],MATCH(TableWRTECalcPts[[#This Row],[POSRef]],TableWRMaster[WRRef],0)),"")</f>
        <v>Zachariah Branch</v>
      </c>
      <c r="AM110" s="20" t="str">
        <f>IFERROR(_xlfn.CONCAT(TableWRTECalcPts[[#This Row],[POS]],INDEX(TableWRRanks[RK],MATCH(TableWRTECalcPts[[#This Row],[PLAYER]],TableWRRanks[Player],0))),"")</f>
        <v>WR80</v>
      </c>
      <c r="AN110" s="20" t="str">
        <f>IFERROR(INDEX(TableWRMaster[TM],MATCH(TableWRTECalcPts[[#This Row],[POSRef]],TableWRMaster[WRRef],0)),"")</f>
        <v>ATL</v>
      </c>
      <c r="AO110" s="20">
        <f>IFERROR(INDEX(TableWRMaster[BYE],MATCH(TableWRTECalcPts[[#This Row],[POSRef]],TableWRMaster[WRRef],0)),"")</f>
        <v>11</v>
      </c>
      <c r="AP110" s="18">
        <f>IFERROR(INDEX(TableWRMaster[Custom],MATCH(TableWRTECalcPts[[#This Row],[POSRef]],TableWRMaster[WRRef],0)),"")</f>
        <v>72.524694531828018</v>
      </c>
    </row>
    <row r="111" spans="1:42" x14ac:dyDescent="0.25">
      <c r="H111" s="2" t="str">
        <f>IFERROR(RANK(TableRBCalcPts[[#This Row],[Custom]],TableRBCalcPts[Custom])+COUNTIF($M$3:M111,M111)-1,"")</f>
        <v/>
      </c>
      <c r="I111" s="2">
        <v>109</v>
      </c>
      <c r="J111" s="2" t="str">
        <f>IFERROR(INDEX(TableRBMaster[Player],MATCH(TableRBCalcPts[[#This Row],[RBRef]],TableRBMaster[RBRef],0)),"")</f>
        <v/>
      </c>
      <c r="K111" s="2" t="str">
        <f>IFERROR(INDEX(TableRBMaster[TM],MATCH(TableRBCalcPts[[#This Row],[RBRef]],TableRBMaster[RBRef],0)),"")</f>
        <v/>
      </c>
      <c r="L111" s="2" t="str">
        <f>IFERROR(INDEX(TableRBMaster[BYE],MATCH(TableRBCalcPts[[#This Row],[RBRef]],TableRBMaster[RBRef],0)),"")</f>
        <v/>
      </c>
      <c r="M111" s="3" t="str">
        <f>IFERROR(INDEX(TableRBMaster[Custom],MATCH(TableRBCalcPts[[#This Row],[RBRef]],TableRBMaster[RBRef],0)),"")</f>
        <v/>
      </c>
      <c r="O111" s="2">
        <f>IFERROR(RANK(TableWRCalcPts[[#This Row],[Custom]],TableWRCalcPts[Custom])+COUNTIF($T$3:T111,T111)-1,"")</f>
        <v>68</v>
      </c>
      <c r="P111" s="2">
        <v>109</v>
      </c>
      <c r="Q111" s="2" t="str">
        <f>IFERROR(INDEX(TableWRMaster[Player],MATCH(TableWRCalcPts[[#This Row],[WRRef]],TableWRMaster[WRRef],0)),"")</f>
        <v>Caleb Douglas</v>
      </c>
      <c r="R111" s="2" t="str">
        <f>IFERROR(INDEX(TableWRMaster[TM],MATCH(TableWRCalcPts[[#This Row],[WRRef]],TableWRMaster[WRRef],0)),"")</f>
        <v>MIA</v>
      </c>
      <c r="S111" s="2">
        <f>IFERROR(INDEX(TableWRMaster[BYE],MATCH(TableWRCalcPts[[#This Row],[WRRef]],TableWRMaster[WRRef],0)),"")</f>
        <v>6</v>
      </c>
      <c r="T111" s="3">
        <f>IFERROR(INDEX(TableWRMaster[Custom],MATCH(TableWRCalcPts[[#This Row],[WRRef]],TableWRMaster[WRRef],0)),"")</f>
        <v>95.519069823491961</v>
      </c>
      <c r="AI111" s="2" t="s">
        <v>148</v>
      </c>
      <c r="AJ111" s="2">
        <f>IFERROR(RANK(TableWRTECalcPts[[#This Row],[Custom]],TableWRTECalcPts[Custom])+COUNTIF($AP$3:AP111,AP111)-1,"")</f>
        <v>130</v>
      </c>
      <c r="AK111" s="20">
        <v>9</v>
      </c>
      <c r="AL111" s="20" t="str">
        <f>IFERROR(INDEX(TableWRMaster[Player],MATCH(TableWRTECalcPts[[#This Row],[POSRef]],TableWRMaster[WRRef],0)),"")</f>
        <v>Olamide Zaccheaus</v>
      </c>
      <c r="AM111" s="20" t="str">
        <f>IFERROR(_xlfn.CONCAT(TableWRTECalcPts[[#This Row],[POS]],INDEX(TableWRRanks[RK],MATCH(TableWRTECalcPts[[#This Row],[PLAYER]],TableWRRanks[Player],0))),"")</f>
        <v>WR94</v>
      </c>
      <c r="AN111" s="20" t="str">
        <f>IFERROR(INDEX(TableWRMaster[TM],MATCH(TableWRTECalcPts[[#This Row],[POSRef]],TableWRMaster[WRRef],0)),"")</f>
        <v>ATL</v>
      </c>
      <c r="AO111" s="20">
        <f>IFERROR(INDEX(TableWRMaster[BYE],MATCH(TableWRTECalcPts[[#This Row],[POSRef]],TableWRMaster[WRRef],0)),"")</f>
        <v>11</v>
      </c>
      <c r="AP111" s="18">
        <f>IFERROR(INDEX(TableWRMaster[Custom],MATCH(TableWRTECalcPts[[#This Row],[POSRef]],TableWRMaster[WRRef],0)),"")</f>
        <v>54.86571406748574</v>
      </c>
    </row>
    <row r="112" spans="1:42" x14ac:dyDescent="0.25">
      <c r="H112" s="2" t="str">
        <f>IFERROR(RANK(TableRBCalcPts[[#This Row],[Custom]],TableRBCalcPts[Custom])+COUNTIF($M$3:M112,M112)-1,"")</f>
        <v/>
      </c>
      <c r="I112" s="2">
        <v>110</v>
      </c>
      <c r="J112" s="2" t="str">
        <f>IFERROR(INDEX(TableRBMaster[Player],MATCH(TableRBCalcPts[[#This Row],[RBRef]],TableRBMaster[RBRef],0)),"")</f>
        <v/>
      </c>
      <c r="K112" s="2" t="str">
        <f>IFERROR(INDEX(TableRBMaster[TM],MATCH(TableRBCalcPts[[#This Row],[RBRef]],TableRBMaster[RBRef],0)),"")</f>
        <v/>
      </c>
      <c r="L112" s="2" t="str">
        <f>IFERROR(INDEX(TableRBMaster[BYE],MATCH(TableRBCalcPts[[#This Row],[RBRef]],TableRBMaster[RBRef],0)),"")</f>
        <v/>
      </c>
      <c r="M112" s="3" t="str">
        <f>IFERROR(INDEX(TableRBMaster[Custom],MATCH(TableRBCalcPts[[#This Row],[RBRef]],TableRBMaster[RBRef],0)),"")</f>
        <v/>
      </c>
      <c r="O112" s="2">
        <f>IFERROR(RANK(TableWRCalcPts[[#This Row],[Custom]],TableWRCalcPts[Custom])+COUNTIF($T$3:T112,T112)-1,"")</f>
        <v>97</v>
      </c>
      <c r="P112" s="2">
        <v>110</v>
      </c>
      <c r="Q112" s="2" t="str">
        <f>IFERROR(INDEX(TableWRMaster[Player],MATCH(TableWRCalcPts[[#This Row],[WRRef]],TableWRMaster[WRRef],0)),"")</f>
        <v>Chris Bell</v>
      </c>
      <c r="R112" s="2" t="str">
        <f>IFERROR(INDEX(TableWRMaster[TM],MATCH(TableWRCalcPts[[#This Row],[WRRef]],TableWRMaster[WRRef],0)),"")</f>
        <v>MIA</v>
      </c>
      <c r="S112" s="2">
        <f>IFERROR(INDEX(TableWRMaster[BYE],MATCH(TableWRCalcPts[[#This Row],[WRRef]],TableWRMaster[WRRef],0)),"")</f>
        <v>6</v>
      </c>
      <c r="T112" s="3">
        <f>IFERROR(INDEX(TableWRMaster[Custom],MATCH(TableWRCalcPts[[#This Row],[WRRef]],TableWRMaster[WRRef],0)),"")</f>
        <v>53.023781179522445</v>
      </c>
      <c r="AI112" s="2" t="s">
        <v>148</v>
      </c>
      <c r="AJ112" s="2">
        <f>IFERROR(RANK(TableWRTECalcPts[[#This Row],[Custom]],TableWRTECalcPts[Custom])+COUNTIF($AP$3:AP112,AP112)-1,"")</f>
        <v>125</v>
      </c>
      <c r="AK112" s="20">
        <v>10</v>
      </c>
      <c r="AL112" s="20" t="str">
        <f>IFERROR(INDEX(TableWRMaster[Player],MATCH(TableWRTECalcPts[[#This Row],[POSRef]],TableWRMaster[WRRef],0)),"")</f>
        <v>Jahan Dotson</v>
      </c>
      <c r="AM112" s="20" t="str">
        <f>IFERROR(_xlfn.CONCAT(TableWRTECalcPts[[#This Row],[POS]],INDEX(TableWRRanks[RK],MATCH(TableWRTECalcPts[[#This Row],[PLAYER]],TableWRRanks[Player],0))),"")</f>
        <v>WR89</v>
      </c>
      <c r="AN112" s="20" t="str">
        <f>IFERROR(INDEX(TableWRMaster[TM],MATCH(TableWRTECalcPts[[#This Row],[POSRef]],TableWRMaster[WRRef],0)),"")</f>
        <v>ATL</v>
      </c>
      <c r="AO112" s="20">
        <f>IFERROR(INDEX(TableWRMaster[BYE],MATCH(TableWRTECalcPts[[#This Row],[POSRef]],TableWRMaster[WRRef],0)),"")</f>
        <v>11</v>
      </c>
      <c r="AP112" s="18">
        <f>IFERROR(INDEX(TableWRMaster[Custom],MATCH(TableWRTECalcPts[[#This Row],[POSRef]],TableWRMaster[WRRef],0)),"")</f>
        <v>59.177708380316076</v>
      </c>
    </row>
    <row r="113" spans="8:42" x14ac:dyDescent="0.25">
      <c r="H113" s="2" t="str">
        <f>IFERROR(RANK(TableRBCalcPts[[#This Row],[Custom]],TableRBCalcPts[Custom])+COUNTIF($M$3:M113,M113)-1,"")</f>
        <v/>
      </c>
      <c r="I113" s="2">
        <v>111</v>
      </c>
      <c r="J113" s="2" t="str">
        <f>IFERROR(INDEX(TableRBMaster[Player],MATCH(TableRBCalcPts[[#This Row],[RBRef]],TableRBMaster[RBRef],0)),"")</f>
        <v/>
      </c>
      <c r="K113" s="2" t="str">
        <f>IFERROR(INDEX(TableRBMaster[TM],MATCH(TableRBCalcPts[[#This Row],[RBRef]],TableRBMaster[RBRef],0)),"")</f>
        <v/>
      </c>
      <c r="L113" s="2" t="str">
        <f>IFERROR(INDEX(TableRBMaster[BYE],MATCH(TableRBCalcPts[[#This Row],[RBRef]],TableRBMaster[RBRef],0)),"")</f>
        <v/>
      </c>
      <c r="M113" s="3" t="str">
        <f>IFERROR(INDEX(TableRBMaster[Custom],MATCH(TableRBCalcPts[[#This Row],[RBRef]],TableRBMaster[RBRef],0)),"")</f>
        <v/>
      </c>
      <c r="O113" s="2">
        <f>IFERROR(RANK(TableWRCalcPts[[#This Row],[Custom]],TableWRCalcPts[Custom])+COUNTIF($T$3:T113,T113)-1,"")</f>
        <v>78</v>
      </c>
      <c r="P113" s="2">
        <v>111</v>
      </c>
      <c r="Q113" s="2" t="str">
        <f>IFERROR(INDEX(TableWRMaster[Player],MATCH(TableWRCalcPts[[#This Row],[WRRef]],TableWRMaster[WRRef],0)),"")</f>
        <v>Malik Washington</v>
      </c>
      <c r="R113" s="2" t="str">
        <f>IFERROR(INDEX(TableWRMaster[TM],MATCH(TableWRCalcPts[[#This Row],[WRRef]],TableWRMaster[WRRef],0)),"")</f>
        <v>MIA</v>
      </c>
      <c r="S113" s="2">
        <f>IFERROR(INDEX(TableWRMaster[BYE],MATCH(TableWRCalcPts[[#This Row],[WRRef]],TableWRMaster[WRRef],0)),"")</f>
        <v>6</v>
      </c>
      <c r="T113" s="3">
        <f>IFERROR(INDEX(TableWRMaster[Custom],MATCH(TableWRCalcPts[[#This Row],[WRRef]],TableWRMaster[WRRef],0)),"")</f>
        <v>80.337995544473287</v>
      </c>
      <c r="AI113" s="2" t="s">
        <v>148</v>
      </c>
      <c r="AJ113" s="2">
        <f>IFERROR(RANK(TableWRTECalcPts[[#This Row],[Custom]],TableWRTECalcPts[Custom])+COUNTIF($AP$3:AP113,AP113)-1,"")</f>
        <v>234</v>
      </c>
      <c r="AK113" s="20">
        <v>11</v>
      </c>
      <c r="AL113" s="20" t="str">
        <f>IFERROR(INDEX(TableWRMaster[Player],MATCH(TableWRTECalcPts[[#This Row],[POSRef]],TableWRMaster[WRRef],0)),"")</f>
        <v>Casey Washington</v>
      </c>
      <c r="AM113" s="20" t="str">
        <f>IFERROR(_xlfn.CONCAT(TableWRTECalcPts[[#This Row],[POS]],INDEX(TableWRRanks[RK],MATCH(TableWRTECalcPts[[#This Row],[PLAYER]],TableWRRanks[Player],0))),"")</f>
        <v>WR159</v>
      </c>
      <c r="AN113" s="20" t="str">
        <f>IFERROR(INDEX(TableWRMaster[TM],MATCH(TableWRTECalcPts[[#This Row],[POSRef]],TableWRMaster[WRRef],0)),"")</f>
        <v>ATL</v>
      </c>
      <c r="AO113" s="20">
        <f>IFERROR(INDEX(TableWRMaster[BYE],MATCH(TableWRTECalcPts[[#This Row],[POSRef]],TableWRMaster[WRRef],0)),"")</f>
        <v>11</v>
      </c>
      <c r="AP113" s="18">
        <f>IFERROR(INDEX(TableWRMaster[Custom],MATCH(TableWRTECalcPts[[#This Row],[POSRef]],TableWRMaster[WRRef],0)),"")</f>
        <v>7.5085715524680019</v>
      </c>
    </row>
    <row r="114" spans="8:42" x14ac:dyDescent="0.25">
      <c r="H114" s="2" t="str">
        <f>IFERROR(RANK(TableRBCalcPts[[#This Row],[Custom]],TableRBCalcPts[Custom])+COUNTIF($M$3:M114,M114)-1,"")</f>
        <v/>
      </c>
      <c r="I114" s="2">
        <v>112</v>
      </c>
      <c r="J114" s="2" t="str">
        <f>IFERROR(INDEX(TableRBMaster[Player],MATCH(TableRBCalcPts[[#This Row],[RBRef]],TableRBMaster[RBRef],0)),"")</f>
        <v/>
      </c>
      <c r="K114" s="2" t="str">
        <f>IFERROR(INDEX(TableRBMaster[TM],MATCH(TableRBCalcPts[[#This Row],[RBRef]],TableRBMaster[RBRef],0)),"")</f>
        <v/>
      </c>
      <c r="L114" s="2" t="str">
        <f>IFERROR(INDEX(TableRBMaster[BYE],MATCH(TableRBCalcPts[[#This Row],[RBRef]],TableRBMaster[RBRef],0)),"")</f>
        <v/>
      </c>
      <c r="M114" s="3" t="str">
        <f>IFERROR(INDEX(TableRBMaster[Custom],MATCH(TableRBCalcPts[[#This Row],[RBRef]],TableRBMaster[RBRef],0)),"")</f>
        <v/>
      </c>
      <c r="O114" s="2">
        <f>IFERROR(RANK(TableWRCalcPts[[#This Row],[Custom]],TableWRCalcPts[Custom])+COUNTIF($T$3:T114,T114)-1,"")</f>
        <v>121</v>
      </c>
      <c r="P114" s="2">
        <v>112</v>
      </c>
      <c r="Q114" s="2" t="str">
        <f>IFERROR(INDEX(TableWRMaster[Player],MATCH(TableWRCalcPts[[#This Row],[WRRef]],TableWRMaster[WRRef],0)),"")</f>
        <v>Tutu Atwell</v>
      </c>
      <c r="R114" s="2" t="str">
        <f>IFERROR(INDEX(TableWRMaster[TM],MATCH(TableWRCalcPts[[#This Row],[WRRef]],TableWRMaster[WRRef],0)),"")</f>
        <v>MIA</v>
      </c>
      <c r="S114" s="2">
        <f>IFERROR(INDEX(TableWRMaster[BYE],MATCH(TableWRCalcPts[[#This Row],[WRRef]],TableWRMaster[WRRef],0)),"")</f>
        <v>6</v>
      </c>
      <c r="T114" s="3">
        <f>IFERROR(INDEX(TableWRMaster[Custom],MATCH(TableWRCalcPts[[#This Row],[WRRef]],TableWRMaster[WRRef],0)),"")</f>
        <v>32.392578640116241</v>
      </c>
      <c r="AI114" s="2" t="s">
        <v>148</v>
      </c>
      <c r="AJ114" s="2">
        <f>IFERROR(RANK(TableWRTECalcPts[[#This Row],[Custom]],TableWRTECalcPts[Custom])+COUNTIF($AP$3:AP114,AP114)-1,"")</f>
        <v>13</v>
      </c>
      <c r="AK114" s="20">
        <v>12</v>
      </c>
      <c r="AL114" s="20" t="str">
        <f>IFERROR(INDEX(TableWRMaster[Player],MATCH(TableWRTECalcPts[[#This Row],[POSRef]],TableWRMaster[WRRef],0)),"")</f>
        <v>Zay Flowers</v>
      </c>
      <c r="AM114" s="20" t="str">
        <f>IFERROR(_xlfn.CONCAT(TableWRTECalcPts[[#This Row],[POS]],INDEX(TableWRRanks[RK],MATCH(TableWRTECalcPts[[#This Row],[PLAYER]],TableWRRanks[Player],0))),"")</f>
        <v>WR13</v>
      </c>
      <c r="AN114" s="20" t="str">
        <f>IFERROR(INDEX(TableWRMaster[TM],MATCH(TableWRTECalcPts[[#This Row],[POSRef]],TableWRMaster[WRRef],0)),"")</f>
        <v>BAL</v>
      </c>
      <c r="AO114" s="20">
        <f>IFERROR(INDEX(TableWRMaster[BYE],MATCH(TableWRTECalcPts[[#This Row],[POSRef]],TableWRMaster[WRRef],0)),"")</f>
        <v>13</v>
      </c>
      <c r="AP114" s="18">
        <f>IFERROR(INDEX(TableWRMaster[Custom],MATCH(TableWRTECalcPts[[#This Row],[POSRef]],TableWRMaster[WRRef],0)),"")</f>
        <v>204.82728652227939</v>
      </c>
    </row>
    <row r="115" spans="8:42" x14ac:dyDescent="0.25">
      <c r="H115" s="2" t="str">
        <f>IFERROR(RANK(TableRBCalcPts[[#This Row],[Custom]],TableRBCalcPts[Custom])+COUNTIF($M$3:M115,M115)-1,"")</f>
        <v/>
      </c>
      <c r="I115" s="2">
        <v>113</v>
      </c>
      <c r="J115" s="2" t="str">
        <f>IFERROR(INDEX(TableRBMaster[Player],MATCH(TableRBCalcPts[[#This Row],[RBRef]],TableRBMaster[RBRef],0)),"")</f>
        <v/>
      </c>
      <c r="K115" s="2" t="str">
        <f>IFERROR(INDEX(TableRBMaster[TM],MATCH(TableRBCalcPts[[#This Row],[RBRef]],TableRBMaster[RBRef],0)),"")</f>
        <v/>
      </c>
      <c r="L115" s="2" t="str">
        <f>IFERROR(INDEX(TableRBMaster[BYE],MATCH(TableRBCalcPts[[#This Row],[RBRef]],TableRBMaster[RBRef],0)),"")</f>
        <v/>
      </c>
      <c r="M115" s="3" t="str">
        <f>IFERROR(INDEX(TableRBMaster[Custom],MATCH(TableRBCalcPts[[#This Row],[RBRef]],TableRBMaster[RBRef],0)),"")</f>
        <v/>
      </c>
      <c r="O115" s="2">
        <f>IFERROR(RANK(TableWRCalcPts[[#This Row],[Custom]],TableWRCalcPts[Custom])+COUNTIF($T$3:T115,T115)-1,"")</f>
        <v>67</v>
      </c>
      <c r="P115" s="2">
        <v>113</v>
      </c>
      <c r="Q115" s="2" t="str">
        <f>IFERROR(INDEX(TableWRMaster[Player],MATCH(TableWRCalcPts[[#This Row],[WRRef]],TableWRMaster[WRRef],0)),"")</f>
        <v>Jalen Tolbert</v>
      </c>
      <c r="R115" s="2" t="str">
        <f>IFERROR(INDEX(TableWRMaster[TM],MATCH(TableWRCalcPts[[#This Row],[WRRef]],TableWRMaster[WRRef],0)),"")</f>
        <v>MIA</v>
      </c>
      <c r="S115" s="2">
        <f>IFERROR(INDEX(TableWRMaster[BYE],MATCH(TableWRCalcPts[[#This Row],[WRRef]],TableWRMaster[WRRef],0)),"")</f>
        <v>6</v>
      </c>
      <c r="T115" s="3">
        <f>IFERROR(INDEX(TableWRMaster[Custom],MATCH(TableWRCalcPts[[#This Row],[WRRef]],TableWRMaster[WRRef],0)),"")</f>
        <v>99.819665152542697</v>
      </c>
      <c r="AI115" s="2" t="s">
        <v>148</v>
      </c>
      <c r="AJ115" s="2">
        <f>IFERROR(RANK(TableWRTECalcPts[[#This Row],[Custom]],TableWRTECalcPts[Custom])+COUNTIF($AP$3:AP115,AP115)-1,"")</f>
        <v>100</v>
      </c>
      <c r="AK115" s="20">
        <v>13</v>
      </c>
      <c r="AL115" s="20" t="str">
        <f>IFERROR(INDEX(TableWRMaster[Player],MATCH(TableWRTECalcPts[[#This Row],[POSRef]],TableWRMaster[WRRef],0)),"")</f>
        <v>Rashod Bateman</v>
      </c>
      <c r="AM115" s="20" t="str">
        <f>IFERROR(_xlfn.CONCAT(TableWRTECalcPts[[#This Row],[POS]],INDEX(TableWRRanks[RK],MATCH(TableWRTECalcPts[[#This Row],[PLAYER]],TableWRRanks[Player],0))),"")</f>
        <v>WR75</v>
      </c>
      <c r="AN115" s="20" t="str">
        <f>IFERROR(INDEX(TableWRMaster[TM],MATCH(TableWRTECalcPts[[#This Row],[POSRef]],TableWRMaster[WRRef],0)),"")</f>
        <v>BAL</v>
      </c>
      <c r="AO115" s="20">
        <f>IFERROR(INDEX(TableWRMaster[BYE],MATCH(TableWRTECalcPts[[#This Row],[POSRef]],TableWRMaster[WRRef],0)),"")</f>
        <v>13</v>
      </c>
      <c r="AP115" s="18">
        <f>IFERROR(INDEX(TableWRMaster[Custom],MATCH(TableWRTECalcPts[[#This Row],[POSRef]],TableWRMaster[WRRef],0)),"")</f>
        <v>88.222170607161729</v>
      </c>
    </row>
    <row r="116" spans="8:42" x14ac:dyDescent="0.25">
      <c r="H116" s="2" t="str">
        <f>IFERROR(RANK(TableRBCalcPts[[#This Row],[Custom]],TableRBCalcPts[Custom])+COUNTIF($M$3:M116,M116)-1,"")</f>
        <v/>
      </c>
      <c r="I116" s="2">
        <v>114</v>
      </c>
      <c r="J116" s="2" t="str">
        <f>IFERROR(INDEX(TableRBMaster[Player],MATCH(TableRBCalcPts[[#This Row],[RBRef]],TableRBMaster[RBRef],0)),"")</f>
        <v/>
      </c>
      <c r="K116" s="2" t="str">
        <f>IFERROR(INDEX(TableRBMaster[TM],MATCH(TableRBCalcPts[[#This Row],[RBRef]],TableRBMaster[RBRef],0)),"")</f>
        <v/>
      </c>
      <c r="L116" s="2" t="str">
        <f>IFERROR(INDEX(TableRBMaster[BYE],MATCH(TableRBCalcPts[[#This Row],[RBRef]],TableRBMaster[RBRef],0)),"")</f>
        <v/>
      </c>
      <c r="M116" s="3" t="str">
        <f>IFERROR(INDEX(TableRBMaster[Custom],MATCH(TableRBCalcPts[[#This Row],[RBRef]],TableRBMaster[RBRef],0)),"")</f>
        <v/>
      </c>
      <c r="O116" s="2">
        <f>IFERROR(RANK(TableWRCalcPts[[#This Row],[Custom]],TableWRCalcPts[Custom])+COUNTIF($T$3:T116,T116)-1,"")</f>
        <v>126</v>
      </c>
      <c r="P116" s="2">
        <v>114</v>
      </c>
      <c r="Q116" s="2" t="str">
        <f>IFERROR(INDEX(TableWRMaster[Player],MATCH(TableWRCalcPts[[#This Row],[WRRef]],TableWRMaster[WRRef],0)),"")</f>
        <v>Kevin Coleman</v>
      </c>
      <c r="R116" s="2" t="str">
        <f>IFERROR(INDEX(TableWRMaster[TM],MATCH(TableWRCalcPts[[#This Row],[WRRef]],TableWRMaster[WRRef],0)),"")</f>
        <v>MIA</v>
      </c>
      <c r="S116" s="2">
        <f>IFERROR(INDEX(TableWRMaster[BYE],MATCH(TableWRCalcPts[[#This Row],[WRRef]],TableWRMaster[WRRef],0)),"")</f>
        <v>6</v>
      </c>
      <c r="T116" s="3">
        <f>IFERROR(INDEX(TableWRMaster[Custom],MATCH(TableWRCalcPts[[#This Row],[WRRef]],TableWRMaster[WRRef],0)),"")</f>
        <v>21.182855032088817</v>
      </c>
      <c r="AI116" s="2" t="s">
        <v>148</v>
      </c>
      <c r="AJ116" s="2">
        <f>IFERROR(RANK(TableWRTECalcPts[[#This Row],[Custom]],TableWRTECalcPts[Custom])+COUNTIF($AP$3:AP116,AP116)-1,"")</f>
        <v>127</v>
      </c>
      <c r="AK116" s="20">
        <v>14</v>
      </c>
      <c r="AL116" s="20" t="str">
        <f>IFERROR(INDEX(TableWRMaster[Player],MATCH(TableWRTECalcPts[[#This Row],[POSRef]],TableWRMaster[WRRef],0)),"")</f>
        <v>Ja'Kobi Lane</v>
      </c>
      <c r="AM116" s="20" t="str">
        <f>IFERROR(_xlfn.CONCAT(TableWRTECalcPts[[#This Row],[POS]],INDEX(TableWRRanks[RK],MATCH(TableWRTECalcPts[[#This Row],[PLAYER]],TableWRRanks[Player],0))),"")</f>
        <v>WR91</v>
      </c>
      <c r="AN116" s="20" t="str">
        <f>IFERROR(INDEX(TableWRMaster[TM],MATCH(TableWRTECalcPts[[#This Row],[POSRef]],TableWRMaster[WRRef],0)),"")</f>
        <v>BAL</v>
      </c>
      <c r="AO116" s="20">
        <f>IFERROR(INDEX(TableWRMaster[BYE],MATCH(TableWRTECalcPts[[#This Row],[POSRef]],TableWRMaster[WRRef],0)),"")</f>
        <v>13</v>
      </c>
      <c r="AP116" s="18">
        <f>IFERROR(INDEX(TableWRMaster[Custom],MATCH(TableWRTECalcPts[[#This Row],[POSRef]],TableWRMaster[WRRef],0)),"")</f>
        <v>58.907507146847031</v>
      </c>
    </row>
    <row r="117" spans="8:42" x14ac:dyDescent="0.25">
      <c r="H117" s="2" t="str">
        <f>IFERROR(RANK(TableRBCalcPts[[#This Row],[Custom]],TableRBCalcPts[Custom])+COUNTIF($M$3:M117,M117)-1,"")</f>
        <v/>
      </c>
      <c r="I117" s="2">
        <v>115</v>
      </c>
      <c r="J117" s="2" t="str">
        <f>IFERROR(INDEX(TableRBMaster[Player],MATCH(TableRBCalcPts[[#This Row],[RBRef]],TableRBMaster[RBRef],0)),"")</f>
        <v/>
      </c>
      <c r="K117" s="2" t="str">
        <f>IFERROR(INDEX(TableRBMaster[TM],MATCH(TableRBCalcPts[[#This Row],[RBRef]],TableRBMaster[RBRef],0)),"")</f>
        <v/>
      </c>
      <c r="L117" s="2" t="str">
        <f>IFERROR(INDEX(TableRBMaster[BYE],MATCH(TableRBCalcPts[[#This Row],[RBRef]],TableRBMaster[RBRef],0)),"")</f>
        <v/>
      </c>
      <c r="M117" s="3" t="str">
        <f>IFERROR(INDEX(TableRBMaster[Custom],MATCH(TableRBCalcPts[[#This Row],[RBRef]],TableRBMaster[RBRef],0)),"")</f>
        <v/>
      </c>
      <c r="O117" s="2">
        <f>IFERROR(RANK(TableWRCalcPts[[#This Row],[Custom]],TableWRCalcPts[Custom])+COUNTIF($T$3:T117,T117)-1,"")</f>
        <v>7</v>
      </c>
      <c r="P117" s="2">
        <v>115</v>
      </c>
      <c r="Q117" s="2" t="str">
        <f>IFERROR(INDEX(TableWRMaster[Player],MATCH(TableWRCalcPts[[#This Row],[WRRef]],TableWRMaster[WRRef],0)),"")</f>
        <v>Justin Jefferson</v>
      </c>
      <c r="R117" s="2" t="str">
        <f>IFERROR(INDEX(TableWRMaster[TM],MATCH(TableWRCalcPts[[#This Row],[WRRef]],TableWRMaster[WRRef],0)),"")</f>
        <v>MIN</v>
      </c>
      <c r="S117" s="2">
        <f>IFERROR(INDEX(TableWRMaster[BYE],MATCH(TableWRCalcPts[[#This Row],[WRRef]],TableWRMaster[WRRef],0)),"")</f>
        <v>6</v>
      </c>
      <c r="T117" s="3">
        <f>IFERROR(INDEX(TableWRMaster[Custom],MATCH(TableWRCalcPts[[#This Row],[WRRef]],TableWRMaster[WRRef],0)),"")</f>
        <v>223.24740739596288</v>
      </c>
      <c r="AI117" s="2" t="s">
        <v>148</v>
      </c>
      <c r="AJ117" s="2">
        <f>IFERROR(RANK(TableWRTECalcPts[[#This Row],[Custom]],TableWRTECalcPts[Custom])+COUNTIF($AP$3:AP117,AP117)-1,"")</f>
        <v>116</v>
      </c>
      <c r="AK117" s="20">
        <v>15</v>
      </c>
      <c r="AL117" s="20" t="str">
        <f>IFERROR(INDEX(TableWRMaster[Player],MATCH(TableWRTECalcPts[[#This Row],[POSRef]],TableWRMaster[WRRef],0)),"")</f>
        <v>Elijah Sarratt</v>
      </c>
      <c r="AM117" s="20" t="str">
        <f>IFERROR(_xlfn.CONCAT(TableWRTECalcPts[[#This Row],[POS]],INDEX(TableWRRanks[RK],MATCH(TableWRTECalcPts[[#This Row],[PLAYER]],TableWRRanks[Player],0))),"")</f>
        <v>WR83</v>
      </c>
      <c r="AN117" s="20" t="str">
        <f>IFERROR(INDEX(TableWRMaster[TM],MATCH(TableWRTECalcPts[[#This Row],[POSRef]],TableWRMaster[WRRef],0)),"")</f>
        <v>BAL</v>
      </c>
      <c r="AO117" s="20">
        <f>IFERROR(INDEX(TableWRMaster[BYE],MATCH(TableWRTECalcPts[[#This Row],[POSRef]],TableWRMaster[WRRef],0)),"")</f>
        <v>13</v>
      </c>
      <c r="AP117" s="18">
        <f>IFERROR(INDEX(TableWRMaster[Custom],MATCH(TableWRTECalcPts[[#This Row],[POSRef]],TableWRMaster[WRRef],0)),"")</f>
        <v>64.331268238132509</v>
      </c>
    </row>
    <row r="118" spans="8:42" x14ac:dyDescent="0.25">
      <c r="H118" s="2" t="str">
        <f>IFERROR(RANK(TableRBCalcPts[[#This Row],[Custom]],TableRBCalcPts[Custom])+COUNTIF($M$3:M118,M118)-1,"")</f>
        <v/>
      </c>
      <c r="I118" s="2">
        <v>116</v>
      </c>
      <c r="J118" s="2" t="str">
        <f>IFERROR(INDEX(TableRBMaster[Player],MATCH(TableRBCalcPts[[#This Row],[RBRef]],TableRBMaster[RBRef],0)),"")</f>
        <v/>
      </c>
      <c r="K118" s="2" t="str">
        <f>IFERROR(INDEX(TableRBMaster[TM],MATCH(TableRBCalcPts[[#This Row],[RBRef]],TableRBMaster[RBRef],0)),"")</f>
        <v/>
      </c>
      <c r="L118" s="2" t="str">
        <f>IFERROR(INDEX(TableRBMaster[BYE],MATCH(TableRBCalcPts[[#This Row],[RBRef]],TableRBMaster[RBRef],0)),"")</f>
        <v/>
      </c>
      <c r="M118" s="3" t="str">
        <f>IFERROR(INDEX(TableRBMaster[Custom],MATCH(TableRBCalcPts[[#This Row],[RBRef]],TableRBMaster[RBRef],0)),"")</f>
        <v/>
      </c>
      <c r="O118" s="2">
        <f>IFERROR(RANK(TableWRCalcPts[[#This Row],[Custom]],TableWRCalcPts[Custom])+COUNTIF($T$3:T118,T118)-1,"")</f>
        <v>34</v>
      </c>
      <c r="P118" s="2">
        <v>116</v>
      </c>
      <c r="Q118" s="2" t="str">
        <f>IFERROR(INDEX(TableWRMaster[Player],MATCH(TableWRCalcPts[[#This Row],[WRRef]],TableWRMaster[WRRef],0)),"")</f>
        <v>Jordan Addison</v>
      </c>
      <c r="R118" s="2" t="str">
        <f>IFERROR(INDEX(TableWRMaster[TM],MATCH(TableWRCalcPts[[#This Row],[WRRef]],TableWRMaster[WRRef],0)),"")</f>
        <v>MIN</v>
      </c>
      <c r="S118" s="2">
        <f>IFERROR(INDEX(TableWRMaster[BYE],MATCH(TableWRCalcPts[[#This Row],[WRRef]],TableWRMaster[WRRef],0)),"")</f>
        <v>6</v>
      </c>
      <c r="T118" s="3">
        <f>IFERROR(INDEX(TableWRMaster[Custom],MATCH(TableWRCalcPts[[#This Row],[WRRef]],TableWRMaster[WRRef],0)),"")</f>
        <v>168.53891277683735</v>
      </c>
      <c r="AI118" s="2" t="s">
        <v>148</v>
      </c>
      <c r="AJ118" s="2">
        <f>IFERROR(RANK(TableWRTECalcPts[[#This Row],[Custom]],TableWRTECalcPts[Custom])+COUNTIF($AP$3:AP118,AP118)-1,"")</f>
        <v>155</v>
      </c>
      <c r="AK118" s="20">
        <v>16</v>
      </c>
      <c r="AL118" s="20" t="str">
        <f>IFERROR(INDEX(TableWRMaster[Player],MATCH(TableWRTECalcPts[[#This Row],[POSRef]],TableWRMaster[WRRef],0)),"")</f>
        <v>Devontez Walker</v>
      </c>
      <c r="AM118" s="20" t="str">
        <f>IFERROR(_xlfn.CONCAT(TableWRTECalcPts[[#This Row],[POS]],INDEX(TableWRRanks[RK],MATCH(TableWRTECalcPts[[#This Row],[PLAYER]],TableWRRanks[Player],0))),"")</f>
        <v>WR111</v>
      </c>
      <c r="AN118" s="20" t="str">
        <f>IFERROR(INDEX(TableWRMaster[TM],MATCH(TableWRTECalcPts[[#This Row],[POSRef]],TableWRMaster[WRRef],0)),"")</f>
        <v>BAL</v>
      </c>
      <c r="AO118" s="20">
        <f>IFERROR(INDEX(TableWRMaster[BYE],MATCH(TableWRTECalcPts[[#This Row],[POSRef]],TableWRMaster[WRRef],0)),"")</f>
        <v>13</v>
      </c>
      <c r="AP118" s="18">
        <f>IFERROR(INDEX(TableWRMaster[Custom],MATCH(TableWRTECalcPts[[#This Row],[POSRef]],TableWRMaster[WRRef],0)),"")</f>
        <v>40.708507950084538</v>
      </c>
    </row>
    <row r="119" spans="8:42" x14ac:dyDescent="0.25">
      <c r="H119" s="2" t="str">
        <f>IFERROR(RANK(TableRBCalcPts[[#This Row],[Custom]],TableRBCalcPts[Custom])+COUNTIF($M$3:M119,M119)-1,"")</f>
        <v/>
      </c>
      <c r="I119" s="2">
        <v>117</v>
      </c>
      <c r="J119" s="2" t="str">
        <f>IFERROR(INDEX(TableRBMaster[Player],MATCH(TableRBCalcPts[[#This Row],[RBRef]],TableRBMaster[RBRef],0)),"")</f>
        <v/>
      </c>
      <c r="K119" s="2" t="str">
        <f>IFERROR(INDEX(TableRBMaster[TM],MATCH(TableRBCalcPts[[#This Row],[RBRef]],TableRBMaster[RBRef],0)),"")</f>
        <v/>
      </c>
      <c r="L119" s="2" t="str">
        <f>IFERROR(INDEX(TableRBMaster[BYE],MATCH(TableRBCalcPts[[#This Row],[RBRef]],TableRBMaster[RBRef],0)),"")</f>
        <v/>
      </c>
      <c r="M119" s="3" t="str">
        <f>IFERROR(INDEX(TableRBMaster[Custom],MATCH(TableRBCalcPts[[#This Row],[RBRef]],TableRBMaster[RBRef],0)),"")</f>
        <v/>
      </c>
      <c r="O119" s="2">
        <f>IFERROR(RANK(TableWRCalcPts[[#This Row],[Custom]],TableWRCalcPts[Custom])+COUNTIF($T$3:T119,T119)-1,"")</f>
        <v>76</v>
      </c>
      <c r="P119" s="2">
        <v>117</v>
      </c>
      <c r="Q119" s="2" t="str">
        <f>IFERROR(INDEX(TableWRMaster[Player],MATCH(TableWRCalcPts[[#This Row],[WRRef]],TableWRMaster[WRRef],0)),"")</f>
        <v>Jauan Jennings</v>
      </c>
      <c r="R119" s="2" t="str">
        <f>IFERROR(INDEX(TableWRMaster[TM],MATCH(TableWRCalcPts[[#This Row],[WRRef]],TableWRMaster[WRRef],0)),"")</f>
        <v>MIN</v>
      </c>
      <c r="S119" s="2">
        <f>IFERROR(INDEX(TableWRMaster[BYE],MATCH(TableWRCalcPts[[#This Row],[WRRef]],TableWRMaster[WRRef],0)),"")</f>
        <v>6</v>
      </c>
      <c r="T119" s="3">
        <f>IFERROR(INDEX(TableWRMaster[Custom],MATCH(TableWRCalcPts[[#This Row],[WRRef]],TableWRMaster[WRRef],0)),"")</f>
        <v>82.789156047990502</v>
      </c>
      <c r="AI119" s="2" t="s">
        <v>148</v>
      </c>
      <c r="AJ119" s="2">
        <f>IFERROR(RANK(TableWRTECalcPts[[#This Row],[Custom]],TableWRTECalcPts[Custom])+COUNTIF($AP$3:AP119,AP119)-1,"")</f>
        <v>29</v>
      </c>
      <c r="AK119" s="20">
        <v>17</v>
      </c>
      <c r="AL119" s="20" t="str">
        <f>IFERROR(INDEX(TableWRMaster[Player],MATCH(TableWRTECalcPts[[#This Row],[POSRef]],TableWRMaster[WRRef],0)),"")</f>
        <v>DJ Moore</v>
      </c>
      <c r="AM119" s="20" t="str">
        <f>IFERROR(_xlfn.CONCAT(TableWRTECalcPts[[#This Row],[POS]],INDEX(TableWRRanks[RK],MATCH(TableWRTECalcPts[[#This Row],[PLAYER]],TableWRRanks[Player],0))),"")</f>
        <v>WR27</v>
      </c>
      <c r="AN119" s="20" t="str">
        <f>IFERROR(INDEX(TableWRMaster[TM],MATCH(TableWRTECalcPts[[#This Row],[POSRef]],TableWRMaster[WRRef],0)),"")</f>
        <v>BUF</v>
      </c>
      <c r="AO119" s="20">
        <f>IFERROR(INDEX(TableWRMaster[BYE],MATCH(TableWRTECalcPts[[#This Row],[POSRef]],TableWRMaster[WRRef],0)),"")</f>
        <v>7</v>
      </c>
      <c r="AP119" s="18">
        <f>IFERROR(INDEX(TableWRMaster[Custom],MATCH(TableWRTECalcPts[[#This Row],[POSRef]],TableWRMaster[WRRef],0)),"")</f>
        <v>185.89535424952149</v>
      </c>
    </row>
    <row r="120" spans="8:42" x14ac:dyDescent="0.25">
      <c r="H120" s="2" t="str">
        <f>IFERROR(RANK(TableRBCalcPts[[#This Row],[Custom]],TableRBCalcPts[Custom])+COUNTIF($M$3:M120,M120)-1,"")</f>
        <v/>
      </c>
      <c r="I120" s="2">
        <v>118</v>
      </c>
      <c r="J120" s="2" t="str">
        <f>IFERROR(INDEX(TableRBMaster[Player],MATCH(TableRBCalcPts[[#This Row],[RBRef]],TableRBMaster[RBRef],0)),"")</f>
        <v/>
      </c>
      <c r="K120" s="2" t="str">
        <f>IFERROR(INDEX(TableRBMaster[TM],MATCH(TableRBCalcPts[[#This Row],[RBRef]],TableRBMaster[RBRef],0)),"")</f>
        <v/>
      </c>
      <c r="L120" s="2" t="str">
        <f>IFERROR(INDEX(TableRBMaster[BYE],MATCH(TableRBCalcPts[[#This Row],[RBRef]],TableRBMaster[RBRef],0)),"")</f>
        <v/>
      </c>
      <c r="M120" s="3" t="str">
        <f>IFERROR(INDEX(TableRBMaster[Custom],MATCH(TableRBCalcPts[[#This Row],[RBRef]],TableRBMaster[RBRef],0)),"")</f>
        <v/>
      </c>
      <c r="O120" s="2">
        <f>IFERROR(RANK(TableWRCalcPts[[#This Row],[Custom]],TableWRCalcPts[Custom])+COUNTIF($T$3:T120,T120)-1,"")</f>
        <v>147</v>
      </c>
      <c r="P120" s="2">
        <v>118</v>
      </c>
      <c r="Q120" s="2" t="str">
        <f>IFERROR(INDEX(TableWRMaster[Player],MATCH(TableWRCalcPts[[#This Row],[WRRef]],TableWRMaster[WRRef],0)),"")</f>
        <v>Tai Felton</v>
      </c>
      <c r="R120" s="2" t="str">
        <f>IFERROR(INDEX(TableWRMaster[TM],MATCH(TableWRCalcPts[[#This Row],[WRRef]],TableWRMaster[WRRef],0)),"")</f>
        <v>MIN</v>
      </c>
      <c r="S120" s="2">
        <f>IFERROR(INDEX(TableWRMaster[BYE],MATCH(TableWRCalcPts[[#This Row],[WRRef]],TableWRMaster[WRRef],0)),"")</f>
        <v>6</v>
      </c>
      <c r="T120" s="3">
        <f>IFERROR(INDEX(TableWRMaster[Custom],MATCH(TableWRCalcPts[[#This Row],[WRRef]],TableWRMaster[WRRef],0)),"")</f>
        <v>9.7061602971908254</v>
      </c>
      <c r="AI120" s="2" t="s">
        <v>148</v>
      </c>
      <c r="AJ120" s="2">
        <f>IFERROR(RANK(TableWRTECalcPts[[#This Row],[Custom]],TableWRTECalcPts[Custom])+COUNTIF($AP$3:AP120,AP120)-1,"")</f>
        <v>68</v>
      </c>
      <c r="AK120" s="20">
        <v>18</v>
      </c>
      <c r="AL120" s="20" t="str">
        <f>IFERROR(INDEX(TableWRMaster[Player],MATCH(TableWRTECalcPts[[#This Row],[POSRef]],TableWRMaster[WRRef],0)),"")</f>
        <v>Khalil Shakir</v>
      </c>
      <c r="AM120" s="20" t="str">
        <f>IFERROR(_xlfn.CONCAT(TableWRTECalcPts[[#This Row],[POS]],INDEX(TableWRRanks[RK],MATCH(TableWRTECalcPts[[#This Row],[PLAYER]],TableWRRanks[Player],0))),"")</f>
        <v>WR54</v>
      </c>
      <c r="AN120" s="20" t="str">
        <f>IFERROR(INDEX(TableWRMaster[TM],MATCH(TableWRTECalcPts[[#This Row],[POSRef]],TableWRMaster[WRRef],0)),"")</f>
        <v>BUF</v>
      </c>
      <c r="AO120" s="20">
        <f>IFERROR(INDEX(TableWRMaster[BYE],MATCH(TableWRTECalcPts[[#This Row],[POSRef]],TableWRMaster[WRRef],0)),"")</f>
        <v>7</v>
      </c>
      <c r="AP120" s="18">
        <f>IFERROR(INDEX(TableWRMaster[Custom],MATCH(TableWRTECalcPts[[#This Row],[POSRef]],TableWRMaster[WRRef],0)),"")</f>
        <v>125.25541451841632</v>
      </c>
    </row>
    <row r="121" spans="8:42" x14ac:dyDescent="0.25">
      <c r="H121" s="2" t="str">
        <f>IFERROR(RANK(TableRBCalcPts[[#This Row],[Custom]],TableRBCalcPts[Custom])+COUNTIF($M$3:M121,M121)-1,"")</f>
        <v/>
      </c>
      <c r="I121" s="2">
        <v>119</v>
      </c>
      <c r="J121" s="2" t="str">
        <f>IFERROR(INDEX(TableRBMaster[Player],MATCH(TableRBCalcPts[[#This Row],[RBRef]],TableRBMaster[RBRef],0)),"")</f>
        <v/>
      </c>
      <c r="K121" s="2" t="str">
        <f>IFERROR(INDEX(TableRBMaster[TM],MATCH(TableRBCalcPts[[#This Row],[RBRef]],TableRBMaster[RBRef],0)),"")</f>
        <v/>
      </c>
      <c r="L121" s="2" t="str">
        <f>IFERROR(INDEX(TableRBMaster[BYE],MATCH(TableRBCalcPts[[#This Row],[RBRef]],TableRBMaster[RBRef],0)),"")</f>
        <v/>
      </c>
      <c r="M121" s="3" t="str">
        <f>IFERROR(INDEX(TableRBMaster[Custom],MATCH(TableRBCalcPts[[#This Row],[RBRef]],TableRBMaster[RBRef],0)),"")</f>
        <v/>
      </c>
      <c r="O121" s="2">
        <f>IFERROR(RANK(TableWRCalcPts[[#This Row],[Custom]],TableWRCalcPts[Custom])+COUNTIF($T$3:T121,T121)-1,"")</f>
        <v>171</v>
      </c>
      <c r="P121" s="2">
        <v>119</v>
      </c>
      <c r="Q121" s="2" t="str">
        <f>IFERROR(INDEX(TableWRMaster[Player],MATCH(TableWRCalcPts[[#This Row],[WRRef]],TableWRMaster[WRRef],0)),"")</f>
        <v>Jeshaun Jones</v>
      </c>
      <c r="R121" s="2" t="str">
        <f>IFERROR(INDEX(TableWRMaster[TM],MATCH(TableWRCalcPts[[#This Row],[WRRef]],TableWRMaster[WRRef],0)),"")</f>
        <v>MIN</v>
      </c>
      <c r="S121" s="2">
        <f>IFERROR(INDEX(TableWRMaster[BYE],MATCH(TableWRCalcPts[[#This Row],[WRRef]],TableWRMaster[WRRef],0)),"")</f>
        <v>6</v>
      </c>
      <c r="T121" s="3">
        <f>IFERROR(INDEX(TableWRMaster[Custom],MATCH(TableWRCalcPts[[#This Row],[WRRef]],TableWRMaster[WRRef],0)),"")</f>
        <v>5.9596989836810934</v>
      </c>
      <c r="AI121" s="2" t="s">
        <v>148</v>
      </c>
      <c r="AJ121" s="2">
        <f>IFERROR(RANK(TableWRTECalcPts[[#This Row],[Custom]],TableWRTECalcPts[Custom])+COUNTIF($AP$3:AP121,AP121)-1,"")</f>
        <v>141</v>
      </c>
      <c r="AK121" s="20">
        <v>19</v>
      </c>
      <c r="AL121" s="20" t="str">
        <f>IFERROR(INDEX(TableWRMaster[Player],MATCH(TableWRTECalcPts[[#This Row],[POSRef]],TableWRMaster[WRRef],0)),"")</f>
        <v>Keon Coleman</v>
      </c>
      <c r="AM121" s="20" t="str">
        <f>IFERROR(_xlfn.CONCAT(TableWRTECalcPts[[#This Row],[POS]],INDEX(TableWRRanks[RK],MATCH(TableWRTECalcPts[[#This Row],[PLAYER]],TableWRRanks[Player],0))),"")</f>
        <v>WR103</v>
      </c>
      <c r="AN121" s="20" t="str">
        <f>IFERROR(INDEX(TableWRMaster[TM],MATCH(TableWRTECalcPts[[#This Row],[POSRef]],TableWRMaster[WRRef],0)),"")</f>
        <v>BUF</v>
      </c>
      <c r="AO121" s="20">
        <f>IFERROR(INDEX(TableWRMaster[BYE],MATCH(TableWRTECalcPts[[#This Row],[POSRef]],TableWRMaster[WRRef],0)),"")</f>
        <v>7</v>
      </c>
      <c r="AP121" s="18">
        <f>IFERROR(INDEX(TableWRMaster[Custom],MATCH(TableWRTECalcPts[[#This Row],[POSRef]],TableWRMaster[WRRef],0)),"")</f>
        <v>49.820494964486386</v>
      </c>
    </row>
    <row r="122" spans="8:42" x14ac:dyDescent="0.25">
      <c r="H122" s="2" t="str">
        <f>IFERROR(RANK(TableRBCalcPts[[#This Row],[Custom]],TableRBCalcPts[Custom])+COUNTIF($M$3:M122,M122)-1,"")</f>
        <v/>
      </c>
      <c r="I122" s="2">
        <v>120</v>
      </c>
      <c r="J122" s="2" t="str">
        <f>IFERROR(INDEX(TableRBMaster[Player],MATCH(TableRBCalcPts[[#This Row],[RBRef]],TableRBMaster[RBRef],0)),"")</f>
        <v/>
      </c>
      <c r="K122" s="2" t="str">
        <f>IFERROR(INDEX(TableRBMaster[TM],MATCH(TableRBCalcPts[[#This Row],[RBRef]],TableRBMaster[RBRef],0)),"")</f>
        <v/>
      </c>
      <c r="L122" s="2" t="str">
        <f>IFERROR(INDEX(TableRBMaster[BYE],MATCH(TableRBCalcPts[[#This Row],[RBRef]],TableRBMaster[RBRef],0)),"")</f>
        <v/>
      </c>
      <c r="M122" s="3" t="str">
        <f>IFERROR(INDEX(TableRBMaster[Custom],MATCH(TableRBCalcPts[[#This Row],[RBRef]],TableRBMaster[RBRef],0)),"")</f>
        <v/>
      </c>
      <c r="O122" s="2">
        <f>IFERROR(RANK(TableWRCalcPts[[#This Row],[Custom]],TableWRCalcPts[Custom])+COUNTIF($T$3:T122,T122)-1,"")</f>
        <v>9</v>
      </c>
      <c r="P122" s="2">
        <v>120</v>
      </c>
      <c r="Q122" s="2" t="str">
        <f>IFERROR(INDEX(TableWRMaster[Player],MATCH(TableWRCalcPts[[#This Row],[WRRef]],TableWRMaster[WRRef],0)),"")</f>
        <v>A.J. Brown</v>
      </c>
      <c r="R122" s="2" t="str">
        <f>IFERROR(INDEX(TableWRMaster[TM],MATCH(TableWRCalcPts[[#This Row],[WRRef]],TableWRMaster[WRRef],0)),"")</f>
        <v>NE</v>
      </c>
      <c r="S122" s="2">
        <f>IFERROR(INDEX(TableWRMaster[BYE],MATCH(TableWRCalcPts[[#This Row],[WRRef]],TableWRMaster[WRRef],0)),"")</f>
        <v>11</v>
      </c>
      <c r="T122" s="3">
        <f>IFERROR(INDEX(TableWRMaster[Custom],MATCH(TableWRCalcPts[[#This Row],[WRRef]],TableWRMaster[WRRef],0)),"")</f>
        <v>221.00500461508548</v>
      </c>
      <c r="AI122" s="2" t="s">
        <v>148</v>
      </c>
      <c r="AJ122" s="2">
        <f>IFERROR(RANK(TableWRTECalcPts[[#This Row],[Custom]],TableWRTECalcPts[Custom])+COUNTIF($AP$3:AP122,AP122)-1,"")</f>
        <v>161</v>
      </c>
      <c r="AK122" s="20">
        <v>20</v>
      </c>
      <c r="AL122" s="20" t="str">
        <f>IFERROR(INDEX(TableWRMaster[Player],MATCH(TableWRTECalcPts[[#This Row],[POSRef]],TableWRMaster[WRRef],0)),"")</f>
        <v>Joshua Palmer</v>
      </c>
      <c r="AM122" s="20" t="str">
        <f>IFERROR(_xlfn.CONCAT(TableWRTECalcPts[[#This Row],[POS]],INDEX(TableWRRanks[RK],MATCH(TableWRTECalcPts[[#This Row],[PLAYER]],TableWRRanks[Player],0))),"")</f>
        <v>WR117</v>
      </c>
      <c r="AN122" s="20" t="str">
        <f>IFERROR(INDEX(TableWRMaster[TM],MATCH(TableWRTECalcPts[[#This Row],[POSRef]],TableWRMaster[WRRef],0)),"")</f>
        <v>BUF</v>
      </c>
      <c r="AO122" s="20">
        <f>IFERROR(INDEX(TableWRMaster[BYE],MATCH(TableWRTECalcPts[[#This Row],[POSRef]],TableWRMaster[WRRef],0)),"")</f>
        <v>7</v>
      </c>
      <c r="AP122" s="18">
        <f>IFERROR(INDEX(TableWRMaster[Custom],MATCH(TableWRTECalcPts[[#This Row],[POSRef]],TableWRMaster[WRRef],0)),"")</f>
        <v>37.047699019147593</v>
      </c>
    </row>
    <row r="123" spans="8:42" x14ac:dyDescent="0.25">
      <c r="H123" s="2" t="str">
        <f>IFERROR(RANK(TableRBCalcPts[[#This Row],[Custom]],TableRBCalcPts[Custom])+COUNTIF($M$3:M123,M123)-1,"")</f>
        <v/>
      </c>
      <c r="I123" s="2">
        <v>121</v>
      </c>
      <c r="J123" s="2" t="str">
        <f>IFERROR(INDEX(TableRBMaster[Player],MATCH(TableRBCalcPts[[#This Row],[RBRef]],TableRBMaster[RBRef],0)),"")</f>
        <v/>
      </c>
      <c r="K123" s="2" t="str">
        <f>IFERROR(INDEX(TableRBMaster[TM],MATCH(TableRBCalcPts[[#This Row],[RBRef]],TableRBMaster[RBRef],0)),"")</f>
        <v/>
      </c>
      <c r="L123" s="2" t="str">
        <f>IFERROR(INDEX(TableRBMaster[BYE],MATCH(TableRBCalcPts[[#This Row],[RBRef]],TableRBMaster[RBRef],0)),"")</f>
        <v/>
      </c>
      <c r="M123" s="3" t="str">
        <f>IFERROR(INDEX(TableRBMaster[Custom],MATCH(TableRBCalcPts[[#This Row],[RBRef]],TableRBMaster[RBRef],0)),"")</f>
        <v/>
      </c>
      <c r="O123" s="2">
        <f>IFERROR(RANK(TableWRCalcPts[[#This Row],[Custom]],TableWRCalcPts[Custom])+COUNTIF($T$3:T123,T123)-1,"")</f>
        <v>52</v>
      </c>
      <c r="P123" s="2">
        <v>121</v>
      </c>
      <c r="Q123" s="2" t="str">
        <f>IFERROR(INDEX(TableWRMaster[Player],MATCH(TableWRCalcPts[[#This Row],[WRRef]],TableWRMaster[WRRef],0)),"")</f>
        <v>Romeo Doubs</v>
      </c>
      <c r="R123" s="2" t="str">
        <f>IFERROR(INDEX(TableWRMaster[TM],MATCH(TableWRCalcPts[[#This Row],[WRRef]],TableWRMaster[WRRef],0)),"")</f>
        <v>NE</v>
      </c>
      <c r="S123" s="2">
        <f>IFERROR(INDEX(TableWRMaster[BYE],MATCH(TableWRCalcPts[[#This Row],[WRRef]],TableWRMaster[WRRef],0)),"")</f>
        <v>11</v>
      </c>
      <c r="T123" s="3">
        <f>IFERROR(INDEX(TableWRMaster[Custom],MATCH(TableWRCalcPts[[#This Row],[WRRef]],TableWRMaster[WRRef],0)),"")</f>
        <v>131.55279041196593</v>
      </c>
      <c r="AI123" s="2" t="s">
        <v>148</v>
      </c>
      <c r="AJ123" s="2">
        <f>IFERROR(RANK(TableWRTECalcPts[[#This Row],[Custom]],TableWRTECalcPts[Custom])+COUNTIF($AP$3:AP123,AP123)-1,"")</f>
        <v>174</v>
      </c>
      <c r="AK123" s="20">
        <v>21</v>
      </c>
      <c r="AL123" s="20" t="str">
        <f>IFERROR(INDEX(TableWRMaster[Player],MATCH(TableWRTECalcPts[[#This Row],[POSRef]],TableWRMaster[WRRef],0)),"")</f>
        <v>Skyler Bell</v>
      </c>
      <c r="AM123" s="20" t="str">
        <f>IFERROR(_xlfn.CONCAT(TableWRTECalcPts[[#This Row],[POS]],INDEX(TableWRRanks[RK],MATCH(TableWRTECalcPts[[#This Row],[PLAYER]],TableWRRanks[Player],0))),"")</f>
        <v>WR122</v>
      </c>
      <c r="AN123" s="20" t="str">
        <f>IFERROR(INDEX(TableWRMaster[TM],MATCH(TableWRTECalcPts[[#This Row],[POSRef]],TableWRMaster[WRRef],0)),"")</f>
        <v>BUF</v>
      </c>
      <c r="AO123" s="20">
        <f>IFERROR(INDEX(TableWRMaster[BYE],MATCH(TableWRTECalcPts[[#This Row],[POSRef]],TableWRMaster[WRRef],0)),"")</f>
        <v>7</v>
      </c>
      <c r="AP123" s="18">
        <f>IFERROR(INDEX(TableWRMaster[Custom],MATCH(TableWRTECalcPts[[#This Row],[POSRef]],TableWRMaster[WRRef],0)),"")</f>
        <v>28.439761475201344</v>
      </c>
    </row>
    <row r="124" spans="8:42" x14ac:dyDescent="0.25">
      <c r="H124" s="2" t="str">
        <f>IFERROR(RANK(TableRBCalcPts[[#This Row],[Custom]],TableRBCalcPts[Custom])+COUNTIF($M$3:M124,M124)-1,"")</f>
        <v/>
      </c>
      <c r="I124" s="2">
        <v>122</v>
      </c>
      <c r="J124" s="2" t="str">
        <f>IFERROR(INDEX(TableRBMaster[Player],MATCH(TableRBCalcPts[[#This Row],[RBRef]],TableRBMaster[RBRef],0)),"")</f>
        <v/>
      </c>
      <c r="K124" s="2" t="str">
        <f>IFERROR(INDEX(TableRBMaster[TM],MATCH(TableRBCalcPts[[#This Row],[RBRef]],TableRBMaster[RBRef],0)),"")</f>
        <v/>
      </c>
      <c r="L124" s="2" t="str">
        <f>IFERROR(INDEX(TableRBMaster[BYE],MATCH(TableRBCalcPts[[#This Row],[RBRef]],TableRBMaster[RBRef],0)),"")</f>
        <v/>
      </c>
      <c r="M124" s="3" t="str">
        <f>IFERROR(INDEX(TableRBMaster[Custom],MATCH(TableRBCalcPts[[#This Row],[RBRef]],TableRBMaster[RBRef],0)),"")</f>
        <v/>
      </c>
      <c r="O124" s="2">
        <f>IFERROR(RANK(TableWRCalcPts[[#This Row],[Custom]],TableWRCalcPts[Custom])+COUNTIF($T$3:T124,T124)-1,"")</f>
        <v>92</v>
      </c>
      <c r="P124" s="2">
        <v>122</v>
      </c>
      <c r="Q124" s="2" t="str">
        <f>IFERROR(INDEX(TableWRMaster[Player],MATCH(TableWRCalcPts[[#This Row],[WRRef]],TableWRMaster[WRRef],0)),"")</f>
        <v>Kayshon Boutte</v>
      </c>
      <c r="R124" s="2" t="str">
        <f>IFERROR(INDEX(TableWRMaster[TM],MATCH(TableWRCalcPts[[#This Row],[WRRef]],TableWRMaster[WRRef],0)),"")</f>
        <v>NE</v>
      </c>
      <c r="S124" s="2">
        <f>IFERROR(INDEX(TableWRMaster[BYE],MATCH(TableWRCalcPts[[#This Row],[WRRef]],TableWRMaster[WRRef],0)),"")</f>
        <v>11</v>
      </c>
      <c r="T124" s="3">
        <f>IFERROR(INDEX(TableWRMaster[Custom],MATCH(TableWRCalcPts[[#This Row],[WRRef]],TableWRMaster[WRRef],0)),"")</f>
        <v>56.509578151941582</v>
      </c>
      <c r="AI124" s="2" t="s">
        <v>148</v>
      </c>
      <c r="AJ124" s="2">
        <f>IFERROR(RANK(TableWRTECalcPts[[#This Row],[Custom]],TableWRTECalcPts[Custom])+COUNTIF($AP$3:AP124,AP124)-1,"")</f>
        <v>221</v>
      </c>
      <c r="AK124" s="20">
        <v>22</v>
      </c>
      <c r="AL124" s="20" t="str">
        <f>IFERROR(INDEX(TableWRMaster[Player],MATCH(TableWRTECalcPts[[#This Row],[POSRef]],TableWRMaster[WRRef],0)),"")</f>
        <v>Mecole Hardman</v>
      </c>
      <c r="AM124" s="20" t="str">
        <f>IFERROR(_xlfn.CONCAT(TableWRTECalcPts[[#This Row],[POS]],INDEX(TableWRRanks[RK],MATCH(TableWRTECalcPts[[#This Row],[PLAYER]],TableWRRanks[Player],0))),"")</f>
        <v>WR148</v>
      </c>
      <c r="AN124" s="20" t="str">
        <f>IFERROR(INDEX(TableWRMaster[TM],MATCH(TableWRTECalcPts[[#This Row],[POSRef]],TableWRMaster[WRRef],0)),"")</f>
        <v>BUF</v>
      </c>
      <c r="AO124" s="20">
        <f>IFERROR(INDEX(TableWRMaster[BYE],MATCH(TableWRTECalcPts[[#This Row],[POSRef]],TableWRMaster[WRRef],0)),"")</f>
        <v>7</v>
      </c>
      <c r="AP124" s="18">
        <f>IFERROR(INDEX(TableWRMaster[Custom],MATCH(TableWRTECalcPts[[#This Row],[POSRef]],TableWRMaster[WRRef],0)),"")</f>
        <v>9.1560975886379978</v>
      </c>
    </row>
    <row r="125" spans="8:42" x14ac:dyDescent="0.25">
      <c r="H125" s="2" t="str">
        <f>IFERROR(RANK(TableRBCalcPts[[#This Row],[Custom]],TableRBCalcPts[Custom])+COUNTIF($M$3:M125,M125)-1,"")</f>
        <v/>
      </c>
      <c r="I125" s="2">
        <v>123</v>
      </c>
      <c r="J125" s="2" t="str">
        <f>IFERROR(INDEX(TableRBMaster[Player],MATCH(TableRBCalcPts[[#This Row],[RBRef]],TableRBMaster[RBRef],0)),"")</f>
        <v/>
      </c>
      <c r="K125" s="2" t="str">
        <f>IFERROR(INDEX(TableRBMaster[TM],MATCH(TableRBCalcPts[[#This Row],[RBRef]],TableRBMaster[RBRef],0)),"")</f>
        <v/>
      </c>
      <c r="L125" s="2" t="str">
        <f>IFERROR(INDEX(TableRBMaster[BYE],MATCH(TableRBCalcPts[[#This Row],[RBRef]],TableRBMaster[RBRef],0)),"")</f>
        <v/>
      </c>
      <c r="M125" s="3" t="str">
        <f>IFERROR(INDEX(TableRBMaster[Custom],MATCH(TableRBCalcPts[[#This Row],[RBRef]],TableRBMaster[RBRef],0)),"")</f>
        <v/>
      </c>
      <c r="O125" s="2">
        <f>IFERROR(RANK(TableWRCalcPts[[#This Row],[Custom]],TableWRCalcPts[Custom])+COUNTIF($T$3:T125,T125)-1,"")</f>
        <v>108</v>
      </c>
      <c r="P125" s="2">
        <v>123</v>
      </c>
      <c r="Q125" s="2" t="str">
        <f>IFERROR(INDEX(TableWRMaster[Player],MATCH(TableWRCalcPts[[#This Row],[WRRef]],TableWRMaster[WRRef],0)),"")</f>
        <v>Mack Hollins</v>
      </c>
      <c r="R125" s="2" t="str">
        <f>IFERROR(INDEX(TableWRMaster[TM],MATCH(TableWRCalcPts[[#This Row],[WRRef]],TableWRMaster[WRRef],0)),"")</f>
        <v>NE</v>
      </c>
      <c r="S125" s="2">
        <f>IFERROR(INDEX(TableWRMaster[BYE],MATCH(TableWRCalcPts[[#This Row],[WRRef]],TableWRMaster[WRRef],0)),"")</f>
        <v>11</v>
      </c>
      <c r="T125" s="3">
        <f>IFERROR(INDEX(TableWRMaster[Custom],MATCH(TableWRCalcPts[[#This Row],[WRRef]],TableWRMaster[WRRef],0)),"")</f>
        <v>42.408964281509647</v>
      </c>
      <c r="AI125" s="2" t="s">
        <v>148</v>
      </c>
      <c r="AJ125" s="2">
        <f>IFERROR(RANK(TableWRTECalcPts[[#This Row],[Custom]],TableWRTECalcPts[Custom])+COUNTIF($AP$3:AP125,AP125)-1,"")</f>
        <v>12</v>
      </c>
      <c r="AK125" s="20">
        <v>23</v>
      </c>
      <c r="AL125" s="20" t="str">
        <f>IFERROR(INDEX(TableWRMaster[Player],MATCH(TableWRTECalcPts[[#This Row],[POSRef]],TableWRMaster[WRRef],0)),"")</f>
        <v>Tetairoa McMillan</v>
      </c>
      <c r="AM125" s="20" t="str">
        <f>IFERROR(_xlfn.CONCAT(TableWRTECalcPts[[#This Row],[POS]],INDEX(TableWRRanks[RK],MATCH(TableWRTECalcPts[[#This Row],[PLAYER]],TableWRRanks[Player],0))),"")</f>
        <v>WR12</v>
      </c>
      <c r="AN125" s="20" t="str">
        <f>IFERROR(INDEX(TableWRMaster[TM],MATCH(TableWRTECalcPts[[#This Row],[POSRef]],TableWRMaster[WRRef],0)),"")</f>
        <v>CAR</v>
      </c>
      <c r="AO125" s="20">
        <f>IFERROR(INDEX(TableWRMaster[BYE],MATCH(TableWRTECalcPts[[#This Row],[POSRef]],TableWRMaster[WRRef],0)),"")</f>
        <v>5</v>
      </c>
      <c r="AP125" s="18">
        <f>IFERROR(INDEX(TableWRMaster[Custom],MATCH(TableWRTECalcPts[[#This Row],[POSRef]],TableWRMaster[WRRef],0)),"")</f>
        <v>207.85591546371469</v>
      </c>
    </row>
    <row r="126" spans="8:42" x14ac:dyDescent="0.25">
      <c r="H126" s="2" t="str">
        <f>IFERROR(RANK(TableRBCalcPts[[#This Row],[Custom]],TableRBCalcPts[Custom])+COUNTIF($M$3:M126,M126)-1,"")</f>
        <v/>
      </c>
      <c r="I126" s="2">
        <v>124</v>
      </c>
      <c r="J126" s="2" t="str">
        <f>IFERROR(INDEX(TableRBMaster[Player],MATCH(TableRBCalcPts[[#This Row],[RBRef]],TableRBMaster[RBRef],0)),"")</f>
        <v/>
      </c>
      <c r="K126" s="2" t="str">
        <f>IFERROR(INDEX(TableRBMaster[TM],MATCH(TableRBCalcPts[[#This Row],[RBRef]],TableRBMaster[RBRef],0)),"")</f>
        <v/>
      </c>
      <c r="L126" s="2" t="str">
        <f>IFERROR(INDEX(TableRBMaster[BYE],MATCH(TableRBCalcPts[[#This Row],[RBRef]],TableRBMaster[RBRef],0)),"")</f>
        <v/>
      </c>
      <c r="M126" s="3" t="str">
        <f>IFERROR(INDEX(TableRBMaster[Custom],MATCH(TableRBCalcPts[[#This Row],[RBRef]],TableRBMaster[RBRef],0)),"")</f>
        <v/>
      </c>
      <c r="O126" s="2">
        <f>IFERROR(RANK(TableWRCalcPts[[#This Row],[Custom]],TableWRCalcPts[Custom])+COUNTIF($T$3:T126,T126)-1,"")</f>
        <v>115</v>
      </c>
      <c r="P126" s="2">
        <v>124</v>
      </c>
      <c r="Q126" s="2" t="str">
        <f>IFERROR(INDEX(TableWRMaster[Player],MATCH(TableWRCalcPts[[#This Row],[WRRef]],TableWRMaster[WRRef],0)),"")</f>
        <v>DeMario Douglas</v>
      </c>
      <c r="R126" s="2" t="str">
        <f>IFERROR(INDEX(TableWRMaster[TM],MATCH(TableWRCalcPts[[#This Row],[WRRef]],TableWRMaster[WRRef],0)),"")</f>
        <v>NE</v>
      </c>
      <c r="S126" s="2">
        <f>IFERROR(INDEX(TableWRMaster[BYE],MATCH(TableWRCalcPts[[#This Row],[WRRef]],TableWRMaster[WRRef],0)),"")</f>
        <v>11</v>
      </c>
      <c r="T126" s="3">
        <f>IFERROR(INDEX(TableWRMaster[Custom],MATCH(TableWRCalcPts[[#This Row],[WRRef]],TableWRMaster[WRRef],0)),"")</f>
        <v>39.490949945018883</v>
      </c>
      <c r="AI126" s="2" t="s">
        <v>148</v>
      </c>
      <c r="AJ126" s="2">
        <f>IFERROR(RANK(TableWRTECalcPts[[#This Row],[Custom]],TableWRTECalcPts[Custom])+COUNTIF($AP$3:AP126,AP126)-1,"")</f>
        <v>63</v>
      </c>
      <c r="AK126" s="20">
        <v>24</v>
      </c>
      <c r="AL126" s="20" t="str">
        <f>IFERROR(INDEX(TableWRMaster[Player],MATCH(TableWRTECalcPts[[#This Row],[POSRef]],TableWRMaster[WRRef],0)),"")</f>
        <v>Jalen Coker</v>
      </c>
      <c r="AM126" s="20" t="str">
        <f>IFERROR(_xlfn.CONCAT(TableWRTECalcPts[[#This Row],[POS]],INDEX(TableWRRanks[RK],MATCH(TableWRTECalcPts[[#This Row],[PLAYER]],TableWRRanks[Player],0))),"")</f>
        <v>WR51</v>
      </c>
      <c r="AN126" s="20" t="str">
        <f>IFERROR(INDEX(TableWRMaster[TM],MATCH(TableWRTECalcPts[[#This Row],[POSRef]],TableWRMaster[WRRef],0)),"")</f>
        <v>CAR</v>
      </c>
      <c r="AO126" s="20">
        <f>IFERROR(INDEX(TableWRMaster[BYE],MATCH(TableWRTECalcPts[[#This Row],[POSRef]],TableWRMaster[WRRef],0)),"")</f>
        <v>5</v>
      </c>
      <c r="AP126" s="18">
        <f>IFERROR(INDEX(TableWRMaster[Custom],MATCH(TableWRTECalcPts[[#This Row],[POSRef]],TableWRMaster[WRRef],0)),"")</f>
        <v>136.0645177815</v>
      </c>
    </row>
    <row r="127" spans="8:42" x14ac:dyDescent="0.25">
      <c r="H127" s="2" t="str">
        <f>IFERROR(RANK(TableRBCalcPts[[#This Row],[Custom]],TableRBCalcPts[Custom])+COUNTIF($M$3:M127,M127)-1,"")</f>
        <v/>
      </c>
      <c r="I127" s="2">
        <v>125</v>
      </c>
      <c r="J127" s="2" t="str">
        <f>IFERROR(INDEX(TableRBMaster[Player],MATCH(TableRBCalcPts[[#This Row],[RBRef]],TableRBMaster[RBRef],0)),"")</f>
        <v/>
      </c>
      <c r="K127" s="2" t="str">
        <f>IFERROR(INDEX(TableRBMaster[TM],MATCH(TableRBCalcPts[[#This Row],[RBRef]],TableRBMaster[RBRef],0)),"")</f>
        <v/>
      </c>
      <c r="L127" s="2" t="str">
        <f>IFERROR(INDEX(TableRBMaster[BYE],MATCH(TableRBCalcPts[[#This Row],[RBRef]],TableRBMaster[RBRef],0)),"")</f>
        <v/>
      </c>
      <c r="M127" s="3" t="str">
        <f>IFERROR(INDEX(TableRBMaster[Custom],MATCH(TableRBCalcPts[[#This Row],[RBRef]],TableRBMaster[RBRef],0)),"")</f>
        <v/>
      </c>
      <c r="O127" s="2">
        <f>IFERROR(RANK(TableWRCalcPts[[#This Row],[Custom]],TableWRCalcPts[Custom])+COUNTIF($T$3:T127,T127)-1,"")</f>
        <v>162</v>
      </c>
      <c r="P127" s="2">
        <v>125</v>
      </c>
      <c r="Q127" s="2" t="str">
        <f>IFERROR(INDEX(TableWRMaster[Player],MATCH(TableWRCalcPts[[#This Row],[WRRef]],TableWRMaster[WRRef],0)),"")</f>
        <v>Kyle Williams</v>
      </c>
      <c r="R127" s="2" t="str">
        <f>IFERROR(INDEX(TableWRMaster[TM],MATCH(TableWRCalcPts[[#This Row],[WRRef]],TableWRMaster[WRRef],0)),"")</f>
        <v>NE</v>
      </c>
      <c r="S127" s="2">
        <f>IFERROR(INDEX(TableWRMaster[BYE],MATCH(TableWRCalcPts[[#This Row],[WRRef]],TableWRMaster[WRRef],0)),"")</f>
        <v>11</v>
      </c>
      <c r="T127" s="3">
        <f>IFERROR(INDEX(TableWRMaster[Custom],MATCH(TableWRCalcPts[[#This Row],[WRRef]],TableWRMaster[WRRef],0)),"")</f>
        <v>7.1026774721279979</v>
      </c>
      <c r="AI127" s="2" t="s">
        <v>148</v>
      </c>
      <c r="AJ127" s="2">
        <f>IFERROR(RANK(TableWRTECalcPts[[#This Row],[Custom]],TableWRTECalcPts[Custom])+COUNTIF($AP$3:AP127,AP127)-1,"")</f>
        <v>126</v>
      </c>
      <c r="AK127" s="20">
        <v>25</v>
      </c>
      <c r="AL127" s="20" t="str">
        <f>IFERROR(INDEX(TableWRMaster[Player],MATCH(TableWRTECalcPts[[#This Row],[POSRef]],TableWRMaster[WRRef],0)),"")</f>
        <v>Xavier Legette</v>
      </c>
      <c r="AM127" s="20" t="str">
        <f>IFERROR(_xlfn.CONCAT(TableWRTECalcPts[[#This Row],[POS]],INDEX(TableWRRanks[RK],MATCH(TableWRTECalcPts[[#This Row],[PLAYER]],TableWRRanks[Player],0))),"")</f>
        <v>WR90</v>
      </c>
      <c r="AN127" s="20" t="str">
        <f>IFERROR(INDEX(TableWRMaster[TM],MATCH(TableWRTECalcPts[[#This Row],[POSRef]],TableWRMaster[WRRef],0)),"")</f>
        <v>CAR</v>
      </c>
      <c r="AO127" s="20">
        <f>IFERROR(INDEX(TableWRMaster[BYE],MATCH(TableWRTECalcPts[[#This Row],[POSRef]],TableWRMaster[WRRef],0)),"")</f>
        <v>5</v>
      </c>
      <c r="AP127" s="18">
        <f>IFERROR(INDEX(TableWRMaster[Custom],MATCH(TableWRTECalcPts[[#This Row],[POSRef]],TableWRMaster[WRRef],0)),"")</f>
        <v>58.952262247216787</v>
      </c>
    </row>
    <row r="128" spans="8:42" x14ac:dyDescent="0.25">
      <c r="H128" s="2" t="str">
        <f>IFERROR(RANK(TableRBCalcPts[[#This Row],[Custom]],TableRBCalcPts[Custom])+COUNTIF($M$3:M128,M128)-1,"")</f>
        <v/>
      </c>
      <c r="I128" s="2">
        <v>126</v>
      </c>
      <c r="J128" s="2" t="str">
        <f>IFERROR(INDEX(TableRBMaster[Player],MATCH(TableRBCalcPts[[#This Row],[RBRef]],TableRBMaster[RBRef],0)),"")</f>
        <v/>
      </c>
      <c r="K128" s="2" t="str">
        <f>IFERROR(INDEX(TableRBMaster[TM],MATCH(TableRBCalcPts[[#This Row],[RBRef]],TableRBMaster[RBRef],0)),"")</f>
        <v/>
      </c>
      <c r="L128" s="2" t="str">
        <f>IFERROR(INDEX(TableRBMaster[BYE],MATCH(TableRBCalcPts[[#This Row],[RBRef]],TableRBMaster[RBRef],0)),"")</f>
        <v/>
      </c>
      <c r="M128" s="3" t="str">
        <f>IFERROR(INDEX(TableRBMaster[Custom],MATCH(TableRBCalcPts[[#This Row],[RBRef]],TableRBMaster[RBRef],0)),"")</f>
        <v/>
      </c>
      <c r="O128" s="2">
        <f>IFERROR(RANK(TableWRCalcPts[[#This Row],[Custom]],TableWRCalcPts[Custom])+COUNTIF($T$3:T128,T128)-1,"")</f>
        <v>19</v>
      </c>
      <c r="P128" s="2">
        <v>126</v>
      </c>
      <c r="Q128" s="2" t="str">
        <f>IFERROR(INDEX(TableWRMaster[Player],MATCH(TableWRCalcPts[[#This Row],[WRRef]],TableWRMaster[WRRef],0)),"")</f>
        <v>Chris Olave</v>
      </c>
      <c r="R128" s="2" t="str">
        <f>IFERROR(INDEX(TableWRMaster[TM],MATCH(TableWRCalcPts[[#This Row],[WRRef]],TableWRMaster[WRRef],0)),"")</f>
        <v>NO</v>
      </c>
      <c r="S128" s="2">
        <f>IFERROR(INDEX(TableWRMaster[BYE],MATCH(TableWRCalcPts[[#This Row],[WRRef]],TableWRMaster[WRRef],0)),"")</f>
        <v>8</v>
      </c>
      <c r="T128" s="3">
        <f>IFERROR(INDEX(TableWRMaster[Custom],MATCH(TableWRCalcPts[[#This Row],[WRRef]],TableWRMaster[WRRef],0)),"")</f>
        <v>193.42620577280005</v>
      </c>
      <c r="AI128" s="2" t="s">
        <v>148</v>
      </c>
      <c r="AJ128" s="2">
        <f>IFERROR(RANK(TableWRTECalcPts[[#This Row],[Custom]],TableWRTECalcPts[Custom])+COUNTIF($AP$3:AP128,AP128)-1,"")</f>
        <v>148</v>
      </c>
      <c r="AK128" s="20">
        <v>26</v>
      </c>
      <c r="AL128" s="20" t="str">
        <f>IFERROR(INDEX(TableWRMaster[Player],MATCH(TableWRTECalcPts[[#This Row],[POSRef]],TableWRMaster[WRRef],0)),"")</f>
        <v>John Metchie</v>
      </c>
      <c r="AM128" s="20" t="str">
        <f>IFERROR(_xlfn.CONCAT(TableWRTECalcPts[[#This Row],[POS]],INDEX(TableWRRanks[RK],MATCH(TableWRTECalcPts[[#This Row],[PLAYER]],TableWRRanks[Player],0))),"")</f>
        <v>WR107</v>
      </c>
      <c r="AN128" s="20" t="str">
        <f>IFERROR(INDEX(TableWRMaster[TM],MATCH(TableWRTECalcPts[[#This Row],[POSRef]],TableWRMaster[WRRef],0)),"")</f>
        <v>CAR</v>
      </c>
      <c r="AO128" s="20">
        <f>IFERROR(INDEX(TableWRMaster[BYE],MATCH(TableWRTECalcPts[[#This Row],[POSRef]],TableWRMaster[WRRef],0)),"")</f>
        <v>5</v>
      </c>
      <c r="AP128" s="18">
        <f>IFERROR(INDEX(TableWRMaster[Custom],MATCH(TableWRTECalcPts[[#This Row],[POSRef]],TableWRMaster[WRRef],0)),"")</f>
        <v>44.115849021183735</v>
      </c>
    </row>
    <row r="129" spans="8:42" x14ac:dyDescent="0.25">
      <c r="H129" s="2" t="str">
        <f>IFERROR(RANK(TableRBCalcPts[[#This Row],[Custom]],TableRBCalcPts[Custom])+COUNTIF($M$3:M129,M129)-1,"")</f>
        <v/>
      </c>
      <c r="I129" s="2">
        <v>127</v>
      </c>
      <c r="J129" s="2" t="str">
        <f>IFERROR(INDEX(TableRBMaster[Player],MATCH(TableRBCalcPts[[#This Row],[RBRef]],TableRBMaster[RBRef],0)),"")</f>
        <v/>
      </c>
      <c r="K129" s="2" t="str">
        <f>IFERROR(INDEX(TableRBMaster[TM],MATCH(TableRBCalcPts[[#This Row],[RBRef]],TableRBMaster[RBRef],0)),"")</f>
        <v/>
      </c>
      <c r="L129" s="2" t="str">
        <f>IFERROR(INDEX(TableRBMaster[BYE],MATCH(TableRBCalcPts[[#This Row],[RBRef]],TableRBMaster[RBRef],0)),"")</f>
        <v/>
      </c>
      <c r="M129" s="3" t="str">
        <f>IFERROR(INDEX(TableRBMaster[Custom],MATCH(TableRBCalcPts[[#This Row],[RBRef]],TableRBMaster[RBRef],0)),"")</f>
        <v/>
      </c>
      <c r="O129" s="2">
        <f>IFERROR(RANK(TableWRCalcPts[[#This Row],[Custom]],TableWRCalcPts[Custom])+COUNTIF($T$3:T129,T129)-1,"")</f>
        <v>36</v>
      </c>
      <c r="P129" s="2">
        <v>127</v>
      </c>
      <c r="Q129" s="2" t="str">
        <f>IFERROR(INDEX(TableWRMaster[Player],MATCH(TableWRCalcPts[[#This Row],[WRRef]],TableWRMaster[WRRef],0)),"")</f>
        <v>Jordyn Tyson</v>
      </c>
      <c r="R129" s="2" t="str">
        <f>IFERROR(INDEX(TableWRMaster[TM],MATCH(TableWRCalcPts[[#This Row],[WRRef]],TableWRMaster[WRRef],0)),"")</f>
        <v>NO</v>
      </c>
      <c r="S129" s="2">
        <f>IFERROR(INDEX(TableWRMaster[BYE],MATCH(TableWRCalcPts[[#This Row],[WRRef]],TableWRMaster[WRRef],0)),"")</f>
        <v>8</v>
      </c>
      <c r="T129" s="3">
        <f>IFERROR(INDEX(TableWRMaster[Custom],MATCH(TableWRCalcPts[[#This Row],[WRRef]],TableWRMaster[WRRef],0)),"")</f>
        <v>163.96882825838594</v>
      </c>
      <c r="AI129" s="2" t="s">
        <v>148</v>
      </c>
      <c r="AJ129" s="2">
        <f>IFERROR(RANK(TableWRTECalcPts[[#This Row],[Custom]],TableWRTECalcPts[Custom])+COUNTIF($AP$3:AP129,AP129)-1,"")</f>
        <v>223</v>
      </c>
      <c r="AK129" s="20">
        <v>27</v>
      </c>
      <c r="AL129" s="20" t="str">
        <f>IFERROR(INDEX(TableWRMaster[Player],MATCH(TableWRTECalcPts[[#This Row],[POSRef]],TableWRMaster[WRRef],0)),"")</f>
        <v>Jimmy Horn</v>
      </c>
      <c r="AM129" s="20" t="str">
        <f>IFERROR(_xlfn.CONCAT(TableWRTECalcPts[[#This Row],[POS]],INDEX(TableWRRanks[RK],MATCH(TableWRTECalcPts[[#This Row],[PLAYER]],TableWRRanks[Player],0))),"")</f>
        <v>WR149</v>
      </c>
      <c r="AN129" s="20" t="str">
        <f>IFERROR(INDEX(TableWRMaster[TM],MATCH(TableWRTECalcPts[[#This Row],[POSRef]],TableWRMaster[WRRef],0)),"")</f>
        <v>CAR</v>
      </c>
      <c r="AO129" s="20">
        <f>IFERROR(INDEX(TableWRMaster[BYE],MATCH(TableWRTECalcPts[[#This Row],[POSRef]],TableWRMaster[WRRef],0)),"")</f>
        <v>5</v>
      </c>
      <c r="AP129" s="18">
        <f>IFERROR(INDEX(TableWRMaster[Custom],MATCH(TableWRTECalcPts[[#This Row],[POSRef]],TableWRMaster[WRRef],0)),"")</f>
        <v>8.7033181439178939</v>
      </c>
    </row>
    <row r="130" spans="8:42" x14ac:dyDescent="0.25">
      <c r="H130" s="2" t="str">
        <f>IFERROR(RANK(TableRBCalcPts[[#This Row],[Custom]],TableRBCalcPts[Custom])+COUNTIF($M$3:M130,M130)-1,"")</f>
        <v/>
      </c>
      <c r="I130" s="2">
        <v>128</v>
      </c>
      <c r="J130" s="2" t="str">
        <f>IFERROR(INDEX(TableRBMaster[Player],MATCH(TableRBCalcPts[[#This Row],[RBRef]],TableRBMaster[RBRef],0)),"")</f>
        <v/>
      </c>
      <c r="K130" s="2" t="str">
        <f>IFERROR(INDEX(TableRBMaster[TM],MATCH(TableRBCalcPts[[#This Row],[RBRef]],TableRBMaster[RBRef],0)),"")</f>
        <v/>
      </c>
      <c r="L130" s="2" t="str">
        <f>IFERROR(INDEX(TableRBMaster[BYE],MATCH(TableRBCalcPts[[#This Row],[RBRef]],TableRBMaster[RBRef],0)),"")</f>
        <v/>
      </c>
      <c r="M130" s="3" t="str">
        <f>IFERROR(INDEX(TableRBMaster[Custom],MATCH(TableRBCalcPts[[#This Row],[RBRef]],TableRBMaster[RBRef],0)),"")</f>
        <v/>
      </c>
      <c r="O130" s="2">
        <f>IFERROR(RANK(TableWRCalcPts[[#This Row],[Custom]],TableWRCalcPts[Custom])+COUNTIF($T$3:T130,T130)-1,"")</f>
        <v>100</v>
      </c>
      <c r="P130" s="2">
        <v>128</v>
      </c>
      <c r="Q130" s="2" t="str">
        <f>IFERROR(INDEX(TableWRMaster[Player],MATCH(TableWRCalcPts[[#This Row],[WRRef]],TableWRMaster[WRRef],0)),"")</f>
        <v>Devaughn Vele</v>
      </c>
      <c r="R130" s="2" t="str">
        <f>IFERROR(INDEX(TableWRMaster[TM],MATCH(TableWRCalcPts[[#This Row],[WRRef]],TableWRMaster[WRRef],0)),"")</f>
        <v>NO</v>
      </c>
      <c r="S130" s="2">
        <f>IFERROR(INDEX(TableWRMaster[BYE],MATCH(TableWRCalcPts[[#This Row],[WRRef]],TableWRMaster[WRRef],0)),"")</f>
        <v>8</v>
      </c>
      <c r="T130" s="3">
        <f>IFERROR(INDEX(TableWRMaster[Custom],MATCH(TableWRCalcPts[[#This Row],[WRRef]],TableWRMaster[WRRef],0)),"")</f>
        <v>51.274309412403603</v>
      </c>
      <c r="AI130" s="2" t="s">
        <v>148</v>
      </c>
      <c r="AJ130" s="2">
        <f>IFERROR(RANK(TableWRTECalcPts[[#This Row],[Custom]],TableWRTECalcPts[Custom])+COUNTIF($AP$3:AP130,AP130)-1,"")</f>
        <v>22</v>
      </c>
      <c r="AK130" s="20">
        <v>28</v>
      </c>
      <c r="AL130" s="20" t="str">
        <f>IFERROR(INDEX(TableWRMaster[Player],MATCH(TableWRTECalcPts[[#This Row],[POSRef]],TableWRMaster[WRRef],0)),"")</f>
        <v>Luther Burden</v>
      </c>
      <c r="AM130" s="20" t="str">
        <f>IFERROR(_xlfn.CONCAT(TableWRTECalcPts[[#This Row],[POS]],INDEX(TableWRRanks[RK],MATCH(TableWRTECalcPts[[#This Row],[PLAYER]],TableWRRanks[Player],0))),"")</f>
        <v>WR21</v>
      </c>
      <c r="AN130" s="20" t="str">
        <f>IFERROR(INDEX(TableWRMaster[TM],MATCH(TableWRTECalcPts[[#This Row],[POSRef]],TableWRMaster[WRRef],0)),"")</f>
        <v>CHI</v>
      </c>
      <c r="AO130" s="20">
        <f>IFERROR(INDEX(TableWRMaster[BYE],MATCH(TableWRTECalcPts[[#This Row],[POSRef]],TableWRMaster[WRRef],0)),"")</f>
        <v>10</v>
      </c>
      <c r="AP130" s="18">
        <f>IFERROR(INDEX(TableWRMaster[Custom],MATCH(TableWRTECalcPts[[#This Row],[POSRef]],TableWRMaster[WRRef],0)),"")</f>
        <v>192.08515296732605</v>
      </c>
    </row>
    <row r="131" spans="8:42" x14ac:dyDescent="0.25">
      <c r="H131" s="2" t="str">
        <f>IFERROR(RANK(TableRBCalcPts[[#This Row],[Custom]],TableRBCalcPts[Custom])+COUNTIF($M$3:M131,M131)-1,"")</f>
        <v/>
      </c>
      <c r="I131" s="2">
        <v>129</v>
      </c>
      <c r="J131" s="2" t="str">
        <f>IFERROR(INDEX(TableRBMaster[Player],MATCH(TableRBCalcPts[[#This Row],[RBRef]],TableRBMaster[RBRef],0)),"")</f>
        <v/>
      </c>
      <c r="K131" s="2" t="str">
        <f>IFERROR(INDEX(TableRBMaster[TM],MATCH(TableRBCalcPts[[#This Row],[RBRef]],TableRBMaster[RBRef],0)),"")</f>
        <v/>
      </c>
      <c r="L131" s="2" t="str">
        <f>IFERROR(INDEX(TableRBMaster[BYE],MATCH(TableRBCalcPts[[#This Row],[RBRef]],TableRBMaster[RBRef],0)),"")</f>
        <v/>
      </c>
      <c r="M131" s="3" t="str">
        <f>IFERROR(INDEX(TableRBMaster[Custom],MATCH(TableRBCalcPts[[#This Row],[RBRef]],TableRBMaster[RBRef],0)),"")</f>
        <v/>
      </c>
      <c r="O131" s="2">
        <f>IFERROR(RANK(TableWRCalcPts[[#This Row],[Custom]],TableWRCalcPts[Custom])+COUNTIF($T$3:T131,T131)-1,"")</f>
        <v>129</v>
      </c>
      <c r="P131" s="2">
        <v>129</v>
      </c>
      <c r="Q131" s="2" t="str">
        <f>IFERROR(INDEX(TableWRMaster[Player],MATCH(TableWRCalcPts[[#This Row],[WRRef]],TableWRMaster[WRRef],0)),"")</f>
        <v>Bryce Lance</v>
      </c>
      <c r="R131" s="2" t="str">
        <f>IFERROR(INDEX(TableWRMaster[TM],MATCH(TableWRCalcPts[[#This Row],[WRRef]],TableWRMaster[WRRef],0)),"")</f>
        <v>NO</v>
      </c>
      <c r="S131" s="2">
        <f>IFERROR(INDEX(TableWRMaster[BYE],MATCH(TableWRCalcPts[[#This Row],[WRRef]],TableWRMaster[WRRef],0)),"")</f>
        <v>8</v>
      </c>
      <c r="T131" s="3">
        <f>IFERROR(INDEX(TableWRMaster[Custom],MATCH(TableWRCalcPts[[#This Row],[WRRef]],TableWRMaster[WRRef],0)),"")</f>
        <v>20.315367916447233</v>
      </c>
      <c r="AI131" s="2" t="s">
        <v>148</v>
      </c>
      <c r="AJ131" s="2">
        <f>IFERROR(RANK(TableWRTECalcPts[[#This Row],[Custom]],TableWRTECalcPts[Custom])+COUNTIF($AP$3:AP131,AP131)-1,"")</f>
        <v>33</v>
      </c>
      <c r="AK131" s="20">
        <v>29</v>
      </c>
      <c r="AL131" s="20" t="str">
        <f>IFERROR(INDEX(TableWRMaster[Player],MATCH(TableWRTECalcPts[[#This Row],[POSRef]],TableWRMaster[WRRef],0)),"")</f>
        <v>Rome Odunze</v>
      </c>
      <c r="AM131" s="20" t="str">
        <f>IFERROR(_xlfn.CONCAT(TableWRTECalcPts[[#This Row],[POS]],INDEX(TableWRRanks[RK],MATCH(TableWRTECalcPts[[#This Row],[PLAYER]],TableWRRanks[Player],0))),"")</f>
        <v>WR30</v>
      </c>
      <c r="AN131" s="20" t="str">
        <f>IFERROR(INDEX(TableWRMaster[TM],MATCH(TableWRTECalcPts[[#This Row],[POSRef]],TableWRMaster[WRRef],0)),"")</f>
        <v>CHI</v>
      </c>
      <c r="AO131" s="20">
        <f>IFERROR(INDEX(TableWRMaster[BYE],MATCH(TableWRTECalcPts[[#This Row],[POSRef]],TableWRMaster[WRRef],0)),"")</f>
        <v>10</v>
      </c>
      <c r="AP131" s="18">
        <f>IFERROR(INDEX(TableWRMaster[Custom],MATCH(TableWRTECalcPts[[#This Row],[POSRef]],TableWRMaster[WRRef],0)),"")</f>
        <v>174.03183456362797</v>
      </c>
    </row>
    <row r="132" spans="8:42" x14ac:dyDescent="0.25">
      <c r="H132" s="2" t="str">
        <f>IFERROR(RANK(TableRBCalcPts[[#This Row],[Custom]],TableRBCalcPts[Custom])+COUNTIF($M$3:M132,M132)-1,"")</f>
        <v/>
      </c>
      <c r="I132" s="2">
        <v>130</v>
      </c>
      <c r="J132" s="2" t="str">
        <f>IFERROR(INDEX(TableRBMaster[Player],MATCH(TableRBCalcPts[[#This Row],[RBRef]],TableRBMaster[RBRef],0)),"")</f>
        <v/>
      </c>
      <c r="K132" s="2" t="str">
        <f>IFERROR(INDEX(TableRBMaster[TM],MATCH(TableRBCalcPts[[#This Row],[RBRef]],TableRBMaster[RBRef],0)),"")</f>
        <v/>
      </c>
      <c r="L132" s="2" t="str">
        <f>IFERROR(INDEX(TableRBMaster[BYE],MATCH(TableRBCalcPts[[#This Row],[RBRef]],TableRBMaster[RBRef],0)),"")</f>
        <v/>
      </c>
      <c r="M132" s="3" t="str">
        <f>IFERROR(INDEX(TableRBMaster[Custom],MATCH(TableRBCalcPts[[#This Row],[RBRef]],TableRBMaster[RBRef],0)),"")</f>
        <v/>
      </c>
      <c r="O132" s="2">
        <f>IFERROR(RANK(TableWRCalcPts[[#This Row],[Custom]],TableWRCalcPts[Custom])+COUNTIF($T$3:T132,T132)-1,"")</f>
        <v>163</v>
      </c>
      <c r="P132" s="2">
        <v>130</v>
      </c>
      <c r="Q132" s="2" t="str">
        <f>IFERROR(INDEX(TableWRMaster[Player],MATCH(TableWRCalcPts[[#This Row],[WRRef]],TableWRMaster[WRRef],0)),"")</f>
        <v>Mason Tipton</v>
      </c>
      <c r="R132" s="2" t="str">
        <f>IFERROR(INDEX(TableWRMaster[TM],MATCH(TableWRCalcPts[[#This Row],[WRRef]],TableWRMaster[WRRef],0)),"")</f>
        <v>NO</v>
      </c>
      <c r="S132" s="2">
        <f>IFERROR(INDEX(TableWRMaster[BYE],MATCH(TableWRCalcPts[[#This Row],[WRRef]],TableWRMaster[WRRef],0)),"")</f>
        <v>8</v>
      </c>
      <c r="T132" s="3">
        <f>IFERROR(INDEX(TableWRMaster[Custom],MATCH(TableWRCalcPts[[#This Row],[WRRef]],TableWRMaster[WRRef],0)),"")</f>
        <v>6.7051481333759995</v>
      </c>
      <c r="AI132" s="2" t="s">
        <v>148</v>
      </c>
      <c r="AJ132" s="2">
        <f>IFERROR(RANK(TableWRTECalcPts[[#This Row],[Custom]],TableWRTECalcPts[Custom])+COUNTIF($AP$3:AP132,AP132)-1,"")</f>
        <v>151</v>
      </c>
      <c r="AK132" s="20">
        <v>30</v>
      </c>
      <c r="AL132" s="20" t="str">
        <f>IFERROR(INDEX(TableWRMaster[Player],MATCH(TableWRTECalcPts[[#This Row],[POSRef]],TableWRMaster[WRRef],0)),"")</f>
        <v>Kalif Raymond</v>
      </c>
      <c r="AM132" s="20" t="str">
        <f>IFERROR(_xlfn.CONCAT(TableWRTECalcPts[[#This Row],[POS]],INDEX(TableWRRanks[RK],MATCH(TableWRTECalcPts[[#This Row],[PLAYER]],TableWRRanks[Player],0))),"")</f>
        <v>WR110</v>
      </c>
      <c r="AN132" s="20" t="str">
        <f>IFERROR(INDEX(TableWRMaster[TM],MATCH(TableWRTECalcPts[[#This Row],[POSRef]],TableWRMaster[WRRef],0)),"")</f>
        <v>CHI</v>
      </c>
      <c r="AO132" s="20">
        <f>IFERROR(INDEX(TableWRMaster[BYE],MATCH(TableWRTECalcPts[[#This Row],[POSRef]],TableWRMaster[WRRef],0)),"")</f>
        <v>10</v>
      </c>
      <c r="AP132" s="18">
        <f>IFERROR(INDEX(TableWRMaster[Custom],MATCH(TableWRTECalcPts[[#This Row],[POSRef]],TableWRMaster[WRRef],0)),"")</f>
        <v>41.749922059333976</v>
      </c>
    </row>
    <row r="133" spans="8:42" x14ac:dyDescent="0.25">
      <c r="H133" s="2" t="str">
        <f>IFERROR(RANK(TableRBCalcPts[[#This Row],[Custom]],TableRBCalcPts[Custom])+COUNTIF($M$3:M133,M133)-1,"")</f>
        <v/>
      </c>
      <c r="I133" s="2">
        <v>131</v>
      </c>
      <c r="J133" s="2" t="str">
        <f>IFERROR(INDEX(TableRBMaster[Player],MATCH(TableRBCalcPts[[#This Row],[RBRef]],TableRBMaster[RBRef],0)),"")</f>
        <v/>
      </c>
      <c r="K133" s="2" t="str">
        <f>IFERROR(INDEX(TableRBMaster[TM],MATCH(TableRBCalcPts[[#This Row],[RBRef]],TableRBMaster[RBRef],0)),"")</f>
        <v/>
      </c>
      <c r="L133" s="2" t="str">
        <f>IFERROR(INDEX(TableRBMaster[BYE],MATCH(TableRBCalcPts[[#This Row],[RBRef]],TableRBMaster[RBRef],0)),"")</f>
        <v/>
      </c>
      <c r="M133" s="3" t="str">
        <f>IFERROR(INDEX(TableRBMaster[Custom],MATCH(TableRBCalcPts[[#This Row],[RBRef]],TableRBMaster[RBRef],0)),"")</f>
        <v/>
      </c>
      <c r="O133" s="2">
        <f>IFERROR(RANK(TableWRCalcPts[[#This Row],[Custom]],TableWRCalcPts[Custom])+COUNTIF($T$3:T133,T133)-1,"")</f>
        <v>45</v>
      </c>
      <c r="P133" s="2">
        <v>131</v>
      </c>
      <c r="Q133" s="2" t="str">
        <f>IFERROR(INDEX(TableWRMaster[Player],MATCH(TableWRCalcPts[[#This Row],[WRRef]],TableWRMaster[WRRef],0)),"")</f>
        <v>Malik Nabers</v>
      </c>
      <c r="R133" s="2" t="str">
        <f>IFERROR(INDEX(TableWRMaster[TM],MATCH(TableWRCalcPts[[#This Row],[WRRef]],TableWRMaster[WRRef],0)),"")</f>
        <v>NYG</v>
      </c>
      <c r="S133" s="2">
        <f>IFERROR(INDEX(TableWRMaster[BYE],MATCH(TableWRCalcPts[[#This Row],[WRRef]],TableWRMaster[WRRef],0)),"")</f>
        <v>8</v>
      </c>
      <c r="T133" s="3">
        <f>IFERROR(INDEX(TableWRMaster[Custom],MATCH(TableWRCalcPts[[#This Row],[WRRef]],TableWRMaster[WRRef],0)),"")</f>
        <v>147.06776996248362</v>
      </c>
      <c r="AI133" s="2" t="s">
        <v>148</v>
      </c>
      <c r="AJ133" s="2">
        <f>IFERROR(RANK(TableWRTECalcPts[[#This Row],[Custom]],TableWRTECalcPts[Custom])+COUNTIF($AP$3:AP133,AP133)-1,"")</f>
        <v>206</v>
      </c>
      <c r="AK133" s="20">
        <v>31</v>
      </c>
      <c r="AL133" s="20" t="str">
        <f>IFERROR(INDEX(TableWRMaster[Player],MATCH(TableWRTECalcPts[[#This Row],[POSRef]],TableWRMaster[WRRef],0)),"")</f>
        <v>Zavion Thomas</v>
      </c>
      <c r="AM133" s="20" t="str">
        <f>IFERROR(_xlfn.CONCAT(TableWRTECalcPts[[#This Row],[POS]],INDEX(TableWRRanks[RK],MATCH(TableWRTECalcPts[[#This Row],[PLAYER]],TableWRRanks[Player],0))),"")</f>
        <v>WR139</v>
      </c>
      <c r="AN133" s="20" t="str">
        <f>IFERROR(INDEX(TableWRMaster[TM],MATCH(TableWRTECalcPts[[#This Row],[POSRef]],TableWRMaster[WRRef],0)),"")</f>
        <v>CHI</v>
      </c>
      <c r="AO133" s="20">
        <f>IFERROR(INDEX(TableWRMaster[BYE],MATCH(TableWRTECalcPts[[#This Row],[POSRef]],TableWRMaster[WRRef],0)),"")</f>
        <v>10</v>
      </c>
      <c r="AP133" s="18">
        <f>IFERROR(INDEX(TableWRMaster[Custom],MATCH(TableWRTECalcPts[[#This Row],[POSRef]],TableWRMaster[WRRef],0)),"")</f>
        <v>13.443018380953294</v>
      </c>
    </row>
    <row r="134" spans="8:42" x14ac:dyDescent="0.25">
      <c r="H134" s="2" t="str">
        <f>IFERROR(RANK(TableRBCalcPts[[#This Row],[Custom]],TableRBCalcPts[Custom])+COUNTIF($M$3:M134,M134)-1,"")</f>
        <v/>
      </c>
      <c r="I134" s="2">
        <v>132</v>
      </c>
      <c r="J134" s="2" t="str">
        <f>IFERROR(INDEX(TableRBMaster[Player],MATCH(TableRBCalcPts[[#This Row],[RBRef]],TableRBMaster[RBRef],0)),"")</f>
        <v/>
      </c>
      <c r="K134" s="2" t="str">
        <f>IFERROR(INDEX(TableRBMaster[TM],MATCH(TableRBCalcPts[[#This Row],[RBRef]],TableRBMaster[RBRef],0)),"")</f>
        <v/>
      </c>
      <c r="L134" s="2" t="str">
        <f>IFERROR(INDEX(TableRBMaster[BYE],MATCH(TableRBCalcPts[[#This Row],[RBRef]],TableRBMaster[RBRef],0)),"")</f>
        <v/>
      </c>
      <c r="M134" s="3" t="str">
        <f>IFERROR(INDEX(TableRBMaster[Custom],MATCH(TableRBCalcPts[[#This Row],[RBRef]],TableRBMaster[RBRef],0)),"")</f>
        <v/>
      </c>
      <c r="O134" s="2">
        <f>IFERROR(RANK(TableWRCalcPts[[#This Row],[Custom]],TableWRCalcPts[Custom])+COUNTIF($T$3:T134,T134)-1,"")</f>
        <v>77</v>
      </c>
      <c r="P134" s="2">
        <v>132</v>
      </c>
      <c r="Q134" s="2" t="str">
        <f>IFERROR(INDEX(TableWRMaster[Player],MATCH(TableWRCalcPts[[#This Row],[WRRef]],TableWRMaster[WRRef],0)),"")</f>
        <v>Darnell Mooney</v>
      </c>
      <c r="R134" s="2" t="str">
        <f>IFERROR(INDEX(TableWRMaster[TM],MATCH(TableWRCalcPts[[#This Row],[WRRef]],TableWRMaster[WRRef],0)),"")</f>
        <v>NYG</v>
      </c>
      <c r="S134" s="2">
        <f>IFERROR(INDEX(TableWRMaster[BYE],MATCH(TableWRCalcPts[[#This Row],[WRRef]],TableWRMaster[WRRef],0)),"")</f>
        <v>8</v>
      </c>
      <c r="T134" s="3">
        <f>IFERROR(INDEX(TableWRMaster[Custom],MATCH(TableWRCalcPts[[#This Row],[WRRef]],TableWRMaster[WRRef],0)),"")</f>
        <v>80.506540304927114</v>
      </c>
      <c r="AI134" s="2" t="s">
        <v>148</v>
      </c>
      <c r="AJ134" s="2">
        <f>IFERROR(RANK(TableWRTECalcPts[[#This Row],[Custom]],TableWRTECalcPts[Custom])+COUNTIF($AP$3:AP134,AP134)-1,"")</f>
        <v>236</v>
      </c>
      <c r="AK134" s="20">
        <v>32</v>
      </c>
      <c r="AL134" s="20" t="str">
        <f>IFERROR(INDEX(TableWRMaster[Player],MATCH(TableWRTECalcPts[[#This Row],[POSRef]],TableWRMaster[WRRef],0)),"")</f>
        <v>Jahdae Walker</v>
      </c>
      <c r="AM134" s="20" t="str">
        <f>IFERROR(_xlfn.CONCAT(TableWRTECalcPts[[#This Row],[POS]],INDEX(TableWRRanks[RK],MATCH(TableWRTECalcPts[[#This Row],[PLAYER]],TableWRRanks[Player],0))),"")</f>
        <v>WR160</v>
      </c>
      <c r="AN134" s="20" t="str">
        <f>IFERROR(INDEX(TableWRMaster[TM],MATCH(TableWRTECalcPts[[#This Row],[POSRef]],TableWRMaster[WRRef],0)),"")</f>
        <v>CHI</v>
      </c>
      <c r="AO134" s="20">
        <f>IFERROR(INDEX(TableWRMaster[BYE],MATCH(TableWRTECalcPts[[#This Row],[POSRef]],TableWRMaster[WRRef],0)),"")</f>
        <v>10</v>
      </c>
      <c r="AP134" s="18">
        <f>IFERROR(INDEX(TableWRMaster[Custom],MATCH(TableWRTECalcPts[[#This Row],[POSRef]],TableWRMaster[WRRef],0)),"")</f>
        <v>7.3437099440049272</v>
      </c>
    </row>
    <row r="135" spans="8:42" x14ac:dyDescent="0.25">
      <c r="H135" s="2" t="str">
        <f>IFERROR(RANK(TableRBCalcPts[[#This Row],[Custom]],TableRBCalcPts[Custom])+COUNTIF($M$3:M135,M135)-1,"")</f>
        <v/>
      </c>
      <c r="I135" s="2">
        <v>133</v>
      </c>
      <c r="J135" s="2" t="str">
        <f>IFERROR(INDEX(TableRBMaster[Player],MATCH(TableRBCalcPts[[#This Row],[RBRef]],TableRBMaster[RBRef],0)),"")</f>
        <v/>
      </c>
      <c r="K135" s="2" t="str">
        <f>IFERROR(INDEX(TableRBMaster[TM],MATCH(TableRBCalcPts[[#This Row],[RBRef]],TableRBMaster[RBRef],0)),"")</f>
        <v/>
      </c>
      <c r="L135" s="2" t="str">
        <f>IFERROR(INDEX(TableRBMaster[BYE],MATCH(TableRBCalcPts[[#This Row],[RBRef]],TableRBMaster[RBRef],0)),"")</f>
        <v/>
      </c>
      <c r="M135" s="3" t="str">
        <f>IFERROR(INDEX(TableRBMaster[Custom],MATCH(TableRBCalcPts[[#This Row],[RBRef]],TableRBMaster[RBRef],0)),"")</f>
        <v/>
      </c>
      <c r="O135" s="2">
        <f>IFERROR(RANK(TableWRCalcPts[[#This Row],[Custom]],TableWRCalcPts[Custom])+COUNTIF($T$3:T135,T135)-1,"")</f>
        <v>86</v>
      </c>
      <c r="P135" s="2">
        <v>133</v>
      </c>
      <c r="Q135" s="2" t="str">
        <f>IFERROR(INDEX(TableWRMaster[Player],MATCH(TableWRCalcPts[[#This Row],[WRRef]],TableWRMaster[WRRef],0)),"")</f>
        <v>Darius Slayton</v>
      </c>
      <c r="R135" s="2" t="str">
        <f>IFERROR(INDEX(TableWRMaster[TM],MATCH(TableWRCalcPts[[#This Row],[WRRef]],TableWRMaster[WRRef],0)),"")</f>
        <v>NYG</v>
      </c>
      <c r="S135" s="2">
        <f>IFERROR(INDEX(TableWRMaster[BYE],MATCH(TableWRCalcPts[[#This Row],[WRRef]],TableWRMaster[WRRef],0)),"")</f>
        <v>8</v>
      </c>
      <c r="T135" s="3">
        <f>IFERROR(INDEX(TableWRMaster[Custom],MATCH(TableWRCalcPts[[#This Row],[WRRef]],TableWRMaster[WRRef],0)),"")</f>
        <v>60.325066147251512</v>
      </c>
      <c r="AI135" s="2" t="s">
        <v>148</v>
      </c>
      <c r="AJ135" s="2">
        <f>IFERROR(RANK(TableWRTECalcPts[[#This Row],[Custom]],TableWRTECalcPts[Custom])+COUNTIF($AP$3:AP135,AP135)-1,"")</f>
        <v>246</v>
      </c>
      <c r="AK135" s="20">
        <v>33</v>
      </c>
      <c r="AL135" s="20" t="str">
        <f>IFERROR(INDEX(TableWRMaster[Player],MATCH(TableWRTECalcPts[[#This Row],[POSRef]],TableWRMaster[WRRef],0)),"")</f>
        <v>Scotty Miller</v>
      </c>
      <c r="AM135" s="20" t="str">
        <f>IFERROR(_xlfn.CONCAT(TableWRTECalcPts[[#This Row],[POS]],INDEX(TableWRRanks[RK],MATCH(TableWRTECalcPts[[#This Row],[PLAYER]],TableWRRanks[Player],0))),"")</f>
        <v>WR169</v>
      </c>
      <c r="AN135" s="20" t="str">
        <f>IFERROR(INDEX(TableWRMaster[TM],MATCH(TableWRTECalcPts[[#This Row],[POSRef]],TableWRMaster[WRRef],0)),"")</f>
        <v>CHI</v>
      </c>
      <c r="AO135" s="20">
        <f>IFERROR(INDEX(TableWRMaster[BYE],MATCH(TableWRTECalcPts[[#This Row],[POSRef]],TableWRMaster[WRRef],0)),"")</f>
        <v>10</v>
      </c>
      <c r="AP135" s="18">
        <f>IFERROR(INDEX(TableWRMaster[Custom],MATCH(TableWRTECalcPts[[#This Row],[POSRef]],TableWRMaster[WRRef],0)),"")</f>
        <v>6.1120980110959993</v>
      </c>
    </row>
    <row r="136" spans="8:42" x14ac:dyDescent="0.25">
      <c r="H136" s="2" t="str">
        <f>IFERROR(RANK(TableRBCalcPts[[#This Row],[Custom]],TableRBCalcPts[Custom])+COUNTIF($M$3:M136,M136)-1,"")</f>
        <v/>
      </c>
      <c r="I136" s="2">
        <v>134</v>
      </c>
      <c r="J136" s="2" t="str">
        <f>IFERROR(INDEX(TableRBMaster[Player],MATCH(TableRBCalcPts[[#This Row],[RBRef]],TableRBMaster[RBRef],0)),"")</f>
        <v/>
      </c>
      <c r="K136" s="2" t="str">
        <f>IFERROR(INDEX(TableRBMaster[TM],MATCH(TableRBCalcPts[[#This Row],[RBRef]],TableRBMaster[RBRef],0)),"")</f>
        <v/>
      </c>
      <c r="L136" s="2" t="str">
        <f>IFERROR(INDEX(TableRBMaster[BYE],MATCH(TableRBCalcPts[[#This Row],[RBRef]],TableRBMaster[RBRef],0)),"")</f>
        <v/>
      </c>
      <c r="M136" s="3" t="str">
        <f>IFERROR(INDEX(TableRBMaster[Custom],MATCH(TableRBCalcPts[[#This Row],[RBRef]],TableRBMaster[RBRef],0)),"")</f>
        <v/>
      </c>
      <c r="O136" s="2">
        <f>IFERROR(RANK(TableWRCalcPts[[#This Row],[Custom]],TableWRCalcPts[Custom])+COUNTIF($T$3:T136,T136)-1,"")</f>
        <v>87</v>
      </c>
      <c r="P136" s="2">
        <v>134</v>
      </c>
      <c r="Q136" s="2" t="str">
        <f>IFERROR(INDEX(TableWRMaster[Player],MATCH(TableWRCalcPts[[#This Row],[WRRef]],TableWRMaster[WRRef],0)),"")</f>
        <v>Malachi Fields</v>
      </c>
      <c r="R136" s="2" t="str">
        <f>IFERROR(INDEX(TableWRMaster[TM],MATCH(TableWRCalcPts[[#This Row],[WRRef]],TableWRMaster[WRRef],0)),"")</f>
        <v>NYG</v>
      </c>
      <c r="S136" s="2">
        <f>IFERROR(INDEX(TableWRMaster[BYE],MATCH(TableWRCalcPts[[#This Row],[WRRef]],TableWRMaster[WRRef],0)),"")</f>
        <v>8</v>
      </c>
      <c r="T136" s="3">
        <f>IFERROR(INDEX(TableWRMaster[Custom],MATCH(TableWRCalcPts[[#This Row],[WRRef]],TableWRMaster[WRRef],0)),"")</f>
        <v>60.094954234465909</v>
      </c>
      <c r="AI136" s="2" t="s">
        <v>148</v>
      </c>
      <c r="AJ136" s="2">
        <f>IFERROR(RANK(TableWRTECalcPts[[#This Row],[Custom]],TableWRTECalcPts[Custom])+COUNTIF($AP$3:AP136,AP136)-1,"")</f>
        <v>2</v>
      </c>
      <c r="AK136" s="20">
        <v>34</v>
      </c>
      <c r="AL136" s="20" t="str">
        <f>IFERROR(INDEX(TableWRMaster[Player],MATCH(TableWRTECalcPts[[#This Row],[POSRef]],TableWRMaster[WRRef],0)),"")</f>
        <v>Ja'Marr Chase</v>
      </c>
      <c r="AM136" s="20" t="str">
        <f>IFERROR(_xlfn.CONCAT(TableWRTECalcPts[[#This Row],[POS]],INDEX(TableWRRanks[RK],MATCH(TableWRTECalcPts[[#This Row],[PLAYER]],TableWRRanks[Player],0))),"")</f>
        <v>WR2</v>
      </c>
      <c r="AN136" s="20" t="str">
        <f>IFERROR(INDEX(TableWRMaster[TM],MATCH(TableWRTECalcPts[[#This Row],[POSRef]],TableWRMaster[WRRef],0)),"")</f>
        <v>CIN</v>
      </c>
      <c r="AO136" s="20">
        <f>IFERROR(INDEX(TableWRMaster[BYE],MATCH(TableWRTECalcPts[[#This Row],[POSRef]],TableWRMaster[WRRef],0)),"")</f>
        <v>6</v>
      </c>
      <c r="AP136" s="18">
        <f>IFERROR(INDEX(TableWRMaster[Custom],MATCH(TableWRTECalcPts[[#This Row],[POSRef]],TableWRMaster[WRRef],0)),"")</f>
        <v>298.87383220968559</v>
      </c>
    </row>
    <row r="137" spans="8:42" x14ac:dyDescent="0.25">
      <c r="H137" s="2" t="str">
        <f>IFERROR(RANK(TableRBCalcPts[[#This Row],[Custom]],TableRBCalcPts[Custom])+COUNTIF($M$3:M137,M137)-1,"")</f>
        <v/>
      </c>
      <c r="I137" s="2">
        <v>135</v>
      </c>
      <c r="J137" s="2" t="str">
        <f>IFERROR(INDEX(TableRBMaster[Player],MATCH(TableRBCalcPts[[#This Row],[RBRef]],TableRBMaster[RBRef],0)),"")</f>
        <v/>
      </c>
      <c r="K137" s="2" t="str">
        <f>IFERROR(INDEX(TableRBMaster[TM],MATCH(TableRBCalcPts[[#This Row],[RBRef]],TableRBMaster[RBRef],0)),"")</f>
        <v/>
      </c>
      <c r="L137" s="2" t="str">
        <f>IFERROR(INDEX(TableRBMaster[BYE],MATCH(TableRBCalcPts[[#This Row],[RBRef]],TableRBMaster[RBRef],0)),"")</f>
        <v/>
      </c>
      <c r="M137" s="3" t="str">
        <f>IFERROR(INDEX(TableRBMaster[Custom],MATCH(TableRBCalcPts[[#This Row],[RBRef]],TableRBMaster[RBRef],0)),"")</f>
        <v/>
      </c>
      <c r="O137" s="2">
        <f>IFERROR(RANK(TableWRCalcPts[[#This Row],[Custom]],TableWRCalcPts[Custom])+COUNTIF($T$3:T137,T137)-1,"")</f>
        <v>142</v>
      </c>
      <c r="P137" s="2">
        <v>135</v>
      </c>
      <c r="Q137" s="2" t="str">
        <f>IFERROR(INDEX(TableWRMaster[Player],MATCH(TableWRCalcPts[[#This Row],[WRRef]],TableWRMaster[WRRef],0)),"")</f>
        <v>Calvin Austin</v>
      </c>
      <c r="R137" s="2" t="str">
        <f>IFERROR(INDEX(TableWRMaster[TM],MATCH(TableWRCalcPts[[#This Row],[WRRef]],TableWRMaster[WRRef],0)),"")</f>
        <v>NYG</v>
      </c>
      <c r="S137" s="2">
        <f>IFERROR(INDEX(TableWRMaster[BYE],MATCH(TableWRCalcPts[[#This Row],[WRRef]],TableWRMaster[WRRef],0)),"")</f>
        <v>8</v>
      </c>
      <c r="T137" s="3">
        <f>IFERROR(INDEX(TableWRMaster[Custom],MATCH(TableWRCalcPts[[#This Row],[WRRef]],TableWRMaster[WRRef],0)),"")</f>
        <v>12.083934808922724</v>
      </c>
      <c r="AI137" s="2" t="s">
        <v>148</v>
      </c>
      <c r="AJ137" s="2">
        <f>IFERROR(RANK(TableWRTECalcPts[[#This Row],[Custom]],TableWRTECalcPts[Custom])+COUNTIF($AP$3:AP137,AP137)-1,"")</f>
        <v>11</v>
      </c>
      <c r="AK137" s="20">
        <v>35</v>
      </c>
      <c r="AL137" s="20" t="str">
        <f>IFERROR(INDEX(TableWRMaster[Player],MATCH(TableWRTECalcPts[[#This Row],[POSRef]],TableWRMaster[WRRef],0)),"")</f>
        <v>Tee Higgins</v>
      </c>
      <c r="AM137" s="20" t="str">
        <f>IFERROR(_xlfn.CONCAT(TableWRTECalcPts[[#This Row],[POS]],INDEX(TableWRRanks[RK],MATCH(TableWRTECalcPts[[#This Row],[PLAYER]],TableWRRanks[Player],0))),"")</f>
        <v>WR11</v>
      </c>
      <c r="AN137" s="20" t="str">
        <f>IFERROR(INDEX(TableWRMaster[TM],MATCH(TableWRTECalcPts[[#This Row],[POSRef]],TableWRMaster[WRRef],0)),"")</f>
        <v>CIN</v>
      </c>
      <c r="AO137" s="20">
        <f>IFERROR(INDEX(TableWRMaster[BYE],MATCH(TableWRTECalcPts[[#This Row],[POSRef]],TableWRMaster[WRRef],0)),"")</f>
        <v>6</v>
      </c>
      <c r="AP137" s="18">
        <f>IFERROR(INDEX(TableWRMaster[Custom],MATCH(TableWRTECalcPts[[#This Row],[POSRef]],TableWRMaster[WRRef],0)),"")</f>
        <v>210.32382984378648</v>
      </c>
    </row>
    <row r="138" spans="8:42" x14ac:dyDescent="0.25">
      <c r="H138" s="2" t="str">
        <f>IFERROR(RANK(TableRBCalcPts[[#This Row],[Custom]],TableRBCalcPts[Custom])+COUNTIF($M$3:M138,M138)-1,"")</f>
        <v/>
      </c>
      <c r="I138" s="2">
        <v>136</v>
      </c>
      <c r="J138" s="2" t="str">
        <f>IFERROR(INDEX(TableRBMaster[Player],MATCH(TableRBCalcPts[[#This Row],[RBRef]],TableRBMaster[RBRef],0)),"")</f>
        <v/>
      </c>
      <c r="K138" s="2" t="str">
        <f>IFERROR(INDEX(TableRBMaster[TM],MATCH(TableRBCalcPts[[#This Row],[RBRef]],TableRBMaster[RBRef],0)),"")</f>
        <v/>
      </c>
      <c r="L138" s="2" t="str">
        <f>IFERROR(INDEX(TableRBMaster[BYE],MATCH(TableRBCalcPts[[#This Row],[RBRef]],TableRBMaster[RBRef],0)),"")</f>
        <v/>
      </c>
      <c r="M138" s="3" t="str">
        <f>IFERROR(INDEX(TableRBMaster[Custom],MATCH(TableRBCalcPts[[#This Row],[RBRef]],TableRBMaster[RBRef],0)),"")</f>
        <v/>
      </c>
      <c r="O138" s="2">
        <f>IFERROR(RANK(TableWRCalcPts[[#This Row],[Custom]],TableWRCalcPts[Custom])+COUNTIF($T$3:T138,T138)-1,"")</f>
        <v>152</v>
      </c>
      <c r="P138" s="2">
        <v>136</v>
      </c>
      <c r="Q138" s="2" t="str">
        <f>IFERROR(INDEX(TableWRMaster[Player],MATCH(TableWRCalcPts[[#This Row],[WRRef]],TableWRMaster[WRRef],0)),"")</f>
        <v>Beaux Collins</v>
      </c>
      <c r="R138" s="2" t="str">
        <f>IFERROR(INDEX(TableWRMaster[TM],MATCH(TableWRCalcPts[[#This Row],[WRRef]],TableWRMaster[WRRef],0)),"")</f>
        <v>NYG</v>
      </c>
      <c r="S138" s="2">
        <f>IFERROR(INDEX(TableWRMaster[BYE],MATCH(TableWRCalcPts[[#This Row],[WRRef]],TableWRMaster[WRRef],0)),"")</f>
        <v>8</v>
      </c>
      <c r="T138" s="3">
        <f>IFERROR(INDEX(TableWRMaster[Custom],MATCH(TableWRCalcPts[[#This Row],[WRRef]],TableWRMaster[WRRef],0)),"")</f>
        <v>8.3371175754971993</v>
      </c>
      <c r="AI138" s="2" t="s">
        <v>148</v>
      </c>
      <c r="AJ138" s="2">
        <f>IFERROR(RANK(TableWRTECalcPts[[#This Row],[Custom]],TableWRTECalcPts[Custom])+COUNTIF($AP$3:AP138,AP138)-1,"")</f>
        <v>85</v>
      </c>
      <c r="AK138" s="20">
        <v>36</v>
      </c>
      <c r="AL138" s="20" t="str">
        <f>IFERROR(INDEX(TableWRMaster[Player],MATCH(TableWRTECalcPts[[#This Row],[POSRef]],TableWRMaster[WRRef],0)),"")</f>
        <v>Andrei Iosivas</v>
      </c>
      <c r="AM138" s="20" t="str">
        <f>IFERROR(_xlfn.CONCAT(TableWRTECalcPts[[#This Row],[POS]],INDEX(TableWRRanks[RK],MATCH(TableWRTECalcPts[[#This Row],[PLAYER]],TableWRRanks[Player],0))),"")</f>
        <v>WR64</v>
      </c>
      <c r="AN138" s="20" t="str">
        <f>IFERROR(INDEX(TableWRMaster[TM],MATCH(TableWRTECalcPts[[#This Row],[POSRef]],TableWRMaster[WRRef],0)),"")</f>
        <v>CIN</v>
      </c>
      <c r="AO138" s="20">
        <f>IFERROR(INDEX(TableWRMaster[BYE],MATCH(TableWRTECalcPts[[#This Row],[POSRef]],TableWRMaster[WRRef],0)),"")</f>
        <v>6</v>
      </c>
      <c r="AP138" s="18">
        <f>IFERROR(INDEX(TableWRMaster[Custom],MATCH(TableWRTECalcPts[[#This Row],[POSRef]],TableWRMaster[WRRef],0)),"")</f>
        <v>101.18003586602683</v>
      </c>
    </row>
    <row r="139" spans="8:42" x14ac:dyDescent="0.25">
      <c r="H139" s="2" t="str">
        <f>IFERROR(RANK(TableRBCalcPts[[#This Row],[Custom]],TableRBCalcPts[Custom])+COUNTIF($M$3:M139,M139)-1,"")</f>
        <v/>
      </c>
      <c r="I139" s="2">
        <v>137</v>
      </c>
      <c r="J139" s="2" t="str">
        <f>IFERROR(INDEX(TableRBMaster[Player],MATCH(TableRBCalcPts[[#This Row],[RBRef]],TableRBMaster[RBRef],0)),"")</f>
        <v/>
      </c>
      <c r="K139" s="2" t="str">
        <f>IFERROR(INDEX(TableRBMaster[TM],MATCH(TableRBCalcPts[[#This Row],[RBRef]],TableRBMaster[RBRef],0)),"")</f>
        <v/>
      </c>
      <c r="L139" s="2" t="str">
        <f>IFERROR(INDEX(TableRBMaster[BYE],MATCH(TableRBCalcPts[[#This Row],[RBRef]],TableRBMaster[RBRef],0)),"")</f>
        <v/>
      </c>
      <c r="M139" s="3" t="str">
        <f>IFERROR(INDEX(TableRBMaster[Custom],MATCH(TableRBCalcPts[[#This Row],[RBRef]],TableRBMaster[RBRef],0)),"")</f>
        <v/>
      </c>
      <c r="O139" s="2">
        <f>IFERROR(RANK(TableWRCalcPts[[#This Row],[Custom]],TableWRCalcPts[Custom])+COUNTIF($T$3:T139,T139)-1,"")</f>
        <v>23</v>
      </c>
      <c r="P139" s="2">
        <v>137</v>
      </c>
      <c r="Q139" s="2" t="str">
        <f>IFERROR(INDEX(TableWRMaster[Player],MATCH(TableWRCalcPts[[#This Row],[WRRef]],TableWRMaster[WRRef],0)),"")</f>
        <v>Garrett Wilson</v>
      </c>
      <c r="R139" s="2" t="str">
        <f>IFERROR(INDEX(TableWRMaster[TM],MATCH(TableWRCalcPts[[#This Row],[WRRef]],TableWRMaster[WRRef],0)),"")</f>
        <v>NYJ</v>
      </c>
      <c r="S139" s="2">
        <f>IFERROR(INDEX(TableWRMaster[BYE],MATCH(TableWRCalcPts[[#This Row],[WRRef]],TableWRMaster[WRRef],0)),"")</f>
        <v>13</v>
      </c>
      <c r="T139" s="3">
        <f>IFERROR(INDEX(TableWRMaster[Custom],MATCH(TableWRCalcPts[[#This Row],[WRRef]],TableWRMaster[WRRef],0)),"")</f>
        <v>189.14773728625423</v>
      </c>
      <c r="AI139" s="2" t="s">
        <v>148</v>
      </c>
      <c r="AJ139" s="2">
        <f>IFERROR(RANK(TableWRTECalcPts[[#This Row],[Custom]],TableWRTECalcPts[Custom])+COUNTIF($AP$3:AP139,AP139)-1,"")</f>
        <v>213</v>
      </c>
      <c r="AK139" s="20">
        <v>37</v>
      </c>
      <c r="AL139" s="20" t="str">
        <f>IFERROR(INDEX(TableWRMaster[Player],MATCH(TableWRTECalcPts[[#This Row],[POSRef]],TableWRMaster[WRRef],0)),"")</f>
        <v>Charlie Jones</v>
      </c>
      <c r="AM139" s="20" t="str">
        <f>IFERROR(_xlfn.CONCAT(TableWRTECalcPts[[#This Row],[POS]],INDEX(TableWRRanks[RK],MATCH(TableWRTECalcPts[[#This Row],[PLAYER]],TableWRRanks[Player],0))),"")</f>
        <v>WR144</v>
      </c>
      <c r="AN139" s="20" t="str">
        <f>IFERROR(INDEX(TableWRMaster[TM],MATCH(TableWRTECalcPts[[#This Row],[POSRef]],TableWRMaster[WRRef],0)),"")</f>
        <v>CIN</v>
      </c>
      <c r="AO139" s="20">
        <f>IFERROR(INDEX(TableWRMaster[BYE],MATCH(TableWRTECalcPts[[#This Row],[POSRef]],TableWRMaster[WRRef],0)),"")</f>
        <v>6</v>
      </c>
      <c r="AP139" s="18">
        <f>IFERROR(INDEX(TableWRMaster[Custom],MATCH(TableWRTECalcPts[[#This Row],[POSRef]],TableWRMaster[WRRef],0)),"")</f>
        <v>11.123085750000001</v>
      </c>
    </row>
    <row r="140" spans="8:42" x14ac:dyDescent="0.25">
      <c r="H140" s="2" t="str">
        <f>IFERROR(RANK(TableRBCalcPts[[#This Row],[Custom]],TableRBCalcPts[Custom])+COUNTIF($M$3:M140,M140)-1,"")</f>
        <v/>
      </c>
      <c r="I140" s="2">
        <v>138</v>
      </c>
      <c r="J140" s="2" t="str">
        <f>IFERROR(INDEX(TableRBMaster[Player],MATCH(TableRBCalcPts[[#This Row],[RBRef]],TableRBMaster[RBRef],0)),"")</f>
        <v/>
      </c>
      <c r="K140" s="2" t="str">
        <f>IFERROR(INDEX(TableRBMaster[TM],MATCH(TableRBCalcPts[[#This Row],[RBRef]],TableRBMaster[RBRef],0)),"")</f>
        <v/>
      </c>
      <c r="L140" s="2" t="str">
        <f>IFERROR(INDEX(TableRBMaster[BYE],MATCH(TableRBCalcPts[[#This Row],[RBRef]],TableRBMaster[RBRef],0)),"")</f>
        <v/>
      </c>
      <c r="M140" s="3" t="str">
        <f>IFERROR(INDEX(TableRBMaster[Custom],MATCH(TableRBCalcPts[[#This Row],[RBRef]],TableRBMaster[RBRef],0)),"")</f>
        <v/>
      </c>
      <c r="O140" s="2">
        <f>IFERROR(RANK(TableWRCalcPts[[#This Row],[Custom]],TableWRCalcPts[Custom])+COUNTIF($T$3:T140,T140)-1,"")</f>
        <v>53</v>
      </c>
      <c r="P140" s="2">
        <v>138</v>
      </c>
      <c r="Q140" s="2" t="str">
        <f>IFERROR(INDEX(TableWRMaster[Player],MATCH(TableWRCalcPts[[#This Row],[WRRef]],TableWRMaster[WRRef],0)),"")</f>
        <v>Omar Cooper</v>
      </c>
      <c r="R140" s="2" t="str">
        <f>IFERROR(INDEX(TableWRMaster[TM],MATCH(TableWRCalcPts[[#This Row],[WRRef]],TableWRMaster[WRRef],0)),"")</f>
        <v>NYJ</v>
      </c>
      <c r="S140" s="2">
        <f>IFERROR(INDEX(TableWRMaster[BYE],MATCH(TableWRCalcPts[[#This Row],[WRRef]],TableWRMaster[WRRef],0)),"")</f>
        <v>13</v>
      </c>
      <c r="T140" s="3">
        <f>IFERROR(INDEX(TableWRMaster[Custom],MATCH(TableWRCalcPts[[#This Row],[WRRef]],TableWRMaster[WRRef],0)),"")</f>
        <v>131.08678629872901</v>
      </c>
      <c r="AI140" s="2" t="s">
        <v>148</v>
      </c>
      <c r="AJ140" s="2">
        <f>IFERROR(RANK(TableWRTECalcPts[[#This Row],[Custom]],TableWRTECalcPts[Custom])+COUNTIF($AP$3:AP140,AP140)-1,"")</f>
        <v>194</v>
      </c>
      <c r="AK140" s="20">
        <v>38</v>
      </c>
      <c r="AL140" s="20" t="str">
        <f>IFERROR(INDEX(TableWRMaster[Player],MATCH(TableWRTECalcPts[[#This Row],[POSRef]],TableWRMaster[WRRef],0)),"")</f>
        <v>Mitchell Tinsley</v>
      </c>
      <c r="AM140" s="20" t="str">
        <f>IFERROR(_xlfn.CONCAT(TableWRTECalcPts[[#This Row],[POS]],INDEX(TableWRRanks[RK],MATCH(TableWRTECalcPts[[#This Row],[PLAYER]],TableWRRanks[Player],0))),"")</f>
        <v>WR132</v>
      </c>
      <c r="AN140" s="20" t="str">
        <f>IFERROR(INDEX(TableWRMaster[TM],MATCH(TableWRTECalcPts[[#This Row],[POSRef]],TableWRMaster[WRRef],0)),"")</f>
        <v>CIN</v>
      </c>
      <c r="AO140" s="20">
        <f>IFERROR(INDEX(TableWRMaster[BYE],MATCH(TableWRTECalcPts[[#This Row],[POSRef]],TableWRMaster[WRRef],0)),"")</f>
        <v>6</v>
      </c>
      <c r="AP140" s="18">
        <f>IFERROR(INDEX(TableWRMaster[Custom],MATCH(TableWRTECalcPts[[#This Row],[POSRef]],TableWRMaster[WRRef],0)),"")</f>
        <v>18.148756411178923</v>
      </c>
    </row>
    <row r="141" spans="8:42" x14ac:dyDescent="0.25">
      <c r="H141" s="2" t="str">
        <f>IFERROR(RANK(TableRBCalcPts[[#This Row],[Custom]],TableRBCalcPts[Custom])+COUNTIF($M$3:M141,M141)-1,"")</f>
        <v/>
      </c>
      <c r="I141" s="2">
        <v>139</v>
      </c>
      <c r="J141" s="2" t="str">
        <f>IFERROR(INDEX(TableRBMaster[Player],MATCH(TableRBCalcPts[[#This Row],[RBRef]],TableRBMaster[RBRef],0)),"")</f>
        <v/>
      </c>
      <c r="K141" s="2" t="str">
        <f>IFERROR(INDEX(TableRBMaster[TM],MATCH(TableRBCalcPts[[#This Row],[RBRef]],TableRBMaster[RBRef],0)),"")</f>
        <v/>
      </c>
      <c r="L141" s="2" t="str">
        <f>IFERROR(INDEX(TableRBMaster[BYE],MATCH(TableRBCalcPts[[#This Row],[RBRef]],TableRBMaster[RBRef],0)),"")</f>
        <v/>
      </c>
      <c r="M141" s="3" t="str">
        <f>IFERROR(INDEX(TableRBMaster[Custom],MATCH(TableRBCalcPts[[#This Row],[RBRef]],TableRBMaster[RBRef],0)),"")</f>
        <v/>
      </c>
      <c r="O141" s="2">
        <f>IFERROR(RANK(TableWRCalcPts[[#This Row],[Custom]],TableWRCalcPts[Custom])+COUNTIF($T$3:T141,T141)-1,"")</f>
        <v>62</v>
      </c>
      <c r="P141" s="2">
        <v>139</v>
      </c>
      <c r="Q141" s="2" t="str">
        <f>IFERROR(INDEX(TableWRMaster[Player],MATCH(TableWRCalcPts[[#This Row],[WRRef]],TableWRMaster[WRRef],0)),"")</f>
        <v>Adonai Mitchell</v>
      </c>
      <c r="R141" s="2" t="str">
        <f>IFERROR(INDEX(TableWRMaster[TM],MATCH(TableWRCalcPts[[#This Row],[WRRef]],TableWRMaster[WRRef],0)),"")</f>
        <v>NYJ</v>
      </c>
      <c r="S141" s="2">
        <f>IFERROR(INDEX(TableWRMaster[BYE],MATCH(TableWRCalcPts[[#This Row],[WRRef]],TableWRMaster[WRRef],0)),"")</f>
        <v>13</v>
      </c>
      <c r="T141" s="3">
        <f>IFERROR(INDEX(TableWRMaster[Custom],MATCH(TableWRCalcPts[[#This Row],[WRRef]],TableWRMaster[WRRef],0)),"")</f>
        <v>101.89531015054624</v>
      </c>
      <c r="AI141" s="2" t="s">
        <v>148</v>
      </c>
      <c r="AJ141" s="2">
        <f>IFERROR(RANK(TableWRTECalcPts[[#This Row],[Custom]],TableWRTECalcPts[Custom])+COUNTIF($AP$3:AP141,AP141)-1,"")</f>
        <v>87</v>
      </c>
      <c r="AK141" s="20">
        <v>39</v>
      </c>
      <c r="AL141" s="20" t="str">
        <f>IFERROR(INDEX(TableWRMaster[Player],MATCH(TableWRTECalcPts[[#This Row],[POSRef]],TableWRMaster[WRRef],0)),"")</f>
        <v>Denzel Boston</v>
      </c>
      <c r="AM141" s="20" t="str">
        <f>IFERROR(_xlfn.CONCAT(TableWRTECalcPts[[#This Row],[POS]],INDEX(TableWRRanks[RK],MATCH(TableWRTECalcPts[[#This Row],[PLAYER]],TableWRRanks[Player],0))),"")</f>
        <v>WR65</v>
      </c>
      <c r="AN141" s="20" t="str">
        <f>IFERROR(INDEX(TableWRMaster[TM],MATCH(TableWRTECalcPts[[#This Row],[POSRef]],TableWRMaster[WRRef],0)),"")</f>
        <v>CLE</v>
      </c>
      <c r="AO141" s="20">
        <f>IFERROR(INDEX(TableWRMaster[BYE],MATCH(TableWRTECalcPts[[#This Row],[POSRef]],TableWRMaster[WRRef],0)),"")</f>
        <v>11</v>
      </c>
      <c r="AP141" s="18">
        <f>IFERROR(INDEX(TableWRMaster[Custom],MATCH(TableWRTECalcPts[[#This Row],[POSRef]],TableWRMaster[WRRef],0)),"")</f>
        <v>100.10786563008</v>
      </c>
    </row>
    <row r="142" spans="8:42" x14ac:dyDescent="0.25">
      <c r="H142" s="2" t="str">
        <f>IFERROR(RANK(TableRBCalcPts[[#This Row],[Custom]],TableRBCalcPts[Custom])+COUNTIF($M$3:M142,M142)-1,"")</f>
        <v/>
      </c>
      <c r="I142" s="2">
        <v>140</v>
      </c>
      <c r="J142" s="2" t="str">
        <f>IFERROR(INDEX(TableRBMaster[Player],MATCH(TableRBCalcPts[[#This Row],[RBRef]],TableRBMaster[RBRef],0)),"")</f>
        <v/>
      </c>
      <c r="K142" s="2" t="str">
        <f>IFERROR(INDEX(TableRBMaster[TM],MATCH(TableRBCalcPts[[#This Row],[RBRef]],TableRBMaster[RBRef],0)),"")</f>
        <v/>
      </c>
      <c r="L142" s="2" t="str">
        <f>IFERROR(INDEX(TableRBMaster[BYE],MATCH(TableRBCalcPts[[#This Row],[RBRef]],TableRBMaster[RBRef],0)),"")</f>
        <v/>
      </c>
      <c r="M142" s="3" t="str">
        <f>IFERROR(INDEX(TableRBMaster[Custom],MATCH(TableRBCalcPts[[#This Row],[RBRef]],TableRBMaster[RBRef],0)),"")</f>
        <v/>
      </c>
      <c r="O142" s="2">
        <f>IFERROR(RANK(TableWRCalcPts[[#This Row],[Custom]],TableWRCalcPts[Custom])+COUNTIF($T$3:T142,T142)-1,"")</f>
        <v>133</v>
      </c>
      <c r="P142" s="2">
        <v>140</v>
      </c>
      <c r="Q142" s="2" t="str">
        <f>IFERROR(INDEX(TableWRMaster[Player],MATCH(TableWRCalcPts[[#This Row],[WRRef]],TableWRMaster[WRRef],0)),"")</f>
        <v>Tim Patrick</v>
      </c>
      <c r="R142" s="2" t="str">
        <f>IFERROR(INDEX(TableWRMaster[TM],MATCH(TableWRCalcPts[[#This Row],[WRRef]],TableWRMaster[WRRef],0)),"")</f>
        <v>NYJ</v>
      </c>
      <c r="S142" s="2">
        <f>IFERROR(INDEX(TableWRMaster[BYE],MATCH(TableWRCalcPts[[#This Row],[WRRef]],TableWRMaster[WRRef],0)),"")</f>
        <v>13</v>
      </c>
      <c r="T142" s="3">
        <f>IFERROR(INDEX(TableWRMaster[Custom],MATCH(TableWRCalcPts[[#This Row],[WRRef]],TableWRMaster[WRRef],0)),"")</f>
        <v>18.042811324773403</v>
      </c>
      <c r="AI142" s="2" t="s">
        <v>148</v>
      </c>
      <c r="AJ142" s="2">
        <f>IFERROR(RANK(TableWRTECalcPts[[#This Row],[Custom]],TableWRTECalcPts[Custom])+COUNTIF($AP$3:AP142,AP142)-1,"")</f>
        <v>88</v>
      </c>
      <c r="AK142" s="20">
        <v>40</v>
      </c>
      <c r="AL142" s="20" t="str">
        <f>IFERROR(INDEX(TableWRMaster[Player],MATCH(TableWRTECalcPts[[#This Row],[POSRef]],TableWRMaster[WRRef],0)),"")</f>
        <v>KC Concepcion</v>
      </c>
      <c r="AM142" s="20" t="str">
        <f>IFERROR(_xlfn.CONCAT(TableWRTECalcPts[[#This Row],[POS]],INDEX(TableWRRanks[RK],MATCH(TableWRTECalcPts[[#This Row],[PLAYER]],TableWRRanks[Player],0))),"")</f>
        <v>WR66</v>
      </c>
      <c r="AN142" s="20" t="str">
        <f>IFERROR(INDEX(TableWRMaster[TM],MATCH(TableWRTECalcPts[[#This Row],[POSRef]],TableWRMaster[WRRef],0)),"")</f>
        <v>CLE</v>
      </c>
      <c r="AO142" s="20">
        <f>IFERROR(INDEX(TableWRMaster[BYE],MATCH(TableWRTECalcPts[[#This Row],[POSRef]],TableWRMaster[WRRef],0)),"")</f>
        <v>11</v>
      </c>
      <c r="AP142" s="18">
        <f>IFERROR(INDEX(TableWRMaster[Custom],MATCH(TableWRTECalcPts[[#This Row],[POSRef]],TableWRMaster[WRRef],0)),"")</f>
        <v>99.98152645746832</v>
      </c>
    </row>
    <row r="143" spans="8:42" x14ac:dyDescent="0.25">
      <c r="H143" s="2" t="str">
        <f>IFERROR(RANK(TableRBCalcPts[[#This Row],[Custom]],TableRBCalcPts[Custom])+COUNTIF($M$3:M143,M143)-1,"")</f>
        <v/>
      </c>
      <c r="I143" s="2">
        <v>141</v>
      </c>
      <c r="J143" s="2" t="str">
        <f>IFERROR(INDEX(TableRBMaster[Player],MATCH(TableRBCalcPts[[#This Row],[RBRef]],TableRBMaster[RBRef],0)),"")</f>
        <v/>
      </c>
      <c r="K143" s="2" t="str">
        <f>IFERROR(INDEX(TableRBMaster[TM],MATCH(TableRBCalcPts[[#This Row],[RBRef]],TableRBMaster[RBRef],0)),"")</f>
        <v/>
      </c>
      <c r="L143" s="2" t="str">
        <f>IFERROR(INDEX(TableRBMaster[BYE],MATCH(TableRBCalcPts[[#This Row],[RBRef]],TableRBMaster[RBRef],0)),"")</f>
        <v/>
      </c>
      <c r="M143" s="3" t="str">
        <f>IFERROR(INDEX(TableRBMaster[Custom],MATCH(TableRBCalcPts[[#This Row],[RBRef]],TableRBMaster[RBRef],0)),"")</f>
        <v/>
      </c>
      <c r="O143" s="2">
        <f>IFERROR(RANK(TableWRCalcPts[[#This Row],[Custom]],TableWRCalcPts[Custom])+COUNTIF($T$3:T143,T143)-1,"")</f>
        <v>168</v>
      </c>
      <c r="P143" s="2">
        <v>141</v>
      </c>
      <c r="Q143" s="2" t="str">
        <f>IFERROR(INDEX(TableWRMaster[Player],MATCH(TableWRCalcPts[[#This Row],[WRRef]],TableWRMaster[WRRef],0)),"")</f>
        <v>Isaiah Williams</v>
      </c>
      <c r="R143" s="2" t="str">
        <f>IFERROR(INDEX(TableWRMaster[TM],MATCH(TableWRCalcPts[[#This Row],[WRRef]],TableWRMaster[WRRef],0)),"")</f>
        <v>NYJ</v>
      </c>
      <c r="S143" s="2">
        <f>IFERROR(INDEX(TableWRMaster[BYE],MATCH(TableWRCalcPts[[#This Row],[WRRef]],TableWRMaster[WRRef],0)),"")</f>
        <v>13</v>
      </c>
      <c r="T143" s="3">
        <f>IFERROR(INDEX(TableWRMaster[Custom],MATCH(TableWRCalcPts[[#This Row],[WRRef]],TableWRMaster[WRRef],0)),"")</f>
        <v>6.2127515792074117</v>
      </c>
      <c r="AI143" s="2" t="s">
        <v>148</v>
      </c>
      <c r="AJ143" s="2">
        <f>IFERROR(RANK(TableWRTECalcPts[[#This Row],[Custom]],TableWRTECalcPts[Custom])+COUNTIF($AP$3:AP143,AP143)-1,"")</f>
        <v>94</v>
      </c>
      <c r="AK143" s="20">
        <v>41</v>
      </c>
      <c r="AL143" s="20" t="str">
        <f>IFERROR(INDEX(TableWRMaster[Player],MATCH(TableWRTECalcPts[[#This Row],[POSRef]],TableWRMaster[WRRef],0)),"")</f>
        <v>Jerry Jeudy</v>
      </c>
      <c r="AM143" s="20" t="str">
        <f>IFERROR(_xlfn.CONCAT(TableWRTECalcPts[[#This Row],[POS]],INDEX(TableWRRanks[RK],MATCH(TableWRTECalcPts[[#This Row],[PLAYER]],TableWRRanks[Player],0))),"")</f>
        <v>WR69</v>
      </c>
      <c r="AN143" s="20" t="str">
        <f>IFERROR(INDEX(TableWRMaster[TM],MATCH(TableWRTECalcPts[[#This Row],[POSRef]],TableWRMaster[WRRef],0)),"")</f>
        <v>CLE</v>
      </c>
      <c r="AO143" s="20">
        <f>IFERROR(INDEX(TableWRMaster[BYE],MATCH(TableWRTECalcPts[[#This Row],[POSRef]],TableWRMaster[WRRef],0)),"")</f>
        <v>11</v>
      </c>
      <c r="AP143" s="18">
        <f>IFERROR(INDEX(TableWRMaster[Custom],MATCH(TableWRTECalcPts[[#This Row],[POSRef]],TableWRMaster[WRRef],0)),"")</f>
        <v>95.245616587967987</v>
      </c>
    </row>
    <row r="144" spans="8:42" x14ac:dyDescent="0.25">
      <c r="H144" s="2" t="str">
        <f>IFERROR(RANK(TableRBCalcPts[[#This Row],[Custom]],TableRBCalcPts[Custom])+COUNTIF($M$3:M144,M144)-1,"")</f>
        <v/>
      </c>
      <c r="I144" s="2">
        <v>142</v>
      </c>
      <c r="J144" s="2" t="str">
        <f>IFERROR(INDEX(TableRBMaster[Player],MATCH(TableRBCalcPts[[#This Row],[RBRef]],TableRBMaster[RBRef],0)),"")</f>
        <v/>
      </c>
      <c r="K144" s="2" t="str">
        <f>IFERROR(INDEX(TableRBMaster[TM],MATCH(TableRBCalcPts[[#This Row],[RBRef]],TableRBMaster[RBRef],0)),"")</f>
        <v/>
      </c>
      <c r="L144" s="2" t="str">
        <f>IFERROR(INDEX(TableRBMaster[BYE],MATCH(TableRBCalcPts[[#This Row],[RBRef]],TableRBMaster[RBRef],0)),"")</f>
        <v/>
      </c>
      <c r="M144" s="3" t="str">
        <f>IFERROR(INDEX(TableRBMaster[Custom],MATCH(TableRBCalcPts[[#This Row],[RBRef]],TableRBMaster[RBRef],0)),"")</f>
        <v/>
      </c>
      <c r="O144" s="2">
        <f>IFERROR(RANK(TableWRCalcPts[[#This Row],[Custom]],TableWRCalcPts[Custom])+COUNTIF($T$3:T144,T144)-1,"")</f>
        <v>181</v>
      </c>
      <c r="P144" s="2">
        <v>142</v>
      </c>
      <c r="Q144" s="2" t="str">
        <f>IFERROR(INDEX(TableWRMaster[Player],MATCH(TableWRCalcPts[[#This Row],[WRRef]],TableWRMaster[WRRef],0)),"")</f>
        <v>Arian Smith</v>
      </c>
      <c r="R144" s="2" t="str">
        <f>IFERROR(INDEX(TableWRMaster[TM],MATCH(TableWRCalcPts[[#This Row],[WRRef]],TableWRMaster[WRRef],0)),"")</f>
        <v>NYJ</v>
      </c>
      <c r="S144" s="2">
        <f>IFERROR(INDEX(TableWRMaster[BYE],MATCH(TableWRCalcPts[[#This Row],[WRRef]],TableWRMaster[WRRef],0)),"")</f>
        <v>13</v>
      </c>
      <c r="T144" s="3">
        <f>IFERROR(INDEX(TableWRMaster[Custom],MATCH(TableWRCalcPts[[#This Row],[WRRef]],TableWRMaster[WRRef],0)),"")</f>
        <v>2.818823583122898</v>
      </c>
      <c r="AI144" s="2" t="s">
        <v>148</v>
      </c>
      <c r="AJ144" s="2">
        <f>IFERROR(RANK(TableWRTECalcPts[[#This Row],[Custom]],TableWRTECalcPts[Custom])+COUNTIF($AP$3:AP144,AP144)-1,"")</f>
        <v>129</v>
      </c>
      <c r="AK144" s="20">
        <v>42</v>
      </c>
      <c r="AL144" s="20" t="str">
        <f>IFERROR(INDEX(TableWRMaster[Player],MATCH(TableWRTECalcPts[[#This Row],[POSRef]],TableWRMaster[WRRef],0)),"")</f>
        <v>Isaiah Bond</v>
      </c>
      <c r="AM144" s="20" t="str">
        <f>IFERROR(_xlfn.CONCAT(TableWRTECalcPts[[#This Row],[POS]],INDEX(TableWRRanks[RK],MATCH(TableWRTECalcPts[[#This Row],[PLAYER]],TableWRRanks[Player],0))),"")</f>
        <v>WR93</v>
      </c>
      <c r="AN144" s="20" t="str">
        <f>IFERROR(INDEX(TableWRMaster[TM],MATCH(TableWRTECalcPts[[#This Row],[POSRef]],TableWRMaster[WRRef],0)),"")</f>
        <v>CLE</v>
      </c>
      <c r="AO144" s="20">
        <f>IFERROR(INDEX(TableWRMaster[BYE],MATCH(TableWRTECalcPts[[#This Row],[POSRef]],TableWRMaster[WRRef],0)),"")</f>
        <v>11</v>
      </c>
      <c r="AP144" s="18">
        <f>IFERROR(INDEX(TableWRMaster[Custom],MATCH(TableWRTECalcPts[[#This Row],[POSRef]],TableWRMaster[WRRef],0)),"")</f>
        <v>56.398321364111993</v>
      </c>
    </row>
    <row r="145" spans="8:42" x14ac:dyDescent="0.25">
      <c r="H145" s="2" t="str">
        <f>IFERROR(RANK(TableRBCalcPts[[#This Row],[Custom]],TableRBCalcPts[Custom])+COUNTIF($M$3:M145,M145)-1,"")</f>
        <v/>
      </c>
      <c r="I145" s="2">
        <v>143</v>
      </c>
      <c r="J145" s="2" t="str">
        <f>IFERROR(INDEX(TableRBMaster[Player],MATCH(TableRBCalcPts[[#This Row],[RBRef]],TableRBMaster[RBRef],0)),"")</f>
        <v/>
      </c>
      <c r="K145" s="2" t="str">
        <f>IFERROR(INDEX(TableRBMaster[TM],MATCH(TableRBCalcPts[[#This Row],[RBRef]],TableRBMaster[RBRef],0)),"")</f>
        <v/>
      </c>
      <c r="L145" s="2" t="str">
        <f>IFERROR(INDEX(TableRBMaster[BYE],MATCH(TableRBCalcPts[[#This Row],[RBRef]],TableRBMaster[RBRef],0)),"")</f>
        <v/>
      </c>
      <c r="M145" s="3" t="str">
        <f>IFERROR(INDEX(TableRBMaster[Custom],MATCH(TableRBCalcPts[[#This Row],[RBRef]],TableRBMaster[RBRef],0)),"")</f>
        <v/>
      </c>
      <c r="O145" s="2">
        <f>IFERROR(RANK(TableWRCalcPts[[#This Row],[Custom]],TableWRCalcPts[Custom])+COUNTIF($T$3:T145,T145)-1,"")</f>
        <v>16</v>
      </c>
      <c r="P145" s="2">
        <v>143</v>
      </c>
      <c r="Q145" s="2" t="str">
        <f>IFERROR(INDEX(TableWRMaster[Player],MATCH(TableWRCalcPts[[#This Row],[WRRef]],TableWRMaster[WRRef],0)),"")</f>
        <v>DeVonta Smith</v>
      </c>
      <c r="R145" s="2" t="str">
        <f>IFERROR(INDEX(TableWRMaster[TM],MATCH(TableWRCalcPts[[#This Row],[WRRef]],TableWRMaster[WRRef],0)),"")</f>
        <v>PHI</v>
      </c>
      <c r="S145" s="2">
        <f>IFERROR(INDEX(TableWRMaster[BYE],MATCH(TableWRCalcPts[[#This Row],[WRRef]],TableWRMaster[WRRef],0)),"")</f>
        <v>10</v>
      </c>
      <c r="T145" s="3">
        <f>IFERROR(INDEX(TableWRMaster[Custom],MATCH(TableWRCalcPts[[#This Row],[WRRef]],TableWRMaster[WRRef],0)),"")</f>
        <v>198.11700522987917</v>
      </c>
      <c r="AI145" s="2" t="s">
        <v>148</v>
      </c>
      <c r="AJ145" s="2">
        <f>IFERROR(RANK(TableWRTECalcPts[[#This Row],[Custom]],TableWRTECalcPts[Custom])+COUNTIF($AP$3:AP145,AP145)-1,"")</f>
        <v>225</v>
      </c>
      <c r="AK145" s="20">
        <v>43</v>
      </c>
      <c r="AL145" s="20" t="str">
        <f>IFERROR(INDEX(TableWRMaster[Player],MATCH(TableWRTECalcPts[[#This Row],[POSRef]],TableWRMaster[WRRef],0)),"")</f>
        <v>Cedric Tillman</v>
      </c>
      <c r="AM145" s="20" t="str">
        <f>IFERROR(_xlfn.CONCAT(TableWRTECalcPts[[#This Row],[POS]],INDEX(TableWRRanks[RK],MATCH(TableWRTECalcPts[[#This Row],[PLAYER]],TableWRRanks[Player],0))),"")</f>
        <v>WR151</v>
      </c>
      <c r="AN145" s="20" t="str">
        <f>IFERROR(INDEX(TableWRMaster[TM],MATCH(TableWRTECalcPts[[#This Row],[POSRef]],TableWRMaster[WRRef],0)),"")</f>
        <v>CLE</v>
      </c>
      <c r="AO145" s="20">
        <f>IFERROR(INDEX(TableWRMaster[BYE],MATCH(TableWRTECalcPts[[#This Row],[POSRef]],TableWRMaster[WRRef],0)),"")</f>
        <v>11</v>
      </c>
      <c r="AP145" s="18">
        <f>IFERROR(INDEX(TableWRMaster[Custom],MATCH(TableWRTECalcPts[[#This Row],[POSRef]],TableWRMaster[WRRef],0)),"")</f>
        <v>8.6514761718000006</v>
      </c>
    </row>
    <row r="146" spans="8:42" x14ac:dyDescent="0.25">
      <c r="H146" s="2" t="str">
        <f>IFERROR(RANK(TableRBCalcPts[[#This Row],[Custom]],TableRBCalcPts[Custom])+COUNTIF($M$3:M146,M146)-1,"")</f>
        <v/>
      </c>
      <c r="I146" s="2">
        <v>144</v>
      </c>
      <c r="J146" s="2" t="str">
        <f>IFERROR(INDEX(TableRBMaster[Player],MATCH(TableRBCalcPts[[#This Row],[RBRef]],TableRBMaster[RBRef],0)),"")</f>
        <v/>
      </c>
      <c r="K146" s="2" t="str">
        <f>IFERROR(INDEX(TableRBMaster[TM],MATCH(TableRBCalcPts[[#This Row],[RBRef]],TableRBMaster[RBRef],0)),"")</f>
        <v/>
      </c>
      <c r="L146" s="2" t="str">
        <f>IFERROR(INDEX(TableRBMaster[BYE],MATCH(TableRBCalcPts[[#This Row],[RBRef]],TableRBMaster[RBRef],0)),"")</f>
        <v/>
      </c>
      <c r="M146" s="3" t="str">
        <f>IFERROR(INDEX(TableRBMaster[Custom],MATCH(TableRBCalcPts[[#This Row],[RBRef]],TableRBMaster[RBRef],0)),"")</f>
        <v/>
      </c>
      <c r="O146" s="2">
        <f>IFERROR(RANK(TableWRCalcPts[[#This Row],[Custom]],TableWRCalcPts[Custom])+COUNTIF($T$3:T146,T146)-1,"")</f>
        <v>33</v>
      </c>
      <c r="P146" s="2">
        <v>144</v>
      </c>
      <c r="Q146" s="2" t="str">
        <f>IFERROR(INDEX(TableWRMaster[Player],MATCH(TableWRCalcPts[[#This Row],[WRRef]],TableWRMaster[WRRef],0)),"")</f>
        <v>Makai Lemon</v>
      </c>
      <c r="R146" s="2" t="str">
        <f>IFERROR(INDEX(TableWRMaster[TM],MATCH(TableWRCalcPts[[#This Row],[WRRef]],TableWRMaster[WRRef],0)),"")</f>
        <v>PHI</v>
      </c>
      <c r="S146" s="2">
        <f>IFERROR(INDEX(TableWRMaster[BYE],MATCH(TableWRCalcPts[[#This Row],[WRRef]],TableWRMaster[WRRef],0)),"")</f>
        <v>10</v>
      </c>
      <c r="T146" s="3">
        <f>IFERROR(INDEX(TableWRMaster[Custom],MATCH(TableWRCalcPts[[#This Row],[WRRef]],TableWRMaster[WRRef],0)),"")</f>
        <v>169.40745113120846</v>
      </c>
      <c r="AI146" s="2" t="s">
        <v>148</v>
      </c>
      <c r="AJ146" s="2">
        <f>IFERROR(RANK(TableWRTECalcPts[[#This Row],[Custom]],TableWRTECalcPts[Custom])+COUNTIF($AP$3:AP146,AP146)-1,"")</f>
        <v>254</v>
      </c>
      <c r="AK146" s="20">
        <v>44</v>
      </c>
      <c r="AL146" s="20" t="str">
        <f>IFERROR(INDEX(TableWRMaster[Player],MATCH(TableWRTECalcPts[[#This Row],[POSRef]],TableWRMaster[WRRef],0)),"")</f>
        <v>Tylan Wallace</v>
      </c>
      <c r="AM146" s="20" t="str">
        <f>IFERROR(_xlfn.CONCAT(TableWRTECalcPts[[#This Row],[POS]],INDEX(TableWRRanks[RK],MATCH(TableWRTECalcPts[[#This Row],[PLAYER]],TableWRRanks[Player],0))),"")</f>
        <v>WR175</v>
      </c>
      <c r="AN146" s="20" t="str">
        <f>IFERROR(INDEX(TableWRMaster[TM],MATCH(TableWRTECalcPts[[#This Row],[POSRef]],TableWRMaster[WRRef],0)),"")</f>
        <v>CLE</v>
      </c>
      <c r="AO146" s="20">
        <f>IFERROR(INDEX(TableWRMaster[BYE],MATCH(TableWRTECalcPts[[#This Row],[POSRef]],TableWRMaster[WRRef],0)),"")</f>
        <v>11</v>
      </c>
      <c r="AP146" s="18">
        <f>IFERROR(INDEX(TableWRMaster[Custom],MATCH(TableWRTECalcPts[[#This Row],[POSRef]],TableWRMaster[WRRef],0)),"")</f>
        <v>5.0916214364399996</v>
      </c>
    </row>
    <row r="147" spans="8:42" x14ac:dyDescent="0.25">
      <c r="H147" s="2" t="str">
        <f>IFERROR(RANK(TableRBCalcPts[[#This Row],[Custom]],TableRBCalcPts[Custom])+COUNTIF($M$3:M147,M147)-1,"")</f>
        <v/>
      </c>
      <c r="I147" s="2">
        <v>145</v>
      </c>
      <c r="J147" s="2" t="str">
        <f>IFERROR(INDEX(TableRBMaster[Player],MATCH(TableRBCalcPts[[#This Row],[RBRef]],TableRBMaster[RBRef],0)),"")</f>
        <v/>
      </c>
      <c r="K147" s="2" t="str">
        <f>IFERROR(INDEX(TableRBMaster[TM],MATCH(TableRBCalcPts[[#This Row],[RBRef]],TableRBMaster[RBRef],0)),"")</f>
        <v/>
      </c>
      <c r="L147" s="2" t="str">
        <f>IFERROR(INDEX(TableRBMaster[BYE],MATCH(TableRBCalcPts[[#This Row],[RBRef]],TableRBMaster[RBRef],0)),"")</f>
        <v/>
      </c>
      <c r="M147" s="3" t="str">
        <f>IFERROR(INDEX(TableRBMaster[Custom],MATCH(TableRBCalcPts[[#This Row],[RBRef]],TableRBMaster[RBRef],0)),"")</f>
        <v/>
      </c>
      <c r="O147" s="2">
        <f>IFERROR(RANK(TableWRCalcPts[[#This Row],[Custom]],TableWRCalcPts[Custom])+COUNTIF($T$3:T147,T147)-1,"")</f>
        <v>98</v>
      </c>
      <c r="P147" s="2">
        <v>145</v>
      </c>
      <c r="Q147" s="2" t="str">
        <f>IFERROR(INDEX(TableWRMaster[Player],MATCH(TableWRCalcPts[[#This Row],[WRRef]],TableWRMaster[WRRef],0)),"")</f>
        <v>Dontayvion Wicks</v>
      </c>
      <c r="R147" s="2" t="str">
        <f>IFERROR(INDEX(TableWRMaster[TM],MATCH(TableWRCalcPts[[#This Row],[WRRef]],TableWRMaster[WRRef],0)),"")</f>
        <v>PHI</v>
      </c>
      <c r="S147" s="2">
        <f>IFERROR(INDEX(TableWRMaster[BYE],MATCH(TableWRCalcPts[[#This Row],[WRRef]],TableWRMaster[WRRef],0)),"")</f>
        <v>10</v>
      </c>
      <c r="T147" s="3">
        <f>IFERROR(INDEX(TableWRMaster[Custom],MATCH(TableWRCalcPts[[#This Row],[WRRef]],TableWRMaster[WRRef],0)),"")</f>
        <v>52.067609080945914</v>
      </c>
      <c r="AI147" s="2" t="s">
        <v>148</v>
      </c>
      <c r="AJ147" s="2">
        <f>IFERROR(RANK(TableWRTECalcPts[[#This Row],[Custom]],TableWRTECalcPts[Custom])+COUNTIF($AP$3:AP147,AP147)-1,"")</f>
        <v>8</v>
      </c>
      <c r="AK147" s="20">
        <v>45</v>
      </c>
      <c r="AL147" s="20" t="str">
        <f>IFERROR(INDEX(TableWRMaster[Player],MATCH(TableWRTECalcPts[[#This Row],[POSRef]],TableWRMaster[WRRef],0)),"")</f>
        <v>CeeDee Lamb</v>
      </c>
      <c r="AM147" s="20" t="str">
        <f>IFERROR(_xlfn.CONCAT(TableWRTECalcPts[[#This Row],[POS]],INDEX(TableWRRanks[RK],MATCH(TableWRTECalcPts[[#This Row],[PLAYER]],TableWRRanks[Player],0))),"")</f>
        <v>WR8</v>
      </c>
      <c r="AN147" s="20" t="str">
        <f>IFERROR(INDEX(TableWRMaster[TM],MATCH(TableWRTECalcPts[[#This Row],[POSRef]],TableWRMaster[WRRef],0)),"")</f>
        <v>DAL</v>
      </c>
      <c r="AO147" s="20">
        <f>IFERROR(INDEX(TableWRMaster[BYE],MATCH(TableWRTECalcPts[[#This Row],[POSRef]],TableWRMaster[WRRef],0)),"")</f>
        <v>14</v>
      </c>
      <c r="AP147" s="18">
        <f>IFERROR(INDEX(TableWRMaster[Custom],MATCH(TableWRTECalcPts[[#This Row],[POSRef]],TableWRMaster[WRRef],0)),"")</f>
        <v>223.24357321838613</v>
      </c>
    </row>
    <row r="148" spans="8:42" x14ac:dyDescent="0.25">
      <c r="H148" s="2" t="str">
        <f>IFERROR(RANK(TableRBCalcPts[[#This Row],[Custom]],TableRBCalcPts[Custom])+COUNTIF($M$3:M148,M148)-1,"")</f>
        <v/>
      </c>
      <c r="I148" s="2">
        <v>146</v>
      </c>
      <c r="J148" s="2" t="str">
        <f>IFERROR(INDEX(TableRBMaster[Player],MATCH(TableRBCalcPts[[#This Row],[RBRef]],TableRBMaster[RBRef],0)),"")</f>
        <v/>
      </c>
      <c r="K148" s="2" t="str">
        <f>IFERROR(INDEX(TableRBMaster[TM],MATCH(TableRBCalcPts[[#This Row],[RBRef]],TableRBMaster[RBRef],0)),"")</f>
        <v/>
      </c>
      <c r="L148" s="2" t="str">
        <f>IFERROR(INDEX(TableRBMaster[BYE],MATCH(TableRBCalcPts[[#This Row],[RBRef]],TableRBMaster[RBRef],0)),"")</f>
        <v/>
      </c>
      <c r="M148" s="3" t="str">
        <f>IFERROR(INDEX(TableRBMaster[Custom],MATCH(TableRBCalcPts[[#This Row],[RBRef]],TableRBMaster[RBRef],0)),"")</f>
        <v/>
      </c>
      <c r="O148" s="2">
        <f>IFERROR(RANK(TableWRCalcPts[[#This Row],[Custom]],TableWRCalcPts[Custom])+COUNTIF($T$3:T148,T148)-1,"")</f>
        <v>123</v>
      </c>
      <c r="P148" s="2">
        <v>146</v>
      </c>
      <c r="Q148" s="2" t="str">
        <f>IFERROR(INDEX(TableWRMaster[Player],MATCH(TableWRCalcPts[[#This Row],[WRRef]],TableWRMaster[WRRef],0)),"")</f>
        <v>Hollywood Brown</v>
      </c>
      <c r="R148" s="2" t="str">
        <f>IFERROR(INDEX(TableWRMaster[TM],MATCH(TableWRCalcPts[[#This Row],[WRRef]],TableWRMaster[WRRef],0)),"")</f>
        <v>PHI</v>
      </c>
      <c r="S148" s="2">
        <f>IFERROR(INDEX(TableWRMaster[BYE],MATCH(TableWRCalcPts[[#This Row],[WRRef]],TableWRMaster[WRRef],0)),"")</f>
        <v>10</v>
      </c>
      <c r="T148" s="3">
        <f>IFERROR(INDEX(TableWRMaster[Custom],MATCH(TableWRCalcPts[[#This Row],[WRRef]],TableWRMaster[WRRef],0)),"")</f>
        <v>27.400382337814349</v>
      </c>
      <c r="AI148" s="2" t="s">
        <v>148</v>
      </c>
      <c r="AJ148" s="2">
        <f>IFERROR(RANK(TableWRTECalcPts[[#This Row],[Custom]],TableWRTECalcPts[Custom])+COUNTIF($AP$3:AP148,AP148)-1,"")</f>
        <v>5</v>
      </c>
      <c r="AK148" s="20">
        <v>46</v>
      </c>
      <c r="AL148" s="20" t="str">
        <f>IFERROR(INDEX(TableWRMaster[Player],MATCH(TableWRTECalcPts[[#This Row],[POSRef]],TableWRMaster[WRRef],0)),"")</f>
        <v>George Pickens</v>
      </c>
      <c r="AM148" s="20" t="str">
        <f>IFERROR(_xlfn.CONCAT(TableWRTECalcPts[[#This Row],[POS]],INDEX(TableWRRanks[RK],MATCH(TableWRTECalcPts[[#This Row],[PLAYER]],TableWRRanks[Player],0))),"")</f>
        <v>WR5</v>
      </c>
      <c r="AN148" s="20" t="str">
        <f>IFERROR(INDEX(TableWRMaster[TM],MATCH(TableWRTECalcPts[[#This Row],[POSRef]],TableWRMaster[WRRef],0)),"")</f>
        <v>DAL</v>
      </c>
      <c r="AO148" s="20">
        <f>IFERROR(INDEX(TableWRMaster[BYE],MATCH(TableWRTECalcPts[[#This Row],[POSRef]],TableWRMaster[WRRef],0)),"")</f>
        <v>14</v>
      </c>
      <c r="AP148" s="18">
        <f>IFERROR(INDEX(TableWRMaster[Custom],MATCH(TableWRTECalcPts[[#This Row],[POSRef]],TableWRMaster[WRRef],0)),"")</f>
        <v>232.51214033920755</v>
      </c>
    </row>
    <row r="149" spans="8:42" x14ac:dyDescent="0.25">
      <c r="H149" s="2" t="str">
        <f>IFERROR(RANK(TableRBCalcPts[[#This Row],[Custom]],TableRBCalcPts[Custom])+COUNTIF($M$3:M149,M149)-1,"")</f>
        <v/>
      </c>
      <c r="I149" s="2">
        <v>147</v>
      </c>
      <c r="J149" s="2" t="str">
        <f>IFERROR(INDEX(TableRBMaster[Player],MATCH(TableRBCalcPts[[#This Row],[RBRef]],TableRBMaster[RBRef],0)),"")</f>
        <v/>
      </c>
      <c r="K149" s="2" t="str">
        <f>IFERROR(INDEX(TableRBMaster[TM],MATCH(TableRBCalcPts[[#This Row],[RBRef]],TableRBMaster[RBRef],0)),"")</f>
        <v/>
      </c>
      <c r="L149" s="2" t="str">
        <f>IFERROR(INDEX(TableRBMaster[BYE],MATCH(TableRBCalcPts[[#This Row],[RBRef]],TableRBMaster[RBRef],0)),"")</f>
        <v/>
      </c>
      <c r="M149" s="3" t="str">
        <f>IFERROR(INDEX(TableRBMaster[Custom],MATCH(TableRBCalcPts[[#This Row],[RBRef]],TableRBMaster[RBRef],0)),"")</f>
        <v/>
      </c>
      <c r="O149" s="2">
        <f>IFERROR(RANK(TableWRCalcPts[[#This Row],[Custom]],TableWRCalcPts[Custom])+COUNTIF($T$3:T149,T149)-1,"")</f>
        <v>138</v>
      </c>
      <c r="P149" s="2">
        <v>147</v>
      </c>
      <c r="Q149" s="2" t="str">
        <f>IFERROR(INDEX(TableWRMaster[Player],MATCH(TableWRCalcPts[[#This Row],[WRRef]],TableWRMaster[WRRef],0)),"")</f>
        <v>Elijah Moore</v>
      </c>
      <c r="R149" s="2" t="str">
        <f>IFERROR(INDEX(TableWRMaster[TM],MATCH(TableWRCalcPts[[#This Row],[WRRef]],TableWRMaster[WRRef],0)),"")</f>
        <v>PHI</v>
      </c>
      <c r="S149" s="2">
        <f>IFERROR(INDEX(TableWRMaster[BYE],MATCH(TableWRCalcPts[[#This Row],[WRRef]],TableWRMaster[WRRef],0)),"")</f>
        <v>10</v>
      </c>
      <c r="T149" s="3">
        <f>IFERROR(INDEX(TableWRMaster[Custom],MATCH(TableWRCalcPts[[#This Row],[WRRef]],TableWRMaster[WRRef],0)),"")</f>
        <v>14.119421015700002</v>
      </c>
      <c r="AI149" s="2" t="s">
        <v>148</v>
      </c>
      <c r="AJ149" s="2">
        <f>IFERROR(RANK(TableWRTECalcPts[[#This Row],[Custom]],TableWRTECalcPts[Custom])+COUNTIF($AP$3:AP149,AP149)-1,"")</f>
        <v>98</v>
      </c>
      <c r="AK149" s="20">
        <v>47</v>
      </c>
      <c r="AL149" s="20" t="str">
        <f>IFERROR(INDEX(TableWRMaster[Player],MATCH(TableWRTECalcPts[[#This Row],[POSRef]],TableWRMaster[WRRef],0)),"")</f>
        <v>Ryan Flournoy</v>
      </c>
      <c r="AM149" s="20" t="str">
        <f>IFERROR(_xlfn.CONCAT(TableWRTECalcPts[[#This Row],[POS]],INDEX(TableWRRanks[RK],MATCH(TableWRTECalcPts[[#This Row],[PLAYER]],TableWRRanks[Player],0))),"")</f>
        <v>WR73</v>
      </c>
      <c r="AN149" s="20" t="str">
        <f>IFERROR(INDEX(TableWRMaster[TM],MATCH(TableWRTECalcPts[[#This Row],[POSRef]],TableWRMaster[WRRef],0)),"")</f>
        <v>DAL</v>
      </c>
      <c r="AO149" s="20">
        <f>IFERROR(INDEX(TableWRMaster[BYE],MATCH(TableWRTECalcPts[[#This Row],[POSRef]],TableWRMaster[WRRef],0)),"")</f>
        <v>14</v>
      </c>
      <c r="AP149" s="18">
        <f>IFERROR(INDEX(TableWRMaster[Custom],MATCH(TableWRTECalcPts[[#This Row],[POSRef]],TableWRMaster[WRRef],0)),"")</f>
        <v>90.284185390366062</v>
      </c>
    </row>
    <row r="150" spans="8:42" x14ac:dyDescent="0.25">
      <c r="H150" s="2" t="str">
        <f>IFERROR(RANK(TableRBCalcPts[[#This Row],[Custom]],TableRBCalcPts[Custom])+COUNTIF($M$3:M150,M150)-1,"")</f>
        <v/>
      </c>
      <c r="I150" s="2">
        <v>148</v>
      </c>
      <c r="J150" s="2" t="str">
        <f>IFERROR(INDEX(TableRBMaster[Player],MATCH(TableRBCalcPts[[#This Row],[RBRef]],TableRBMaster[RBRef],0)),"")</f>
        <v/>
      </c>
      <c r="K150" s="2" t="str">
        <f>IFERROR(INDEX(TableRBMaster[TM],MATCH(TableRBCalcPts[[#This Row],[RBRef]],TableRBMaster[RBRef],0)),"")</f>
        <v/>
      </c>
      <c r="L150" s="2" t="str">
        <f>IFERROR(INDEX(TableRBMaster[BYE],MATCH(TableRBCalcPts[[#This Row],[RBRef]],TableRBMaster[RBRef],0)),"")</f>
        <v/>
      </c>
      <c r="M150" s="3" t="str">
        <f>IFERROR(INDEX(TableRBMaster[Custom],MATCH(TableRBCalcPts[[#This Row],[RBRef]],TableRBMaster[RBRef],0)),"")</f>
        <v/>
      </c>
      <c r="O150" s="2">
        <f>IFERROR(RANK(TableWRCalcPts[[#This Row],[Custom]],TableWRCalcPts[Custom])+COUNTIF($T$3:T150,T150)-1,"")</f>
        <v>153</v>
      </c>
      <c r="P150" s="2">
        <v>148</v>
      </c>
      <c r="Q150" s="2" t="str">
        <f>IFERROR(INDEX(TableWRMaster[Player],MATCH(TableWRCalcPts[[#This Row],[WRRef]],TableWRMaster[WRRef],0)),"")</f>
        <v>Darius Cooper</v>
      </c>
      <c r="R150" s="2" t="str">
        <f>IFERROR(INDEX(TableWRMaster[TM],MATCH(TableWRCalcPts[[#This Row],[WRRef]],TableWRMaster[WRRef],0)),"")</f>
        <v>PHI</v>
      </c>
      <c r="S150" s="2">
        <f>IFERROR(INDEX(TableWRMaster[BYE],MATCH(TableWRCalcPts[[#This Row],[WRRef]],TableWRMaster[WRRef],0)),"")</f>
        <v>10</v>
      </c>
      <c r="T150" s="3">
        <f>IFERROR(INDEX(TableWRMaster[Custom],MATCH(TableWRCalcPts[[#This Row],[WRRef]],TableWRMaster[WRRef],0)),"")</f>
        <v>8.0354077095599976</v>
      </c>
      <c r="AI150" s="2" t="s">
        <v>148</v>
      </c>
      <c r="AJ150" s="2">
        <f>IFERROR(RANK(TableWRTECalcPts[[#This Row],[Custom]],TableWRTECalcPts[Custom])+COUNTIF($AP$3:AP150,AP150)-1,"")</f>
        <v>117</v>
      </c>
      <c r="AK150" s="20">
        <v>48</v>
      </c>
      <c r="AL150" s="20" t="str">
        <f>IFERROR(INDEX(TableWRMaster[Player],MATCH(TableWRTECalcPts[[#This Row],[POSRef]],TableWRMaster[WRRef],0)),"")</f>
        <v>KaVontae Turpin</v>
      </c>
      <c r="AM150" s="20" t="str">
        <f>IFERROR(_xlfn.CONCAT(TableWRTECalcPts[[#This Row],[POS]],INDEX(TableWRRanks[RK],MATCH(TableWRTECalcPts[[#This Row],[PLAYER]],TableWRRanks[Player],0))),"")</f>
        <v>WR84</v>
      </c>
      <c r="AN150" s="20" t="str">
        <f>IFERROR(INDEX(TableWRMaster[TM],MATCH(TableWRTECalcPts[[#This Row],[POSRef]],TableWRMaster[WRRef],0)),"")</f>
        <v>DAL</v>
      </c>
      <c r="AO150" s="20">
        <f>IFERROR(INDEX(TableWRMaster[BYE],MATCH(TableWRTECalcPts[[#This Row],[POSRef]],TableWRMaster[WRRef],0)),"")</f>
        <v>14</v>
      </c>
      <c r="AP150" s="18">
        <f>IFERROR(INDEX(TableWRMaster[Custom],MATCH(TableWRTECalcPts[[#This Row],[POSRef]],TableWRMaster[WRRef],0)),"")</f>
        <v>64.301898003885839</v>
      </c>
    </row>
    <row r="151" spans="8:42" x14ac:dyDescent="0.25">
      <c r="H151" s="2" t="str">
        <f>IFERROR(RANK(TableRBCalcPts[[#This Row],[Custom]],TableRBCalcPts[Custom])+COUNTIF($M$3:M151,M151)-1,"")</f>
        <v/>
      </c>
      <c r="I151" s="2">
        <v>149</v>
      </c>
      <c r="J151" s="2" t="str">
        <f>IFERROR(INDEX(TableRBMaster[Player],MATCH(TableRBCalcPts[[#This Row],[RBRef]],TableRBMaster[RBRef],0)),"")</f>
        <v/>
      </c>
      <c r="K151" s="2" t="str">
        <f>IFERROR(INDEX(TableRBMaster[TM],MATCH(TableRBCalcPts[[#This Row],[RBRef]],TableRBMaster[RBRef],0)),"")</f>
        <v/>
      </c>
      <c r="L151" s="2" t="str">
        <f>IFERROR(INDEX(TableRBMaster[BYE],MATCH(TableRBCalcPts[[#This Row],[RBRef]],TableRBMaster[RBRef],0)),"")</f>
        <v/>
      </c>
      <c r="M151" s="3" t="str">
        <f>IFERROR(INDEX(TableRBMaster[Custom],MATCH(TableRBCalcPts[[#This Row],[RBRef]],TableRBMaster[RBRef],0)),"")</f>
        <v/>
      </c>
      <c r="O151" s="2">
        <f>IFERROR(RANK(TableWRCalcPts[[#This Row],[Custom]],TableWRCalcPts[Custom])+COUNTIF($T$3:T151,T151)-1,"")</f>
        <v>38</v>
      </c>
      <c r="P151" s="2">
        <v>149</v>
      </c>
      <c r="Q151" s="2" t="str">
        <f>IFERROR(INDEX(TableWRMaster[Player],MATCH(TableWRCalcPts[[#This Row],[WRRef]],TableWRMaster[WRRef],0)),"")</f>
        <v>Michael Pittman</v>
      </c>
      <c r="R151" s="2" t="str">
        <f>IFERROR(INDEX(TableWRMaster[TM],MATCH(TableWRCalcPts[[#This Row],[WRRef]],TableWRMaster[WRRef],0)),"")</f>
        <v>PIT</v>
      </c>
      <c r="S151" s="2">
        <f>IFERROR(INDEX(TableWRMaster[BYE],MATCH(TableWRCalcPts[[#This Row],[WRRef]],TableWRMaster[WRRef],0)),"")</f>
        <v>9</v>
      </c>
      <c r="T151" s="3">
        <f>IFERROR(INDEX(TableWRMaster[Custom],MATCH(TableWRCalcPts[[#This Row],[WRRef]],TableWRMaster[WRRef],0)),"")</f>
        <v>161.35338225495778</v>
      </c>
      <c r="AI151" s="2" t="s">
        <v>148</v>
      </c>
      <c r="AJ151" s="2">
        <f>IFERROR(RANK(TableWRTECalcPts[[#This Row],[Custom]],TableWRTECalcPts[Custom])+COUNTIF($AP$3:AP151,AP151)-1,"")</f>
        <v>224</v>
      </c>
      <c r="AK151" s="20">
        <v>49</v>
      </c>
      <c r="AL151" s="20" t="str">
        <f>IFERROR(INDEX(TableWRMaster[Player],MATCH(TableWRTECalcPts[[#This Row],[POSRef]],TableWRMaster[WRRef],0)),"")</f>
        <v>Jonathan Mingo</v>
      </c>
      <c r="AM151" s="20" t="str">
        <f>IFERROR(_xlfn.CONCAT(TableWRTECalcPts[[#This Row],[POS]],INDEX(TableWRRanks[RK],MATCH(TableWRTECalcPts[[#This Row],[PLAYER]],TableWRRanks[Player],0))),"")</f>
        <v>WR150</v>
      </c>
      <c r="AN151" s="20" t="str">
        <f>IFERROR(INDEX(TableWRMaster[TM],MATCH(TableWRTECalcPts[[#This Row],[POSRef]],TableWRMaster[WRRef],0)),"")</f>
        <v>DAL</v>
      </c>
      <c r="AO151" s="20">
        <f>IFERROR(INDEX(TableWRMaster[BYE],MATCH(TableWRTECalcPts[[#This Row],[POSRef]],TableWRMaster[WRRef],0)),"")</f>
        <v>14</v>
      </c>
      <c r="AP151" s="18">
        <f>IFERROR(INDEX(TableWRMaster[Custom],MATCH(TableWRTECalcPts[[#This Row],[POSRef]],TableWRMaster[WRRef],0)),"")</f>
        <v>8.6646782331413945</v>
      </c>
    </row>
    <row r="152" spans="8:42" x14ac:dyDescent="0.25">
      <c r="H152" s="2" t="str">
        <f>IFERROR(RANK(TableRBCalcPts[[#This Row],[Custom]],TableRBCalcPts[Custom])+COUNTIF($M$3:M152,M152)-1,"")</f>
        <v/>
      </c>
      <c r="I152" s="2">
        <v>150</v>
      </c>
      <c r="J152" s="2" t="str">
        <f>IFERROR(INDEX(TableRBMaster[Player],MATCH(TableRBCalcPts[[#This Row],[RBRef]],TableRBMaster[RBRef],0)),"")</f>
        <v/>
      </c>
      <c r="K152" s="2" t="str">
        <f>IFERROR(INDEX(TableRBMaster[TM],MATCH(TableRBCalcPts[[#This Row],[RBRef]],TableRBMaster[RBRef],0)),"")</f>
        <v/>
      </c>
      <c r="L152" s="2" t="str">
        <f>IFERROR(INDEX(TableRBMaster[BYE],MATCH(TableRBCalcPts[[#This Row],[RBRef]],TableRBMaster[RBRef],0)),"")</f>
        <v/>
      </c>
      <c r="M152" s="3" t="str">
        <f>IFERROR(INDEX(TableRBMaster[Custom],MATCH(TableRBCalcPts[[#This Row],[RBRef]],TableRBMaster[RBRef],0)),"")</f>
        <v/>
      </c>
      <c r="O152" s="2">
        <f>IFERROR(RANK(TableWRCalcPts[[#This Row],[Custom]],TableWRCalcPts[Custom])+COUNTIF($T$3:T152,T152)-1,"")</f>
        <v>37</v>
      </c>
      <c r="P152" s="2">
        <v>150</v>
      </c>
      <c r="Q152" s="2" t="str">
        <f>IFERROR(INDEX(TableWRMaster[Player],MATCH(TableWRCalcPts[[#This Row],[WRRef]],TableWRMaster[WRRef],0)),"")</f>
        <v>DK Metcalf</v>
      </c>
      <c r="R152" s="2" t="str">
        <f>IFERROR(INDEX(TableWRMaster[TM],MATCH(TableWRCalcPts[[#This Row],[WRRef]],TableWRMaster[WRRef],0)),"")</f>
        <v>PIT</v>
      </c>
      <c r="S152" s="2">
        <f>IFERROR(INDEX(TableWRMaster[BYE],MATCH(TableWRCalcPts[[#This Row],[WRRef]],TableWRMaster[WRRef],0)),"")</f>
        <v>9</v>
      </c>
      <c r="T152" s="3">
        <f>IFERROR(INDEX(TableWRMaster[Custom],MATCH(TableWRCalcPts[[#This Row],[WRRef]],TableWRMaster[WRRef],0)),"")</f>
        <v>162.91605562564334</v>
      </c>
      <c r="AI152" s="2" t="s">
        <v>148</v>
      </c>
      <c r="AJ152" s="2">
        <f>IFERROR(RANK(TableWRTECalcPts[[#This Row],[Custom]],TableWRTECalcPts[Custom])+COUNTIF($AP$3:AP152,AP152)-1,"")</f>
        <v>233</v>
      </c>
      <c r="AK152" s="20">
        <v>50</v>
      </c>
      <c r="AL152" s="20" t="str">
        <f>IFERROR(INDEX(TableWRMaster[Player],MATCH(TableWRTECalcPts[[#This Row],[POSRef]],TableWRMaster[WRRef],0)),"")</f>
        <v>Marquez Valdes-Scantling</v>
      </c>
      <c r="AM152" s="20" t="str">
        <f>IFERROR(_xlfn.CONCAT(TableWRTECalcPts[[#This Row],[POS]],INDEX(TableWRRanks[RK],MATCH(TableWRTECalcPts[[#This Row],[PLAYER]],TableWRRanks[Player],0))),"")</f>
        <v>WR158</v>
      </c>
      <c r="AN152" s="20" t="str">
        <f>IFERROR(INDEX(TableWRMaster[TM],MATCH(TableWRTECalcPts[[#This Row],[POSRef]],TableWRMaster[WRRef],0)),"")</f>
        <v>DAL</v>
      </c>
      <c r="AO152" s="20">
        <f>IFERROR(INDEX(TableWRMaster[BYE],MATCH(TableWRTECalcPts[[#This Row],[POSRef]],TableWRMaster[WRRef],0)),"")</f>
        <v>14</v>
      </c>
      <c r="AP152" s="18">
        <f>IFERROR(INDEX(TableWRMaster[Custom],MATCH(TableWRTECalcPts[[#This Row],[POSRef]],TableWRMaster[WRRef],0)),"")</f>
        <v>7.5520263973000006</v>
      </c>
    </row>
    <row r="153" spans="8:42" x14ac:dyDescent="0.25">
      <c r="H153" s="2" t="str">
        <f>IFERROR(RANK(TableRBCalcPts[[#This Row],[Custom]],TableRBCalcPts[Custom])+COUNTIF($M$3:M153,M153)-1,"")</f>
        <v/>
      </c>
      <c r="I153" s="2">
        <v>151</v>
      </c>
      <c r="J153" s="2" t="str">
        <f>IFERROR(INDEX(TableRBMaster[Player],MATCH(TableRBCalcPts[[#This Row],[RBRef]],TableRBMaster[RBRef],0)),"")</f>
        <v/>
      </c>
      <c r="K153" s="2" t="str">
        <f>IFERROR(INDEX(TableRBMaster[TM],MATCH(TableRBCalcPts[[#This Row],[RBRef]],TableRBMaster[RBRef],0)),"")</f>
        <v/>
      </c>
      <c r="L153" s="2" t="str">
        <f>IFERROR(INDEX(TableRBMaster[BYE],MATCH(TableRBCalcPts[[#This Row],[RBRef]],TableRBMaster[RBRef],0)),"")</f>
        <v/>
      </c>
      <c r="M153" s="3" t="str">
        <f>IFERROR(INDEX(TableRBMaster[Custom],MATCH(TableRBCalcPts[[#This Row],[RBRef]],TableRBMaster[RBRef],0)),"")</f>
        <v/>
      </c>
      <c r="O153" s="2">
        <f>IFERROR(RANK(TableWRCalcPts[[#This Row],[Custom]],TableWRCalcPts[Custom])+COUNTIF($T$3:T153,T153)-1,"")</f>
        <v>71</v>
      </c>
      <c r="P153" s="2">
        <v>151</v>
      </c>
      <c r="Q153" s="2" t="str">
        <f>IFERROR(INDEX(TableWRMaster[Player],MATCH(TableWRCalcPts[[#This Row],[WRRef]],TableWRMaster[WRRef],0)),"")</f>
        <v>Germie Bernard</v>
      </c>
      <c r="R153" s="2" t="str">
        <f>IFERROR(INDEX(TableWRMaster[TM],MATCH(TableWRCalcPts[[#This Row],[WRRef]],TableWRMaster[WRRef],0)),"")</f>
        <v>PIT</v>
      </c>
      <c r="S153" s="2">
        <f>IFERROR(INDEX(TableWRMaster[BYE],MATCH(TableWRCalcPts[[#This Row],[WRRef]],TableWRMaster[WRRef],0)),"")</f>
        <v>9</v>
      </c>
      <c r="T153" s="3">
        <f>IFERROR(INDEX(TableWRMaster[Custom],MATCH(TableWRCalcPts[[#This Row],[WRRef]],TableWRMaster[WRRef],0)),"")</f>
        <v>91.944125838049231</v>
      </c>
      <c r="AI153" s="2" t="s">
        <v>148</v>
      </c>
      <c r="AJ153" s="2">
        <f>IFERROR(RANK(TableWRTECalcPts[[#This Row],[Custom]],TableWRTECalcPts[Custom])+COUNTIF($AP$3:AP153,AP153)-1,"")</f>
        <v>14</v>
      </c>
      <c r="AK153" s="20">
        <v>51</v>
      </c>
      <c r="AL153" s="20" t="str">
        <f>IFERROR(INDEX(TableWRMaster[Player],MATCH(TableWRTECalcPts[[#This Row],[POSRef]],TableWRMaster[WRRef],0)),"")</f>
        <v>Jaylen Waddle</v>
      </c>
      <c r="AM153" s="20" t="str">
        <f>IFERROR(_xlfn.CONCAT(TableWRTECalcPts[[#This Row],[POS]],INDEX(TableWRRanks[RK],MATCH(TableWRTECalcPts[[#This Row],[PLAYER]],TableWRRanks[Player],0))),"")</f>
        <v>WR14</v>
      </c>
      <c r="AN153" s="20" t="str">
        <f>IFERROR(INDEX(TableWRMaster[TM],MATCH(TableWRTECalcPts[[#This Row],[POSRef]],TableWRMaster[WRRef],0)),"")</f>
        <v>DEN</v>
      </c>
      <c r="AO153" s="20">
        <f>IFERROR(INDEX(TableWRMaster[BYE],MATCH(TableWRTECalcPts[[#This Row],[POSRef]],TableWRMaster[WRRef],0)),"")</f>
        <v>10</v>
      </c>
      <c r="AP153" s="18">
        <f>IFERROR(INDEX(TableWRMaster[Custom],MATCH(TableWRTECalcPts[[#This Row],[POSRef]],TableWRMaster[WRRef],0)),"")</f>
        <v>200.8042267743339</v>
      </c>
    </row>
    <row r="154" spans="8:42" x14ac:dyDescent="0.25">
      <c r="H154" s="2" t="str">
        <f>IFERROR(RANK(TableRBCalcPts[[#This Row],[Custom]],TableRBCalcPts[Custom])+COUNTIF($M$3:M154,M154)-1,"")</f>
        <v/>
      </c>
      <c r="I154" s="2">
        <v>152</v>
      </c>
      <c r="J154" s="2" t="str">
        <f>IFERROR(INDEX(TableRBMaster[Player],MATCH(TableRBCalcPts[[#This Row],[RBRef]],TableRBMaster[RBRef],0)),"")</f>
        <v/>
      </c>
      <c r="K154" s="2" t="str">
        <f>IFERROR(INDEX(TableRBMaster[TM],MATCH(TableRBCalcPts[[#This Row],[RBRef]],TableRBMaster[RBRef],0)),"")</f>
        <v/>
      </c>
      <c r="L154" s="2" t="str">
        <f>IFERROR(INDEX(TableRBMaster[BYE],MATCH(TableRBCalcPts[[#This Row],[RBRef]],TableRBMaster[RBRef],0)),"")</f>
        <v/>
      </c>
      <c r="M154" s="3" t="str">
        <f>IFERROR(INDEX(TableRBMaster[Custom],MATCH(TableRBCalcPts[[#This Row],[RBRef]],TableRBMaster[RBRef],0)),"")</f>
        <v/>
      </c>
      <c r="O154" s="2">
        <f>IFERROR(RANK(TableWRCalcPts[[#This Row],[Custom]],TableWRCalcPts[Custom])+COUNTIF($T$3:T154,T154)-1,"")</f>
        <v>137</v>
      </c>
      <c r="P154" s="2">
        <v>152</v>
      </c>
      <c r="Q154" s="2" t="str">
        <f>IFERROR(INDEX(TableWRMaster[Player],MATCH(TableWRCalcPts[[#This Row],[WRRef]],TableWRMaster[WRRef],0)),"")</f>
        <v>Ben Skowronek</v>
      </c>
      <c r="R154" s="2" t="str">
        <f>IFERROR(INDEX(TableWRMaster[TM],MATCH(TableWRCalcPts[[#This Row],[WRRef]],TableWRMaster[WRRef],0)),"")</f>
        <v>PIT</v>
      </c>
      <c r="S154" s="2">
        <f>IFERROR(INDEX(TableWRMaster[BYE],MATCH(TableWRCalcPts[[#This Row],[WRRef]],TableWRMaster[WRRef],0)),"")</f>
        <v>9</v>
      </c>
      <c r="T154" s="3">
        <f>IFERROR(INDEX(TableWRMaster[Custom],MATCH(TableWRCalcPts[[#This Row],[WRRef]],TableWRMaster[WRRef],0)),"")</f>
        <v>14.542424820000003</v>
      </c>
      <c r="AI154" s="2" t="s">
        <v>148</v>
      </c>
      <c r="AJ154" s="2">
        <f>IFERROR(RANK(TableWRTECalcPts[[#This Row],[Custom]],TableWRTECalcPts[Custom])+COUNTIF($AP$3:AP154,AP154)-1,"")</f>
        <v>35</v>
      </c>
      <c r="AK154" s="20">
        <v>52</v>
      </c>
      <c r="AL154" s="20" t="str">
        <f>IFERROR(INDEX(TableWRMaster[Player],MATCH(TableWRTECalcPts[[#This Row],[POSRef]],TableWRMaster[WRRef],0)),"")</f>
        <v>Courtland Sutton</v>
      </c>
      <c r="AM154" s="20" t="str">
        <f>IFERROR(_xlfn.CONCAT(TableWRTECalcPts[[#This Row],[POS]],INDEX(TableWRRanks[RK],MATCH(TableWRTECalcPts[[#This Row],[PLAYER]],TableWRRanks[Player],0))),"")</f>
        <v>WR32</v>
      </c>
      <c r="AN154" s="20" t="str">
        <f>IFERROR(INDEX(TableWRMaster[TM],MATCH(TableWRTECalcPts[[#This Row],[POSRef]],TableWRMaster[WRRef],0)),"")</f>
        <v>DEN</v>
      </c>
      <c r="AO154" s="20">
        <f>IFERROR(INDEX(TableWRMaster[BYE],MATCH(TableWRTECalcPts[[#This Row],[POSRef]],TableWRMaster[WRRef],0)),"")</f>
        <v>10</v>
      </c>
      <c r="AP154" s="18">
        <f>IFERROR(INDEX(TableWRMaster[Custom],MATCH(TableWRTECalcPts[[#This Row],[POSRef]],TableWRMaster[WRRef],0)),"")</f>
        <v>170.42848543673475</v>
      </c>
    </row>
    <row r="155" spans="8:42" x14ac:dyDescent="0.25">
      <c r="H155" s="2" t="str">
        <f>IFERROR(RANK(TableRBCalcPts[[#This Row],[Custom]],TableRBCalcPts[Custom])+COUNTIF($M$3:M155,M155)-1,"")</f>
        <v/>
      </c>
      <c r="I155" s="2">
        <v>153</v>
      </c>
      <c r="J155" s="2" t="str">
        <f>IFERROR(INDEX(TableRBMaster[Player],MATCH(TableRBCalcPts[[#This Row],[RBRef]],TableRBMaster[RBRef],0)),"")</f>
        <v/>
      </c>
      <c r="K155" s="2" t="str">
        <f>IFERROR(INDEX(TableRBMaster[TM],MATCH(TableRBCalcPts[[#This Row],[RBRef]],TableRBMaster[RBRef],0)),"")</f>
        <v/>
      </c>
      <c r="L155" s="2" t="str">
        <f>IFERROR(INDEX(TableRBMaster[BYE],MATCH(TableRBCalcPts[[#This Row],[RBRef]],TableRBMaster[RBRef],0)),"")</f>
        <v/>
      </c>
      <c r="M155" s="3" t="str">
        <f>IFERROR(INDEX(TableRBMaster[Custom],MATCH(TableRBCalcPts[[#This Row],[RBRef]],TableRBMaster[RBRef],0)),"")</f>
        <v/>
      </c>
      <c r="O155" s="2">
        <f>IFERROR(RANK(TableWRCalcPts[[#This Row],[Custom]],TableWRCalcPts[Custom])+COUNTIF($T$3:T155,T155)-1,"")</f>
        <v>156</v>
      </c>
      <c r="P155" s="2">
        <v>153</v>
      </c>
      <c r="Q155" s="2" t="str">
        <f>IFERROR(INDEX(TableWRMaster[Player],MATCH(TableWRCalcPts[[#This Row],[WRRef]],TableWRMaster[WRRef],0)),"")</f>
        <v>Roman Wilson</v>
      </c>
      <c r="R155" s="2" t="str">
        <f>IFERROR(INDEX(TableWRMaster[TM],MATCH(TableWRCalcPts[[#This Row],[WRRef]],TableWRMaster[WRRef],0)),"")</f>
        <v>PIT</v>
      </c>
      <c r="S155" s="2">
        <f>IFERROR(INDEX(TableWRMaster[BYE],MATCH(TableWRCalcPts[[#This Row],[WRRef]],TableWRMaster[WRRef],0)),"")</f>
        <v>9</v>
      </c>
      <c r="T155" s="3">
        <f>IFERROR(INDEX(TableWRMaster[Custom],MATCH(TableWRCalcPts[[#This Row],[WRRef]],TableWRMaster[WRRef],0)),"")</f>
        <v>7.8258581215897616</v>
      </c>
      <c r="AI155" s="2" t="s">
        <v>148</v>
      </c>
      <c r="AJ155" s="2">
        <f>IFERROR(RANK(TableWRTECalcPts[[#This Row],[Custom]],TableWRTECalcPts[Custom])+COUNTIF($AP$3:AP155,AP155)-1,"")</f>
        <v>119</v>
      </c>
      <c r="AK155" s="20">
        <v>53</v>
      </c>
      <c r="AL155" s="20" t="str">
        <f>IFERROR(INDEX(TableWRMaster[Player],MATCH(TableWRTECalcPts[[#This Row],[POSRef]],TableWRMaster[WRRef],0)),"")</f>
        <v>Troy Franklin</v>
      </c>
      <c r="AM155" s="20" t="str">
        <f>IFERROR(_xlfn.CONCAT(TableWRTECalcPts[[#This Row],[POS]],INDEX(TableWRRanks[RK],MATCH(TableWRTECalcPts[[#This Row],[PLAYER]],TableWRRanks[Player],0))),"")</f>
        <v>WR85</v>
      </c>
      <c r="AN155" s="20" t="str">
        <f>IFERROR(INDEX(TableWRMaster[TM],MATCH(TableWRTECalcPts[[#This Row],[POSRef]],TableWRMaster[WRRef],0)),"")</f>
        <v>DEN</v>
      </c>
      <c r="AO155" s="20">
        <f>IFERROR(INDEX(TableWRMaster[BYE],MATCH(TableWRTECalcPts[[#This Row],[POSRef]],TableWRMaster[WRRef],0)),"")</f>
        <v>10</v>
      </c>
      <c r="AP155" s="18">
        <f>IFERROR(INDEX(TableWRMaster[Custom],MATCH(TableWRTECalcPts[[#This Row],[POSRef]],TableWRMaster[WRRef],0)),"")</f>
        <v>62.943624265789154</v>
      </c>
    </row>
    <row r="156" spans="8:42" x14ac:dyDescent="0.25">
      <c r="H156" s="2" t="str">
        <f>IFERROR(RANK(TableRBCalcPts[[#This Row],[Custom]],TableRBCalcPts[Custom])+COUNTIF($M$3:M156,M156)-1,"")</f>
        <v/>
      </c>
      <c r="I156" s="2">
        <v>154</v>
      </c>
      <c r="J156" s="2" t="str">
        <f>IFERROR(INDEX(TableRBMaster[Player],MATCH(TableRBCalcPts[[#This Row],[RBRef]],TableRBMaster[RBRef],0)),"")</f>
        <v/>
      </c>
      <c r="K156" s="2" t="str">
        <f>IFERROR(INDEX(TableRBMaster[TM],MATCH(TableRBCalcPts[[#This Row],[RBRef]],TableRBMaster[RBRef],0)),"")</f>
        <v/>
      </c>
      <c r="L156" s="2" t="str">
        <f>IFERROR(INDEX(TableRBMaster[BYE],MATCH(TableRBCalcPts[[#This Row],[RBRef]],TableRBMaster[RBRef],0)),"")</f>
        <v/>
      </c>
      <c r="M156" s="3" t="str">
        <f>IFERROR(INDEX(TableRBMaster[Custom],MATCH(TableRBCalcPts[[#This Row],[RBRef]],TableRBMaster[RBRef],0)),"")</f>
        <v/>
      </c>
      <c r="O156" s="2">
        <f>IFERROR(RANK(TableWRCalcPts[[#This Row],[Custom]],TableWRCalcPts[Custom])+COUNTIF($T$3:T156,T156)-1,"")</f>
        <v>1</v>
      </c>
      <c r="P156" s="2">
        <v>154</v>
      </c>
      <c r="Q156" s="2" t="str">
        <f>IFERROR(INDEX(TableWRMaster[Player],MATCH(TableWRCalcPts[[#This Row],[WRRef]],TableWRMaster[WRRef],0)),"")</f>
        <v>Jaxon Smith-Njigba</v>
      </c>
      <c r="R156" s="2" t="str">
        <f>IFERROR(INDEX(TableWRMaster[TM],MATCH(TableWRCalcPts[[#This Row],[WRRef]],TableWRMaster[WRRef],0)),"")</f>
        <v>SEA</v>
      </c>
      <c r="S156" s="2">
        <f>IFERROR(INDEX(TableWRMaster[BYE],MATCH(TableWRCalcPts[[#This Row],[WRRef]],TableWRMaster[WRRef],0)),"")</f>
        <v>11</v>
      </c>
      <c r="T156" s="3">
        <f>IFERROR(INDEX(TableWRMaster[Custom],MATCH(TableWRCalcPts[[#This Row],[WRRef]],TableWRMaster[WRRef],0)),"")</f>
        <v>300.17510590598198</v>
      </c>
      <c r="AI156" s="2" t="s">
        <v>148</v>
      </c>
      <c r="AJ156" s="2">
        <f>IFERROR(RANK(TableWRTECalcPts[[#This Row],[Custom]],TableWRTECalcPts[Custom])+COUNTIF($AP$3:AP156,AP156)-1,"")</f>
        <v>136</v>
      </c>
      <c r="AK156" s="20">
        <v>54</v>
      </c>
      <c r="AL156" s="20" t="str">
        <f>IFERROR(INDEX(TableWRMaster[Player],MATCH(TableWRTECalcPts[[#This Row],[POSRef]],TableWRMaster[WRRef],0)),"")</f>
        <v>Pat Bryant</v>
      </c>
      <c r="AM156" s="20" t="str">
        <f>IFERROR(_xlfn.CONCAT(TableWRTECalcPts[[#This Row],[POS]],INDEX(TableWRRanks[RK],MATCH(TableWRTECalcPts[[#This Row],[PLAYER]],TableWRRanks[Player],0))),"")</f>
        <v>WR99</v>
      </c>
      <c r="AN156" s="20" t="str">
        <f>IFERROR(INDEX(TableWRMaster[TM],MATCH(TableWRTECalcPts[[#This Row],[POSRef]],TableWRMaster[WRRef],0)),"")</f>
        <v>DEN</v>
      </c>
      <c r="AO156" s="20">
        <f>IFERROR(INDEX(TableWRMaster[BYE],MATCH(TableWRTECalcPts[[#This Row],[POSRef]],TableWRMaster[WRRef],0)),"")</f>
        <v>10</v>
      </c>
      <c r="AP156" s="18">
        <f>IFERROR(INDEX(TableWRMaster[Custom],MATCH(TableWRTECalcPts[[#This Row],[POSRef]],TableWRMaster[WRRef],0)),"")</f>
        <v>51.354758488633621</v>
      </c>
    </row>
    <row r="157" spans="8:42" x14ac:dyDescent="0.25">
      <c r="H157" s="2" t="str">
        <f>IFERROR(RANK(TableRBCalcPts[[#This Row],[Custom]],TableRBCalcPts[Custom])+COUNTIF($M$3:M157,M157)-1,"")</f>
        <v/>
      </c>
      <c r="I157" s="2">
        <v>155</v>
      </c>
      <c r="J157" s="2" t="str">
        <f>IFERROR(INDEX(TableRBMaster[Player],MATCH(TableRBCalcPts[[#This Row],[RBRef]],TableRBMaster[RBRef],0)),"")</f>
        <v/>
      </c>
      <c r="K157" s="2" t="str">
        <f>IFERROR(INDEX(TableRBMaster[TM],MATCH(TableRBCalcPts[[#This Row],[RBRef]],TableRBMaster[RBRef],0)),"")</f>
        <v/>
      </c>
      <c r="L157" s="2" t="str">
        <f>IFERROR(INDEX(TableRBMaster[BYE],MATCH(TableRBCalcPts[[#This Row],[RBRef]],TableRBMaster[RBRef],0)),"")</f>
        <v/>
      </c>
      <c r="M157" s="3" t="str">
        <f>IFERROR(INDEX(TableRBMaster[Custom],MATCH(TableRBCalcPts[[#This Row],[RBRef]],TableRBMaster[RBRef],0)),"")</f>
        <v/>
      </c>
      <c r="O157" s="2">
        <f>IFERROR(RANK(TableWRCalcPts[[#This Row],[Custom]],TableWRCalcPts[Custom])+COUNTIF($T$3:T157,T157)-1,"")</f>
        <v>56</v>
      </c>
      <c r="P157" s="2">
        <v>155</v>
      </c>
      <c r="Q157" s="2" t="str">
        <f>IFERROR(INDEX(TableWRMaster[Player],MATCH(TableWRCalcPts[[#This Row],[WRRef]],TableWRMaster[WRRef],0)),"")</f>
        <v>Rashid Shaheed</v>
      </c>
      <c r="R157" s="2" t="str">
        <f>IFERROR(INDEX(TableWRMaster[TM],MATCH(TableWRCalcPts[[#This Row],[WRRef]],TableWRMaster[WRRef],0)),"")</f>
        <v>SEA</v>
      </c>
      <c r="S157" s="2">
        <f>IFERROR(INDEX(TableWRMaster[BYE],MATCH(TableWRCalcPts[[#This Row],[WRRef]],TableWRMaster[WRRef],0)),"")</f>
        <v>11</v>
      </c>
      <c r="T157" s="3">
        <f>IFERROR(INDEX(TableWRMaster[Custom],MATCH(TableWRCalcPts[[#This Row],[WRRef]],TableWRMaster[WRRef],0)),"")</f>
        <v>119.41105593447746</v>
      </c>
      <c r="AI157" s="2" t="s">
        <v>148</v>
      </c>
      <c r="AJ157" s="2">
        <f>IFERROR(RANK(TableWRTECalcPts[[#This Row],[Custom]],TableWRTECalcPts[Custom])+COUNTIF($AP$3:AP157,AP157)-1,"")</f>
        <v>164</v>
      </c>
      <c r="AK157" s="20">
        <v>55</v>
      </c>
      <c r="AL157" s="20" t="str">
        <f>IFERROR(INDEX(TableWRMaster[Player],MATCH(TableWRTECalcPts[[#This Row],[POSRef]],TableWRMaster[WRRef],0)),"")</f>
        <v>Marvin Mims</v>
      </c>
      <c r="AM157" s="20" t="str">
        <f>IFERROR(_xlfn.CONCAT(TableWRTECalcPts[[#This Row],[POS]],INDEX(TableWRRanks[RK],MATCH(TableWRTECalcPts[[#This Row],[PLAYER]],TableWRRanks[Player],0))),"")</f>
        <v>WR119</v>
      </c>
      <c r="AN157" s="20" t="str">
        <f>IFERROR(INDEX(TableWRMaster[TM],MATCH(TableWRTECalcPts[[#This Row],[POSRef]],TableWRMaster[WRRef],0)),"")</f>
        <v>DEN</v>
      </c>
      <c r="AO157" s="20">
        <f>IFERROR(INDEX(TableWRMaster[BYE],MATCH(TableWRTECalcPts[[#This Row],[POSRef]],TableWRMaster[WRRef],0)),"")</f>
        <v>10</v>
      </c>
      <c r="AP157" s="18">
        <f>IFERROR(INDEX(TableWRMaster[Custom],MATCH(TableWRTECalcPts[[#This Row],[POSRef]],TableWRMaster[WRRef],0)),"")</f>
        <v>33.661668735305163</v>
      </c>
    </row>
    <row r="158" spans="8:42" x14ac:dyDescent="0.25">
      <c r="H158" s="2" t="str">
        <f>IFERROR(RANK(TableRBCalcPts[[#This Row],[Custom]],TableRBCalcPts[Custom])+COUNTIF($M$3:M158,M158)-1,"")</f>
        <v/>
      </c>
      <c r="I158" s="2">
        <v>156</v>
      </c>
      <c r="J158" s="2" t="str">
        <f>IFERROR(INDEX(TableRBMaster[Player],MATCH(TableRBCalcPts[[#This Row],[RBRef]],TableRBMaster[RBRef],0)),"")</f>
        <v/>
      </c>
      <c r="K158" s="2" t="str">
        <f>IFERROR(INDEX(TableRBMaster[TM],MATCH(TableRBCalcPts[[#This Row],[RBRef]],TableRBMaster[RBRef],0)),"")</f>
        <v/>
      </c>
      <c r="L158" s="2" t="str">
        <f>IFERROR(INDEX(TableRBMaster[BYE],MATCH(TableRBCalcPts[[#This Row],[RBRef]],TableRBMaster[RBRef],0)),"")</f>
        <v/>
      </c>
      <c r="M158" s="3" t="str">
        <f>IFERROR(INDEX(TableRBMaster[Custom],MATCH(TableRBCalcPts[[#This Row],[RBRef]],TableRBMaster[RBRef],0)),"")</f>
        <v/>
      </c>
      <c r="O158" s="2">
        <f>IFERROR(RANK(TableWRCalcPts[[#This Row],[Custom]],TableWRCalcPts[Custom])+COUNTIF($T$3:T158,T158)-1,"")</f>
        <v>72</v>
      </c>
      <c r="P158" s="2">
        <v>156</v>
      </c>
      <c r="Q158" s="2" t="str">
        <f>IFERROR(INDEX(TableWRMaster[Player],MATCH(TableWRCalcPts[[#This Row],[WRRef]],TableWRMaster[WRRef],0)),"")</f>
        <v>Cooper Kupp</v>
      </c>
      <c r="R158" s="2" t="str">
        <f>IFERROR(INDEX(TableWRMaster[TM],MATCH(TableWRCalcPts[[#This Row],[WRRef]],TableWRMaster[WRRef],0)),"")</f>
        <v>SEA</v>
      </c>
      <c r="S158" s="2">
        <f>IFERROR(INDEX(TableWRMaster[BYE],MATCH(TableWRCalcPts[[#This Row],[WRRef]],TableWRMaster[WRRef],0)),"")</f>
        <v>11</v>
      </c>
      <c r="T158" s="3">
        <f>IFERROR(INDEX(TableWRMaster[Custom],MATCH(TableWRCalcPts[[#This Row],[WRRef]],TableWRMaster[WRRef],0)),"")</f>
        <v>90.871065206669996</v>
      </c>
      <c r="AI158" s="2" t="s">
        <v>148</v>
      </c>
      <c r="AJ158" s="2">
        <f>IFERROR(RANK(TableWRTECalcPts[[#This Row],[Custom]],TableWRTECalcPts[Custom])+COUNTIF($AP$3:AP158,AP158)-1,"")</f>
        <v>30</v>
      </c>
      <c r="AK158" s="20">
        <v>56</v>
      </c>
      <c r="AL158" s="20" t="str">
        <f>IFERROR(INDEX(TableWRMaster[Player],MATCH(TableWRTECalcPts[[#This Row],[POSRef]],TableWRMaster[WRRef],0)),"")</f>
        <v>Jameson Williams</v>
      </c>
      <c r="AM158" s="20" t="str">
        <f>IFERROR(_xlfn.CONCAT(TableWRTECalcPts[[#This Row],[POS]],INDEX(TableWRRanks[RK],MATCH(TableWRTECalcPts[[#This Row],[PLAYER]],TableWRRanks[Player],0))),"")</f>
        <v>WR28</v>
      </c>
      <c r="AN158" s="20" t="str">
        <f>IFERROR(INDEX(TableWRMaster[TM],MATCH(TableWRTECalcPts[[#This Row],[POSRef]],TableWRMaster[WRRef],0)),"")</f>
        <v>DET</v>
      </c>
      <c r="AO158" s="20">
        <f>IFERROR(INDEX(TableWRMaster[BYE],MATCH(TableWRTECalcPts[[#This Row],[POSRef]],TableWRMaster[WRRef],0)),"")</f>
        <v>6</v>
      </c>
      <c r="AP158" s="18">
        <f>IFERROR(INDEX(TableWRMaster[Custom],MATCH(TableWRTECalcPts[[#This Row],[POSRef]],TableWRMaster[WRRef],0)),"")</f>
        <v>184.03111003656136</v>
      </c>
    </row>
    <row r="159" spans="8:42" x14ac:dyDescent="0.25">
      <c r="H159" s="2" t="str">
        <f>IFERROR(RANK(TableRBCalcPts[[#This Row],[Custom]],TableRBCalcPts[Custom])+COUNTIF($M$3:M159,M159)-1,"")</f>
        <v/>
      </c>
      <c r="I159" s="2">
        <v>157</v>
      </c>
      <c r="J159" s="2" t="str">
        <f>IFERROR(INDEX(TableRBMaster[Player],MATCH(TableRBCalcPts[[#This Row],[RBRef]],TableRBMaster[RBRef],0)),"")</f>
        <v/>
      </c>
      <c r="K159" s="2" t="str">
        <f>IFERROR(INDEX(TableRBMaster[TM],MATCH(TableRBCalcPts[[#This Row],[RBRef]],TableRBMaster[RBRef],0)),"")</f>
        <v/>
      </c>
      <c r="L159" s="2" t="str">
        <f>IFERROR(INDEX(TableRBMaster[BYE],MATCH(TableRBCalcPts[[#This Row],[RBRef]],TableRBMaster[RBRef],0)),"")</f>
        <v/>
      </c>
      <c r="M159" s="3" t="str">
        <f>IFERROR(INDEX(TableRBMaster[Custom],MATCH(TableRBCalcPts[[#This Row],[RBRef]],TableRBMaster[RBRef],0)),"")</f>
        <v/>
      </c>
      <c r="O159" s="2">
        <f>IFERROR(RANK(TableWRCalcPts[[#This Row],[Custom]],TableWRCalcPts[Custom])+COUNTIF($T$3:T159,T159)-1,"")</f>
        <v>112</v>
      </c>
      <c r="P159" s="2">
        <v>157</v>
      </c>
      <c r="Q159" s="2" t="str">
        <f>IFERROR(INDEX(TableWRMaster[Player],MATCH(TableWRCalcPts[[#This Row],[WRRef]],TableWRMaster[WRRef],0)),"")</f>
        <v>Tory Horton</v>
      </c>
      <c r="R159" s="2" t="str">
        <f>IFERROR(INDEX(TableWRMaster[TM],MATCH(TableWRCalcPts[[#This Row],[WRRef]],TableWRMaster[WRRef],0)),"")</f>
        <v>SEA</v>
      </c>
      <c r="S159" s="2">
        <f>IFERROR(INDEX(TableWRMaster[BYE],MATCH(TableWRCalcPts[[#This Row],[WRRef]],TableWRMaster[WRRef],0)),"")</f>
        <v>11</v>
      </c>
      <c r="T159" s="3">
        <f>IFERROR(INDEX(TableWRMaster[Custom],MATCH(TableWRCalcPts[[#This Row],[WRRef]],TableWRMaster[WRRef],0)),"")</f>
        <v>39.720708971919365</v>
      </c>
      <c r="AI159" s="2" t="s">
        <v>148</v>
      </c>
      <c r="AJ159" s="2">
        <f>IFERROR(RANK(TableWRTECalcPts[[#This Row],[Custom]],TableWRTECalcPts[Custom])+COUNTIF($AP$3:AP159,AP159)-1,"")</f>
        <v>4</v>
      </c>
      <c r="AK159" s="20">
        <v>57</v>
      </c>
      <c r="AL159" s="20" t="str">
        <f>IFERROR(INDEX(TableWRMaster[Player],MATCH(TableWRTECalcPts[[#This Row],[POSRef]],TableWRMaster[WRRef],0)),"")</f>
        <v>Amon-Ra St. Brown</v>
      </c>
      <c r="AM159" s="20" t="str">
        <f>IFERROR(_xlfn.CONCAT(TableWRTECalcPts[[#This Row],[POS]],INDEX(TableWRRanks[RK],MATCH(TableWRTECalcPts[[#This Row],[PLAYER]],TableWRRanks[Player],0))),"")</f>
        <v>WR4</v>
      </c>
      <c r="AN159" s="20" t="str">
        <f>IFERROR(INDEX(TableWRMaster[TM],MATCH(TableWRTECalcPts[[#This Row],[POSRef]],TableWRMaster[WRRef],0)),"")</f>
        <v>DET</v>
      </c>
      <c r="AO159" s="20">
        <f>IFERROR(INDEX(TableWRMaster[BYE],MATCH(TableWRTECalcPts[[#This Row],[POSRef]],TableWRMaster[WRRef],0)),"")</f>
        <v>6</v>
      </c>
      <c r="AP159" s="18">
        <f>IFERROR(INDEX(TableWRMaster[Custom],MATCH(TableWRTECalcPts[[#This Row],[POSRef]],TableWRMaster[WRRef],0)),"")</f>
        <v>263.19537961810715</v>
      </c>
    </row>
    <row r="160" spans="8:42" x14ac:dyDescent="0.25">
      <c r="H160" s="2" t="str">
        <f>IFERROR(RANK(TableRBCalcPts[[#This Row],[Custom]],TableRBCalcPts[Custom])+COUNTIF($M$3:M160,M160)-1,"")</f>
        <v/>
      </c>
      <c r="I160" s="2">
        <v>158</v>
      </c>
      <c r="J160" s="2" t="str">
        <f>IFERROR(INDEX(TableRBMaster[Player],MATCH(TableRBCalcPts[[#This Row],[RBRef]],TableRBMaster[RBRef],0)),"")</f>
        <v/>
      </c>
      <c r="K160" s="2" t="str">
        <f>IFERROR(INDEX(TableRBMaster[TM],MATCH(TableRBCalcPts[[#This Row],[RBRef]],TableRBMaster[RBRef],0)),"")</f>
        <v/>
      </c>
      <c r="L160" s="2" t="str">
        <f>IFERROR(INDEX(TableRBMaster[BYE],MATCH(TableRBCalcPts[[#This Row],[RBRef]],TableRBMaster[RBRef],0)),"")</f>
        <v/>
      </c>
      <c r="M160" s="3" t="str">
        <f>IFERROR(INDEX(TableRBMaster[Custom],MATCH(TableRBCalcPts[[#This Row],[RBRef]],TableRBMaster[RBRef],0)),"")</f>
        <v/>
      </c>
      <c r="O160" s="2">
        <f>IFERROR(RANK(TableWRCalcPts[[#This Row],[Custom]],TableWRCalcPts[Custom])+COUNTIF($T$3:T160,T160)-1,"")</f>
        <v>161</v>
      </c>
      <c r="P160" s="2">
        <v>158</v>
      </c>
      <c r="Q160" s="2" t="str">
        <f>IFERROR(INDEX(TableWRMaster[Player],MATCH(TableWRCalcPts[[#This Row],[WRRef]],TableWRMaster[WRRef],0)),"")</f>
        <v>Jake Bobo</v>
      </c>
      <c r="R160" s="2" t="str">
        <f>IFERROR(INDEX(TableWRMaster[TM],MATCH(TableWRCalcPts[[#This Row],[WRRef]],TableWRMaster[WRRef],0)),"")</f>
        <v>SEA</v>
      </c>
      <c r="S160" s="2">
        <f>IFERROR(INDEX(TableWRMaster[BYE],MATCH(TableWRCalcPts[[#This Row],[WRRef]],TableWRMaster[WRRef],0)),"")</f>
        <v>11</v>
      </c>
      <c r="T160" s="3">
        <f>IFERROR(INDEX(TableWRMaster[Custom],MATCH(TableWRCalcPts[[#This Row],[WRRef]],TableWRMaster[WRRef],0)),"")</f>
        <v>7.1671548843720014</v>
      </c>
      <c r="AI160" s="2" t="s">
        <v>148</v>
      </c>
      <c r="AJ160" s="2">
        <f>IFERROR(RANK(TableWRTECalcPts[[#This Row],[Custom]],TableWRTECalcPts[Custom])+COUNTIF($AP$3:AP160,AP160)-1,"")</f>
        <v>181</v>
      </c>
      <c r="AK160" s="20">
        <v>58</v>
      </c>
      <c r="AL160" s="20" t="str">
        <f>IFERROR(INDEX(TableWRMaster[Player],MATCH(TableWRTECalcPts[[#This Row],[POSRef]],TableWRMaster[WRRef],0)),"")</f>
        <v>Greg Dortch</v>
      </c>
      <c r="AM160" s="20" t="str">
        <f>IFERROR(_xlfn.CONCAT(TableWRTECalcPts[[#This Row],[POS]],INDEX(TableWRRanks[RK],MATCH(TableWRTECalcPts[[#This Row],[PLAYER]],TableWRRanks[Player],0))),"")</f>
        <v>WR125</v>
      </c>
      <c r="AN160" s="20" t="str">
        <f>IFERROR(INDEX(TableWRMaster[TM],MATCH(TableWRTECalcPts[[#This Row],[POSRef]],TableWRMaster[WRRef],0)),"")</f>
        <v>DET</v>
      </c>
      <c r="AO160" s="20">
        <f>IFERROR(INDEX(TableWRMaster[BYE],MATCH(TableWRTECalcPts[[#This Row],[POSRef]],TableWRMaster[WRRef],0)),"")</f>
        <v>6</v>
      </c>
      <c r="AP160" s="18">
        <f>IFERROR(INDEX(TableWRMaster[Custom],MATCH(TableWRTECalcPts[[#This Row],[POSRef]],TableWRMaster[WRRef],0)),"")</f>
        <v>22.326040630091825</v>
      </c>
    </row>
    <row r="161" spans="8:42" x14ac:dyDescent="0.25">
      <c r="H161" s="2" t="str">
        <f>IFERROR(RANK(TableRBCalcPts[[#This Row],[Custom]],TableRBCalcPts[Custom])+COUNTIF($M$3:M161,M161)-1,"")</f>
        <v/>
      </c>
      <c r="I161" s="2">
        <v>159</v>
      </c>
      <c r="J161" s="2" t="str">
        <f>IFERROR(INDEX(TableRBMaster[Player],MATCH(TableRBCalcPts[[#This Row],[RBRef]],TableRBMaster[RBRef],0)),"")</f>
        <v/>
      </c>
      <c r="K161" s="2" t="str">
        <f>IFERROR(INDEX(TableRBMaster[TM],MATCH(TableRBCalcPts[[#This Row],[RBRef]],TableRBMaster[RBRef],0)),"")</f>
        <v/>
      </c>
      <c r="L161" s="2" t="str">
        <f>IFERROR(INDEX(TableRBMaster[BYE],MATCH(TableRBCalcPts[[#This Row],[RBRef]],TableRBMaster[RBRef],0)),"")</f>
        <v/>
      </c>
      <c r="M161" s="3" t="str">
        <f>IFERROR(INDEX(TableRBMaster[Custom],MATCH(TableRBCalcPts[[#This Row],[RBRef]],TableRBMaster[RBRef],0)),"")</f>
        <v/>
      </c>
      <c r="O161" s="2">
        <f>IFERROR(RANK(TableWRCalcPts[[#This Row],[Custom]],TableWRCalcPts[Custom])+COUNTIF($T$3:T161,T161)-1,"")</f>
        <v>20</v>
      </c>
      <c r="P161" s="2">
        <v>159</v>
      </c>
      <c r="Q161" s="2" t="str">
        <f>IFERROR(INDEX(TableWRMaster[Player],MATCH(TableWRCalcPts[[#This Row],[WRRef]],TableWRMaster[WRRef],0)),"")</f>
        <v>Mike Evans</v>
      </c>
      <c r="R161" s="2" t="str">
        <f>IFERROR(INDEX(TableWRMaster[TM],MATCH(TableWRCalcPts[[#This Row],[WRRef]],TableWRMaster[WRRef],0)),"")</f>
        <v>SF</v>
      </c>
      <c r="S161" s="2">
        <f>IFERROR(INDEX(TableWRMaster[BYE],MATCH(TableWRCalcPts[[#This Row],[WRRef]],TableWRMaster[WRRef],0)),"")</f>
        <v>8</v>
      </c>
      <c r="T161" s="3">
        <f>IFERROR(INDEX(TableWRMaster[Custom],MATCH(TableWRCalcPts[[#This Row],[WRRef]],TableWRMaster[WRRef],0)),"")</f>
        <v>192.40786039577091</v>
      </c>
      <c r="AI161" s="2" t="s">
        <v>148</v>
      </c>
      <c r="AJ161" s="2">
        <f>IFERROR(RANK(TableWRTECalcPts[[#This Row],[Custom]],TableWRTECalcPts[Custom])+COUNTIF($AP$3:AP161,AP161)-1,"")</f>
        <v>99</v>
      </c>
      <c r="AK161" s="20">
        <v>59</v>
      </c>
      <c r="AL161" s="20" t="str">
        <f>IFERROR(INDEX(TableWRMaster[Player],MATCH(TableWRTECalcPts[[#This Row],[POSRef]],TableWRMaster[WRRef],0)),"")</f>
        <v>Isaac TeSlaa</v>
      </c>
      <c r="AM161" s="20" t="str">
        <f>IFERROR(_xlfn.CONCAT(TableWRTECalcPts[[#This Row],[POS]],INDEX(TableWRRanks[RK],MATCH(TableWRTECalcPts[[#This Row],[PLAYER]],TableWRRanks[Player],0))),"")</f>
        <v>WR74</v>
      </c>
      <c r="AN161" s="20" t="str">
        <f>IFERROR(INDEX(TableWRMaster[TM],MATCH(TableWRTECalcPts[[#This Row],[POSRef]],TableWRMaster[WRRef],0)),"")</f>
        <v>DET</v>
      </c>
      <c r="AO161" s="20">
        <f>IFERROR(INDEX(TableWRMaster[BYE],MATCH(TableWRTECalcPts[[#This Row],[POSRef]],TableWRMaster[WRRef],0)),"")</f>
        <v>6</v>
      </c>
      <c r="AP161" s="18">
        <f>IFERROR(INDEX(TableWRMaster[Custom],MATCH(TableWRTECalcPts[[#This Row],[POSRef]],TableWRMaster[WRRef],0)),"")</f>
        <v>88.820853202636783</v>
      </c>
    </row>
    <row r="162" spans="8:42" x14ac:dyDescent="0.25">
      <c r="H162" s="2" t="str">
        <f>IFERROR(RANK(TableRBCalcPts[[#This Row],[Custom]],TableRBCalcPts[Custom])+COUNTIF($M$3:M162,M162)-1,"")</f>
        <v/>
      </c>
      <c r="I162" s="2">
        <v>160</v>
      </c>
      <c r="J162" s="2" t="str">
        <f>IFERROR(INDEX(TableRBMaster[Player],MATCH(TableRBCalcPts[[#This Row],[RBRef]],TableRBMaster[RBRef],0)),"")</f>
        <v/>
      </c>
      <c r="K162" s="2" t="str">
        <f>IFERROR(INDEX(TableRBMaster[TM],MATCH(TableRBCalcPts[[#This Row],[RBRef]],TableRBMaster[RBRef],0)),"")</f>
        <v/>
      </c>
      <c r="L162" s="2" t="str">
        <f>IFERROR(INDEX(TableRBMaster[BYE],MATCH(TableRBCalcPts[[#This Row],[RBRef]],TableRBMaster[RBRef],0)),"")</f>
        <v/>
      </c>
      <c r="M162" s="3" t="str">
        <f>IFERROR(INDEX(TableRBMaster[Custom],MATCH(TableRBCalcPts[[#This Row],[RBRef]],TableRBMaster[RBRef],0)),"")</f>
        <v/>
      </c>
      <c r="O162" s="2">
        <f>IFERROR(RANK(TableWRCalcPts[[#This Row],[Custom]],TableWRCalcPts[Custom])+COUNTIF($T$3:T162,T162)-1,"")</f>
        <v>42</v>
      </c>
      <c r="P162" s="2">
        <v>160</v>
      </c>
      <c r="Q162" s="2" t="str">
        <f>IFERROR(INDEX(TableWRMaster[Player],MATCH(TableWRCalcPts[[#This Row],[WRRef]],TableWRMaster[WRRef],0)),"")</f>
        <v>Deebo Samuel</v>
      </c>
      <c r="R162" s="2" t="str">
        <f>IFERROR(INDEX(TableWRMaster[TM],MATCH(TableWRCalcPts[[#This Row],[WRRef]],TableWRMaster[WRRef],0)),"")</f>
        <v>SF</v>
      </c>
      <c r="S162" s="2">
        <f>IFERROR(INDEX(TableWRMaster[BYE],MATCH(TableWRCalcPts[[#This Row],[WRRef]],TableWRMaster[WRRef],0)),"")</f>
        <v>8</v>
      </c>
      <c r="T162" s="3">
        <f>IFERROR(INDEX(TableWRMaster[Custom],MATCH(TableWRCalcPts[[#This Row],[WRRef]],TableWRMaster[WRRef],0)),"")</f>
        <v>150.71515766082945</v>
      </c>
      <c r="AI162" s="2" t="s">
        <v>148</v>
      </c>
      <c r="AJ162" s="2">
        <f>IFERROR(RANK(TableWRTECalcPts[[#This Row],[Custom]],TableWRTECalcPts[Custom])+COUNTIF($AP$3:AP162,AP162)-1,"")</f>
        <v>228</v>
      </c>
      <c r="AK162" s="20">
        <v>60</v>
      </c>
      <c r="AL162" s="20" t="str">
        <f>IFERROR(INDEX(TableWRMaster[Player],MATCH(TableWRTECalcPts[[#This Row],[POSRef]],TableWRMaster[WRRef],0)),"")</f>
        <v>Cedrick Wilson</v>
      </c>
      <c r="AM162" s="20" t="str">
        <f>IFERROR(_xlfn.CONCAT(TableWRTECalcPts[[#This Row],[POS]],INDEX(TableWRRanks[RK],MATCH(TableWRTECalcPts[[#This Row],[PLAYER]],TableWRRanks[Player],0))),"")</f>
        <v>WR154</v>
      </c>
      <c r="AN162" s="20" t="str">
        <f>IFERROR(INDEX(TableWRMaster[TM],MATCH(TableWRTECalcPts[[#This Row],[POSRef]],TableWRMaster[WRRef],0)),"")</f>
        <v>DET</v>
      </c>
      <c r="AO162" s="20">
        <f>IFERROR(INDEX(TableWRMaster[BYE],MATCH(TableWRTECalcPts[[#This Row],[POSRef]],TableWRMaster[WRRef],0)),"")</f>
        <v>6</v>
      </c>
      <c r="AP162" s="18">
        <f>IFERROR(INDEX(TableWRMaster[Custom],MATCH(TableWRTECalcPts[[#This Row],[POSRef]],TableWRMaster[WRRef],0)),"")</f>
        <v>7.9979096735999979</v>
      </c>
    </row>
    <row r="163" spans="8:42" x14ac:dyDescent="0.25">
      <c r="H163" s="2" t="str">
        <f>IFERROR(RANK(TableRBCalcPts[[#This Row],[Custom]],TableRBCalcPts[Custom])+COUNTIF($M$3:M163,M163)-1,"")</f>
        <v/>
      </c>
      <c r="I163" s="2">
        <v>161</v>
      </c>
      <c r="J163" s="2" t="str">
        <f>IFERROR(INDEX(TableRBMaster[Player],MATCH(TableRBCalcPts[[#This Row],[RBRef]],TableRBMaster[RBRef],0)),"")</f>
        <v/>
      </c>
      <c r="K163" s="2" t="str">
        <f>IFERROR(INDEX(TableRBMaster[TM],MATCH(TableRBCalcPts[[#This Row],[RBRef]],TableRBMaster[RBRef],0)),"")</f>
        <v/>
      </c>
      <c r="L163" s="2" t="str">
        <f>IFERROR(INDEX(TableRBMaster[BYE],MATCH(TableRBCalcPts[[#This Row],[RBRef]],TableRBMaster[RBRef],0)),"")</f>
        <v/>
      </c>
      <c r="M163" s="3" t="str">
        <f>IFERROR(INDEX(TableRBMaster[Custom],MATCH(TableRBCalcPts[[#This Row],[RBRef]],TableRBMaster[RBRef],0)),"")</f>
        <v/>
      </c>
      <c r="O163" s="2">
        <f>IFERROR(RANK(TableWRCalcPts[[#This Row],[Custom]],TableWRCalcPts[Custom])+COUNTIF($T$3:T163,T163)-1,"")</f>
        <v>106</v>
      </c>
      <c r="P163" s="2">
        <v>161</v>
      </c>
      <c r="Q163" s="2" t="str">
        <f>IFERROR(INDEX(TableWRMaster[Player],MATCH(TableWRCalcPts[[#This Row],[WRRef]],TableWRMaster[WRRef],0)),"")</f>
        <v>De'Zhaun Stribling</v>
      </c>
      <c r="R163" s="2" t="str">
        <f>IFERROR(INDEX(TableWRMaster[TM],MATCH(TableWRCalcPts[[#This Row],[WRRef]],TableWRMaster[WRRef],0)),"")</f>
        <v>SF</v>
      </c>
      <c r="S163" s="2">
        <f>IFERROR(INDEX(TableWRMaster[BYE],MATCH(TableWRCalcPts[[#This Row],[WRRef]],TableWRMaster[WRRef],0)),"")</f>
        <v>8</v>
      </c>
      <c r="T163" s="3">
        <f>IFERROR(INDEX(TableWRMaster[Custom],MATCH(TableWRCalcPts[[#This Row],[WRRef]],TableWRMaster[WRRef],0)),"")</f>
        <v>45.1604312615232</v>
      </c>
      <c r="AI163" s="2" t="s">
        <v>148</v>
      </c>
      <c r="AJ163" s="2">
        <f>IFERROR(RANK(TableWRTECalcPts[[#This Row],[Custom]],TableWRTECalcPts[Custom])+COUNTIF($AP$3:AP163,AP163)-1,"")</f>
        <v>32</v>
      </c>
      <c r="AK163" s="20">
        <v>61</v>
      </c>
      <c r="AL163" s="20" t="str">
        <f>IFERROR(INDEX(TableWRMaster[Player],MATCH(TableWRTECalcPts[[#This Row],[POSRef]],TableWRMaster[WRRef],0)),"")</f>
        <v>Christian Watson</v>
      </c>
      <c r="AM163" s="20" t="str">
        <f>IFERROR(_xlfn.CONCAT(TableWRTECalcPts[[#This Row],[POS]],INDEX(TableWRRanks[RK],MATCH(TableWRTECalcPts[[#This Row],[PLAYER]],TableWRRanks[Player],0))),"")</f>
        <v>WR29</v>
      </c>
      <c r="AN163" s="20" t="str">
        <f>IFERROR(INDEX(TableWRMaster[TM],MATCH(TableWRTECalcPts[[#This Row],[POSRef]],TableWRMaster[WRRef],0)),"")</f>
        <v>GB</v>
      </c>
      <c r="AO163" s="20">
        <f>IFERROR(INDEX(TableWRMaster[BYE],MATCH(TableWRTECalcPts[[#This Row],[POSRef]],TableWRMaster[WRRef],0)),"")</f>
        <v>11</v>
      </c>
      <c r="AP163" s="18">
        <f>IFERROR(INDEX(TableWRMaster[Custom],MATCH(TableWRTECalcPts[[#This Row],[POSRef]],TableWRMaster[WRRef],0)),"")</f>
        <v>180.53046356058982</v>
      </c>
    </row>
    <row r="164" spans="8:42" x14ac:dyDescent="0.25">
      <c r="H164" s="2" t="str">
        <f>IFERROR(RANK(TableRBCalcPts[[#This Row],[Custom]],TableRBCalcPts[Custom])+COUNTIF($M$3:M164,M164)-1,"")</f>
        <v/>
      </c>
      <c r="I164" s="2">
        <v>162</v>
      </c>
      <c r="J164" s="2" t="str">
        <f>IFERROR(INDEX(TableRBMaster[Player],MATCH(TableRBCalcPts[[#This Row],[RBRef]],TableRBMaster[RBRef],0)),"")</f>
        <v/>
      </c>
      <c r="K164" s="2" t="str">
        <f>IFERROR(INDEX(TableRBMaster[TM],MATCH(TableRBCalcPts[[#This Row],[RBRef]],TableRBMaster[RBRef],0)),"")</f>
        <v/>
      </c>
      <c r="L164" s="2" t="str">
        <f>IFERROR(INDEX(TableRBMaster[BYE],MATCH(TableRBCalcPts[[#This Row],[RBRef]],TableRBMaster[RBRef],0)),"")</f>
        <v/>
      </c>
      <c r="M164" s="3" t="str">
        <f>IFERROR(INDEX(TableRBMaster[Custom],MATCH(TableRBCalcPts[[#This Row],[RBRef]],TableRBMaster[RBRef],0)),"")</f>
        <v/>
      </c>
      <c r="O164" s="2">
        <f>IFERROR(RANK(TableWRCalcPts[[#This Row],[Custom]],TableWRCalcPts[Custom])+COUNTIF($T$3:T164,T164)-1,"")</f>
        <v>116</v>
      </c>
      <c r="P164" s="2">
        <v>162</v>
      </c>
      <c r="Q164" s="2" t="str">
        <f>IFERROR(INDEX(TableWRMaster[Player],MATCH(TableWRCalcPts[[#This Row],[WRRef]],TableWRMaster[WRRef],0)),"")</f>
        <v>Christian Kirk</v>
      </c>
      <c r="R164" s="2" t="str">
        <f>IFERROR(INDEX(TableWRMaster[TM],MATCH(TableWRCalcPts[[#This Row],[WRRef]],TableWRMaster[WRRef],0)),"")</f>
        <v>SF</v>
      </c>
      <c r="S164" s="2">
        <f>IFERROR(INDEX(TableWRMaster[BYE],MATCH(TableWRCalcPts[[#This Row],[WRRef]],TableWRMaster[WRRef],0)),"")</f>
        <v>8</v>
      </c>
      <c r="T164" s="3">
        <f>IFERROR(INDEX(TableWRMaster[Custom],MATCH(TableWRCalcPts[[#This Row],[WRRef]],TableWRMaster[WRRef],0)),"")</f>
        <v>38.671375046540604</v>
      </c>
      <c r="AI164" s="2" t="s">
        <v>148</v>
      </c>
      <c r="AJ164" s="2">
        <f>IFERROR(RANK(TableWRTECalcPts[[#This Row],[Custom]],TableWRTECalcPts[Custom])+COUNTIF($AP$3:AP164,AP164)-1,"")</f>
        <v>51</v>
      </c>
      <c r="AK164" s="20">
        <v>62</v>
      </c>
      <c r="AL164" s="20" t="str">
        <f>IFERROR(INDEX(TableWRMaster[Player],MATCH(TableWRTECalcPts[[#This Row],[POSRef]],TableWRMaster[WRRef],0)),"")</f>
        <v>Jayden Reed</v>
      </c>
      <c r="AM164" s="20" t="str">
        <f>IFERROR(_xlfn.CONCAT(TableWRTECalcPts[[#This Row],[POS]],INDEX(TableWRRanks[RK],MATCH(TableWRTECalcPts[[#This Row],[PLAYER]],TableWRRanks[Player],0))),"")</f>
        <v>WR43</v>
      </c>
      <c r="AN164" s="20" t="str">
        <f>IFERROR(INDEX(TableWRMaster[TM],MATCH(TableWRTECalcPts[[#This Row],[POSRef]],TableWRMaster[WRRef],0)),"")</f>
        <v>GB</v>
      </c>
      <c r="AO164" s="20">
        <f>IFERROR(INDEX(TableWRMaster[BYE],MATCH(TableWRTECalcPts[[#This Row],[POSRef]],TableWRMaster[WRRef],0)),"")</f>
        <v>11</v>
      </c>
      <c r="AP164" s="18">
        <f>IFERROR(INDEX(TableWRMaster[Custom],MATCH(TableWRTECalcPts[[#This Row],[POSRef]],TableWRMaster[WRRef],0)),"")</f>
        <v>148.99904400559308</v>
      </c>
    </row>
    <row r="165" spans="8:42" x14ac:dyDescent="0.25">
      <c r="H165" s="2" t="str">
        <f>IFERROR(RANK(TableRBCalcPts[[#This Row],[Custom]],TableRBCalcPts[Custom])+COUNTIF($M$3:M165,M165)-1,"")</f>
        <v/>
      </c>
      <c r="I165" s="2">
        <v>163</v>
      </c>
      <c r="J165" s="2" t="str">
        <f>IFERROR(INDEX(TableRBMaster[Player],MATCH(TableRBCalcPts[[#This Row],[RBRef]],TableRBMaster[RBRef],0)),"")</f>
        <v/>
      </c>
      <c r="K165" s="2" t="str">
        <f>IFERROR(INDEX(TableRBMaster[TM],MATCH(TableRBCalcPts[[#This Row],[RBRef]],TableRBMaster[RBRef],0)),"")</f>
        <v/>
      </c>
      <c r="L165" s="2" t="str">
        <f>IFERROR(INDEX(TableRBMaster[BYE],MATCH(TableRBCalcPts[[#This Row],[RBRef]],TableRBMaster[RBRef],0)),"")</f>
        <v/>
      </c>
      <c r="M165" s="3" t="str">
        <f>IFERROR(INDEX(TableRBMaster[Custom],MATCH(TableRBCalcPts[[#This Row],[RBRef]],TableRBMaster[RBRef],0)),"")</f>
        <v/>
      </c>
      <c r="O165" s="2">
        <f>IFERROR(RANK(TableWRCalcPts[[#This Row],[Custom]],TableWRCalcPts[Custom])+COUNTIF($T$3:T165,T165)-1,"")</f>
        <v>140</v>
      </c>
      <c r="P165" s="2">
        <v>163</v>
      </c>
      <c r="Q165" s="2" t="str">
        <f>IFERROR(INDEX(TableWRMaster[Player],MATCH(TableWRCalcPts[[#This Row],[WRRef]],TableWRMaster[WRRef],0)),"")</f>
        <v>Dermarcus Robinson</v>
      </c>
      <c r="R165" s="2" t="str">
        <f>IFERROR(INDEX(TableWRMaster[TM],MATCH(TableWRCalcPts[[#This Row],[WRRef]],TableWRMaster[WRRef],0)),"")</f>
        <v>SF</v>
      </c>
      <c r="S165" s="2">
        <f>IFERROR(INDEX(TableWRMaster[BYE],MATCH(TableWRCalcPts[[#This Row],[WRRef]],TableWRMaster[WRRef],0)),"")</f>
        <v>8</v>
      </c>
      <c r="T165" s="3">
        <f>IFERROR(INDEX(TableWRMaster[Custom],MATCH(TableWRCalcPts[[#This Row],[WRRef]],TableWRMaster[WRRef],0)),"")</f>
        <v>13.142608134655999</v>
      </c>
      <c r="AI165" s="2" t="s">
        <v>148</v>
      </c>
      <c r="AJ165" s="2">
        <f>IFERROR(RANK(TableWRTECalcPts[[#This Row],[Custom]],TableWRTECalcPts[Custom])+COUNTIF($AP$3:AP165,AP165)-1,"")</f>
        <v>71</v>
      </c>
      <c r="AK165" s="20">
        <v>63</v>
      </c>
      <c r="AL165" s="20" t="str">
        <f>IFERROR(INDEX(TableWRMaster[Player],MATCH(TableWRTECalcPts[[#This Row],[POSRef]],TableWRMaster[WRRef],0)),"")</f>
        <v>Matthew Golden</v>
      </c>
      <c r="AM165" s="20" t="str">
        <f>IFERROR(_xlfn.CONCAT(TableWRTECalcPts[[#This Row],[POS]],INDEX(TableWRRanks[RK],MATCH(TableWRTECalcPts[[#This Row],[PLAYER]],TableWRRanks[Player],0))),"")</f>
        <v>WR55</v>
      </c>
      <c r="AN165" s="20" t="str">
        <f>IFERROR(INDEX(TableWRMaster[TM],MATCH(TableWRTECalcPts[[#This Row],[POSRef]],TableWRMaster[WRRef],0)),"")</f>
        <v>GB</v>
      </c>
      <c r="AO165" s="20">
        <f>IFERROR(INDEX(TableWRMaster[BYE],MATCH(TableWRTECalcPts[[#This Row],[POSRef]],TableWRMaster[WRRef],0)),"")</f>
        <v>11</v>
      </c>
      <c r="AP165" s="18">
        <f>IFERROR(INDEX(TableWRMaster[Custom],MATCH(TableWRTECalcPts[[#This Row],[POSRef]],TableWRMaster[WRRef],0)),"")</f>
        <v>121.76900567298148</v>
      </c>
    </row>
    <row r="166" spans="8:42" x14ac:dyDescent="0.25">
      <c r="H166" s="2" t="str">
        <f>IFERROR(RANK(TableRBCalcPts[[#This Row],[Custom]],TableRBCalcPts[Custom])+COUNTIF($M$3:M166,M166)-1,"")</f>
        <v/>
      </c>
      <c r="I166" s="2">
        <v>164</v>
      </c>
      <c r="J166" s="2" t="str">
        <f>IFERROR(INDEX(TableRBMaster[Player],MATCH(TableRBCalcPts[[#This Row],[RBRef]],TableRBMaster[RBRef],0)),"")</f>
        <v/>
      </c>
      <c r="K166" s="2" t="str">
        <f>IFERROR(INDEX(TableRBMaster[TM],MATCH(TableRBCalcPts[[#This Row],[RBRef]],TableRBMaster[RBRef],0)),"")</f>
        <v/>
      </c>
      <c r="L166" s="2" t="str">
        <f>IFERROR(INDEX(TableRBMaster[BYE],MATCH(TableRBCalcPts[[#This Row],[RBRef]],TableRBMaster[RBRef],0)),"")</f>
        <v/>
      </c>
      <c r="M166" s="3" t="str">
        <f>IFERROR(INDEX(TableRBMaster[Custom],MATCH(TableRBCalcPts[[#This Row],[RBRef]],TableRBMaster[RBRef],0)),"")</f>
        <v/>
      </c>
      <c r="O166" s="2">
        <f>IFERROR(RANK(TableWRCalcPts[[#This Row],[Custom]],TableWRCalcPts[Custom])+COUNTIF($T$3:T166,T166)-1,"")</f>
        <v>164</v>
      </c>
      <c r="P166" s="2">
        <v>164</v>
      </c>
      <c r="Q166" s="2" t="str">
        <f>IFERROR(INDEX(TableWRMaster[Player],MATCH(TableWRCalcPts[[#This Row],[WRRef]],TableWRMaster[WRRef],0)),"")</f>
        <v>Jordan Watkins</v>
      </c>
      <c r="R166" s="2" t="str">
        <f>IFERROR(INDEX(TableWRMaster[TM],MATCH(TableWRCalcPts[[#This Row],[WRRef]],TableWRMaster[WRRef],0)),"")</f>
        <v>SF</v>
      </c>
      <c r="S166" s="2">
        <f>IFERROR(INDEX(TableWRMaster[BYE],MATCH(TableWRCalcPts[[#This Row],[WRRef]],TableWRMaster[WRRef],0)),"")</f>
        <v>8</v>
      </c>
      <c r="T166" s="3">
        <f>IFERROR(INDEX(TableWRMaster[Custom],MATCH(TableWRCalcPts[[#This Row],[WRRef]],TableWRMaster[WRRef],0)),"")</f>
        <v>6.6859447263304252</v>
      </c>
      <c r="AI166" s="2" t="s">
        <v>148</v>
      </c>
      <c r="AJ166" s="2">
        <f>IFERROR(RANK(TableWRTECalcPts[[#This Row],[Custom]],TableWRTECalcPts[Custom])+COUNTIF($AP$3:AP166,AP166)-1,"")</f>
        <v>139</v>
      </c>
      <c r="AK166" s="20">
        <v>64</v>
      </c>
      <c r="AL166" s="20" t="str">
        <f>IFERROR(INDEX(TableWRMaster[Player],MATCH(TableWRTECalcPts[[#This Row],[POSRef]],TableWRMaster[WRRef],0)),"")</f>
        <v>Savion Williams</v>
      </c>
      <c r="AM166" s="20" t="str">
        <f>IFERROR(_xlfn.CONCAT(TableWRTECalcPts[[#This Row],[POS]],INDEX(TableWRRanks[RK],MATCH(TableWRTECalcPts[[#This Row],[PLAYER]],TableWRRanks[Player],0))),"")</f>
        <v>WR101</v>
      </c>
      <c r="AN166" s="20" t="str">
        <f>IFERROR(INDEX(TableWRMaster[TM],MATCH(TableWRTECalcPts[[#This Row],[POSRef]],TableWRMaster[WRRef],0)),"")</f>
        <v>GB</v>
      </c>
      <c r="AO166" s="20">
        <f>IFERROR(INDEX(TableWRMaster[BYE],MATCH(TableWRTECalcPts[[#This Row],[POSRef]],TableWRMaster[WRRef],0)),"")</f>
        <v>11</v>
      </c>
      <c r="AP166" s="18">
        <f>IFERROR(INDEX(TableWRMaster[Custom],MATCH(TableWRTECalcPts[[#This Row],[POSRef]],TableWRMaster[WRRef],0)),"")</f>
        <v>50.259188410268962</v>
      </c>
    </row>
    <row r="167" spans="8:42" x14ac:dyDescent="0.25">
      <c r="H167" s="2" t="str">
        <f>IFERROR(RANK(TableRBCalcPts[[#This Row],[Custom]],TableRBCalcPts[Custom])+COUNTIF($M$3:M167,M167)-1,"")</f>
        <v/>
      </c>
      <c r="I167" s="2">
        <v>165</v>
      </c>
      <c r="J167" s="2" t="str">
        <f>IFERROR(INDEX(TableRBMaster[Player],MATCH(TableRBCalcPts[[#This Row],[RBRef]],TableRBMaster[RBRef],0)),"")</f>
        <v/>
      </c>
      <c r="K167" s="2" t="str">
        <f>IFERROR(INDEX(TableRBMaster[TM],MATCH(TableRBCalcPts[[#This Row],[RBRef]],TableRBMaster[RBRef],0)),"")</f>
        <v/>
      </c>
      <c r="L167" s="2" t="str">
        <f>IFERROR(INDEX(TableRBMaster[BYE],MATCH(TableRBCalcPts[[#This Row],[RBRef]],TableRBMaster[RBRef],0)),"")</f>
        <v/>
      </c>
      <c r="M167" s="3" t="str">
        <f>IFERROR(INDEX(TableRBMaster[Custom],MATCH(TableRBCalcPts[[#This Row],[RBRef]],TableRBMaster[RBRef],0)),"")</f>
        <v/>
      </c>
      <c r="O167" s="2">
        <f>IFERROR(RANK(TableWRCalcPts[[#This Row],[Custom]],TableWRCalcPts[Custom])+COUNTIF($T$3:T167,T167)-1,"")</f>
        <v>25</v>
      </c>
      <c r="P167" s="2">
        <v>165</v>
      </c>
      <c r="Q167" s="2" t="str">
        <f>IFERROR(INDEX(TableWRMaster[Player],MATCH(TableWRCalcPts[[#This Row],[WRRef]],TableWRMaster[WRRef],0)),"")</f>
        <v>Emeka Egbuka</v>
      </c>
      <c r="R167" s="2" t="str">
        <f>IFERROR(INDEX(TableWRMaster[TM],MATCH(TableWRCalcPts[[#This Row],[WRRef]],TableWRMaster[WRRef],0)),"")</f>
        <v>TB</v>
      </c>
      <c r="S167" s="2">
        <f>IFERROR(INDEX(TableWRMaster[BYE],MATCH(TableWRCalcPts[[#This Row],[WRRef]],TableWRMaster[WRRef],0)),"")</f>
        <v>10</v>
      </c>
      <c r="T167" s="3">
        <f>IFERROR(INDEX(TableWRMaster[Custom],MATCH(TableWRCalcPts[[#This Row],[WRRef]],TableWRMaster[WRRef],0)),"")</f>
        <v>187.69417440185407</v>
      </c>
      <c r="AI167" s="2" t="s">
        <v>148</v>
      </c>
      <c r="AJ167" s="2">
        <f>IFERROR(RANK(TableWRTECalcPts[[#This Row],[Custom]],TableWRTECalcPts[Custom])+COUNTIF($AP$3:AP167,AP167)-1,"")</f>
        <v>229</v>
      </c>
      <c r="AK167" s="20">
        <v>65</v>
      </c>
      <c r="AL167" s="20" t="str">
        <f>IFERROR(INDEX(TableWRMaster[Player],MATCH(TableWRTECalcPts[[#This Row],[POSRef]],TableWRMaster[WRRef],0)),"")</f>
        <v>Bo Melton</v>
      </c>
      <c r="AM167" s="20" t="str">
        <f>IFERROR(_xlfn.CONCAT(TableWRTECalcPts[[#This Row],[POS]],INDEX(TableWRRanks[RK],MATCH(TableWRTECalcPts[[#This Row],[PLAYER]],TableWRRanks[Player],0))),"")</f>
        <v>WR155</v>
      </c>
      <c r="AN167" s="20" t="str">
        <f>IFERROR(INDEX(TableWRMaster[TM],MATCH(TableWRTECalcPts[[#This Row],[POSRef]],TableWRMaster[WRRef],0)),"")</f>
        <v>GB</v>
      </c>
      <c r="AO167" s="20">
        <f>IFERROR(INDEX(TableWRMaster[BYE],MATCH(TableWRTECalcPts[[#This Row],[POSRef]],TableWRMaster[WRRef],0)),"")</f>
        <v>11</v>
      </c>
      <c r="AP167" s="18">
        <f>IFERROR(INDEX(TableWRMaster[Custom],MATCH(TableWRTECalcPts[[#This Row],[POSRef]],TableWRMaster[WRRef],0)),"")</f>
        <v>7.8853193424873274</v>
      </c>
    </row>
    <row r="168" spans="8:42" x14ac:dyDescent="0.25">
      <c r="H168" s="2" t="str">
        <f>IFERROR(RANK(TableRBCalcPts[[#This Row],[Custom]],TableRBCalcPts[Custom])+COUNTIF($M$3:M168,M168)-1,"")</f>
        <v/>
      </c>
      <c r="I168" s="2">
        <v>166</v>
      </c>
      <c r="J168" s="2" t="str">
        <f>IFERROR(INDEX(TableRBMaster[Player],MATCH(TableRBCalcPts[[#This Row],[RBRef]],TableRBMaster[RBRef],0)),"")</f>
        <v/>
      </c>
      <c r="K168" s="2" t="str">
        <f>IFERROR(INDEX(TableRBMaster[TM],MATCH(TableRBCalcPts[[#This Row],[RBRef]],TableRBMaster[RBRef],0)),"")</f>
        <v/>
      </c>
      <c r="L168" s="2" t="str">
        <f>IFERROR(INDEX(TableRBMaster[BYE],MATCH(TableRBCalcPts[[#This Row],[RBRef]],TableRBMaster[RBRef],0)),"")</f>
        <v/>
      </c>
      <c r="M168" s="3" t="str">
        <f>IFERROR(INDEX(TableRBMaster[Custom],MATCH(TableRBCalcPts[[#This Row],[RBRef]],TableRBMaster[RBRef],0)),"")</f>
        <v/>
      </c>
      <c r="O168" s="2">
        <f>IFERROR(RANK(TableWRCalcPts[[#This Row],[Custom]],TableWRCalcPts[Custom])+COUNTIF($T$3:T168,T168)-1,"")</f>
        <v>47</v>
      </c>
      <c r="P168" s="2">
        <v>166</v>
      </c>
      <c r="Q168" s="2" t="str">
        <f>IFERROR(INDEX(TableWRMaster[Player],MATCH(TableWRCalcPts[[#This Row],[WRRef]],TableWRMaster[WRRef],0)),"")</f>
        <v>Chris Godwin</v>
      </c>
      <c r="R168" s="2" t="str">
        <f>IFERROR(INDEX(TableWRMaster[TM],MATCH(TableWRCalcPts[[#This Row],[WRRef]],TableWRMaster[WRRef],0)),"")</f>
        <v>TB</v>
      </c>
      <c r="S168" s="2">
        <f>IFERROR(INDEX(TableWRMaster[BYE],MATCH(TableWRCalcPts[[#This Row],[WRRef]],TableWRMaster[WRRef],0)),"")</f>
        <v>10</v>
      </c>
      <c r="T168" s="3">
        <f>IFERROR(INDEX(TableWRMaster[Custom],MATCH(TableWRCalcPts[[#This Row],[WRRef]],TableWRMaster[WRRef],0)),"")</f>
        <v>144.56829686906872</v>
      </c>
      <c r="AI168" s="2" t="s">
        <v>148</v>
      </c>
      <c r="AJ168" s="2">
        <f>IFERROR(RANK(TableWRTECalcPts[[#This Row],[Custom]],TableWRTECalcPts[Custom])+COUNTIF($AP$3:AP168,AP168)-1,"")</f>
        <v>269</v>
      </c>
      <c r="AK168" s="20">
        <v>66</v>
      </c>
      <c r="AL168" s="20" t="str">
        <f>IFERROR(INDEX(TableWRMaster[Player],MATCH(TableWRTECalcPts[[#This Row],[POSRef]],TableWRMaster[WRRef],0)),"")</f>
        <v>Skyy Moore</v>
      </c>
      <c r="AM168" s="20" t="str">
        <f>IFERROR(_xlfn.CONCAT(TableWRTECalcPts[[#This Row],[POS]],INDEX(TableWRRanks[RK],MATCH(TableWRTECalcPts[[#This Row],[PLAYER]],TableWRRanks[Player],0))),"")</f>
        <v>WR182</v>
      </c>
      <c r="AN168" s="20" t="str">
        <f>IFERROR(INDEX(TableWRMaster[TM],MATCH(TableWRTECalcPts[[#This Row],[POSRef]],TableWRMaster[WRRef],0)),"")</f>
        <v>GB</v>
      </c>
      <c r="AO168" s="20">
        <f>IFERROR(INDEX(TableWRMaster[BYE],MATCH(TableWRTECalcPts[[#This Row],[POSRef]],TableWRMaster[WRRef],0)),"")</f>
        <v>11</v>
      </c>
      <c r="AP168" s="18">
        <f>IFERROR(INDEX(TableWRMaster[Custom],MATCH(TableWRTECalcPts[[#This Row],[POSRef]],TableWRMaster[WRRef],0)),"")</f>
        <v>0</v>
      </c>
    </row>
    <row r="169" spans="8:42" x14ac:dyDescent="0.25">
      <c r="H169" s="2" t="str">
        <f>IFERROR(RANK(TableRBCalcPts[[#This Row],[Custom]],TableRBCalcPts[Custom])+COUNTIF($M$3:M169,M169)-1,"")</f>
        <v/>
      </c>
      <c r="I169" s="2">
        <v>167</v>
      </c>
      <c r="J169" s="2" t="str">
        <f>IFERROR(INDEX(TableRBMaster[Player],MATCH(TableRBCalcPts[[#This Row],[RBRef]],TableRBMaster[RBRef],0)),"")</f>
        <v/>
      </c>
      <c r="K169" s="2" t="str">
        <f>IFERROR(INDEX(TableRBMaster[TM],MATCH(TableRBCalcPts[[#This Row],[RBRef]],TableRBMaster[RBRef],0)),"")</f>
        <v/>
      </c>
      <c r="L169" s="2" t="str">
        <f>IFERROR(INDEX(TableRBMaster[BYE],MATCH(TableRBCalcPts[[#This Row],[RBRef]],TableRBMaster[RBRef],0)),"")</f>
        <v/>
      </c>
      <c r="M169" s="3" t="str">
        <f>IFERROR(INDEX(TableRBMaster[Custom],MATCH(TableRBCalcPts[[#This Row],[RBRef]],TableRBMaster[RBRef],0)),"")</f>
        <v/>
      </c>
      <c r="O169" s="2">
        <f>IFERROR(RANK(TableWRCalcPts[[#This Row],[Custom]],TableWRCalcPts[Custom])+COUNTIF($T$3:T169,T169)-1,"")</f>
        <v>57</v>
      </c>
      <c r="P169" s="2">
        <v>167</v>
      </c>
      <c r="Q169" s="2" t="str">
        <f>IFERROR(INDEX(TableWRMaster[Player],MATCH(TableWRCalcPts[[#This Row],[WRRef]],TableWRMaster[WRRef],0)),"")</f>
        <v>Jalen McMillan</v>
      </c>
      <c r="R169" s="2" t="str">
        <f>IFERROR(INDEX(TableWRMaster[TM],MATCH(TableWRCalcPts[[#This Row],[WRRef]],TableWRMaster[WRRef],0)),"")</f>
        <v>TB</v>
      </c>
      <c r="S169" s="2">
        <f>IFERROR(INDEX(TableWRMaster[BYE],MATCH(TableWRCalcPts[[#This Row],[WRRef]],TableWRMaster[WRRef],0)),"")</f>
        <v>10</v>
      </c>
      <c r="T169" s="3">
        <f>IFERROR(INDEX(TableWRMaster[Custom],MATCH(TableWRCalcPts[[#This Row],[WRRef]],TableWRMaster[WRRef],0)),"")</f>
        <v>108.1071908674808</v>
      </c>
      <c r="AI169" s="2" t="s">
        <v>148</v>
      </c>
      <c r="AJ169" s="2">
        <f>IFERROR(RANK(TableWRTECalcPts[[#This Row],[Custom]],TableWRTECalcPts[Custom])+COUNTIF($AP$3:AP169,AP169)-1,"")</f>
        <v>10</v>
      </c>
      <c r="AK169" s="20">
        <v>67</v>
      </c>
      <c r="AL169" s="20" t="str">
        <f>IFERROR(INDEX(TableWRMaster[Player],MATCH(TableWRTECalcPts[[#This Row],[POSRef]],TableWRMaster[WRRef],0)),"")</f>
        <v>Nico Collins</v>
      </c>
      <c r="AM169" s="20" t="str">
        <f>IFERROR(_xlfn.CONCAT(TableWRTECalcPts[[#This Row],[POS]],INDEX(TableWRRanks[RK],MATCH(TableWRTECalcPts[[#This Row],[PLAYER]],TableWRRanks[Player],0))),"")</f>
        <v>WR10</v>
      </c>
      <c r="AN169" s="20" t="str">
        <f>IFERROR(INDEX(TableWRMaster[TM],MATCH(TableWRTECalcPts[[#This Row],[POSRef]],TableWRMaster[WRRef],0)),"")</f>
        <v>HOU</v>
      </c>
      <c r="AO169" s="20">
        <f>IFERROR(INDEX(TableWRMaster[BYE],MATCH(TableWRTECalcPts[[#This Row],[POSRef]],TableWRMaster[WRRef],0)),"")</f>
        <v>8</v>
      </c>
      <c r="AP169" s="18">
        <f>IFERROR(INDEX(TableWRMaster[Custom],MATCH(TableWRTECalcPts[[#This Row],[POSRef]],TableWRMaster[WRRef],0)),"")</f>
        <v>212.48861218175085</v>
      </c>
    </row>
    <row r="170" spans="8:42" x14ac:dyDescent="0.25">
      <c r="H170" s="2" t="str">
        <f>IFERROR(RANK(TableRBCalcPts[[#This Row],[Custom]],TableRBCalcPts[Custom])+COUNTIF($M$3:M170,M170)-1,"")</f>
        <v/>
      </c>
      <c r="I170" s="2">
        <v>168</v>
      </c>
      <c r="J170" s="2" t="str">
        <f>IFERROR(INDEX(TableRBMaster[Player],MATCH(TableRBCalcPts[[#This Row],[RBRef]],TableRBMaster[RBRef],0)),"")</f>
        <v/>
      </c>
      <c r="K170" s="2" t="str">
        <f>IFERROR(INDEX(TableRBMaster[TM],MATCH(TableRBCalcPts[[#This Row],[RBRef]],TableRBMaster[RBRef],0)),"")</f>
        <v/>
      </c>
      <c r="L170" s="2" t="str">
        <f>IFERROR(INDEX(TableRBMaster[BYE],MATCH(TableRBCalcPts[[#This Row],[RBRef]],TableRBMaster[RBRef],0)),"")</f>
        <v/>
      </c>
      <c r="M170" s="3" t="str">
        <f>IFERROR(INDEX(TableRBMaster[Custom],MATCH(TableRBCalcPts[[#This Row],[RBRef]],TableRBMaster[RBRef],0)),"")</f>
        <v/>
      </c>
      <c r="O170" s="2">
        <f>IFERROR(RANK(TableWRCalcPts[[#This Row],[Custom]],TableWRCalcPts[Custom])+COUNTIF($T$3:T170,T170)-1,"")</f>
        <v>104</v>
      </c>
      <c r="P170" s="2">
        <v>168</v>
      </c>
      <c r="Q170" s="2" t="str">
        <f>IFERROR(INDEX(TableWRMaster[Player],MATCH(TableWRCalcPts[[#This Row],[WRRef]],TableWRMaster[WRRef],0)),"")</f>
        <v>Ted Hurst</v>
      </c>
      <c r="R170" s="2" t="str">
        <f>IFERROR(INDEX(TableWRMaster[TM],MATCH(TableWRCalcPts[[#This Row],[WRRef]],TableWRMaster[WRRef],0)),"")</f>
        <v>TB</v>
      </c>
      <c r="S170" s="2">
        <f>IFERROR(INDEX(TableWRMaster[BYE],MATCH(TableWRCalcPts[[#This Row],[WRRef]],TableWRMaster[WRRef],0)),"")</f>
        <v>10</v>
      </c>
      <c r="T170" s="3">
        <f>IFERROR(INDEX(TableWRMaster[Custom],MATCH(TableWRCalcPts[[#This Row],[WRRef]],TableWRMaster[WRRef],0)),"")</f>
        <v>47.619043990707816</v>
      </c>
      <c r="AI170" s="2" t="s">
        <v>148</v>
      </c>
      <c r="AJ170" s="2">
        <f>IFERROR(RANK(TableWRTECalcPts[[#This Row],[Custom]],TableWRTECalcPts[Custom])+COUNTIF($AP$3:AP170,AP170)-1,"")</f>
        <v>48</v>
      </c>
      <c r="AK170" s="20">
        <v>68</v>
      </c>
      <c r="AL170" s="20" t="str">
        <f>IFERROR(INDEX(TableWRMaster[Player],MATCH(TableWRTECalcPts[[#This Row],[POSRef]],TableWRMaster[WRRef],0)),"")</f>
        <v>Jayden Higgins</v>
      </c>
      <c r="AM170" s="20" t="str">
        <f>IFERROR(_xlfn.CONCAT(TableWRTECalcPts[[#This Row],[POS]],INDEX(TableWRRanks[RK],MATCH(TableWRTECalcPts[[#This Row],[PLAYER]],TableWRRanks[Player],0))),"")</f>
        <v>WR40</v>
      </c>
      <c r="AN170" s="20" t="str">
        <f>IFERROR(INDEX(TableWRMaster[TM],MATCH(TableWRTECalcPts[[#This Row],[POSRef]],TableWRMaster[WRRef],0)),"")</f>
        <v>HOU</v>
      </c>
      <c r="AO170" s="20">
        <f>IFERROR(INDEX(TableWRMaster[BYE],MATCH(TableWRTECalcPts[[#This Row],[POSRef]],TableWRMaster[WRRef],0)),"")</f>
        <v>8</v>
      </c>
      <c r="AP170" s="18">
        <f>IFERROR(INDEX(TableWRMaster[Custom],MATCH(TableWRTECalcPts[[#This Row],[POSRef]],TableWRMaster[WRRef],0)),"")</f>
        <v>152.492255822088</v>
      </c>
    </row>
    <row r="171" spans="8:42" x14ac:dyDescent="0.25">
      <c r="H171" s="2" t="str">
        <f>IFERROR(RANK(TableRBCalcPts[[#This Row],[Custom]],TableRBCalcPts[Custom])+COUNTIF($M$3:M171,M171)-1,"")</f>
        <v/>
      </c>
      <c r="I171" s="2">
        <v>169</v>
      </c>
      <c r="J171" s="2" t="str">
        <f>IFERROR(INDEX(TableRBMaster[Player],MATCH(TableRBCalcPts[[#This Row],[RBRef]],TableRBMaster[RBRef],0)),"")</f>
        <v/>
      </c>
      <c r="K171" s="2" t="str">
        <f>IFERROR(INDEX(TableRBMaster[TM],MATCH(TableRBCalcPts[[#This Row],[RBRef]],TableRBMaster[RBRef],0)),"")</f>
        <v/>
      </c>
      <c r="L171" s="2" t="str">
        <f>IFERROR(INDEX(TableRBMaster[BYE],MATCH(TableRBCalcPts[[#This Row],[RBRef]],TableRBMaster[RBRef],0)),"")</f>
        <v/>
      </c>
      <c r="M171" s="3" t="str">
        <f>IFERROR(INDEX(TableRBMaster[Custom],MATCH(TableRBCalcPts[[#This Row],[RBRef]],TableRBMaster[RBRef],0)),"")</f>
        <v/>
      </c>
      <c r="O171" s="2">
        <f>IFERROR(RANK(TableWRCalcPts[[#This Row],[Custom]],TableWRCalcPts[Custom])+COUNTIF($T$3:T171,T171)-1,"")</f>
        <v>143</v>
      </c>
      <c r="P171" s="2">
        <v>169</v>
      </c>
      <c r="Q171" s="2" t="str">
        <f>IFERROR(INDEX(TableWRMaster[Player],MATCH(TableWRCalcPts[[#This Row],[WRRef]],TableWRMaster[WRRef],0)),"")</f>
        <v>Tez Johnson</v>
      </c>
      <c r="R171" s="2" t="str">
        <f>IFERROR(INDEX(TableWRMaster[TM],MATCH(TableWRCalcPts[[#This Row],[WRRef]],TableWRMaster[WRRef],0)),"")</f>
        <v>TB</v>
      </c>
      <c r="S171" s="2">
        <f>IFERROR(INDEX(TableWRMaster[BYE],MATCH(TableWRCalcPts[[#This Row],[WRRef]],TableWRMaster[WRRef],0)),"")</f>
        <v>10</v>
      </c>
      <c r="T171" s="3">
        <f>IFERROR(INDEX(TableWRMaster[Custom],MATCH(TableWRCalcPts[[#This Row],[WRRef]],TableWRMaster[WRRef],0)),"")</f>
        <v>11.598759577124993</v>
      </c>
      <c r="AI171" s="2" t="s">
        <v>148</v>
      </c>
      <c r="AJ171" s="2">
        <f>IFERROR(RANK(TableWRTECalcPts[[#This Row],[Custom]],TableWRTECalcPts[Custom])+COUNTIF($AP$3:AP171,AP171)-1,"")</f>
        <v>109</v>
      </c>
      <c r="AK171" s="20">
        <v>69</v>
      </c>
      <c r="AL171" s="20" t="str">
        <f>IFERROR(INDEX(TableWRMaster[Player],MATCH(TableWRTECalcPts[[#This Row],[POSRef]],TableWRMaster[WRRef],0)),"")</f>
        <v>Jaylin Noel</v>
      </c>
      <c r="AM171" s="20" t="str">
        <f>IFERROR(_xlfn.CONCAT(TableWRTECalcPts[[#This Row],[POS]],INDEX(TableWRRanks[RK],MATCH(TableWRTECalcPts[[#This Row],[PLAYER]],TableWRRanks[Player],0))),"")</f>
        <v>WR79</v>
      </c>
      <c r="AN171" s="20" t="str">
        <f>IFERROR(INDEX(TableWRMaster[TM],MATCH(TableWRTECalcPts[[#This Row],[POSRef]],TableWRMaster[WRRef],0)),"")</f>
        <v>HOU</v>
      </c>
      <c r="AO171" s="20">
        <f>IFERROR(INDEX(TableWRMaster[BYE],MATCH(TableWRTECalcPts[[#This Row],[POSRef]],TableWRMaster[WRRef],0)),"")</f>
        <v>8</v>
      </c>
      <c r="AP171" s="18">
        <f>IFERROR(INDEX(TableWRMaster[Custom],MATCH(TableWRTECalcPts[[#This Row],[POSRef]],TableWRMaster[WRRef],0)),"")</f>
        <v>74.661111555857417</v>
      </c>
    </row>
    <row r="172" spans="8:42" x14ac:dyDescent="0.25">
      <c r="H172" s="2" t="str">
        <f>IFERROR(RANK(TableRBCalcPts[[#This Row],[Custom]],TableRBCalcPts[Custom])+COUNTIF($M$3:M172,M172)-1,"")</f>
        <v/>
      </c>
      <c r="I172" s="2">
        <v>170</v>
      </c>
      <c r="J172" s="2" t="str">
        <f>IFERROR(INDEX(TableRBMaster[Player],MATCH(TableRBCalcPts[[#This Row],[RBRef]],TableRBMaster[RBRef],0)),"")</f>
        <v/>
      </c>
      <c r="K172" s="2" t="str">
        <f>IFERROR(INDEX(TableRBMaster[TM],MATCH(TableRBCalcPts[[#This Row],[RBRef]],TableRBMaster[RBRef],0)),"")</f>
        <v/>
      </c>
      <c r="L172" s="2" t="str">
        <f>IFERROR(INDEX(TableRBMaster[BYE],MATCH(TableRBCalcPts[[#This Row],[RBRef]],TableRBMaster[RBRef],0)),"")</f>
        <v/>
      </c>
      <c r="M172" s="3" t="str">
        <f>IFERROR(INDEX(TableRBMaster[Custom],MATCH(TableRBCalcPts[[#This Row],[RBRef]],TableRBMaster[RBRef],0)),"")</f>
        <v/>
      </c>
      <c r="O172" s="2">
        <f>IFERROR(RANK(TableWRCalcPts[[#This Row],[Custom]],TableWRCalcPts[Custom])+COUNTIF($T$3:T172,T172)-1,"")</f>
        <v>166</v>
      </c>
      <c r="P172" s="2">
        <v>170</v>
      </c>
      <c r="Q172" s="2" t="str">
        <f>IFERROR(INDEX(TableWRMaster[Player],MATCH(TableWRCalcPts[[#This Row],[WRRef]],TableWRMaster[WRRef],0)),"")</f>
        <v>Kameron Johnson</v>
      </c>
      <c r="R172" s="2" t="str">
        <f>IFERROR(INDEX(TableWRMaster[TM],MATCH(TableWRCalcPts[[#This Row],[WRRef]],TableWRMaster[WRRef],0)),"")</f>
        <v>TB</v>
      </c>
      <c r="S172" s="2">
        <f>IFERROR(INDEX(TableWRMaster[BYE],MATCH(TableWRCalcPts[[#This Row],[WRRef]],TableWRMaster[WRRef],0)),"")</f>
        <v>10</v>
      </c>
      <c r="T172" s="3">
        <f>IFERROR(INDEX(TableWRMaster[Custom],MATCH(TableWRCalcPts[[#This Row],[WRRef]],TableWRMaster[WRRef],0)),"")</f>
        <v>6.3680204445311972</v>
      </c>
      <c r="AI172" s="2" t="s">
        <v>148</v>
      </c>
      <c r="AJ172" s="2">
        <f>IFERROR(RANK(TableWRTECalcPts[[#This Row],[Custom]],TableWRTECalcPts[Custom])+COUNTIF($AP$3:AP172,AP172)-1,"")</f>
        <v>113</v>
      </c>
      <c r="AK172" s="20">
        <v>70</v>
      </c>
      <c r="AL172" s="20" t="str">
        <f>IFERROR(INDEX(TableWRMaster[Player],MATCH(TableWRTECalcPts[[#This Row],[POSRef]],TableWRMaster[WRRef],0)),"")</f>
        <v>Tank Dell</v>
      </c>
      <c r="AM172" s="20" t="str">
        <f>IFERROR(_xlfn.CONCAT(TableWRTECalcPts[[#This Row],[POS]],INDEX(TableWRRanks[RK],MATCH(TableWRTECalcPts[[#This Row],[PLAYER]],TableWRRanks[Player],0))),"")</f>
        <v>WR81</v>
      </c>
      <c r="AN172" s="20" t="str">
        <f>IFERROR(INDEX(TableWRMaster[TM],MATCH(TableWRTECalcPts[[#This Row],[POSRef]],TableWRMaster[WRRef],0)),"")</f>
        <v>HOU</v>
      </c>
      <c r="AO172" s="20">
        <f>IFERROR(INDEX(TableWRMaster[BYE],MATCH(TableWRTECalcPts[[#This Row],[POSRef]],TableWRMaster[WRRef],0)),"")</f>
        <v>8</v>
      </c>
      <c r="AP172" s="18">
        <f>IFERROR(INDEX(TableWRMaster[Custom],MATCH(TableWRTECalcPts[[#This Row],[POSRef]],TableWRMaster[WRRef],0)),"")</f>
        <v>69.155467284078</v>
      </c>
    </row>
    <row r="173" spans="8:42" x14ac:dyDescent="0.25">
      <c r="H173" s="2" t="str">
        <f>IFERROR(RANK(TableRBCalcPts[[#This Row],[Custom]],TableRBCalcPts[Custom])+COUNTIF($M$3:M173,M173)-1,"")</f>
        <v/>
      </c>
      <c r="I173" s="2">
        <v>171</v>
      </c>
      <c r="J173" s="2" t="str">
        <f>IFERROR(INDEX(TableRBMaster[Player],MATCH(TableRBCalcPts[[#This Row],[RBRef]],TableRBMaster[RBRef],0)),"")</f>
        <v/>
      </c>
      <c r="K173" s="2" t="str">
        <f>IFERROR(INDEX(TableRBMaster[TM],MATCH(TableRBCalcPts[[#This Row],[RBRef]],TableRBMaster[RBRef],0)),"")</f>
        <v/>
      </c>
      <c r="L173" s="2" t="str">
        <f>IFERROR(INDEX(TableRBMaster[BYE],MATCH(TableRBCalcPts[[#This Row],[RBRef]],TableRBMaster[RBRef],0)),"")</f>
        <v/>
      </c>
      <c r="M173" s="3" t="str">
        <f>IFERROR(INDEX(TableRBMaster[Custom],MATCH(TableRBCalcPts[[#This Row],[RBRef]],TableRBMaster[RBRef],0)),"")</f>
        <v/>
      </c>
      <c r="O173" s="2">
        <f>IFERROR(RANK(TableWRCalcPts[[#This Row],[Custom]],TableWRCalcPts[Custom])+COUNTIF($T$3:T173,T173)-1,"")</f>
        <v>26</v>
      </c>
      <c r="P173" s="2">
        <v>171</v>
      </c>
      <c r="Q173" s="2" t="str">
        <f>IFERROR(INDEX(TableWRMaster[Player],MATCH(TableWRCalcPts[[#This Row],[WRRef]],TableWRMaster[WRRef],0)),"")</f>
        <v>Carnell Tate</v>
      </c>
      <c r="R173" s="2" t="str">
        <f>IFERROR(INDEX(TableWRMaster[TM],MATCH(TableWRCalcPts[[#This Row],[WRRef]],TableWRMaster[WRRef],0)),"")</f>
        <v>TEN</v>
      </c>
      <c r="S173" s="2">
        <f>IFERROR(INDEX(TableWRMaster[BYE],MATCH(TableWRCalcPts[[#This Row],[WRRef]],TableWRMaster[WRRef],0)),"")</f>
        <v>9</v>
      </c>
      <c r="T173" s="3">
        <f>IFERROR(INDEX(TableWRMaster[Custom],MATCH(TableWRCalcPts[[#This Row],[WRRef]],TableWRMaster[WRRef],0)),"")</f>
        <v>186.69245943108095</v>
      </c>
      <c r="AI173" s="2" t="s">
        <v>148</v>
      </c>
      <c r="AJ173" s="2">
        <f>IFERROR(RANK(TableWRTECalcPts[[#This Row],[Custom]],TableWRTECalcPts[Custom])+COUNTIF($AP$3:AP173,AP173)-1,"")</f>
        <v>192</v>
      </c>
      <c r="AK173" s="20">
        <v>71</v>
      </c>
      <c r="AL173" s="20" t="str">
        <f>IFERROR(INDEX(TableWRMaster[Player],MATCH(TableWRTECalcPts[[#This Row],[POSRef]],TableWRMaster[WRRef],0)),"")</f>
        <v>Xavier Hutchinson</v>
      </c>
      <c r="AM173" s="20" t="str">
        <f>IFERROR(_xlfn.CONCAT(TableWRTECalcPts[[#This Row],[POS]],INDEX(TableWRRanks[RK],MATCH(TableWRTECalcPts[[#This Row],[PLAYER]],TableWRRanks[Player],0))),"")</f>
        <v>WR131</v>
      </c>
      <c r="AN173" s="20" t="str">
        <f>IFERROR(INDEX(TableWRMaster[TM],MATCH(TableWRTECalcPts[[#This Row],[POSRef]],TableWRMaster[WRRef],0)),"")</f>
        <v>HOU</v>
      </c>
      <c r="AO173" s="20">
        <f>IFERROR(INDEX(TableWRMaster[BYE],MATCH(TableWRTECalcPts[[#This Row],[POSRef]],TableWRMaster[WRRef],0)),"")</f>
        <v>8</v>
      </c>
      <c r="AP173" s="18">
        <f>IFERROR(INDEX(TableWRMaster[Custom],MATCH(TableWRTECalcPts[[#This Row],[POSRef]],TableWRMaster[WRRef],0)),"")</f>
        <v>19.341758900520006</v>
      </c>
    </row>
    <row r="174" spans="8:42" x14ac:dyDescent="0.25">
      <c r="H174" s="2" t="str">
        <f>IFERROR(RANK(TableRBCalcPts[[#This Row],[Custom]],TableRBCalcPts[Custom])+COUNTIF($M$3:M174,M174)-1,"")</f>
        <v/>
      </c>
      <c r="I174" s="2">
        <v>172</v>
      </c>
      <c r="J174" s="2" t="str">
        <f>IFERROR(INDEX(TableRBMaster[Player],MATCH(TableRBCalcPts[[#This Row],[RBRef]],TableRBMaster[RBRef],0)),"")</f>
        <v/>
      </c>
      <c r="K174" s="2" t="str">
        <f>IFERROR(INDEX(TableRBMaster[TM],MATCH(TableRBCalcPts[[#This Row],[RBRef]],TableRBMaster[RBRef],0)),"")</f>
        <v/>
      </c>
      <c r="L174" s="2" t="str">
        <f>IFERROR(INDEX(TableRBMaster[BYE],MATCH(TableRBCalcPts[[#This Row],[RBRef]],TableRBMaster[RBRef],0)),"")</f>
        <v/>
      </c>
      <c r="M174" s="3" t="str">
        <f>IFERROR(INDEX(TableRBMaster[Custom],MATCH(TableRBCalcPts[[#This Row],[RBRef]],TableRBMaster[RBRef],0)),"")</f>
        <v/>
      </c>
      <c r="O174" s="2">
        <f>IFERROR(RANK(TableWRCalcPts[[#This Row],[Custom]],TableWRCalcPts[Custom])+COUNTIF($T$3:T174,T174)-1,"")</f>
        <v>41</v>
      </c>
      <c r="P174" s="2">
        <v>172</v>
      </c>
      <c r="Q174" s="2" t="str">
        <f>IFERROR(INDEX(TableWRMaster[Player],MATCH(TableWRCalcPts[[#This Row],[WRRef]],TableWRMaster[WRRef],0)),"")</f>
        <v>Wan'Dale Robinson</v>
      </c>
      <c r="R174" s="2" t="str">
        <f>IFERROR(INDEX(TableWRMaster[TM],MATCH(TableWRCalcPts[[#This Row],[WRRef]],TableWRMaster[WRRef],0)),"")</f>
        <v>TEN</v>
      </c>
      <c r="S174" s="2">
        <f>IFERROR(INDEX(TableWRMaster[BYE],MATCH(TableWRCalcPts[[#This Row],[WRRef]],TableWRMaster[WRRef],0)),"")</f>
        <v>9</v>
      </c>
      <c r="T174" s="3">
        <f>IFERROR(INDEX(TableWRMaster[Custom],MATCH(TableWRCalcPts[[#This Row],[WRRef]],TableWRMaster[WRRef],0)),"")</f>
        <v>152.09749839836161</v>
      </c>
      <c r="AI174" s="2" t="s">
        <v>148</v>
      </c>
      <c r="AJ174" s="2">
        <f>IFERROR(RANK(TableWRTECalcPts[[#This Row],[Custom]],TableWRTECalcPts[Custom])+COUNTIF($AP$3:AP174,AP174)-1,"")</f>
        <v>244</v>
      </c>
      <c r="AK174" s="20">
        <v>72</v>
      </c>
      <c r="AL174" s="20" t="str">
        <f>IFERROR(INDEX(TableWRMaster[Player],MATCH(TableWRTECalcPts[[#This Row],[POSRef]],TableWRMaster[WRRef],0)),"")</f>
        <v>Justin Watson</v>
      </c>
      <c r="AM174" s="20" t="str">
        <f>IFERROR(_xlfn.CONCAT(TableWRTECalcPts[[#This Row],[POS]],INDEX(TableWRRanks[RK],MATCH(TableWRTECalcPts[[#This Row],[PLAYER]],TableWRRanks[Player],0))),"")</f>
        <v>WR167</v>
      </c>
      <c r="AN174" s="20" t="str">
        <f>IFERROR(INDEX(TableWRMaster[TM],MATCH(TableWRTECalcPts[[#This Row],[POSRef]],TableWRMaster[WRRef],0)),"")</f>
        <v>HOU</v>
      </c>
      <c r="AO174" s="20">
        <f>IFERROR(INDEX(TableWRMaster[BYE],MATCH(TableWRTECalcPts[[#This Row],[POSRef]],TableWRMaster[WRRef],0)),"")</f>
        <v>8</v>
      </c>
      <c r="AP174" s="18">
        <f>IFERROR(INDEX(TableWRMaster[Custom],MATCH(TableWRTECalcPts[[#This Row],[POSRef]],TableWRMaster[WRRef],0)),"")</f>
        <v>6.2971187382564455</v>
      </c>
    </row>
    <row r="175" spans="8:42" x14ac:dyDescent="0.25">
      <c r="H175" s="2" t="str">
        <f>IFERROR(RANK(TableRBCalcPts[[#This Row],[Custom]],TableRBCalcPts[Custom])+COUNTIF($M$3:M175,M175)-1,"")</f>
        <v/>
      </c>
      <c r="I175" s="2">
        <v>173</v>
      </c>
      <c r="J175" s="2" t="str">
        <f>IFERROR(INDEX(TableRBMaster[Player],MATCH(TableRBCalcPts[[#This Row],[RBRef]],TableRBMaster[RBRef],0)),"")</f>
        <v/>
      </c>
      <c r="K175" s="2" t="str">
        <f>IFERROR(INDEX(TableRBMaster[TM],MATCH(TableRBCalcPts[[#This Row],[RBRef]],TableRBMaster[RBRef],0)),"")</f>
        <v/>
      </c>
      <c r="L175" s="2" t="str">
        <f>IFERROR(INDEX(TableRBMaster[BYE],MATCH(TableRBCalcPts[[#This Row],[RBRef]],TableRBMaster[RBRef],0)),"")</f>
        <v/>
      </c>
      <c r="M175" s="3" t="str">
        <f>IFERROR(INDEX(TableRBMaster[Custom],MATCH(TableRBCalcPts[[#This Row],[RBRef]],TableRBMaster[RBRef],0)),"")</f>
        <v/>
      </c>
      <c r="O175" s="2">
        <f>IFERROR(RANK(TableWRCalcPts[[#This Row],[Custom]],TableWRCalcPts[Custom])+COUNTIF($T$3:T175,T175)-1,"")</f>
        <v>59</v>
      </c>
      <c r="P175" s="2">
        <v>173</v>
      </c>
      <c r="Q175" s="2" t="str">
        <f>IFERROR(INDEX(TableWRMaster[Player],MATCH(TableWRCalcPts[[#This Row],[WRRef]],TableWRMaster[WRRef],0)),"")</f>
        <v>Calvin Ridley</v>
      </c>
      <c r="R175" s="2" t="str">
        <f>IFERROR(INDEX(TableWRMaster[TM],MATCH(TableWRCalcPts[[#This Row],[WRRef]],TableWRMaster[WRRef],0)),"")</f>
        <v>TEN</v>
      </c>
      <c r="S175" s="2">
        <f>IFERROR(INDEX(TableWRMaster[BYE],MATCH(TableWRCalcPts[[#This Row],[WRRef]],TableWRMaster[WRRef],0)),"")</f>
        <v>9</v>
      </c>
      <c r="T175" s="3">
        <f>IFERROR(INDEX(TableWRMaster[Custom],MATCH(TableWRCalcPts[[#This Row],[WRRef]],TableWRMaster[WRRef],0)),"")</f>
        <v>105.40024930600705</v>
      </c>
      <c r="AI175" s="2" t="s">
        <v>148</v>
      </c>
      <c r="AJ175" s="2">
        <f>IFERROR(RANK(TableWRTECalcPts[[#This Row],[Custom]],TableWRTECalcPts[Custom])+COUNTIF($AP$3:AP175,AP175)-1,"")</f>
        <v>34</v>
      </c>
      <c r="AK175" s="20">
        <v>73</v>
      </c>
      <c r="AL175" s="20" t="str">
        <f>IFERROR(INDEX(TableWRMaster[Player],MATCH(TableWRTECalcPts[[#This Row],[POSRef]],TableWRMaster[WRRef],0)),"")</f>
        <v>Alec Pierce</v>
      </c>
      <c r="AM175" s="20" t="str">
        <f>IFERROR(_xlfn.CONCAT(TableWRTECalcPts[[#This Row],[POS]],INDEX(TableWRRanks[RK],MATCH(TableWRTECalcPts[[#This Row],[PLAYER]],TableWRRanks[Player],0))),"")</f>
        <v>WR31</v>
      </c>
      <c r="AN175" s="20" t="str">
        <f>IFERROR(INDEX(TableWRMaster[TM],MATCH(TableWRTECalcPts[[#This Row],[POSRef]],TableWRMaster[WRRef],0)),"")</f>
        <v>IND</v>
      </c>
      <c r="AO175" s="20">
        <f>IFERROR(INDEX(TableWRMaster[BYE],MATCH(TableWRTECalcPts[[#This Row],[POSRef]],TableWRMaster[WRRef],0)),"")</f>
        <v>13</v>
      </c>
      <c r="AP175" s="18">
        <f>IFERROR(INDEX(TableWRMaster[Custom],MATCH(TableWRTECalcPts[[#This Row],[POSRef]],TableWRMaster[WRRef],0)),"")</f>
        <v>172.58925215568158</v>
      </c>
    </row>
    <row r="176" spans="8:42" x14ac:dyDescent="0.25">
      <c r="H176" s="2" t="str">
        <f>IFERROR(RANK(TableRBCalcPts[[#This Row],[Custom]],TableRBCalcPts[Custom])+COUNTIF($M$3:M176,M176)-1,"")</f>
        <v/>
      </c>
      <c r="I176" s="2">
        <v>174</v>
      </c>
      <c r="J176" s="2" t="str">
        <f>IFERROR(INDEX(TableRBMaster[Player],MATCH(TableRBCalcPts[[#This Row],[RBRef]],TableRBMaster[RBRef],0)),"")</f>
        <v/>
      </c>
      <c r="K176" s="2" t="str">
        <f>IFERROR(INDEX(TableRBMaster[TM],MATCH(TableRBCalcPts[[#This Row],[RBRef]],TableRBMaster[RBRef],0)),"")</f>
        <v/>
      </c>
      <c r="L176" s="2" t="str">
        <f>IFERROR(INDEX(TableRBMaster[BYE],MATCH(TableRBCalcPts[[#This Row],[RBRef]],TableRBMaster[RBRef],0)),"")</f>
        <v/>
      </c>
      <c r="M176" s="3" t="str">
        <f>IFERROR(INDEX(TableRBMaster[Custom],MATCH(TableRBCalcPts[[#This Row],[RBRef]],TableRBMaster[RBRef],0)),"")</f>
        <v/>
      </c>
      <c r="O176" s="2">
        <f>IFERROR(RANK(TableWRCalcPts[[#This Row],[Custom]],TableWRCalcPts[Custom])+COUNTIF($T$3:T176,T176)-1,"")</f>
        <v>109</v>
      </c>
      <c r="P176" s="2">
        <v>174</v>
      </c>
      <c r="Q176" s="2" t="str">
        <f>IFERROR(INDEX(TableWRMaster[Player],MATCH(TableWRCalcPts[[#This Row],[WRRef]],TableWRMaster[WRRef],0)),"")</f>
        <v>Elic Ayomanor</v>
      </c>
      <c r="R176" s="2" t="str">
        <f>IFERROR(INDEX(TableWRMaster[TM],MATCH(TableWRCalcPts[[#This Row],[WRRef]],TableWRMaster[WRRef],0)),"")</f>
        <v>TEN</v>
      </c>
      <c r="S176" s="2">
        <f>IFERROR(INDEX(TableWRMaster[BYE],MATCH(TableWRCalcPts[[#This Row],[WRRef]],TableWRMaster[WRRef],0)),"")</f>
        <v>9</v>
      </c>
      <c r="T176" s="3">
        <f>IFERROR(INDEX(TableWRMaster[Custom],MATCH(TableWRCalcPts[[#This Row],[WRRef]],TableWRMaster[WRRef],0)),"")</f>
        <v>42.293158152537607</v>
      </c>
      <c r="AI176" s="2" t="s">
        <v>148</v>
      </c>
      <c r="AJ176" s="2">
        <f>IFERROR(RANK(TableWRTECalcPts[[#This Row],[Custom]],TableWRTECalcPts[Custom])+COUNTIF($AP$3:AP176,AP176)-1,"")</f>
        <v>53</v>
      </c>
      <c r="AK176" s="20">
        <v>74</v>
      </c>
      <c r="AL176" s="20" t="str">
        <f>IFERROR(INDEX(TableWRMaster[Player],MATCH(TableWRTECalcPts[[#This Row],[POSRef]],TableWRMaster[WRRef],0)),"")</f>
        <v>Josh Downs</v>
      </c>
      <c r="AM176" s="20" t="str">
        <f>IFERROR(_xlfn.CONCAT(TableWRTECalcPts[[#This Row],[POS]],INDEX(TableWRRanks[RK],MATCH(TableWRTECalcPts[[#This Row],[PLAYER]],TableWRRanks[Player],0))),"")</f>
        <v>WR44</v>
      </c>
      <c r="AN176" s="20" t="str">
        <f>IFERROR(INDEX(TableWRMaster[TM],MATCH(TableWRTECalcPts[[#This Row],[POSRef]],TableWRMaster[WRRef],0)),"")</f>
        <v>IND</v>
      </c>
      <c r="AO176" s="20">
        <f>IFERROR(INDEX(TableWRMaster[BYE],MATCH(TableWRTECalcPts[[#This Row],[POSRef]],TableWRMaster[WRRef],0)),"")</f>
        <v>13</v>
      </c>
      <c r="AP176" s="18">
        <f>IFERROR(INDEX(TableWRMaster[Custom],MATCH(TableWRTECalcPts[[#This Row],[POSRef]],TableWRMaster[WRRef],0)),"")</f>
        <v>148.75355445006602</v>
      </c>
    </row>
    <row r="177" spans="8:42" x14ac:dyDescent="0.25">
      <c r="H177" s="2" t="str">
        <f>IFERROR(RANK(TableRBCalcPts[[#This Row],[Custom]],TableRBCalcPts[Custom])+COUNTIF($M$3:M177,M177)-1,"")</f>
        <v/>
      </c>
      <c r="I177" s="2">
        <v>175</v>
      </c>
      <c r="J177" s="2" t="str">
        <f>IFERROR(INDEX(TableRBMaster[Player],MATCH(TableRBCalcPts[[#This Row],[RBRef]],TableRBMaster[RBRef],0)),"")</f>
        <v/>
      </c>
      <c r="K177" s="2" t="str">
        <f>IFERROR(INDEX(TableRBMaster[TM],MATCH(TableRBCalcPts[[#This Row],[RBRef]],TableRBMaster[RBRef],0)),"")</f>
        <v/>
      </c>
      <c r="L177" s="2" t="str">
        <f>IFERROR(INDEX(TableRBMaster[BYE],MATCH(TableRBCalcPts[[#This Row],[RBRef]],TableRBMaster[RBRef],0)),"")</f>
        <v/>
      </c>
      <c r="M177" s="3" t="str">
        <f>IFERROR(INDEX(TableRBMaster[Custom],MATCH(TableRBCalcPts[[#This Row],[RBRef]],TableRBMaster[RBRef],0)),"")</f>
        <v/>
      </c>
      <c r="O177" s="2">
        <f>IFERROR(RANK(TableWRCalcPts[[#This Row],[Custom]],TableWRCalcPts[Custom])+COUNTIF($T$3:T177,T177)-1,"")</f>
        <v>130</v>
      </c>
      <c r="P177" s="2">
        <v>175</v>
      </c>
      <c r="Q177" s="2" t="str">
        <f>IFERROR(INDEX(TableWRMaster[Player],MATCH(TableWRCalcPts[[#This Row],[WRRef]],TableWRMaster[WRRef],0)),"")</f>
        <v>Chimere Dike</v>
      </c>
      <c r="R177" s="2" t="str">
        <f>IFERROR(INDEX(TableWRMaster[TM],MATCH(TableWRCalcPts[[#This Row],[WRRef]],TableWRMaster[WRRef],0)),"")</f>
        <v>TEN</v>
      </c>
      <c r="S177" s="2">
        <f>IFERROR(INDEX(TableWRMaster[BYE],MATCH(TableWRCalcPts[[#This Row],[WRRef]],TableWRMaster[WRRef],0)),"")</f>
        <v>9</v>
      </c>
      <c r="T177" s="3">
        <f>IFERROR(INDEX(TableWRMaster[Custom],MATCH(TableWRCalcPts[[#This Row],[WRRef]],TableWRMaster[WRRef],0)),"")</f>
        <v>19.953913792414774</v>
      </c>
      <c r="AI177" s="2" t="s">
        <v>148</v>
      </c>
      <c r="AJ177" s="2">
        <f>IFERROR(RANK(TableWRTECalcPts[[#This Row],[Custom]],TableWRTECalcPts[Custom])+COUNTIF($AP$3:AP177,AP177)-1,"")</f>
        <v>114</v>
      </c>
      <c r="AK177" s="20">
        <v>75</v>
      </c>
      <c r="AL177" s="20" t="str">
        <f>IFERROR(INDEX(TableWRMaster[Player],MATCH(TableWRTECalcPts[[#This Row],[POSRef]],TableWRMaster[WRRef],0)),"")</f>
        <v>Nick Westbrook-Ikhine</v>
      </c>
      <c r="AM177" s="20" t="str">
        <f>IFERROR(_xlfn.CONCAT(TableWRTECalcPts[[#This Row],[POS]],INDEX(TableWRRanks[RK],MATCH(TableWRTECalcPts[[#This Row],[PLAYER]],TableWRRanks[Player],0))),"")</f>
        <v>WR82</v>
      </c>
      <c r="AN177" s="20" t="str">
        <f>IFERROR(INDEX(TableWRMaster[TM],MATCH(TableWRTECalcPts[[#This Row],[POSRef]],TableWRMaster[WRRef],0)),"")</f>
        <v>IND</v>
      </c>
      <c r="AO177" s="20">
        <f>IFERROR(INDEX(TableWRMaster[BYE],MATCH(TableWRTECalcPts[[#This Row],[POSRef]],TableWRMaster[WRRef],0)),"")</f>
        <v>13</v>
      </c>
      <c r="AP177" s="18">
        <f>IFERROR(INDEX(TableWRMaster[Custom],MATCH(TableWRTECalcPts[[#This Row],[POSRef]],TableWRMaster[WRRef],0)),"")</f>
        <v>68.744066857804796</v>
      </c>
    </row>
    <row r="178" spans="8:42" x14ac:dyDescent="0.25">
      <c r="M178" s="3"/>
      <c r="O178" s="2">
        <f>IFERROR(RANK(TableWRCalcPts[[#This Row],[Custom]],TableWRCalcPts[Custom])+COUNTIF($T$3:T178,T178)-1,"")</f>
        <v>145</v>
      </c>
      <c r="P178" s="2">
        <v>176</v>
      </c>
      <c r="Q178" s="2" t="str">
        <f>IFERROR(INDEX(TableWRMaster[Player],MATCH(TableWRCalcPts[[#This Row],[WRRef]],TableWRMaster[WRRef],0)),"")</f>
        <v>K.J. Osborn</v>
      </c>
      <c r="R178" s="2" t="str">
        <f>IFERROR(INDEX(TableWRMaster[TM],MATCH(TableWRCalcPts[[#This Row],[WRRef]],TableWRMaster[WRRef],0)),"")</f>
        <v>TEN</v>
      </c>
      <c r="S178" s="2">
        <f>IFERROR(INDEX(TableWRMaster[BYE],MATCH(TableWRCalcPts[[#This Row],[WRRef]],TableWRMaster[WRRef],0)),"")</f>
        <v>9</v>
      </c>
      <c r="T178" s="3">
        <f>IFERROR(INDEX(TableWRMaster[Custom],MATCH(TableWRCalcPts[[#This Row],[WRRef]],TableWRMaster[WRRef],0)),"")</f>
        <v>10.322717076403201</v>
      </c>
      <c r="AI178" s="2" t="s">
        <v>148</v>
      </c>
      <c r="AJ178" s="2">
        <f>IFERROR(RANK(TableWRTECalcPts[[#This Row],[Custom]],TableWRTECalcPts[Custom])+COUNTIF($AP$3:AP178,AP178)-1,"")</f>
        <v>185</v>
      </c>
      <c r="AK178" s="20">
        <v>76</v>
      </c>
      <c r="AL178" s="20" t="str">
        <f>IFERROR(INDEX(TableWRMaster[Player],MATCH(TableWRTECalcPts[[#This Row],[POSRef]],TableWRMaster[WRRef],0)),"")</f>
        <v>Deion Burks</v>
      </c>
      <c r="AM178" s="20" t="str">
        <f>IFERROR(_xlfn.CONCAT(TableWRTECalcPts[[#This Row],[POS]],INDEX(TableWRRanks[RK],MATCH(TableWRTECalcPts[[#This Row],[PLAYER]],TableWRRanks[Player],0))),"")</f>
        <v>WR127</v>
      </c>
      <c r="AN178" s="20" t="str">
        <f>IFERROR(INDEX(TableWRMaster[TM],MATCH(TableWRTECalcPts[[#This Row],[POSRef]],TableWRMaster[WRRef],0)),"")</f>
        <v>IND</v>
      </c>
      <c r="AO178" s="20">
        <f>IFERROR(INDEX(TableWRMaster[BYE],MATCH(TableWRTECalcPts[[#This Row],[POSRef]],TableWRMaster[WRRef],0)),"")</f>
        <v>13</v>
      </c>
      <c r="AP178" s="18">
        <f>IFERROR(INDEX(TableWRMaster[Custom],MATCH(TableWRTECalcPts[[#This Row],[POSRef]],TableWRMaster[WRRef],0)),"")</f>
        <v>20.528811020256004</v>
      </c>
    </row>
    <row r="179" spans="8:42" x14ac:dyDescent="0.25">
      <c r="M179" s="3"/>
      <c r="O179" s="2">
        <f>IFERROR(RANK(TableWRCalcPts[[#This Row],[Custom]],TableWRCalcPts[Custom])+COUNTIF($T$3:T179,T179)-1,"")</f>
        <v>15</v>
      </c>
      <c r="P179" s="2">
        <v>177</v>
      </c>
      <c r="Q179" s="2" t="str">
        <f>IFERROR(INDEX(TableWRMaster[Player],MATCH(TableWRCalcPts[[#This Row],[WRRef]],TableWRMaster[WRRef],0)),"")</f>
        <v>Terry McLaurin</v>
      </c>
      <c r="R179" s="2" t="str">
        <f>IFERROR(INDEX(TableWRMaster[TM],MATCH(TableWRCalcPts[[#This Row],[WRRef]],TableWRMaster[WRRef],0)),"")</f>
        <v>WSH</v>
      </c>
      <c r="S179" s="2">
        <f>IFERROR(INDEX(TableWRMaster[BYE],MATCH(TableWRCalcPts[[#This Row],[WRRef]],TableWRMaster[WRRef],0)),"")</f>
        <v>7</v>
      </c>
      <c r="T179" s="3">
        <f>IFERROR(INDEX(TableWRMaster[Custom],MATCH(TableWRCalcPts[[#This Row],[WRRef]],TableWRMaster[WRRef],0)),"")</f>
        <v>200.39780956148348</v>
      </c>
      <c r="AI179" s="2" t="s">
        <v>148</v>
      </c>
      <c r="AJ179" s="2">
        <f>IFERROR(RANK(TableWRTECalcPts[[#This Row],[Custom]],TableWRTECalcPts[Custom])+COUNTIF($AP$3:AP179,AP179)-1,"")</f>
        <v>201</v>
      </c>
      <c r="AK179" s="20">
        <v>77</v>
      </c>
      <c r="AL179" s="20" t="str">
        <f>IFERROR(INDEX(TableWRMaster[Player],MATCH(TableWRTECalcPts[[#This Row],[POSRef]],TableWRMaster[WRRef],0)),"")</f>
        <v>Ashton Dulin</v>
      </c>
      <c r="AM179" s="20" t="str">
        <f>IFERROR(_xlfn.CONCAT(TableWRTECalcPts[[#This Row],[POS]],INDEX(TableWRRanks[RK],MATCH(TableWRTECalcPts[[#This Row],[PLAYER]],TableWRRanks[Player],0))),"")</f>
        <v>WR136</v>
      </c>
      <c r="AN179" s="20" t="str">
        <f>IFERROR(INDEX(TableWRMaster[TM],MATCH(TableWRTECalcPts[[#This Row],[POSRef]],TableWRMaster[WRRef],0)),"")</f>
        <v>IND</v>
      </c>
      <c r="AO179" s="20">
        <f>IFERROR(INDEX(TableWRMaster[BYE],MATCH(TableWRTECalcPts[[#This Row],[POSRef]],TableWRMaster[WRRef],0)),"")</f>
        <v>13</v>
      </c>
      <c r="AP179" s="18">
        <f>IFERROR(INDEX(TableWRMaster[Custom],MATCH(TableWRTECalcPts[[#This Row],[POSRef]],TableWRMaster[WRRef],0)),"")</f>
        <v>15.8948597865901</v>
      </c>
    </row>
    <row r="180" spans="8:42" x14ac:dyDescent="0.25">
      <c r="M180" s="3"/>
      <c r="O180" s="2">
        <f>IFERROR(RANK(TableWRCalcPts[[#This Row],[Custom]],TableWRCalcPts[Custom])+COUNTIF($T$3:T180,T180)-1,"")</f>
        <v>60</v>
      </c>
      <c r="P180" s="2">
        <v>178</v>
      </c>
      <c r="Q180" s="2" t="str">
        <f>IFERROR(INDEX(TableWRMaster[Player],MATCH(TableWRCalcPts[[#This Row],[WRRef]],TableWRMaster[WRRef],0)),"")</f>
        <v>Antonio Williams</v>
      </c>
      <c r="R180" s="2" t="str">
        <f>IFERROR(INDEX(TableWRMaster[TM],MATCH(TableWRCalcPts[[#This Row],[WRRef]],TableWRMaster[WRRef],0)),"")</f>
        <v>WSH</v>
      </c>
      <c r="S180" s="2">
        <f>IFERROR(INDEX(TableWRMaster[BYE],MATCH(TableWRCalcPts[[#This Row],[WRRef]],TableWRMaster[WRRef],0)),"")</f>
        <v>7</v>
      </c>
      <c r="T180" s="3">
        <f>IFERROR(INDEX(TableWRMaster[Custom],MATCH(TableWRCalcPts[[#This Row],[WRRef]],TableWRMaster[WRRef],0)),"")</f>
        <v>103.72050015538173</v>
      </c>
      <c r="AI180" s="2" t="s">
        <v>148</v>
      </c>
      <c r="AJ180" s="2">
        <f>IFERROR(RANK(TableWRTECalcPts[[#This Row],[Custom]],TableWRTECalcPts[Custom])+COUNTIF($AP$3:AP180,AP180)-1,"")</f>
        <v>252</v>
      </c>
      <c r="AK180" s="20">
        <v>78</v>
      </c>
      <c r="AL180" s="20" t="str">
        <f>IFERROR(INDEX(TableWRMaster[Player],MATCH(TableWRTECalcPts[[#This Row],[POSRef]],TableWRMaster[WRRef],0)),"")</f>
        <v>Anthony Gould</v>
      </c>
      <c r="AM180" s="20" t="str">
        <f>IFERROR(_xlfn.CONCAT(TableWRTECalcPts[[#This Row],[POS]],INDEX(TableWRRanks[RK],MATCH(TableWRTECalcPts[[#This Row],[PLAYER]],TableWRRanks[Player],0))),"")</f>
        <v>WR174</v>
      </c>
      <c r="AN180" s="20" t="str">
        <f>IFERROR(INDEX(TableWRMaster[TM],MATCH(TableWRTECalcPts[[#This Row],[POSRef]],TableWRMaster[WRRef],0)),"")</f>
        <v>IND</v>
      </c>
      <c r="AO180" s="20">
        <f>IFERROR(INDEX(TableWRMaster[BYE],MATCH(TableWRTECalcPts[[#This Row],[POSRef]],TableWRMaster[WRRef],0)),"")</f>
        <v>13</v>
      </c>
      <c r="AP180" s="18">
        <f>IFERROR(INDEX(TableWRMaster[Custom],MATCH(TableWRTECalcPts[[#This Row],[POSRef]],TableWRMaster[WRRef],0)),"")</f>
        <v>5.4349145164160007</v>
      </c>
    </row>
    <row r="181" spans="8:42" x14ac:dyDescent="0.25">
      <c r="M181" s="3"/>
      <c r="O181" s="2">
        <f>IFERROR(RANK(TableWRCalcPts[[#This Row],[Custom]],TableWRCalcPts[Custom])+COUNTIF($T$3:T181,T181)-1,"")</f>
        <v>102</v>
      </c>
      <c r="P181" s="2">
        <v>179</v>
      </c>
      <c r="Q181" s="2" t="str">
        <f>IFERROR(INDEX(TableWRMaster[Player],MATCH(TableWRCalcPts[[#This Row],[WRRef]],TableWRMaster[WRRef],0)),"")</f>
        <v>Dyami Brown</v>
      </c>
      <c r="R181" s="2" t="str">
        <f>IFERROR(INDEX(TableWRMaster[TM],MATCH(TableWRCalcPts[[#This Row],[WRRef]],TableWRMaster[WRRef],0)),"")</f>
        <v>WSH</v>
      </c>
      <c r="S181" s="2">
        <f>IFERROR(INDEX(TableWRMaster[BYE],MATCH(TableWRCalcPts[[#This Row],[WRRef]],TableWRMaster[WRRef],0)),"")</f>
        <v>7</v>
      </c>
      <c r="T181" s="3">
        <f>IFERROR(INDEX(TableWRMaster[Custom],MATCH(TableWRCalcPts[[#This Row],[WRRef]],TableWRMaster[WRRef],0)),"")</f>
        <v>50.015364219898544</v>
      </c>
      <c r="AI181" s="2" t="s">
        <v>148</v>
      </c>
      <c r="AJ181" s="2">
        <f>IFERROR(RANK(TableWRTECalcPts[[#This Row],[Custom]],TableWRTECalcPts[Custom])+COUNTIF($AP$3:AP181,AP181)-1,"")</f>
        <v>26</v>
      </c>
      <c r="AK181" s="20">
        <v>79</v>
      </c>
      <c r="AL181" s="20" t="str">
        <f>IFERROR(INDEX(TableWRMaster[Player],MATCH(TableWRTECalcPts[[#This Row],[POSRef]],TableWRMaster[WRRef],0)),"")</f>
        <v>Parker Washington</v>
      </c>
      <c r="AM181" s="20" t="str">
        <f>IFERROR(_xlfn.CONCAT(TableWRTECalcPts[[#This Row],[POS]],INDEX(TableWRRanks[RK],MATCH(TableWRTECalcPts[[#This Row],[PLAYER]],TableWRRanks[Player],0))),"")</f>
        <v>WR24</v>
      </c>
      <c r="AN181" s="20" t="str">
        <f>IFERROR(INDEX(TableWRMaster[TM],MATCH(TableWRTECalcPts[[#This Row],[POSRef]],TableWRMaster[WRRef],0)),"")</f>
        <v>JAX</v>
      </c>
      <c r="AO181" s="20">
        <f>IFERROR(INDEX(TableWRMaster[BYE],MATCH(TableWRTECalcPts[[#This Row],[POSRef]],TableWRMaster[WRRef],0)),"")</f>
        <v>7</v>
      </c>
      <c r="AP181" s="18">
        <f>IFERROR(INDEX(TableWRMaster[Custom],MATCH(TableWRTECalcPts[[#This Row],[POSRef]],TableWRMaster[WRRef],0)),"")</f>
        <v>188.01132302400001</v>
      </c>
    </row>
    <row r="182" spans="8:42" x14ac:dyDescent="0.25">
      <c r="M182" s="3"/>
      <c r="O182" s="2">
        <f>IFERROR(RANK(TableWRCalcPts[[#This Row],[Custom]],TableWRCalcPts[Custom])+COUNTIF($T$3:T182,T182)-1,"")</f>
        <v>118</v>
      </c>
      <c r="P182" s="2">
        <v>180</v>
      </c>
      <c r="Q182" s="2" t="str">
        <f>IFERROR(INDEX(TableWRMaster[Player],MATCH(TableWRCalcPts[[#This Row],[WRRef]],TableWRMaster[WRRef],0)),"")</f>
        <v>Jaylin Lane</v>
      </c>
      <c r="R182" s="2" t="str">
        <f>IFERROR(INDEX(TableWRMaster[TM],MATCH(TableWRCalcPts[[#This Row],[WRRef]],TableWRMaster[WRRef],0)),"")</f>
        <v>WSH</v>
      </c>
      <c r="S182" s="2">
        <f>IFERROR(INDEX(TableWRMaster[BYE],MATCH(TableWRCalcPts[[#This Row],[WRRef]],TableWRMaster[WRRef],0)),"")</f>
        <v>7</v>
      </c>
      <c r="T182" s="3">
        <f>IFERROR(INDEX(TableWRMaster[Custom],MATCH(TableWRCalcPts[[#This Row],[WRRef]],TableWRMaster[WRRef],0)),"")</f>
        <v>33.911979493432312</v>
      </c>
      <c r="AI182" s="2" t="s">
        <v>148</v>
      </c>
      <c r="AJ182" s="2">
        <f>IFERROR(RANK(TableWRTECalcPts[[#This Row],[Custom]],TableWRTECalcPts[Custom])+COUNTIF($AP$3:AP182,AP182)-1,"")</f>
        <v>56</v>
      </c>
      <c r="AK182" s="20">
        <v>80</v>
      </c>
      <c r="AL182" s="20" t="str">
        <f>IFERROR(INDEX(TableWRMaster[Player],MATCH(TableWRTECalcPts[[#This Row],[POSRef]],TableWRMaster[WRRef],0)),"")</f>
        <v>Brian Thomas</v>
      </c>
      <c r="AM182" s="20" t="str">
        <f>IFERROR(_xlfn.CONCAT(TableWRTECalcPts[[#This Row],[POS]],INDEX(TableWRRanks[RK],MATCH(TableWRTECalcPts[[#This Row],[PLAYER]],TableWRRanks[Player],0))),"")</f>
        <v>WR46</v>
      </c>
      <c r="AN182" s="20" t="str">
        <f>IFERROR(INDEX(TableWRMaster[TM],MATCH(TableWRTECalcPts[[#This Row],[POSRef]],TableWRMaster[WRRef],0)),"")</f>
        <v>JAX</v>
      </c>
      <c r="AO182" s="20">
        <f>IFERROR(INDEX(TableWRMaster[BYE],MATCH(TableWRTECalcPts[[#This Row],[POSRef]],TableWRMaster[WRRef],0)),"")</f>
        <v>7</v>
      </c>
      <c r="AP182" s="18">
        <f>IFERROR(INDEX(TableWRMaster[Custom],MATCH(TableWRTECalcPts[[#This Row],[POSRef]],TableWRMaster[WRRef],0)),"")</f>
        <v>145.44104743852742</v>
      </c>
    </row>
    <row r="183" spans="8:42" x14ac:dyDescent="0.25">
      <c r="M183" s="3"/>
      <c r="O183" s="2">
        <f>IFERROR(RANK(TableWRCalcPts[[#This Row],[Custom]],TableWRCalcPts[Custom])+COUNTIF($T$3:T183,T183)-1,"")</f>
        <v>114</v>
      </c>
      <c r="P183" s="2">
        <v>181</v>
      </c>
      <c r="Q183" s="2" t="str">
        <f>IFERROR(INDEX(TableWRMaster[Player],MATCH(TableWRCalcPts[[#This Row],[WRRef]],TableWRMaster[WRRef],0)),"")</f>
        <v>Treylon Burks</v>
      </c>
      <c r="R183" s="2" t="str">
        <f>IFERROR(INDEX(TableWRMaster[TM],MATCH(TableWRCalcPts[[#This Row],[WRRef]],TableWRMaster[WRRef],0)),"")</f>
        <v>WSH</v>
      </c>
      <c r="S183" s="2">
        <f>IFERROR(INDEX(TableWRMaster[BYE],MATCH(TableWRCalcPts[[#This Row],[WRRef]],TableWRMaster[WRRef],0)),"")</f>
        <v>7</v>
      </c>
      <c r="T183" s="3">
        <f>IFERROR(INDEX(TableWRMaster[Custom],MATCH(TableWRCalcPts[[#This Row],[WRRef]],TableWRMaster[WRRef],0)),"")</f>
        <v>39.492766813743984</v>
      </c>
      <c r="AI183" s="2" t="s">
        <v>148</v>
      </c>
      <c r="AJ183" s="2">
        <f>IFERROR(RANK(TableWRTECalcPts[[#This Row],[Custom]],TableWRTECalcPts[Custom])+COUNTIF($AP$3:AP183,AP183)-1,"")</f>
        <v>61</v>
      </c>
      <c r="AK183" s="20">
        <v>81</v>
      </c>
      <c r="AL183" s="20" t="str">
        <f>IFERROR(INDEX(TableWRMaster[Player],MATCH(TableWRTECalcPts[[#This Row],[POSRef]],TableWRMaster[WRRef],0)),"")</f>
        <v>Jakobi Meyers</v>
      </c>
      <c r="AM183" s="20" t="str">
        <f>IFERROR(_xlfn.CONCAT(TableWRTECalcPts[[#This Row],[POS]],INDEX(TableWRRanks[RK],MATCH(TableWRTECalcPts[[#This Row],[PLAYER]],TableWRRanks[Player],0))),"")</f>
        <v>WR50</v>
      </c>
      <c r="AN183" s="20" t="str">
        <f>IFERROR(INDEX(TableWRMaster[TM],MATCH(TableWRTECalcPts[[#This Row],[POSRef]],TableWRMaster[WRRef],0)),"")</f>
        <v>JAX</v>
      </c>
      <c r="AO183" s="20">
        <f>IFERROR(INDEX(TableWRMaster[BYE],MATCH(TableWRTECalcPts[[#This Row],[POSRef]],TableWRMaster[WRRef],0)),"")</f>
        <v>7</v>
      </c>
      <c r="AP183" s="18">
        <f>IFERROR(INDEX(TableWRMaster[Custom],MATCH(TableWRTECalcPts[[#This Row],[POSRef]],TableWRMaster[WRRef],0)),"")</f>
        <v>137.56599358807983</v>
      </c>
    </row>
    <row r="184" spans="8:42" x14ac:dyDescent="0.25">
      <c r="M184" s="3"/>
      <c r="O184" s="2">
        <f>IFERROR(RANK(TableWRCalcPts[[#This Row],[Custom]],TableWRCalcPts[Custom])+COUNTIF($T$3:T184,T184)-1,"")</f>
        <v>134</v>
      </c>
      <c r="P184" s="2">
        <v>182</v>
      </c>
      <c r="Q184" s="2" t="str">
        <f>IFERROR(INDEX(TableWRMaster[Player],MATCH(TableWRCalcPts[[#This Row],[WRRef]],TableWRMaster[WRRef],0)),"")</f>
        <v>Luke McCaffrey</v>
      </c>
      <c r="R184" s="2" t="str">
        <f>IFERROR(INDEX(TableWRMaster[TM],MATCH(TableWRCalcPts[[#This Row],[WRRef]],TableWRMaster[WRRef],0)),"")</f>
        <v>WSH</v>
      </c>
      <c r="S184" s="2">
        <f>IFERROR(INDEX(TableWRMaster[BYE],MATCH(TableWRCalcPts[[#This Row],[WRRef]],TableWRMaster[WRRef],0)),"")</f>
        <v>7</v>
      </c>
      <c r="T184" s="3">
        <f>IFERROR(INDEX(TableWRMaster[Custom],MATCH(TableWRCalcPts[[#This Row],[WRRef]],TableWRMaster[WRRef],0)),"")</f>
        <v>16.997646659839997</v>
      </c>
      <c r="AI184" s="2" t="s">
        <v>148</v>
      </c>
      <c r="AJ184" s="2">
        <f>IFERROR(RANK(TableWRTECalcPts[[#This Row],[Custom]],TableWRTECalcPts[Custom])+COUNTIF($AP$3:AP184,AP184)-1,"")</f>
        <v>146</v>
      </c>
      <c r="AK184" s="20">
        <v>82</v>
      </c>
      <c r="AL184" s="20" t="str">
        <f>IFERROR(INDEX(TableWRMaster[Player],MATCH(TableWRTECalcPts[[#This Row],[POSRef]],TableWRMaster[WRRef],0)),"")</f>
        <v>Travis Hunter</v>
      </c>
      <c r="AM184" s="20" t="str">
        <f>IFERROR(_xlfn.CONCAT(TableWRTECalcPts[[#This Row],[POS]],INDEX(TableWRRanks[RK],MATCH(TableWRTECalcPts[[#This Row],[PLAYER]],TableWRRanks[Player],0))),"")</f>
        <v>WR105</v>
      </c>
      <c r="AN184" s="20" t="str">
        <f>IFERROR(INDEX(TableWRMaster[TM],MATCH(TableWRTECalcPts[[#This Row],[POSRef]],TableWRMaster[WRRef],0)),"")</f>
        <v>JAX</v>
      </c>
      <c r="AO184" s="20">
        <f>IFERROR(INDEX(TableWRMaster[BYE],MATCH(TableWRTECalcPts[[#This Row],[POSRef]],TableWRMaster[WRRef],0)),"")</f>
        <v>7</v>
      </c>
      <c r="AP184" s="18">
        <f>IFERROR(INDEX(TableWRMaster[Custom],MATCH(TableWRTECalcPts[[#This Row],[POSRef]],TableWRMaster[WRRef],0)),"")</f>
        <v>45.395094095769608</v>
      </c>
    </row>
    <row r="185" spans="8:42" x14ac:dyDescent="0.25">
      <c r="M185" s="3"/>
      <c r="O185" s="2" t="str">
        <f>IFERROR(RANK(TableWRCalcPts[[#This Row],[Custom]],TableWRCalcPts[Custom])+COUNTIF($T$3:T185,T185)-1,"")</f>
        <v/>
      </c>
      <c r="P185" s="2">
        <v>183</v>
      </c>
      <c r="Q185" s="2" t="str">
        <f>IFERROR(INDEX(TableWRMaster[Player],MATCH(TableWRCalcPts[[#This Row],[WRRef]],TableWRMaster[WRRef],0)),"")</f>
        <v/>
      </c>
      <c r="R185" s="2" t="str">
        <f>IFERROR(INDEX(TableWRMaster[TM],MATCH(TableWRCalcPts[[#This Row],[WRRef]],TableWRMaster[WRRef],0)),"")</f>
        <v/>
      </c>
      <c r="S185" s="2" t="str">
        <f>IFERROR(INDEX(TableWRMaster[BYE],MATCH(TableWRCalcPts[[#This Row],[WRRef]],TableWRMaster[WRRef],0)),"")</f>
        <v/>
      </c>
      <c r="T185" s="3" t="str">
        <f>IFERROR(INDEX(TableWRMaster[Custom],MATCH(TableWRCalcPts[[#This Row],[WRRef]],TableWRMaster[WRRef],0)),"")</f>
        <v/>
      </c>
      <c r="AI185" s="2" t="s">
        <v>148</v>
      </c>
      <c r="AJ185" s="2">
        <f>IFERROR(RANK(TableWRTECalcPts[[#This Row],[Custom]],TableWRTECalcPts[Custom])+COUNTIF($AP$3:AP185,AP185)-1,"")</f>
        <v>247</v>
      </c>
      <c r="AK185" s="20">
        <v>83</v>
      </c>
      <c r="AL185" s="20" t="str">
        <f>IFERROR(INDEX(TableWRMaster[Player],MATCH(TableWRTECalcPts[[#This Row],[POSRef]],TableWRMaster[WRRef],0)),"")</f>
        <v>CJ Williams</v>
      </c>
      <c r="AM185" s="20" t="str">
        <f>IFERROR(_xlfn.CONCAT(TableWRTECalcPts[[#This Row],[POS]],INDEX(TableWRRanks[RK],MATCH(TableWRTECalcPts[[#This Row],[PLAYER]],TableWRRanks[Player],0))),"")</f>
        <v>WR170</v>
      </c>
      <c r="AN185" s="20" t="str">
        <f>IFERROR(INDEX(TableWRMaster[TM],MATCH(TableWRTECalcPts[[#This Row],[POSRef]],TableWRMaster[WRRef],0)),"")</f>
        <v>JAX</v>
      </c>
      <c r="AO185" s="20">
        <f>IFERROR(INDEX(TableWRMaster[BYE],MATCH(TableWRTECalcPts[[#This Row],[POSRef]],TableWRMaster[WRRef],0)),"")</f>
        <v>7</v>
      </c>
      <c r="AP185" s="18">
        <f>IFERROR(INDEX(TableWRMaster[Custom],MATCH(TableWRTECalcPts[[#This Row],[POSRef]],TableWRMaster[WRRef],0)),"")</f>
        <v>5.9840247851999999</v>
      </c>
    </row>
    <row r="186" spans="8:42" x14ac:dyDescent="0.25">
      <c r="M186" s="3"/>
      <c r="O186" s="2" t="str">
        <f>IFERROR(RANK(TableWRCalcPts[[#This Row],[Custom]],TableWRCalcPts[Custom])+COUNTIF($T$3:T186,T186)-1,"")</f>
        <v/>
      </c>
      <c r="P186" s="2">
        <v>184</v>
      </c>
      <c r="Q186" s="2" t="str">
        <f>IFERROR(INDEX(TableWRMaster[Player],MATCH(TableWRCalcPts[[#This Row],[WRRef]],TableWRMaster[WRRef],0)),"")</f>
        <v/>
      </c>
      <c r="R186" s="2" t="str">
        <f>IFERROR(INDEX(TableWRMaster[TM],MATCH(TableWRCalcPts[[#This Row],[WRRef]],TableWRMaster[WRRef],0)),"")</f>
        <v/>
      </c>
      <c r="S186" s="2" t="str">
        <f>IFERROR(INDEX(TableWRMaster[BYE],MATCH(TableWRCalcPts[[#This Row],[WRRef]],TableWRMaster[WRRef],0)),"")</f>
        <v/>
      </c>
      <c r="T186" s="3" t="str">
        <f>IFERROR(INDEX(TableWRMaster[Custom],MATCH(TableWRCalcPts[[#This Row],[WRRef]],TableWRMaster[WRRef],0)),"")</f>
        <v/>
      </c>
      <c r="AI186" s="2" t="s">
        <v>148</v>
      </c>
      <c r="AJ186" s="2">
        <f>IFERROR(RANK(TableWRTECalcPts[[#This Row],[Custom]],TableWRTECalcPts[Custom])+COUNTIF($AP$3:AP186,AP186)-1,"")</f>
        <v>256</v>
      </c>
      <c r="AK186" s="20">
        <v>84</v>
      </c>
      <c r="AL186" s="20" t="str">
        <f>IFERROR(INDEX(TableWRMaster[Player],MATCH(TableWRTECalcPts[[#This Row],[POSRef]],TableWRMaster[WRRef],0)),"")</f>
        <v>Josh Cameron</v>
      </c>
      <c r="AM186" s="20" t="str">
        <f>IFERROR(_xlfn.CONCAT(TableWRTECalcPts[[#This Row],[POS]],INDEX(TableWRRanks[RK],MATCH(TableWRTECalcPts[[#This Row],[PLAYER]],TableWRRanks[Player],0))),"")</f>
        <v>WR176</v>
      </c>
      <c r="AN186" s="20" t="str">
        <f>IFERROR(INDEX(TableWRMaster[TM],MATCH(TableWRTECalcPts[[#This Row],[POSRef]],TableWRMaster[WRRef],0)),"")</f>
        <v>JAX</v>
      </c>
      <c r="AO186" s="20">
        <f>IFERROR(INDEX(TableWRMaster[BYE],MATCH(TableWRTECalcPts[[#This Row],[POSRef]],TableWRMaster[WRRef],0)),"")</f>
        <v>7</v>
      </c>
      <c r="AP186" s="18">
        <f>IFERROR(INDEX(TableWRMaster[Custom],MATCH(TableWRTECalcPts[[#This Row],[POSRef]],TableWRMaster[WRRef],0)),"")</f>
        <v>3.4133063186250001</v>
      </c>
    </row>
    <row r="187" spans="8:42" x14ac:dyDescent="0.25">
      <c r="M187" s="3"/>
      <c r="O187" s="2" t="str">
        <f>IFERROR(RANK(TableWRCalcPts[[#This Row],[Custom]],TableWRCalcPts[Custom])+COUNTIF($T$3:T187,T187)-1,"")</f>
        <v/>
      </c>
      <c r="P187" s="2">
        <v>185</v>
      </c>
      <c r="Q187" s="2" t="str">
        <f>IFERROR(INDEX(TableWRMaster[Player],MATCH(TableWRCalcPts[[#This Row],[WRRef]],TableWRMaster[WRRef],0)),"")</f>
        <v/>
      </c>
      <c r="R187" s="2" t="str">
        <f>IFERROR(INDEX(TableWRMaster[TM],MATCH(TableWRCalcPts[[#This Row],[WRRef]],TableWRMaster[WRRef],0)),"")</f>
        <v/>
      </c>
      <c r="S187" s="2" t="str">
        <f>IFERROR(INDEX(TableWRMaster[BYE],MATCH(TableWRCalcPts[[#This Row],[WRRef]],TableWRMaster[WRRef],0)),"")</f>
        <v/>
      </c>
      <c r="T187" s="3" t="str">
        <f>IFERROR(INDEX(TableWRMaster[Custom],MATCH(TableWRCalcPts[[#This Row],[WRRef]],TableWRMaster[WRRef],0)),"")</f>
        <v/>
      </c>
      <c r="AI187" s="2" t="s">
        <v>148</v>
      </c>
      <c r="AJ187" s="2">
        <f>IFERROR(RANK(TableWRTECalcPts[[#This Row],[Custom]],TableWRTECalcPts[Custom])+COUNTIF($AP$3:AP187,AP187)-1,"")</f>
        <v>17</v>
      </c>
      <c r="AK187" s="20">
        <v>85</v>
      </c>
      <c r="AL187" s="20" t="str">
        <f>IFERROR(INDEX(TableWRMaster[Player],MATCH(TableWRTECalcPts[[#This Row],[POSRef]],TableWRMaster[WRRef],0)),"")</f>
        <v>Rashee Rice</v>
      </c>
      <c r="AM187" s="20" t="str">
        <f>IFERROR(_xlfn.CONCAT(TableWRTECalcPts[[#This Row],[POS]],INDEX(TableWRRanks[RK],MATCH(TableWRTECalcPts[[#This Row],[PLAYER]],TableWRRanks[Player],0))),"")</f>
        <v>WR17</v>
      </c>
      <c r="AN187" s="20" t="str">
        <f>IFERROR(INDEX(TableWRMaster[TM],MATCH(TableWRTECalcPts[[#This Row],[POSRef]],TableWRMaster[WRRef],0)),"")</f>
        <v>KC</v>
      </c>
      <c r="AO187" s="20">
        <f>IFERROR(INDEX(TableWRMaster[BYE],MATCH(TableWRTECalcPts[[#This Row],[POSRef]],TableWRMaster[WRRef],0)),"")</f>
        <v>5</v>
      </c>
      <c r="AP187" s="18">
        <f>IFERROR(INDEX(TableWRMaster[Custom],MATCH(TableWRTECalcPts[[#This Row],[POSRef]],TableWRMaster[WRRef],0)),"")</f>
        <v>197.06183681925825</v>
      </c>
    </row>
    <row r="188" spans="8:42" x14ac:dyDescent="0.25">
      <c r="M188" s="3"/>
      <c r="O188" s="2" t="str">
        <f>IFERROR(RANK(TableWRCalcPts[[#This Row],[Custom]],TableWRCalcPts[Custom])+COUNTIF($T$3:T188,T188)-1,"")</f>
        <v/>
      </c>
      <c r="P188" s="2">
        <v>186</v>
      </c>
      <c r="Q188" s="2" t="str">
        <f>IFERROR(INDEX(TableWRMaster[Player],MATCH(TableWRCalcPts[[#This Row],[WRRef]],TableWRMaster[WRRef],0)),"")</f>
        <v/>
      </c>
      <c r="R188" s="2" t="str">
        <f>IFERROR(INDEX(TableWRMaster[TM],MATCH(TableWRCalcPts[[#This Row],[WRRef]],TableWRMaster[WRRef],0)),"")</f>
        <v/>
      </c>
      <c r="S188" s="2" t="str">
        <f>IFERROR(INDEX(TableWRMaster[BYE],MATCH(TableWRCalcPts[[#This Row],[WRRef]],TableWRMaster[WRRef],0)),"")</f>
        <v/>
      </c>
      <c r="T188" s="3" t="str">
        <f>IFERROR(INDEX(TableWRMaster[Custom],MATCH(TableWRCalcPts[[#This Row],[WRRef]],TableWRMaster[WRRef],0)),"")</f>
        <v/>
      </c>
      <c r="AI188" s="2" t="s">
        <v>148</v>
      </c>
      <c r="AJ188" s="2">
        <f>IFERROR(RANK(TableWRTECalcPts[[#This Row],[Custom]],TableWRTECalcPts[Custom])+COUNTIF($AP$3:AP188,AP188)-1,"")</f>
        <v>59</v>
      </c>
      <c r="AK188" s="20">
        <v>86</v>
      </c>
      <c r="AL188" s="20" t="str">
        <f>IFERROR(INDEX(TableWRMaster[Player],MATCH(TableWRTECalcPts[[#This Row],[POSRef]],TableWRMaster[WRRef],0)),"")</f>
        <v>Xavier Worthy</v>
      </c>
      <c r="AM188" s="20" t="str">
        <f>IFERROR(_xlfn.CONCAT(TableWRTECalcPts[[#This Row],[POS]],INDEX(TableWRRanks[RK],MATCH(TableWRTECalcPts[[#This Row],[PLAYER]],TableWRRanks[Player],0))),"")</f>
        <v>WR49</v>
      </c>
      <c r="AN188" s="20" t="str">
        <f>IFERROR(INDEX(TableWRMaster[TM],MATCH(TableWRTECalcPts[[#This Row],[POSRef]],TableWRMaster[WRRef],0)),"")</f>
        <v>KC</v>
      </c>
      <c r="AO188" s="20">
        <f>IFERROR(INDEX(TableWRMaster[BYE],MATCH(TableWRTECalcPts[[#This Row],[POSRef]],TableWRMaster[WRRef],0)),"")</f>
        <v>5</v>
      </c>
      <c r="AP188" s="18">
        <f>IFERROR(INDEX(TableWRMaster[Custom],MATCH(TableWRTECalcPts[[#This Row],[POSRef]],TableWRMaster[WRRef],0)),"")</f>
        <v>142.00991741360272</v>
      </c>
    </row>
    <row r="189" spans="8:42" x14ac:dyDescent="0.25">
      <c r="M189" s="3"/>
      <c r="O189" s="2" t="str">
        <f>IFERROR(RANK(TableWRCalcPts[[#This Row],[Custom]],TableWRCalcPts[Custom])+COUNTIF($T$3:T189,T189)-1,"")</f>
        <v/>
      </c>
      <c r="P189" s="2">
        <v>187</v>
      </c>
      <c r="Q189" s="2" t="str">
        <f>IFERROR(INDEX(TableWRMaster[Player],MATCH(TableWRCalcPts[[#This Row],[WRRef]],TableWRMaster[WRRef],0)),"")</f>
        <v/>
      </c>
      <c r="R189" s="2" t="str">
        <f>IFERROR(INDEX(TableWRMaster[TM],MATCH(TableWRCalcPts[[#This Row],[WRRef]],TableWRMaster[WRRef],0)),"")</f>
        <v/>
      </c>
      <c r="S189" s="2" t="str">
        <f>IFERROR(INDEX(TableWRMaster[BYE],MATCH(TableWRCalcPts[[#This Row],[WRRef]],TableWRMaster[WRRef],0)),"")</f>
        <v/>
      </c>
      <c r="T189" s="3" t="str">
        <f>IFERROR(INDEX(TableWRMaster[Custom],MATCH(TableWRCalcPts[[#This Row],[WRRef]],TableWRMaster[WRRef],0)),"")</f>
        <v/>
      </c>
      <c r="AI189" s="2" t="s">
        <v>148</v>
      </c>
      <c r="AJ189" s="2">
        <f>IFERROR(RANK(TableWRTECalcPts[[#This Row],[Custom]],TableWRTECalcPts[Custom])+COUNTIF($AP$3:AP189,AP189)-1,"")</f>
        <v>79</v>
      </c>
      <c r="AK189" s="20">
        <v>87</v>
      </c>
      <c r="AL189" s="20" t="str">
        <f>IFERROR(INDEX(TableWRMaster[Player],MATCH(TableWRTECalcPts[[#This Row],[POSRef]],TableWRMaster[WRRef],0)),"")</f>
        <v>Tyquan Thornton</v>
      </c>
      <c r="AM189" s="20" t="str">
        <f>IFERROR(_xlfn.CONCAT(TableWRTECalcPts[[#This Row],[POS]],INDEX(TableWRRanks[RK],MATCH(TableWRTECalcPts[[#This Row],[PLAYER]],TableWRRanks[Player],0))),"")</f>
        <v>WR58</v>
      </c>
      <c r="AN189" s="20" t="str">
        <f>IFERROR(INDEX(TableWRMaster[TM],MATCH(TableWRTECalcPts[[#This Row],[POSRef]],TableWRMaster[WRRef],0)),"")</f>
        <v>KC</v>
      </c>
      <c r="AO189" s="20">
        <f>IFERROR(INDEX(TableWRMaster[BYE],MATCH(TableWRTECalcPts[[#This Row],[POSRef]],TableWRMaster[WRRef],0)),"")</f>
        <v>5</v>
      </c>
      <c r="AP189" s="18">
        <f>IFERROR(INDEX(TableWRMaster[Custom],MATCH(TableWRTECalcPts[[#This Row],[POSRef]],TableWRMaster[WRRef],0)),"")</f>
        <v>105.42376555000021</v>
      </c>
    </row>
    <row r="190" spans="8:42" x14ac:dyDescent="0.25">
      <c r="M190" s="3"/>
      <c r="O190" s="2" t="str">
        <f>IFERROR(RANK(TableWRCalcPts[[#This Row],[Custom]],TableWRCalcPts[Custom])+COUNTIF($T$3:T190,T190)-1,"")</f>
        <v/>
      </c>
      <c r="P190" s="2">
        <v>188</v>
      </c>
      <c r="Q190" s="2" t="str">
        <f>IFERROR(INDEX(TableWRMaster[Player],MATCH(TableWRCalcPts[[#This Row],[WRRef]],TableWRMaster[WRRef],0)),"")</f>
        <v/>
      </c>
      <c r="R190" s="2" t="str">
        <f>IFERROR(INDEX(TableWRMaster[TM],MATCH(TableWRCalcPts[[#This Row],[WRRef]],TableWRMaster[WRRef],0)),"")</f>
        <v/>
      </c>
      <c r="S190" s="2" t="str">
        <f>IFERROR(INDEX(TableWRMaster[BYE],MATCH(TableWRCalcPts[[#This Row],[WRRef]],TableWRMaster[WRRef],0)),"")</f>
        <v/>
      </c>
      <c r="T190" s="3" t="str">
        <f>IFERROR(INDEX(TableWRMaster[Custom],MATCH(TableWRCalcPts[[#This Row],[WRRef]],TableWRMaster[WRRef],0)),"")</f>
        <v/>
      </c>
      <c r="AI190" s="2" t="s">
        <v>148</v>
      </c>
      <c r="AJ190" s="2">
        <f>IFERROR(RANK(TableWRTECalcPts[[#This Row],[Custom]],TableWRTECalcPts[Custom])+COUNTIF($AP$3:AP190,AP190)-1,"")</f>
        <v>166</v>
      </c>
      <c r="AK190" s="20">
        <v>88</v>
      </c>
      <c r="AL190" s="20" t="str">
        <f>IFERROR(INDEX(TableWRMaster[Player],MATCH(TableWRTECalcPts[[#This Row],[POSRef]],TableWRMaster[WRRef],0)),"")</f>
        <v>Jalen Royals</v>
      </c>
      <c r="AM190" s="20" t="str">
        <f>IFERROR(_xlfn.CONCAT(TableWRTECalcPts[[#This Row],[POS]],INDEX(TableWRRanks[RK],MATCH(TableWRTECalcPts[[#This Row],[PLAYER]],TableWRRanks[Player],0))),"")</f>
        <v>WR120</v>
      </c>
      <c r="AN190" s="20" t="str">
        <f>IFERROR(INDEX(TableWRMaster[TM],MATCH(TableWRTECalcPts[[#This Row],[POSRef]],TableWRMaster[WRRef],0)),"")</f>
        <v>KC</v>
      </c>
      <c r="AO190" s="20">
        <f>IFERROR(INDEX(TableWRMaster[BYE],MATCH(TableWRTECalcPts[[#This Row],[POSRef]],TableWRMaster[WRRef],0)),"")</f>
        <v>5</v>
      </c>
      <c r="AP190" s="18">
        <f>IFERROR(INDEX(TableWRMaster[Custom],MATCH(TableWRTECalcPts[[#This Row],[POSRef]],TableWRMaster[WRRef],0)),"")</f>
        <v>33.070103720230257</v>
      </c>
    </row>
    <row r="191" spans="8:42" x14ac:dyDescent="0.25">
      <c r="M191" s="3"/>
      <c r="O191" s="2" t="str">
        <f>IFERROR(RANK(TableWRCalcPts[[#This Row],[Custom]],TableWRCalcPts[Custom])+COUNTIF($T$3:T191,T191)-1,"")</f>
        <v/>
      </c>
      <c r="P191" s="2">
        <v>189</v>
      </c>
      <c r="Q191" s="2" t="str">
        <f>IFERROR(INDEX(TableWRMaster[Player],MATCH(TableWRCalcPts[[#This Row],[WRRef]],TableWRMaster[WRRef],0)),"")</f>
        <v/>
      </c>
      <c r="R191" s="2" t="str">
        <f>IFERROR(INDEX(TableWRMaster[TM],MATCH(TableWRCalcPts[[#This Row],[WRRef]],TableWRMaster[WRRef],0)),"")</f>
        <v/>
      </c>
      <c r="S191" s="2" t="str">
        <f>IFERROR(INDEX(TableWRMaster[BYE],MATCH(TableWRCalcPts[[#This Row],[WRRef]],TableWRMaster[WRRef],0)),"")</f>
        <v/>
      </c>
      <c r="T191" s="3" t="str">
        <f>IFERROR(INDEX(TableWRMaster[Custom],MATCH(TableWRCalcPts[[#This Row],[WRRef]],TableWRMaster[WRRef],0)),"")</f>
        <v/>
      </c>
      <c r="AI191" s="2" t="s">
        <v>148</v>
      </c>
      <c r="AJ191" s="2">
        <f>IFERROR(RANK(TableWRTECalcPts[[#This Row],[Custom]],TableWRTECalcPts[Custom])+COUNTIF($AP$3:AP191,AP191)-1,"")</f>
        <v>217</v>
      </c>
      <c r="AK191" s="20">
        <v>89</v>
      </c>
      <c r="AL191" s="20" t="str">
        <f>IFERROR(INDEX(TableWRMaster[Player],MATCH(TableWRTECalcPts[[#This Row],[POSRef]],TableWRMaster[WRRef],0)),"")</f>
        <v>Cyrus Allen</v>
      </c>
      <c r="AM191" s="20" t="str">
        <f>IFERROR(_xlfn.CONCAT(TableWRTECalcPts[[#This Row],[POS]],INDEX(TableWRRanks[RK],MATCH(TableWRTECalcPts[[#This Row],[PLAYER]],TableWRRanks[Player],0))),"")</f>
        <v>WR146</v>
      </c>
      <c r="AN191" s="20" t="str">
        <f>IFERROR(INDEX(TableWRMaster[TM],MATCH(TableWRTECalcPts[[#This Row],[POSRef]],TableWRMaster[WRRef],0)),"")</f>
        <v>KC</v>
      </c>
      <c r="AO191" s="20">
        <f>IFERROR(INDEX(TableWRMaster[BYE],MATCH(TableWRTECalcPts[[#This Row],[POSRef]],TableWRMaster[WRRef],0)),"")</f>
        <v>5</v>
      </c>
      <c r="AP191" s="18">
        <f>IFERROR(INDEX(TableWRMaster[Custom],MATCH(TableWRTECalcPts[[#This Row],[POSRef]],TableWRMaster[WRRef],0)),"")</f>
        <v>9.8725740621899973</v>
      </c>
    </row>
    <row r="192" spans="8:42" x14ac:dyDescent="0.25">
      <c r="M192" s="3"/>
      <c r="O192" s="2" t="str">
        <f>IFERROR(RANK(TableWRCalcPts[[#This Row],[Custom]],TableWRCalcPts[Custom])+COUNTIF($T$3:T192,T192)-1,"")</f>
        <v/>
      </c>
      <c r="P192" s="2">
        <v>190</v>
      </c>
      <c r="Q192" s="2" t="str">
        <f>IFERROR(INDEX(TableWRMaster[Player],MATCH(TableWRCalcPts[[#This Row],[WRRef]],TableWRMaster[WRRef],0)),"")</f>
        <v/>
      </c>
      <c r="R192" s="2" t="str">
        <f>IFERROR(INDEX(TableWRMaster[TM],MATCH(TableWRCalcPts[[#This Row],[WRRef]],TableWRMaster[WRRef],0)),"")</f>
        <v/>
      </c>
      <c r="S192" s="2" t="str">
        <f>IFERROR(INDEX(TableWRMaster[BYE],MATCH(TableWRCalcPts[[#This Row],[WRRef]],TableWRMaster[WRRef],0)),"")</f>
        <v/>
      </c>
      <c r="T192" s="3" t="str">
        <f>IFERROR(INDEX(TableWRMaster[Custom],MATCH(TableWRCalcPts[[#This Row],[WRRef]],TableWRMaster[WRRef],0)),"")</f>
        <v/>
      </c>
      <c r="AI192" s="2" t="s">
        <v>148</v>
      </c>
      <c r="AJ192" s="2">
        <f>IFERROR(RANK(TableWRTECalcPts[[#This Row],[Custom]],TableWRTECalcPts[Custom])+COUNTIF($AP$3:AP192,AP192)-1,"")</f>
        <v>257</v>
      </c>
      <c r="AK192" s="20">
        <v>90</v>
      </c>
      <c r="AL192" s="20" t="str">
        <f>IFERROR(INDEX(TableWRMaster[Player],MATCH(TableWRTECalcPts[[#This Row],[POSRef]],TableWRMaster[WRRef],0)),"")</f>
        <v>Jeff Caldwell</v>
      </c>
      <c r="AM192" s="20" t="str">
        <f>IFERROR(_xlfn.CONCAT(TableWRTECalcPts[[#This Row],[POS]],INDEX(TableWRRanks[RK],MATCH(TableWRTECalcPts[[#This Row],[PLAYER]],TableWRRanks[Player],0))),"")</f>
        <v>WR177</v>
      </c>
      <c r="AN192" s="20" t="str">
        <f>IFERROR(INDEX(TableWRMaster[TM],MATCH(TableWRTECalcPts[[#This Row],[POSRef]],TableWRMaster[WRRef],0)),"")</f>
        <v>KC</v>
      </c>
      <c r="AO192" s="20">
        <f>IFERROR(INDEX(TableWRMaster[BYE],MATCH(TableWRTECalcPts[[#This Row],[POSRef]],TableWRMaster[WRRef],0)),"")</f>
        <v>5</v>
      </c>
      <c r="AP192" s="18">
        <f>IFERROR(INDEX(TableWRMaster[Custom],MATCH(TableWRTECalcPts[[#This Row],[POSRef]],TableWRMaster[WRRef],0)),"")</f>
        <v>3.3126962941800002</v>
      </c>
    </row>
    <row r="193" spans="13:42" x14ac:dyDescent="0.25">
      <c r="M193" s="3"/>
      <c r="O193" s="2" t="str">
        <f>IFERROR(RANK(TableWRCalcPts[[#This Row],[Custom]],TableWRCalcPts[Custom])+COUNTIF($T$3:T193,T193)-1,"")</f>
        <v/>
      </c>
      <c r="P193" s="2">
        <v>191</v>
      </c>
      <c r="Q193" s="2" t="str">
        <f>IFERROR(INDEX(TableWRMaster[Player],MATCH(TableWRCalcPts[[#This Row],[WRRef]],TableWRMaster[WRRef],0)),"")</f>
        <v/>
      </c>
      <c r="R193" s="2" t="str">
        <f>IFERROR(INDEX(TableWRMaster[TM],MATCH(TableWRCalcPts[[#This Row],[WRRef]],TableWRMaster[WRRef],0)),"")</f>
        <v/>
      </c>
      <c r="S193" s="2" t="str">
        <f>IFERROR(INDEX(TableWRMaster[BYE],MATCH(TableWRCalcPts[[#This Row],[WRRef]],TableWRMaster[WRRef],0)),"")</f>
        <v/>
      </c>
      <c r="T193" s="3" t="str">
        <f>IFERROR(INDEX(TableWRMaster[Custom],MATCH(TableWRCalcPts[[#This Row],[WRRef]],TableWRMaster[WRRef],0)),"")</f>
        <v/>
      </c>
      <c r="AI193" s="2" t="s">
        <v>148</v>
      </c>
      <c r="AJ193" s="2">
        <f>IFERROR(RANK(TableWRTECalcPts[[#This Row],[Custom]],TableWRTECalcPts[Custom])+COUNTIF($AP$3:AP193,AP193)-1,"")</f>
        <v>18</v>
      </c>
      <c r="AK193" s="20">
        <v>91</v>
      </c>
      <c r="AL193" s="20" t="str">
        <f>IFERROR(INDEX(TableWRMaster[Player],MATCH(TableWRTECalcPts[[#This Row],[POSRef]],TableWRMaster[WRRef],0)),"")</f>
        <v>Ladd McConkey</v>
      </c>
      <c r="AM193" s="20" t="str">
        <f>IFERROR(_xlfn.CONCAT(TableWRTECalcPts[[#This Row],[POS]],INDEX(TableWRRanks[RK],MATCH(TableWRTECalcPts[[#This Row],[PLAYER]],TableWRRanks[Player],0))),"")</f>
        <v>WR18</v>
      </c>
      <c r="AN193" s="20" t="str">
        <f>IFERROR(INDEX(TableWRMaster[TM],MATCH(TableWRTECalcPts[[#This Row],[POSRef]],TableWRMaster[WRRef],0)),"")</f>
        <v>LAC</v>
      </c>
      <c r="AO193" s="20">
        <f>IFERROR(INDEX(TableWRMaster[BYE],MATCH(TableWRTECalcPts[[#This Row],[POSRef]],TableWRMaster[WRRef],0)),"")</f>
        <v>7</v>
      </c>
      <c r="AP193" s="18">
        <f>IFERROR(INDEX(TableWRMaster[Custom],MATCH(TableWRTECalcPts[[#This Row],[POSRef]],TableWRMaster[WRRef],0)),"")</f>
        <v>196.40430309354878</v>
      </c>
    </row>
    <row r="194" spans="13:42" x14ac:dyDescent="0.25">
      <c r="M194" s="3"/>
      <c r="O194" s="2" t="str">
        <f>IFERROR(RANK(TableWRCalcPts[[#This Row],[Custom]],TableWRCalcPts[Custom])+COUNTIF($T$3:T194,T194)-1,"")</f>
        <v/>
      </c>
      <c r="P194" s="2">
        <v>192</v>
      </c>
      <c r="Q194" s="2" t="str">
        <f>IFERROR(INDEX(TableWRMaster[Player],MATCH(TableWRCalcPts[[#This Row],[WRRef]],TableWRMaster[WRRef],0)),"")</f>
        <v/>
      </c>
      <c r="R194" s="2" t="str">
        <f>IFERROR(INDEX(TableWRMaster[TM],MATCH(TableWRCalcPts[[#This Row],[WRRef]],TableWRMaster[WRRef],0)),"")</f>
        <v/>
      </c>
      <c r="S194" s="2" t="str">
        <f>IFERROR(INDEX(TableWRMaster[BYE],MATCH(TableWRCalcPts[[#This Row],[WRRef]],TableWRMaster[WRRef],0)),"")</f>
        <v/>
      </c>
      <c r="T194" s="3" t="str">
        <f>IFERROR(INDEX(TableWRMaster[Custom],MATCH(TableWRCalcPts[[#This Row],[WRRef]],TableWRMaster[WRRef],0)),"")</f>
        <v/>
      </c>
      <c r="AI194" s="2" t="s">
        <v>148</v>
      </c>
      <c r="AJ194" s="2">
        <f>IFERROR(RANK(TableWRTECalcPts[[#This Row],[Custom]],TableWRTECalcPts[Custom])+COUNTIF($AP$3:AP194,AP194)-1,"")</f>
        <v>39</v>
      </c>
      <c r="AK194" s="20">
        <v>92</v>
      </c>
      <c r="AL194" s="20" t="str">
        <f>IFERROR(INDEX(TableWRMaster[Player],MATCH(TableWRTECalcPts[[#This Row],[POSRef]],TableWRMaster[WRRef],0)),"")</f>
        <v>Quentin Johnston</v>
      </c>
      <c r="AM194" s="20" t="str">
        <f>IFERROR(_xlfn.CONCAT(TableWRTECalcPts[[#This Row],[POS]],INDEX(TableWRRanks[RK],MATCH(TableWRTECalcPts[[#This Row],[PLAYER]],TableWRRanks[Player],0))),"")</f>
        <v>WR35</v>
      </c>
      <c r="AN194" s="20" t="str">
        <f>IFERROR(INDEX(TableWRMaster[TM],MATCH(TableWRTECalcPts[[#This Row],[POSRef]],TableWRMaster[WRRef],0)),"")</f>
        <v>LAC</v>
      </c>
      <c r="AO194" s="20">
        <f>IFERROR(INDEX(TableWRMaster[BYE],MATCH(TableWRTECalcPts[[#This Row],[POSRef]],TableWRMaster[WRRef],0)),"")</f>
        <v>7</v>
      </c>
      <c r="AP194" s="18">
        <f>IFERROR(INDEX(TableWRMaster[Custom],MATCH(TableWRTECalcPts[[#This Row],[POSRef]],TableWRMaster[WRRef],0)),"")</f>
        <v>164.51076219862676</v>
      </c>
    </row>
    <row r="195" spans="13:42" x14ac:dyDescent="0.25">
      <c r="M195" s="3"/>
      <c r="O195" s="2" t="str">
        <f>IFERROR(RANK(TableWRCalcPts[[#This Row],[Custom]],TableWRCalcPts[Custom])+COUNTIF($T$3:T195,T195)-1,"")</f>
        <v/>
      </c>
      <c r="P195" s="2">
        <v>193</v>
      </c>
      <c r="Q195" s="2" t="str">
        <f>IFERROR(INDEX(TableWRMaster[Player],MATCH(TableWRCalcPts[[#This Row],[WRRef]],TableWRMaster[WRRef],0)),"")</f>
        <v/>
      </c>
      <c r="R195" s="2" t="str">
        <f>IFERROR(INDEX(TableWRMaster[TM],MATCH(TableWRCalcPts[[#This Row],[WRRef]],TableWRMaster[WRRef],0)),"")</f>
        <v/>
      </c>
      <c r="S195" s="2" t="str">
        <f>IFERROR(INDEX(TableWRMaster[BYE],MATCH(TableWRCalcPts[[#This Row],[WRRef]],TableWRMaster[WRRef],0)),"")</f>
        <v/>
      </c>
      <c r="T195" s="3" t="str">
        <f>IFERROR(INDEX(TableWRMaster[Custom],MATCH(TableWRCalcPts[[#This Row],[WRRef]],TableWRMaster[WRRef],0)),"")</f>
        <v/>
      </c>
      <c r="AI195" s="2" t="s">
        <v>148</v>
      </c>
      <c r="AJ195" s="2">
        <f>IFERROR(RANK(TableWRTECalcPts[[#This Row],[Custom]],TableWRTECalcPts[Custom])+COUNTIF($AP$3:AP195,AP195)-1,"")</f>
        <v>131</v>
      </c>
      <c r="AK195" s="20">
        <v>93</v>
      </c>
      <c r="AL195" s="20" t="str">
        <f>IFERROR(INDEX(TableWRMaster[Player],MATCH(TableWRTECalcPts[[#This Row],[POSRef]],TableWRMaster[WRRef],0)),"")</f>
        <v>Tre' Harris</v>
      </c>
      <c r="AM195" s="20" t="str">
        <f>IFERROR(_xlfn.CONCAT(TableWRTECalcPts[[#This Row],[POS]],INDEX(TableWRRanks[RK],MATCH(TableWRTECalcPts[[#This Row],[PLAYER]],TableWRRanks[Player],0))),"")</f>
        <v>WR95</v>
      </c>
      <c r="AN195" s="20" t="str">
        <f>IFERROR(INDEX(TableWRMaster[TM],MATCH(TableWRTECalcPts[[#This Row],[POSRef]],TableWRMaster[WRRef],0)),"")</f>
        <v>LAC</v>
      </c>
      <c r="AO195" s="20">
        <f>IFERROR(INDEX(TableWRMaster[BYE],MATCH(TableWRTECalcPts[[#This Row],[POSRef]],TableWRMaster[WRRef],0)),"")</f>
        <v>7</v>
      </c>
      <c r="AP195" s="18">
        <f>IFERROR(INDEX(TableWRMaster[Custom],MATCH(TableWRTECalcPts[[#This Row],[POSRef]],TableWRMaster[WRRef],0)),"")</f>
        <v>54.683768684072831</v>
      </c>
    </row>
    <row r="196" spans="13:42" x14ac:dyDescent="0.25">
      <c r="M196" s="3"/>
      <c r="O196" s="2" t="str">
        <f>IFERROR(RANK(TableWRCalcPts[[#This Row],[Custom]],TableWRCalcPts[Custom])+COUNTIF($T$3:T196,T196)-1,"")</f>
        <v/>
      </c>
      <c r="P196" s="2">
        <v>194</v>
      </c>
      <c r="Q196" s="2" t="str">
        <f>IFERROR(INDEX(TableWRMaster[Player],MATCH(TableWRCalcPts[[#This Row],[WRRef]],TableWRMaster[WRRef],0)),"")</f>
        <v/>
      </c>
      <c r="R196" s="2" t="str">
        <f>IFERROR(INDEX(TableWRMaster[TM],MATCH(TableWRCalcPts[[#This Row],[WRRef]],TableWRMaster[WRRef],0)),"")</f>
        <v/>
      </c>
      <c r="S196" s="2" t="str">
        <f>IFERROR(INDEX(TableWRMaster[BYE],MATCH(TableWRCalcPts[[#This Row],[WRRef]],TableWRMaster[WRRef],0)),"")</f>
        <v/>
      </c>
      <c r="T196" s="3" t="str">
        <f>IFERROR(INDEX(TableWRMaster[Custom],MATCH(TableWRCalcPts[[#This Row],[WRRef]],TableWRMaster[WRRef],0)),"")</f>
        <v/>
      </c>
      <c r="AI196" s="2" t="s">
        <v>148</v>
      </c>
      <c r="AJ196" s="2">
        <f>IFERROR(RANK(TableWRTECalcPts[[#This Row],[Custom]],TableWRTECalcPts[Custom])+COUNTIF($AP$3:AP196,AP196)-1,"")</f>
        <v>177</v>
      </c>
      <c r="AK196" s="20">
        <v>94</v>
      </c>
      <c r="AL196" s="20" t="str">
        <f>IFERROR(INDEX(TableWRMaster[Player],MATCH(TableWRTECalcPts[[#This Row],[POSRef]],TableWRMaster[WRRef],0)),"")</f>
        <v>Brenen Thompson</v>
      </c>
      <c r="AM196" s="20" t="str">
        <f>IFERROR(_xlfn.CONCAT(TableWRTECalcPts[[#This Row],[POS]],INDEX(TableWRRanks[RK],MATCH(TableWRTECalcPts[[#This Row],[PLAYER]],TableWRRanks[Player],0))),"")</f>
        <v>WR124</v>
      </c>
      <c r="AN196" s="20" t="str">
        <f>IFERROR(INDEX(TableWRMaster[TM],MATCH(TableWRTECalcPts[[#This Row],[POSRef]],TableWRMaster[WRRef],0)),"")</f>
        <v>LAC</v>
      </c>
      <c r="AO196" s="20">
        <f>IFERROR(INDEX(TableWRMaster[BYE],MATCH(TableWRTECalcPts[[#This Row],[POSRef]],TableWRMaster[WRRef],0)),"")</f>
        <v>7</v>
      </c>
      <c r="AP196" s="18">
        <f>IFERROR(INDEX(TableWRMaster[Custom],MATCH(TableWRTECalcPts[[#This Row],[POSRef]],TableWRMaster[WRRef],0)),"")</f>
        <v>26.470364031111</v>
      </c>
    </row>
    <row r="197" spans="13:42" x14ac:dyDescent="0.25">
      <c r="M197" s="3"/>
      <c r="O197" s="2" t="str">
        <f>IFERROR(RANK(TableWRCalcPts[[#This Row],[Custom]],TableWRCalcPts[Custom])+COUNTIF($T$3:T197,T197)-1,"")</f>
        <v/>
      </c>
      <c r="P197" s="2">
        <v>195</v>
      </c>
      <c r="Q197" s="2" t="str">
        <f>IFERROR(INDEX(TableWRMaster[Player],MATCH(TableWRCalcPts[[#This Row],[WRRef]],TableWRMaster[WRRef],0)),"")</f>
        <v/>
      </c>
      <c r="R197" s="2" t="str">
        <f>IFERROR(INDEX(TableWRMaster[TM],MATCH(TableWRCalcPts[[#This Row],[WRRef]],TableWRMaster[WRRef],0)),"")</f>
        <v/>
      </c>
      <c r="S197" s="2" t="str">
        <f>IFERROR(INDEX(TableWRMaster[BYE],MATCH(TableWRCalcPts[[#This Row],[WRRef]],TableWRMaster[WRRef],0)),"")</f>
        <v/>
      </c>
      <c r="T197" s="3" t="str">
        <f>IFERROR(INDEX(TableWRMaster[Custom],MATCH(TableWRCalcPts[[#This Row],[WRRef]],TableWRMaster[WRRef],0)),"")</f>
        <v/>
      </c>
      <c r="AI197" s="2" t="s">
        <v>148</v>
      </c>
      <c r="AJ197" s="2">
        <f>IFERROR(RANK(TableWRTECalcPts[[#This Row],[Custom]],TableWRTECalcPts[Custom])+COUNTIF($AP$3:AP197,AP197)-1,"")</f>
        <v>208</v>
      </c>
      <c r="AK197" s="20">
        <v>95</v>
      </c>
      <c r="AL197" s="20" t="str">
        <f>IFERROR(INDEX(TableWRMaster[Player],MATCH(TableWRTECalcPts[[#This Row],[POSRef]],TableWRMaster[WRRef],0)),"")</f>
        <v>KeAndre Lambert-Smith</v>
      </c>
      <c r="AM197" s="20" t="str">
        <f>IFERROR(_xlfn.CONCAT(TableWRTECalcPts[[#This Row],[POS]],INDEX(TableWRRanks[RK],MATCH(TableWRTECalcPts[[#This Row],[PLAYER]],TableWRRanks[Player],0))),"")</f>
        <v>WR141</v>
      </c>
      <c r="AN197" s="20" t="str">
        <f>IFERROR(INDEX(TableWRMaster[TM],MATCH(TableWRTECalcPts[[#This Row],[POSRef]],TableWRMaster[WRRef],0)),"")</f>
        <v>LAC</v>
      </c>
      <c r="AO197" s="20">
        <f>IFERROR(INDEX(TableWRMaster[BYE],MATCH(TableWRTECalcPts[[#This Row],[POSRef]],TableWRMaster[WRRef],0)),"")</f>
        <v>7</v>
      </c>
      <c r="AP197" s="18">
        <f>IFERROR(INDEX(TableWRMaster[Custom],MATCH(TableWRTECalcPts[[#This Row],[POSRef]],TableWRMaster[WRRef],0)),"")</f>
        <v>12.662289954847298</v>
      </c>
    </row>
    <row r="198" spans="13:42" x14ac:dyDescent="0.25">
      <c r="M198" s="3"/>
      <c r="O198" s="2" t="str">
        <f>IFERROR(RANK(TableWRCalcPts[[#This Row],[Custom]],TableWRCalcPts[Custom])+COUNTIF($T$3:T198,T198)-1,"")</f>
        <v/>
      </c>
      <c r="P198" s="2">
        <v>196</v>
      </c>
      <c r="Q198" s="2" t="str">
        <f>IFERROR(INDEX(TableWRMaster[Player],MATCH(TableWRCalcPts[[#This Row],[WRRef]],TableWRMaster[WRRef],0)),"")</f>
        <v/>
      </c>
      <c r="R198" s="2" t="str">
        <f>IFERROR(INDEX(TableWRMaster[TM],MATCH(TableWRCalcPts[[#This Row],[WRRef]],TableWRMaster[WRRef],0)),"")</f>
        <v/>
      </c>
      <c r="S198" s="2" t="str">
        <f>IFERROR(INDEX(TableWRMaster[BYE],MATCH(TableWRCalcPts[[#This Row],[WRRef]],TableWRMaster[WRRef],0)),"")</f>
        <v/>
      </c>
      <c r="T198" s="3" t="str">
        <f>IFERROR(INDEX(TableWRMaster[Custom],MATCH(TableWRCalcPts[[#This Row],[WRRef]],TableWRMaster[WRRef],0)),"")</f>
        <v/>
      </c>
      <c r="AI198" s="2" t="s">
        <v>148</v>
      </c>
      <c r="AJ198" s="2">
        <f>IFERROR(RANK(TableWRTECalcPts[[#This Row],[Custom]],TableWRTECalcPts[Custom])+COUNTIF($AP$3:AP198,AP198)-1,"")</f>
        <v>258</v>
      </c>
      <c r="AK198" s="20">
        <v>96</v>
      </c>
      <c r="AL198" s="20" t="str">
        <f>IFERROR(INDEX(TableWRMaster[Player],MATCH(TableWRTECalcPts[[#This Row],[POSRef]],TableWRMaster[WRRef],0)),"")</f>
        <v>Derius Davis</v>
      </c>
      <c r="AM198" s="20" t="str">
        <f>IFERROR(_xlfn.CONCAT(TableWRTECalcPts[[#This Row],[POS]],INDEX(TableWRRanks[RK],MATCH(TableWRTECalcPts[[#This Row],[PLAYER]],TableWRRanks[Player],0))),"")</f>
        <v>WR178</v>
      </c>
      <c r="AN198" s="20" t="str">
        <f>IFERROR(INDEX(TableWRMaster[TM],MATCH(TableWRTECalcPts[[#This Row],[POSRef]],TableWRMaster[WRRef],0)),"")</f>
        <v>LAC</v>
      </c>
      <c r="AO198" s="20">
        <f>IFERROR(INDEX(TableWRMaster[BYE],MATCH(TableWRTECalcPts[[#This Row],[POSRef]],TableWRMaster[WRRef],0)),"")</f>
        <v>7</v>
      </c>
      <c r="AP198" s="18">
        <f>IFERROR(INDEX(TableWRMaster[Custom],MATCH(TableWRTECalcPts[[#This Row],[POSRef]],TableWRMaster[WRRef],0)),"")</f>
        <v>3.2245767982961859</v>
      </c>
    </row>
    <row r="199" spans="13:42" x14ac:dyDescent="0.25">
      <c r="M199" s="3"/>
      <c r="O199" s="2" t="str">
        <f>IFERROR(RANK(TableWRCalcPts[[#This Row],[Custom]],TableWRCalcPts[Custom])+COUNTIF($T$3:T199,T199)-1,"")</f>
        <v/>
      </c>
      <c r="P199" s="2">
        <v>197</v>
      </c>
      <c r="Q199" s="2" t="str">
        <f>IFERROR(INDEX(TableWRMaster[Player],MATCH(TableWRCalcPts[[#This Row],[WRRef]],TableWRMaster[WRRef],0)),"")</f>
        <v/>
      </c>
      <c r="R199" s="2" t="str">
        <f>IFERROR(INDEX(TableWRMaster[TM],MATCH(TableWRCalcPts[[#This Row],[WRRef]],TableWRMaster[WRRef],0)),"")</f>
        <v/>
      </c>
      <c r="S199" s="2" t="str">
        <f>IFERROR(INDEX(TableWRMaster[BYE],MATCH(TableWRCalcPts[[#This Row],[WRRef]],TableWRMaster[WRRef],0)),"")</f>
        <v/>
      </c>
      <c r="T199" s="3" t="str">
        <f>IFERROR(INDEX(TableWRMaster[Custom],MATCH(TableWRCalcPts[[#This Row],[WRRef]],TableWRMaster[WRRef],0)),"")</f>
        <v/>
      </c>
      <c r="AI199" s="2" t="s">
        <v>148</v>
      </c>
      <c r="AJ199" s="2">
        <f>IFERROR(RANK(TableWRTECalcPts[[#This Row],[Custom]],TableWRTECalcPts[Custom])+COUNTIF($AP$3:AP199,AP199)-1,"")</f>
        <v>23</v>
      </c>
      <c r="AK199" s="20">
        <v>97</v>
      </c>
      <c r="AL199" s="20" t="str">
        <f>IFERROR(INDEX(TableWRMaster[Player],MATCH(TableWRTECalcPts[[#This Row],[POSRef]],TableWRMaster[WRRef],0)),"")</f>
        <v>Davante Adams</v>
      </c>
      <c r="AM199" s="20" t="str">
        <f>IFERROR(_xlfn.CONCAT(TableWRTECalcPts[[#This Row],[POS]],INDEX(TableWRRanks[RK],MATCH(TableWRTECalcPts[[#This Row],[PLAYER]],TableWRRanks[Player],0))),"")</f>
        <v>WR22</v>
      </c>
      <c r="AN199" s="20" t="str">
        <f>IFERROR(INDEX(TableWRMaster[TM],MATCH(TableWRTECalcPts[[#This Row],[POSRef]],TableWRMaster[WRRef],0)),"")</f>
        <v>LAR</v>
      </c>
      <c r="AO199" s="20">
        <f>IFERROR(INDEX(TableWRMaster[BYE],MATCH(TableWRTECalcPts[[#This Row],[POSRef]],TableWRMaster[WRRef],0)),"")</f>
        <v>11</v>
      </c>
      <c r="AP199" s="18">
        <f>IFERROR(INDEX(TableWRMaster[Custom],MATCH(TableWRTECalcPts[[#This Row],[POSRef]],TableWRMaster[WRRef],0)),"")</f>
        <v>189.81633003807275</v>
      </c>
    </row>
    <row r="200" spans="13:42" x14ac:dyDescent="0.25">
      <c r="M200" s="3"/>
      <c r="O200" s="2" t="str">
        <f>IFERROR(RANK(TableWRCalcPts[[#This Row],[Custom]],TableWRCalcPts[Custom])+COUNTIF($T$3:T200,T200)-1,"")</f>
        <v/>
      </c>
      <c r="P200" s="2">
        <v>198</v>
      </c>
      <c r="Q200" s="2" t="str">
        <f>IFERROR(INDEX(TableWRMaster[Player],MATCH(TableWRCalcPts[[#This Row],[WRRef]],TableWRMaster[WRRef],0)),"")</f>
        <v/>
      </c>
      <c r="R200" s="2" t="str">
        <f>IFERROR(INDEX(TableWRMaster[TM],MATCH(TableWRCalcPts[[#This Row],[WRRef]],TableWRMaster[WRRef],0)),"")</f>
        <v/>
      </c>
      <c r="S200" s="2" t="str">
        <f>IFERROR(INDEX(TableWRMaster[BYE],MATCH(TableWRCalcPts[[#This Row],[WRRef]],TableWRMaster[WRRef],0)),"")</f>
        <v/>
      </c>
      <c r="T200" s="3" t="str">
        <f>IFERROR(INDEX(TableWRMaster[Custom],MATCH(TableWRCalcPts[[#This Row],[WRRef]],TableWRMaster[WRRef],0)),"")</f>
        <v/>
      </c>
      <c r="AI200" s="2" t="s">
        <v>148</v>
      </c>
      <c r="AJ200" s="2">
        <f>IFERROR(RANK(TableWRTECalcPts[[#This Row],[Custom]],TableWRTECalcPts[Custom])+COUNTIF($AP$3:AP200,AP200)-1,"")</f>
        <v>3</v>
      </c>
      <c r="AK200" s="20">
        <v>98</v>
      </c>
      <c r="AL200" s="20" t="str">
        <f>IFERROR(INDEX(TableWRMaster[Player],MATCH(TableWRTECalcPts[[#This Row],[POSRef]],TableWRMaster[WRRef],0)),"")</f>
        <v>Puka Nacua</v>
      </c>
      <c r="AM200" s="20" t="str">
        <f>IFERROR(_xlfn.CONCAT(TableWRTECalcPts[[#This Row],[POS]],INDEX(TableWRRanks[RK],MATCH(TableWRTECalcPts[[#This Row],[PLAYER]],TableWRRanks[Player],0))),"")</f>
        <v>WR3</v>
      </c>
      <c r="AN200" s="20" t="str">
        <f>IFERROR(INDEX(TableWRMaster[TM],MATCH(TableWRTECalcPts[[#This Row],[POSRef]],TableWRMaster[WRRef],0)),"")</f>
        <v>LAR</v>
      </c>
      <c r="AO200" s="20">
        <f>IFERROR(INDEX(TableWRMaster[BYE],MATCH(TableWRTECalcPts[[#This Row],[POSRef]],TableWRMaster[WRRef],0)),"")</f>
        <v>11</v>
      </c>
      <c r="AP200" s="18">
        <f>IFERROR(INDEX(TableWRMaster[Custom],MATCH(TableWRTECalcPts[[#This Row],[POSRef]],TableWRMaster[WRRef],0)),"")</f>
        <v>288.94554919043696</v>
      </c>
    </row>
    <row r="201" spans="13:42" x14ac:dyDescent="0.25">
      <c r="M201" s="3"/>
      <c r="O201" s="2" t="str">
        <f>IFERROR(RANK(TableWRCalcPts[[#This Row],[Custom]],TableWRCalcPts[Custom])+COUNTIF($T$3:T201,T201)-1,"")</f>
        <v/>
      </c>
      <c r="P201" s="2">
        <v>199</v>
      </c>
      <c r="Q201" s="2" t="str">
        <f>IFERROR(INDEX(TableWRMaster[Player],MATCH(TableWRCalcPts[[#This Row],[WRRef]],TableWRMaster[WRRef],0)),"")</f>
        <v/>
      </c>
      <c r="R201" s="2" t="str">
        <f>IFERROR(INDEX(TableWRMaster[TM],MATCH(TableWRCalcPts[[#This Row],[WRRef]],TableWRMaster[WRRef],0)),"")</f>
        <v/>
      </c>
      <c r="S201" s="2" t="str">
        <f>IFERROR(INDEX(TableWRMaster[BYE],MATCH(TableWRCalcPts[[#This Row],[WRRef]],TableWRMaster[WRRef],0)),"")</f>
        <v/>
      </c>
      <c r="T201" s="3" t="str">
        <f>IFERROR(INDEX(TableWRMaster[Custom],MATCH(TableWRCalcPts[[#This Row],[WRRef]],TableWRMaster[WRRef],0)),"")</f>
        <v/>
      </c>
      <c r="AI201" s="2" t="s">
        <v>148</v>
      </c>
      <c r="AJ201" s="2">
        <f>IFERROR(RANK(TableWRTECalcPts[[#This Row],[Custom]],TableWRTECalcPts[Custom])+COUNTIF($AP$3:AP201,AP201)-1,"")</f>
        <v>157</v>
      </c>
      <c r="AK201" s="20">
        <v>99</v>
      </c>
      <c r="AL201" s="20" t="str">
        <f>IFERROR(INDEX(TableWRMaster[Player],MATCH(TableWRTECalcPts[[#This Row],[POSRef]],TableWRMaster[WRRef],0)),"")</f>
        <v>Konata Mumpfield</v>
      </c>
      <c r="AM201" s="20" t="str">
        <f>IFERROR(_xlfn.CONCAT(TableWRTECalcPts[[#This Row],[POS]],INDEX(TableWRRanks[RK],MATCH(TableWRTECalcPts[[#This Row],[PLAYER]],TableWRRanks[Player],0))),"")</f>
        <v>WR113</v>
      </c>
      <c r="AN201" s="20" t="str">
        <f>IFERROR(INDEX(TableWRMaster[TM],MATCH(TableWRTECalcPts[[#This Row],[POSRef]],TableWRMaster[WRRef],0)),"")</f>
        <v>LAR</v>
      </c>
      <c r="AO201" s="20">
        <f>IFERROR(INDEX(TableWRMaster[BYE],MATCH(TableWRTECalcPts[[#This Row],[POSRef]],TableWRMaster[WRRef],0)),"")</f>
        <v>11</v>
      </c>
      <c r="AP201" s="18">
        <f>IFERROR(INDEX(TableWRMaster[Custom],MATCH(TableWRTECalcPts[[#This Row],[POSRef]],TableWRMaster[WRRef],0)),"")</f>
        <v>39.670482529071322</v>
      </c>
    </row>
    <row r="202" spans="13:42" x14ac:dyDescent="0.25">
      <c r="M202" s="3"/>
      <c r="O202" s="2" t="str">
        <f>IFERROR(RANK(TableWRCalcPts[[#This Row],[Custom]],TableWRCalcPts[Custom])+COUNTIF($T$3:T202,T202)-1,"")</f>
        <v/>
      </c>
      <c r="P202" s="2">
        <v>200</v>
      </c>
      <c r="Q202" s="2" t="str">
        <f>IFERROR(INDEX(TableWRMaster[Player],MATCH(TableWRCalcPts[[#This Row],[WRRef]],TableWRMaster[WRRef],0)),"")</f>
        <v/>
      </c>
      <c r="R202" s="2" t="str">
        <f>IFERROR(INDEX(TableWRMaster[TM],MATCH(TableWRCalcPts[[#This Row],[WRRef]],TableWRMaster[WRRef],0)),"")</f>
        <v/>
      </c>
      <c r="S202" s="2" t="str">
        <f>IFERROR(INDEX(TableWRMaster[BYE],MATCH(TableWRCalcPts[[#This Row],[WRRef]],TableWRMaster[WRRef],0)),"")</f>
        <v/>
      </c>
      <c r="T202" s="3" t="str">
        <f>IFERROR(INDEX(TableWRMaster[Custom],MATCH(TableWRCalcPts[[#This Row],[WRRef]],TableWRMaster[WRRef],0)),"")</f>
        <v/>
      </c>
      <c r="AI202" s="2" t="s">
        <v>148</v>
      </c>
      <c r="AJ202" s="2">
        <f>IFERROR(RANK(TableWRTECalcPts[[#This Row],[Custom]],TableWRTECalcPts[Custom])+COUNTIF($AP$3:AP202,AP202)-1,"")</f>
        <v>186</v>
      </c>
      <c r="AK202" s="20">
        <v>100</v>
      </c>
      <c r="AL202" s="20" t="str">
        <f>IFERROR(INDEX(TableWRMaster[Player],MATCH(TableWRTECalcPts[[#This Row],[POSRef]],TableWRMaster[WRRef],0)),"")</f>
        <v>Jordan Whittington</v>
      </c>
      <c r="AM202" s="20" t="str">
        <f>IFERROR(_xlfn.CONCAT(TableWRTECalcPts[[#This Row],[POS]],INDEX(TableWRRanks[RK],MATCH(TableWRTECalcPts[[#This Row],[PLAYER]],TableWRRanks[Player],0))),"")</f>
        <v>WR128</v>
      </c>
      <c r="AN202" s="20" t="str">
        <f>IFERROR(INDEX(TableWRMaster[TM],MATCH(TableWRTECalcPts[[#This Row],[POSRef]],TableWRMaster[WRRef],0)),"")</f>
        <v>LAR</v>
      </c>
      <c r="AO202" s="20">
        <f>IFERROR(INDEX(TableWRMaster[BYE],MATCH(TableWRTECalcPts[[#This Row],[POSRef]],TableWRMaster[WRRef],0)),"")</f>
        <v>11</v>
      </c>
      <c r="AP202" s="18">
        <f>IFERROR(INDEX(TableWRMaster[Custom],MATCH(TableWRTECalcPts[[#This Row],[POSRef]],TableWRMaster[WRRef],0)),"")</f>
        <v>20.472066670981437</v>
      </c>
    </row>
    <row r="203" spans="13:42" x14ac:dyDescent="0.25">
      <c r="M203" s="3"/>
      <c r="O203" s="2" t="str">
        <f>IFERROR(RANK(TableWRCalcPts[[#This Row],[Custom]],TableWRCalcPts[Custom])+COUNTIF($T$3:T203,T203)-1,"")</f>
        <v/>
      </c>
      <c r="P203" s="2">
        <v>201</v>
      </c>
      <c r="Q203" s="2" t="str">
        <f>IFERROR(INDEX(TableWRMaster[Player],MATCH(TableWRCalcPts[[#This Row],[WRRef]],TableWRMaster[WRRef],0)),"")</f>
        <v/>
      </c>
      <c r="R203" s="2" t="str">
        <f>IFERROR(INDEX(TableWRMaster[TM],MATCH(TableWRCalcPts[[#This Row],[WRRef]],TableWRMaster[WRRef],0)),"")</f>
        <v/>
      </c>
      <c r="S203" s="2" t="str">
        <f>IFERROR(INDEX(TableWRMaster[BYE],MATCH(TableWRCalcPts[[#This Row],[WRRef]],TableWRMaster[WRRef],0)),"")</f>
        <v/>
      </c>
      <c r="T203" s="3" t="str">
        <f>IFERROR(INDEX(TableWRMaster[Custom],MATCH(TableWRCalcPts[[#This Row],[WRRef]],TableWRMaster[WRRef],0)),"")</f>
        <v/>
      </c>
      <c r="AI203" s="2" t="s">
        <v>148</v>
      </c>
      <c r="AJ203" s="2">
        <f>IFERROR(RANK(TableWRTECalcPts[[#This Row],[Custom]],TableWRTECalcPts[Custom])+COUNTIF($AP$3:AP203,AP203)-1,"")</f>
        <v>200</v>
      </c>
      <c r="AK203" s="20">
        <v>101</v>
      </c>
      <c r="AL203" s="20" t="str">
        <f>IFERROR(INDEX(TableWRMaster[Player],MATCH(TableWRTECalcPts[[#This Row],[POSRef]],TableWRMaster[WRRef],0)),"")</f>
        <v>Xavier Smith</v>
      </c>
      <c r="AM203" s="20" t="str">
        <f>IFERROR(_xlfn.CONCAT(TableWRTECalcPts[[#This Row],[POS]],INDEX(TableWRRanks[RK],MATCH(TableWRTECalcPts[[#This Row],[PLAYER]],TableWRRanks[Player],0))),"")</f>
        <v>WR135</v>
      </c>
      <c r="AN203" s="20" t="str">
        <f>IFERROR(INDEX(TableWRMaster[TM],MATCH(TableWRTECalcPts[[#This Row],[POSRef]],TableWRMaster[WRRef],0)),"")</f>
        <v>LAR</v>
      </c>
      <c r="AO203" s="20">
        <f>IFERROR(INDEX(TableWRMaster[BYE],MATCH(TableWRTECalcPts[[#This Row],[POSRef]],TableWRMaster[WRRef],0)),"")</f>
        <v>11</v>
      </c>
      <c r="AP203" s="18">
        <f>IFERROR(INDEX(TableWRMaster[Custom],MATCH(TableWRTECalcPts[[#This Row],[POSRef]],TableWRMaster[WRRef],0)),"")</f>
        <v>16.653893820591978</v>
      </c>
    </row>
    <row r="204" spans="13:42" x14ac:dyDescent="0.25">
      <c r="M204" s="3"/>
      <c r="O204" s="2" t="str">
        <f>IFERROR(RANK(TableWRCalcPts[[#This Row],[Custom]],TableWRCalcPts[Custom])+COUNTIF($T$3:T204,T204)-1,"")</f>
        <v/>
      </c>
      <c r="P204" s="2">
        <v>202</v>
      </c>
      <c r="Q204" s="2" t="str">
        <f>IFERROR(INDEX(TableWRMaster[Player],MATCH(TableWRCalcPts[[#This Row],[WRRef]],TableWRMaster[WRRef],0)),"")</f>
        <v/>
      </c>
      <c r="R204" s="2" t="str">
        <f>IFERROR(INDEX(TableWRMaster[TM],MATCH(TableWRCalcPts[[#This Row],[WRRef]],TableWRMaster[WRRef],0)),"")</f>
        <v/>
      </c>
      <c r="S204" s="2" t="str">
        <f>IFERROR(INDEX(TableWRMaster[BYE],MATCH(TableWRCalcPts[[#This Row],[WRRef]],TableWRMaster[WRRef],0)),"")</f>
        <v/>
      </c>
      <c r="T204" s="3" t="str">
        <f>IFERROR(INDEX(TableWRMaster[Custom],MATCH(TableWRCalcPts[[#This Row],[WRRef]],TableWRMaster[WRRef],0)),"")</f>
        <v/>
      </c>
      <c r="AI204" s="2" t="s">
        <v>148</v>
      </c>
      <c r="AJ204" s="2">
        <f>IFERROR(RANK(TableWRTECalcPts[[#This Row],[Custom]],TableWRTECalcPts[Custom])+COUNTIF($AP$3:AP204,AP204)-1,"")</f>
        <v>242</v>
      </c>
      <c r="AK204" s="20">
        <v>102</v>
      </c>
      <c r="AL204" s="20" t="str">
        <f>IFERROR(INDEX(TableWRMaster[Player],MATCH(TableWRTECalcPts[[#This Row],[POSRef]],TableWRMaster[WRRef],0)),"")</f>
        <v>CJ Daniels</v>
      </c>
      <c r="AM204" s="20" t="str">
        <f>IFERROR(_xlfn.CONCAT(TableWRTECalcPts[[#This Row],[POS]],INDEX(TableWRRanks[RK],MATCH(TableWRTECalcPts[[#This Row],[PLAYER]],TableWRRanks[Player],0))),"")</f>
        <v>WR165</v>
      </c>
      <c r="AN204" s="20" t="str">
        <f>IFERROR(INDEX(TableWRMaster[TM],MATCH(TableWRTECalcPts[[#This Row],[POSRef]],TableWRMaster[WRRef],0)),"")</f>
        <v>LAR</v>
      </c>
      <c r="AO204" s="20">
        <f>IFERROR(INDEX(TableWRMaster[BYE],MATCH(TableWRTECalcPts[[#This Row],[POSRef]],TableWRMaster[WRRef],0)),"")</f>
        <v>11</v>
      </c>
      <c r="AP204" s="18">
        <f>IFERROR(INDEX(TableWRMaster[Custom],MATCH(TableWRTECalcPts[[#This Row],[POSRef]],TableWRMaster[WRRef],0)),"")</f>
        <v>6.4120360256657101</v>
      </c>
    </row>
    <row r="205" spans="13:42" x14ac:dyDescent="0.25">
      <c r="M205" s="3"/>
      <c r="O205" s="2" t="str">
        <f>IFERROR(RANK(TableWRCalcPts[[#This Row],[Custom]],TableWRCalcPts[Custom])+COUNTIF($T$3:T205,T205)-1,"")</f>
        <v/>
      </c>
      <c r="P205" s="2">
        <v>203</v>
      </c>
      <c r="Q205" s="2" t="str">
        <f>IFERROR(INDEX(TableWRMaster[Player],MATCH(TableWRCalcPts[[#This Row],[WRRef]],TableWRMaster[WRRef],0)),"")</f>
        <v/>
      </c>
      <c r="R205" s="2" t="str">
        <f>IFERROR(INDEX(TableWRMaster[TM],MATCH(TableWRCalcPts[[#This Row],[WRRef]],TableWRMaster[WRRef],0)),"")</f>
        <v/>
      </c>
      <c r="S205" s="2" t="str">
        <f>IFERROR(INDEX(TableWRMaster[BYE],MATCH(TableWRCalcPts[[#This Row],[WRRef]],TableWRMaster[WRRef],0)),"")</f>
        <v/>
      </c>
      <c r="T205" s="3" t="str">
        <f>IFERROR(INDEX(TableWRMaster[Custom],MATCH(TableWRCalcPts[[#This Row],[WRRef]],TableWRMaster[WRRef],0)),"")</f>
        <v/>
      </c>
      <c r="AI205" s="2" t="s">
        <v>148</v>
      </c>
      <c r="AJ205" s="2">
        <f>IFERROR(RANK(TableWRTECalcPts[[#This Row],[Custom]],TableWRTECalcPts[Custom])+COUNTIF($AP$3:AP205,AP205)-1,"")</f>
        <v>82</v>
      </c>
      <c r="AK205" s="20">
        <v>103</v>
      </c>
      <c r="AL205" s="20" t="str">
        <f>IFERROR(INDEX(TableWRMaster[Player],MATCH(TableWRTECalcPts[[#This Row],[POSRef]],TableWRMaster[WRRef],0)),"")</f>
        <v>Jalen Nailor</v>
      </c>
      <c r="AM205" s="20" t="str">
        <f>IFERROR(_xlfn.CONCAT(TableWRTECalcPts[[#This Row],[POS]],INDEX(TableWRRanks[RK],MATCH(TableWRTECalcPts[[#This Row],[PLAYER]],TableWRRanks[Player],0))),"")</f>
        <v>WR61</v>
      </c>
      <c r="AN205" s="20" t="str">
        <f>IFERROR(INDEX(TableWRMaster[TM],MATCH(TableWRTECalcPts[[#This Row],[POSRef]],TableWRMaster[WRRef],0)),"")</f>
        <v>LV</v>
      </c>
      <c r="AO205" s="20">
        <f>IFERROR(INDEX(TableWRMaster[BYE],MATCH(TableWRTECalcPts[[#This Row],[POSRef]],TableWRMaster[WRRef],0)),"")</f>
        <v>13</v>
      </c>
      <c r="AP205" s="18">
        <f>IFERROR(INDEX(TableWRMaster[Custom],MATCH(TableWRTECalcPts[[#This Row],[POSRef]],TableWRMaster[WRRef],0)),"")</f>
        <v>103.21973275557887</v>
      </c>
    </row>
    <row r="206" spans="13:42" x14ac:dyDescent="0.25">
      <c r="M206" s="3"/>
      <c r="O206" s="2" t="str">
        <f>IFERROR(RANK(TableWRCalcPts[[#This Row],[Custom]],TableWRCalcPts[Custom])+COUNTIF($T$3:T206,T206)-1,"")</f>
        <v/>
      </c>
      <c r="P206" s="2">
        <v>204</v>
      </c>
      <c r="Q206" s="2" t="str">
        <f>IFERROR(INDEX(TableWRMaster[Player],MATCH(TableWRCalcPts[[#This Row],[WRRef]],TableWRMaster[WRRef],0)),"")</f>
        <v/>
      </c>
      <c r="R206" s="2" t="str">
        <f>IFERROR(INDEX(TableWRMaster[TM],MATCH(TableWRCalcPts[[#This Row],[WRRef]],TableWRMaster[WRRef],0)),"")</f>
        <v/>
      </c>
      <c r="S206" s="2" t="str">
        <f>IFERROR(INDEX(TableWRMaster[BYE],MATCH(TableWRCalcPts[[#This Row],[WRRef]],TableWRMaster[WRRef],0)),"")</f>
        <v/>
      </c>
      <c r="T206" s="3" t="str">
        <f>IFERROR(INDEX(TableWRMaster[Custom],MATCH(TableWRCalcPts[[#This Row],[WRRef]],TableWRMaster[WRRef],0)),"")</f>
        <v/>
      </c>
      <c r="AI206" s="2" t="s">
        <v>148</v>
      </c>
      <c r="AJ206" s="2">
        <f>IFERROR(RANK(TableWRTECalcPts[[#This Row],[Custom]],TableWRTECalcPts[Custom])+COUNTIF($AP$3:AP206,AP206)-1,"")</f>
        <v>84</v>
      </c>
      <c r="AK206" s="20">
        <v>104</v>
      </c>
      <c r="AL206" s="20" t="str">
        <f>IFERROR(INDEX(TableWRMaster[Player],MATCH(TableWRTECalcPts[[#This Row],[POSRef]],TableWRMaster[WRRef],0)),"")</f>
        <v>Jack Bech</v>
      </c>
      <c r="AM206" s="20" t="str">
        <f>IFERROR(_xlfn.CONCAT(TableWRTECalcPts[[#This Row],[POS]],INDEX(TableWRRanks[RK],MATCH(TableWRTECalcPts[[#This Row],[PLAYER]],TableWRRanks[Player],0))),"")</f>
        <v>WR63</v>
      </c>
      <c r="AN206" s="20" t="str">
        <f>IFERROR(INDEX(TableWRMaster[TM],MATCH(TableWRTECalcPts[[#This Row],[POSRef]],TableWRMaster[WRRef],0)),"")</f>
        <v>LV</v>
      </c>
      <c r="AO206" s="20">
        <f>IFERROR(INDEX(TableWRMaster[BYE],MATCH(TableWRTECalcPts[[#This Row],[POSRef]],TableWRMaster[WRRef],0)),"")</f>
        <v>13</v>
      </c>
      <c r="AP206" s="18">
        <f>IFERROR(INDEX(TableWRMaster[Custom],MATCH(TableWRTECalcPts[[#This Row],[POSRef]],TableWRMaster[WRRef],0)),"")</f>
        <v>101.30747732999711</v>
      </c>
    </row>
    <row r="207" spans="13:42" x14ac:dyDescent="0.25">
      <c r="M207" s="3"/>
      <c r="O207" s="2" t="str">
        <f>IFERROR(RANK(TableWRCalcPts[[#This Row],[Custom]],TableWRCalcPts[Custom])+COUNTIF($T$3:T207,T207)-1,"")</f>
        <v/>
      </c>
      <c r="P207" s="2">
        <v>205</v>
      </c>
      <c r="Q207" s="2" t="str">
        <f>IFERROR(INDEX(TableWRMaster[Player],MATCH(TableWRCalcPts[[#This Row],[WRRef]],TableWRMaster[WRRef],0)),"")</f>
        <v/>
      </c>
      <c r="R207" s="2" t="str">
        <f>IFERROR(INDEX(TableWRMaster[TM],MATCH(TableWRCalcPts[[#This Row],[WRRef]],TableWRMaster[WRRef],0)),"")</f>
        <v/>
      </c>
      <c r="S207" s="2" t="str">
        <f>IFERROR(INDEX(TableWRMaster[BYE],MATCH(TableWRCalcPts[[#This Row],[WRRef]],TableWRMaster[WRRef],0)),"")</f>
        <v/>
      </c>
      <c r="T207" s="3" t="str">
        <f>IFERROR(INDEX(TableWRMaster[Custom],MATCH(TableWRCalcPts[[#This Row],[WRRef]],TableWRMaster[WRRef],0)),"")</f>
        <v/>
      </c>
      <c r="AI207" s="2" t="s">
        <v>148</v>
      </c>
      <c r="AJ207" s="2">
        <f>IFERROR(RANK(TableWRTECalcPts[[#This Row],[Custom]],TableWRTECalcPts[Custom])+COUNTIF($AP$3:AP207,AP207)-1,"")</f>
        <v>95</v>
      </c>
      <c r="AK207" s="20">
        <v>105</v>
      </c>
      <c r="AL207" s="20" t="str">
        <f>IFERROR(INDEX(TableWRMaster[Player],MATCH(TableWRTECalcPts[[#This Row],[POSRef]],TableWRMaster[WRRef],0)),"")</f>
        <v>Tre Tucker</v>
      </c>
      <c r="AM207" s="20" t="str">
        <f>IFERROR(_xlfn.CONCAT(TableWRTECalcPts[[#This Row],[POS]],INDEX(TableWRRanks[RK],MATCH(TableWRTECalcPts[[#This Row],[PLAYER]],TableWRRanks[Player],0))),"")</f>
        <v>WR70</v>
      </c>
      <c r="AN207" s="20" t="str">
        <f>IFERROR(INDEX(TableWRMaster[TM],MATCH(TableWRTECalcPts[[#This Row],[POSRef]],TableWRMaster[WRRef],0)),"")</f>
        <v>LV</v>
      </c>
      <c r="AO207" s="20">
        <f>IFERROR(INDEX(TableWRMaster[BYE],MATCH(TableWRTECalcPts[[#This Row],[POSRef]],TableWRMaster[WRRef],0)),"")</f>
        <v>13</v>
      </c>
      <c r="AP207" s="18">
        <f>IFERROR(INDEX(TableWRMaster[Custom],MATCH(TableWRTECalcPts[[#This Row],[POSRef]],TableWRMaster[WRRef],0)),"")</f>
        <v>92.360874869434014</v>
      </c>
    </row>
    <row r="208" spans="13:42" x14ac:dyDescent="0.25">
      <c r="M208" s="3"/>
      <c r="O208" s="2" t="str">
        <f>IFERROR(RANK(TableWRCalcPts[[#This Row],[Custom]],TableWRCalcPts[Custom])+COUNTIF($T$3:T208,T208)-1,"")</f>
        <v/>
      </c>
      <c r="P208" s="2">
        <v>206</v>
      </c>
      <c r="Q208" s="2" t="str">
        <f>IFERROR(INDEX(TableWRMaster[Player],MATCH(TableWRCalcPts[[#This Row],[WRRef]],TableWRMaster[WRRef],0)),"")</f>
        <v/>
      </c>
      <c r="R208" s="2" t="str">
        <f>IFERROR(INDEX(TableWRMaster[TM],MATCH(TableWRCalcPts[[#This Row],[WRRef]],TableWRMaster[WRRef],0)),"")</f>
        <v/>
      </c>
      <c r="S208" s="2" t="str">
        <f>IFERROR(INDEX(TableWRMaster[BYE],MATCH(TableWRCalcPts[[#This Row],[WRRef]],TableWRMaster[WRRef],0)),"")</f>
        <v/>
      </c>
      <c r="T208" s="3" t="str">
        <f>IFERROR(INDEX(TableWRMaster[Custom],MATCH(TableWRCalcPts[[#This Row],[WRRef]],TableWRMaster[WRRef],0)),"")</f>
        <v/>
      </c>
      <c r="AI208" s="2" t="s">
        <v>148</v>
      </c>
      <c r="AJ208" s="2">
        <f>IFERROR(RANK(TableWRTECalcPts[[#This Row],[Custom]],TableWRTECalcPts[Custom])+COUNTIF($AP$3:AP208,AP208)-1,"")</f>
        <v>124</v>
      </c>
      <c r="AK208" s="20">
        <v>106</v>
      </c>
      <c r="AL208" s="20" t="str">
        <f>IFERROR(INDEX(TableWRMaster[Player],MATCH(TableWRTECalcPts[[#This Row],[POSRef]],TableWRMaster[WRRef],0)),"")</f>
        <v>Dont'e Thornton</v>
      </c>
      <c r="AM208" s="20" t="str">
        <f>IFERROR(_xlfn.CONCAT(TableWRTECalcPts[[#This Row],[POS]],INDEX(TableWRRanks[RK],MATCH(TableWRTECalcPts[[#This Row],[PLAYER]],TableWRRanks[Player],0))),"")</f>
        <v>WR88</v>
      </c>
      <c r="AN208" s="20" t="str">
        <f>IFERROR(INDEX(TableWRMaster[TM],MATCH(TableWRTECalcPts[[#This Row],[POSRef]],TableWRMaster[WRRef],0)),"")</f>
        <v>LV</v>
      </c>
      <c r="AO208" s="20">
        <f>IFERROR(INDEX(TableWRMaster[BYE],MATCH(TableWRTECalcPts[[#This Row],[POSRef]],TableWRMaster[WRRef],0)),"")</f>
        <v>13</v>
      </c>
      <c r="AP208" s="18">
        <f>IFERROR(INDEX(TableWRMaster[Custom],MATCH(TableWRTECalcPts[[#This Row],[POSRef]],TableWRMaster[WRRef],0)),"")</f>
        <v>59.321079235535038</v>
      </c>
    </row>
    <row r="209" spans="13:42" x14ac:dyDescent="0.25">
      <c r="M209" s="3"/>
      <c r="O209" s="2" t="str">
        <f>IFERROR(RANK(TableWRCalcPts[[#This Row],[Custom]],TableWRCalcPts[Custom])+COUNTIF($T$3:T209,T209)-1,"")</f>
        <v/>
      </c>
      <c r="P209" s="2">
        <v>207</v>
      </c>
      <c r="Q209" s="2" t="str">
        <f>IFERROR(INDEX(TableWRMaster[Player],MATCH(TableWRCalcPts[[#This Row],[WRRef]],TableWRMaster[WRRef],0)),"")</f>
        <v/>
      </c>
      <c r="R209" s="2" t="str">
        <f>IFERROR(INDEX(TableWRMaster[TM],MATCH(TableWRCalcPts[[#This Row],[WRRef]],TableWRMaster[WRRef],0)),"")</f>
        <v/>
      </c>
      <c r="S209" s="2" t="str">
        <f>IFERROR(INDEX(TableWRMaster[BYE],MATCH(TableWRCalcPts[[#This Row],[WRRef]],TableWRMaster[WRRef],0)),"")</f>
        <v/>
      </c>
      <c r="T209" s="3" t="str">
        <f>IFERROR(INDEX(TableWRMaster[Custom],MATCH(TableWRCalcPts[[#This Row],[WRRef]],TableWRMaster[WRRef],0)),"")</f>
        <v/>
      </c>
      <c r="AI209" s="2" t="s">
        <v>148</v>
      </c>
      <c r="AJ209" s="2">
        <f>IFERROR(RANK(TableWRTECalcPts[[#This Row],[Custom]],TableWRTECalcPts[Custom])+COUNTIF($AP$3:AP209,AP209)-1,"")</f>
        <v>249</v>
      </c>
      <c r="AK209" s="20">
        <v>107</v>
      </c>
      <c r="AL209" s="20" t="str">
        <f>IFERROR(INDEX(TableWRMaster[Player],MATCH(TableWRTECalcPts[[#This Row],[POSRef]],TableWRMaster[WRRef],0)),"")</f>
        <v>Dareke Young</v>
      </c>
      <c r="AM209" s="20" t="str">
        <f>IFERROR(_xlfn.CONCAT(TableWRTECalcPts[[#This Row],[POS]],INDEX(TableWRRanks[RK],MATCH(TableWRTECalcPts[[#This Row],[PLAYER]],TableWRRanks[Player],0))),"")</f>
        <v>WR172</v>
      </c>
      <c r="AN209" s="20" t="str">
        <f>IFERROR(INDEX(TableWRMaster[TM],MATCH(TableWRTECalcPts[[#This Row],[POSRef]],TableWRMaster[WRRef],0)),"")</f>
        <v>LV</v>
      </c>
      <c r="AO209" s="20">
        <f>IFERROR(INDEX(TableWRMaster[BYE],MATCH(TableWRTECalcPts[[#This Row],[POSRef]],TableWRMaster[WRRef],0)),"")</f>
        <v>13</v>
      </c>
      <c r="AP209" s="18">
        <f>IFERROR(INDEX(TableWRMaster[Custom],MATCH(TableWRTECalcPts[[#This Row],[POSRef]],TableWRMaster[WRRef],0)),"")</f>
        <v>5.5403300973887992</v>
      </c>
    </row>
    <row r="210" spans="13:42" x14ac:dyDescent="0.25">
      <c r="M210" s="3"/>
      <c r="O210" s="2" t="str">
        <f>IFERROR(RANK(TableWRCalcPts[[#This Row],[Custom]],TableWRCalcPts[Custom])+COUNTIF($T$3:T210,T210)-1,"")</f>
        <v/>
      </c>
      <c r="P210" s="2">
        <v>208</v>
      </c>
      <c r="Q210" s="2" t="str">
        <f>IFERROR(INDEX(TableWRMaster[Player],MATCH(TableWRCalcPts[[#This Row],[WRRef]],TableWRMaster[WRRef],0)),"")</f>
        <v/>
      </c>
      <c r="R210" s="2" t="str">
        <f>IFERROR(INDEX(TableWRMaster[TM],MATCH(TableWRCalcPts[[#This Row],[WRRef]],TableWRMaster[WRRef],0)),"")</f>
        <v/>
      </c>
      <c r="S210" s="2" t="str">
        <f>IFERROR(INDEX(TableWRMaster[BYE],MATCH(TableWRCalcPts[[#This Row],[WRRef]],TableWRMaster[WRRef],0)),"")</f>
        <v/>
      </c>
      <c r="T210" s="3" t="str">
        <f>IFERROR(INDEX(TableWRMaster[Custom],MATCH(TableWRCalcPts[[#This Row],[WRRef]],TableWRMaster[WRRef],0)),"")</f>
        <v/>
      </c>
      <c r="AI210" s="2" t="s">
        <v>148</v>
      </c>
      <c r="AJ210" s="2">
        <f>IFERROR(RANK(TableWRTECalcPts[[#This Row],[Custom]],TableWRTECalcPts[Custom])+COUNTIF($AP$3:AP210,AP210)-1,"")</f>
        <v>259</v>
      </c>
      <c r="AK210" s="20">
        <v>108</v>
      </c>
      <c r="AL210" s="20" t="str">
        <f>IFERROR(INDEX(TableWRMaster[Player],MATCH(TableWRTECalcPts[[#This Row],[POSRef]],TableWRMaster[WRRef],0)),"")</f>
        <v>Malik Benson</v>
      </c>
      <c r="AM210" s="20" t="str">
        <f>IFERROR(_xlfn.CONCAT(TableWRTECalcPts[[#This Row],[POS]],INDEX(TableWRRanks[RK],MATCH(TableWRTECalcPts[[#This Row],[PLAYER]],TableWRRanks[Player],0))),"")</f>
        <v>WR179</v>
      </c>
      <c r="AN210" s="20" t="str">
        <f>IFERROR(INDEX(TableWRMaster[TM],MATCH(TableWRTECalcPts[[#This Row],[POSRef]],TableWRMaster[WRRef],0)),"")</f>
        <v>LV</v>
      </c>
      <c r="AO210" s="20">
        <f>IFERROR(INDEX(TableWRMaster[BYE],MATCH(TableWRTECalcPts[[#This Row],[POSRef]],TableWRMaster[WRRef],0)),"")</f>
        <v>13</v>
      </c>
      <c r="AP210" s="18">
        <f>IFERROR(INDEX(TableWRMaster[Custom],MATCH(TableWRTECalcPts[[#This Row],[POSRef]],TableWRMaster[WRRef],0)),"")</f>
        <v>3.1943596859999999</v>
      </c>
    </row>
    <row r="211" spans="13:42" x14ac:dyDescent="0.25">
      <c r="M211" s="3"/>
      <c r="O211" s="2" t="str">
        <f>IFERROR(RANK(TableWRCalcPts[[#This Row],[Custom]],TableWRCalcPts[Custom])+COUNTIF($T$3:T211,T211)-1,"")</f>
        <v/>
      </c>
      <c r="P211" s="2">
        <v>209</v>
      </c>
      <c r="Q211" s="2" t="str">
        <f>IFERROR(INDEX(TableWRMaster[Player],MATCH(TableWRCalcPts[[#This Row],[WRRef]],TableWRMaster[WRRef],0)),"")</f>
        <v/>
      </c>
      <c r="R211" s="2" t="str">
        <f>IFERROR(INDEX(TableWRMaster[TM],MATCH(TableWRCalcPts[[#This Row],[WRRef]],TableWRMaster[WRRef],0)),"")</f>
        <v/>
      </c>
      <c r="S211" s="2" t="str">
        <f>IFERROR(INDEX(TableWRMaster[BYE],MATCH(TableWRCalcPts[[#This Row],[WRRef]],TableWRMaster[WRRef],0)),"")</f>
        <v/>
      </c>
      <c r="T211" s="3" t="str">
        <f>IFERROR(INDEX(TableWRMaster[Custom],MATCH(TableWRCalcPts[[#This Row],[WRRef]],TableWRMaster[WRRef],0)),"")</f>
        <v/>
      </c>
      <c r="AI211" s="2" t="s">
        <v>148</v>
      </c>
      <c r="AJ211" s="2">
        <f>IFERROR(RANK(TableWRTECalcPts[[#This Row],[Custom]],TableWRTECalcPts[Custom])+COUNTIF($AP$3:AP211,AP211)-1,"")</f>
        <v>93</v>
      </c>
      <c r="AK211" s="20">
        <v>109</v>
      </c>
      <c r="AL211" s="20" t="str">
        <f>IFERROR(INDEX(TableWRMaster[Player],MATCH(TableWRTECalcPts[[#This Row],[POSRef]],TableWRMaster[WRRef],0)),"")</f>
        <v>Caleb Douglas</v>
      </c>
      <c r="AM211" s="20" t="str">
        <f>IFERROR(_xlfn.CONCAT(TableWRTECalcPts[[#This Row],[POS]],INDEX(TableWRRanks[RK],MATCH(TableWRTECalcPts[[#This Row],[PLAYER]],TableWRRanks[Player],0))),"")</f>
        <v>WR68</v>
      </c>
      <c r="AN211" s="20" t="str">
        <f>IFERROR(INDEX(TableWRMaster[TM],MATCH(TableWRTECalcPts[[#This Row],[POSRef]],TableWRMaster[WRRef],0)),"")</f>
        <v>MIA</v>
      </c>
      <c r="AO211" s="20">
        <f>IFERROR(INDEX(TableWRMaster[BYE],MATCH(TableWRTECalcPts[[#This Row],[POSRef]],TableWRMaster[WRRef],0)),"")</f>
        <v>6</v>
      </c>
      <c r="AP211" s="18">
        <f>IFERROR(INDEX(TableWRMaster[Custom],MATCH(TableWRTECalcPts[[#This Row],[POSRef]],TableWRMaster[WRRef],0)),"")</f>
        <v>95.519069823491961</v>
      </c>
    </row>
    <row r="212" spans="13:42" x14ac:dyDescent="0.25">
      <c r="M212" s="3"/>
      <c r="O212" s="2" t="str">
        <f>IFERROR(RANK(TableWRCalcPts[[#This Row],[Custom]],TableWRCalcPts[Custom])+COUNTIF($T$3:T212,T212)-1,"")</f>
        <v/>
      </c>
      <c r="P212" s="2">
        <v>210</v>
      </c>
      <c r="Q212" s="2" t="str">
        <f>IFERROR(INDEX(TableWRMaster[Player],MATCH(TableWRCalcPts[[#This Row],[WRRef]],TableWRMaster[WRRef],0)),"")</f>
        <v/>
      </c>
      <c r="R212" s="2" t="str">
        <f>IFERROR(INDEX(TableWRMaster[TM],MATCH(TableWRCalcPts[[#This Row],[WRRef]],TableWRMaster[WRRef],0)),"")</f>
        <v/>
      </c>
      <c r="S212" s="2" t="str">
        <f>IFERROR(INDEX(TableWRMaster[BYE],MATCH(TableWRCalcPts[[#This Row],[WRRef]],TableWRMaster[WRRef],0)),"")</f>
        <v/>
      </c>
      <c r="T212" s="3" t="str">
        <f>IFERROR(INDEX(TableWRMaster[Custom],MATCH(TableWRCalcPts[[#This Row],[WRRef]],TableWRMaster[WRRef],0)),"")</f>
        <v/>
      </c>
      <c r="AI212" s="2" t="s">
        <v>148</v>
      </c>
      <c r="AJ212" s="2">
        <f>IFERROR(RANK(TableWRTECalcPts[[#This Row],[Custom]],TableWRTECalcPts[Custom])+COUNTIF($AP$3:AP212,AP212)-1,"")</f>
        <v>133</v>
      </c>
      <c r="AK212" s="20">
        <v>110</v>
      </c>
      <c r="AL212" s="20" t="str">
        <f>IFERROR(INDEX(TableWRMaster[Player],MATCH(TableWRTECalcPts[[#This Row],[POSRef]],TableWRMaster[WRRef],0)),"")</f>
        <v>Chris Bell</v>
      </c>
      <c r="AM212" s="20" t="str">
        <f>IFERROR(_xlfn.CONCAT(TableWRTECalcPts[[#This Row],[POS]],INDEX(TableWRRanks[RK],MATCH(TableWRTECalcPts[[#This Row],[PLAYER]],TableWRRanks[Player],0))),"")</f>
        <v>WR97</v>
      </c>
      <c r="AN212" s="20" t="str">
        <f>IFERROR(INDEX(TableWRMaster[TM],MATCH(TableWRTECalcPts[[#This Row],[POSRef]],TableWRMaster[WRRef],0)),"")</f>
        <v>MIA</v>
      </c>
      <c r="AO212" s="20">
        <f>IFERROR(INDEX(TableWRMaster[BYE],MATCH(TableWRTECalcPts[[#This Row],[POSRef]],TableWRMaster[WRRef],0)),"")</f>
        <v>6</v>
      </c>
      <c r="AP212" s="18">
        <f>IFERROR(INDEX(TableWRMaster[Custom],MATCH(TableWRTECalcPts[[#This Row],[POSRef]],TableWRMaster[WRRef],0)),"")</f>
        <v>53.023781179522445</v>
      </c>
    </row>
    <row r="213" spans="13:42" x14ac:dyDescent="0.25">
      <c r="M213" s="3"/>
      <c r="O213" s="2" t="str">
        <f>IFERROR(RANK(TableWRCalcPts[[#This Row],[Custom]],TableWRCalcPts[Custom])+COUNTIF($T$3:T213,T213)-1,"")</f>
        <v/>
      </c>
      <c r="P213" s="2">
        <v>211</v>
      </c>
      <c r="Q213" s="2" t="str">
        <f>IFERROR(INDEX(TableWRMaster[Player],MATCH(TableWRCalcPts[[#This Row],[WRRef]],TableWRMaster[WRRef],0)),"")</f>
        <v/>
      </c>
      <c r="R213" s="2" t="str">
        <f>IFERROR(INDEX(TableWRMaster[TM],MATCH(TableWRCalcPts[[#This Row],[WRRef]],TableWRMaster[WRRef],0)),"")</f>
        <v/>
      </c>
      <c r="S213" s="2" t="str">
        <f>IFERROR(INDEX(TableWRMaster[BYE],MATCH(TableWRCalcPts[[#This Row],[WRRef]],TableWRMaster[WRRef],0)),"")</f>
        <v/>
      </c>
      <c r="T213" s="3" t="str">
        <f>IFERROR(INDEX(TableWRMaster[Custom],MATCH(TableWRCalcPts[[#This Row],[WRRef]],TableWRMaster[WRRef],0)),"")</f>
        <v/>
      </c>
      <c r="AI213" s="2" t="s">
        <v>148</v>
      </c>
      <c r="AJ213" s="2">
        <f>IFERROR(RANK(TableWRTECalcPts[[#This Row],[Custom]],TableWRTECalcPts[Custom])+COUNTIF($AP$3:AP213,AP213)-1,"")</f>
        <v>107</v>
      </c>
      <c r="AK213" s="20">
        <v>111</v>
      </c>
      <c r="AL213" s="20" t="str">
        <f>IFERROR(INDEX(TableWRMaster[Player],MATCH(TableWRTECalcPts[[#This Row],[POSRef]],TableWRMaster[WRRef],0)),"")</f>
        <v>Malik Washington</v>
      </c>
      <c r="AM213" s="20" t="str">
        <f>IFERROR(_xlfn.CONCAT(TableWRTECalcPts[[#This Row],[POS]],INDEX(TableWRRanks[RK],MATCH(TableWRTECalcPts[[#This Row],[PLAYER]],TableWRRanks[Player],0))),"")</f>
        <v>WR78</v>
      </c>
      <c r="AN213" s="20" t="str">
        <f>IFERROR(INDEX(TableWRMaster[TM],MATCH(TableWRTECalcPts[[#This Row],[POSRef]],TableWRMaster[WRRef],0)),"")</f>
        <v>MIA</v>
      </c>
      <c r="AO213" s="20">
        <f>IFERROR(INDEX(TableWRMaster[BYE],MATCH(TableWRTECalcPts[[#This Row],[POSRef]],TableWRMaster[WRRef],0)),"")</f>
        <v>6</v>
      </c>
      <c r="AP213" s="18">
        <f>IFERROR(INDEX(TableWRMaster[Custom],MATCH(TableWRTECalcPts[[#This Row],[POSRef]],TableWRMaster[WRRef],0)),"")</f>
        <v>80.337995544473287</v>
      </c>
    </row>
    <row r="214" spans="13:42" x14ac:dyDescent="0.25">
      <c r="M214" s="3"/>
      <c r="O214" s="2" t="str">
        <f>IFERROR(RANK(TableWRCalcPts[[#This Row],[Custom]],TableWRCalcPts[Custom])+COUNTIF($T$3:T214,T214)-1,"")</f>
        <v/>
      </c>
      <c r="P214" s="2">
        <v>212</v>
      </c>
      <c r="Q214" s="2" t="str">
        <f>IFERROR(INDEX(TableWRMaster[Player],MATCH(TableWRCalcPts[[#This Row],[WRRef]],TableWRMaster[WRRef],0)),"")</f>
        <v/>
      </c>
      <c r="R214" s="2" t="str">
        <f>IFERROR(INDEX(TableWRMaster[TM],MATCH(TableWRCalcPts[[#This Row],[WRRef]],TableWRMaster[WRRef],0)),"")</f>
        <v/>
      </c>
      <c r="S214" s="2" t="str">
        <f>IFERROR(INDEX(TableWRMaster[BYE],MATCH(TableWRCalcPts[[#This Row],[WRRef]],TableWRMaster[WRRef],0)),"")</f>
        <v/>
      </c>
      <c r="T214" s="3" t="str">
        <f>IFERROR(INDEX(TableWRMaster[Custom],MATCH(TableWRCalcPts[[#This Row],[WRRef]],TableWRMaster[WRRef],0)),"")</f>
        <v/>
      </c>
      <c r="AI214" s="2" t="s">
        <v>148</v>
      </c>
      <c r="AJ214" s="2">
        <f>IFERROR(RANK(TableWRTECalcPts[[#This Row],[Custom]],TableWRTECalcPts[Custom])+COUNTIF($AP$3:AP214,AP214)-1,"")</f>
        <v>167</v>
      </c>
      <c r="AK214" s="20">
        <v>112</v>
      </c>
      <c r="AL214" s="20" t="str">
        <f>IFERROR(INDEX(TableWRMaster[Player],MATCH(TableWRTECalcPts[[#This Row],[POSRef]],TableWRMaster[WRRef],0)),"")</f>
        <v>Tutu Atwell</v>
      </c>
      <c r="AM214" s="20" t="str">
        <f>IFERROR(_xlfn.CONCAT(TableWRTECalcPts[[#This Row],[POS]],INDEX(TableWRRanks[RK],MATCH(TableWRTECalcPts[[#This Row],[PLAYER]],TableWRRanks[Player],0))),"")</f>
        <v>WR121</v>
      </c>
      <c r="AN214" s="20" t="str">
        <f>IFERROR(INDEX(TableWRMaster[TM],MATCH(TableWRTECalcPts[[#This Row],[POSRef]],TableWRMaster[WRRef],0)),"")</f>
        <v>MIA</v>
      </c>
      <c r="AO214" s="20">
        <f>IFERROR(INDEX(TableWRMaster[BYE],MATCH(TableWRTECalcPts[[#This Row],[POSRef]],TableWRMaster[WRRef],0)),"")</f>
        <v>6</v>
      </c>
      <c r="AP214" s="18">
        <f>IFERROR(INDEX(TableWRMaster[Custom],MATCH(TableWRTECalcPts[[#This Row],[POSRef]],TableWRMaster[WRRef],0)),"")</f>
        <v>32.392578640116241</v>
      </c>
    </row>
    <row r="215" spans="13:42" x14ac:dyDescent="0.25">
      <c r="M215" s="3"/>
      <c r="O215" s="2" t="str">
        <f>IFERROR(RANK(TableWRCalcPts[[#This Row],[Custom]],TableWRCalcPts[Custom])+COUNTIF($T$3:T215,T215)-1,"")</f>
        <v/>
      </c>
      <c r="P215" s="2">
        <v>213</v>
      </c>
      <c r="Q215" s="2" t="str">
        <f>IFERROR(INDEX(TableWRMaster[Player],MATCH(TableWRCalcPts[[#This Row],[WRRef]],TableWRMaster[WRRef],0)),"")</f>
        <v/>
      </c>
      <c r="R215" s="2" t="str">
        <f>IFERROR(INDEX(TableWRMaster[TM],MATCH(TableWRCalcPts[[#This Row],[WRRef]],TableWRMaster[WRRef],0)),"")</f>
        <v/>
      </c>
      <c r="S215" s="2" t="str">
        <f>IFERROR(INDEX(TableWRMaster[BYE],MATCH(TableWRCalcPts[[#This Row],[WRRef]],TableWRMaster[WRRef],0)),"")</f>
        <v/>
      </c>
      <c r="T215" s="3" t="str">
        <f>IFERROR(INDEX(TableWRMaster[Custom],MATCH(TableWRCalcPts[[#This Row],[WRRef]],TableWRMaster[WRRef],0)),"")</f>
        <v/>
      </c>
      <c r="AI215" s="2" t="s">
        <v>148</v>
      </c>
      <c r="AJ215" s="2">
        <f>IFERROR(RANK(TableWRTECalcPts[[#This Row],[Custom]],TableWRTECalcPts[Custom])+COUNTIF($AP$3:AP215,AP215)-1,"")</f>
        <v>89</v>
      </c>
      <c r="AK215" s="20">
        <v>113</v>
      </c>
      <c r="AL215" s="20" t="str">
        <f>IFERROR(INDEX(TableWRMaster[Player],MATCH(TableWRTECalcPts[[#This Row],[POSRef]],TableWRMaster[WRRef],0)),"")</f>
        <v>Jalen Tolbert</v>
      </c>
      <c r="AM215" s="20" t="str">
        <f>IFERROR(_xlfn.CONCAT(TableWRTECalcPts[[#This Row],[POS]],INDEX(TableWRRanks[RK],MATCH(TableWRTECalcPts[[#This Row],[PLAYER]],TableWRRanks[Player],0))),"")</f>
        <v>WR67</v>
      </c>
      <c r="AN215" s="20" t="str">
        <f>IFERROR(INDEX(TableWRMaster[TM],MATCH(TableWRTECalcPts[[#This Row],[POSRef]],TableWRMaster[WRRef],0)),"")</f>
        <v>MIA</v>
      </c>
      <c r="AO215" s="20">
        <f>IFERROR(INDEX(TableWRMaster[BYE],MATCH(TableWRTECalcPts[[#This Row],[POSRef]],TableWRMaster[WRRef],0)),"")</f>
        <v>6</v>
      </c>
      <c r="AP215" s="18">
        <f>IFERROR(INDEX(TableWRMaster[Custom],MATCH(TableWRTECalcPts[[#This Row],[POSRef]],TableWRMaster[WRRef],0)),"")</f>
        <v>99.819665152542697</v>
      </c>
    </row>
    <row r="216" spans="13:42" x14ac:dyDescent="0.25">
      <c r="M216" s="3"/>
      <c r="O216" s="2" t="str">
        <f>IFERROR(RANK(TableWRCalcPts[[#This Row],[Custom]],TableWRCalcPts[Custom])+COUNTIF($T$3:T216,T216)-1,"")</f>
        <v/>
      </c>
      <c r="P216" s="2">
        <v>214</v>
      </c>
      <c r="Q216" s="2" t="str">
        <f>IFERROR(INDEX(TableWRMaster[Player],MATCH(TableWRCalcPts[[#This Row],[WRRef]],TableWRMaster[WRRef],0)),"")</f>
        <v/>
      </c>
      <c r="R216" s="2" t="str">
        <f>IFERROR(INDEX(TableWRMaster[TM],MATCH(TableWRCalcPts[[#This Row],[WRRef]],TableWRMaster[WRRef],0)),"")</f>
        <v/>
      </c>
      <c r="S216" s="2" t="str">
        <f>IFERROR(INDEX(TableWRMaster[BYE],MATCH(TableWRCalcPts[[#This Row],[WRRef]],TableWRMaster[WRRef],0)),"")</f>
        <v/>
      </c>
      <c r="T216" s="3" t="str">
        <f>IFERROR(INDEX(TableWRMaster[Custom],MATCH(TableWRCalcPts[[#This Row],[WRRef]],TableWRMaster[WRRef],0)),"")</f>
        <v/>
      </c>
      <c r="AI216" s="2" t="s">
        <v>148</v>
      </c>
      <c r="AJ216" s="2">
        <f>IFERROR(RANK(TableWRTECalcPts[[#This Row],[Custom]],TableWRTECalcPts[Custom])+COUNTIF($AP$3:AP216,AP216)-1,"")</f>
        <v>183</v>
      </c>
      <c r="AK216" s="20">
        <v>114</v>
      </c>
      <c r="AL216" s="20" t="str">
        <f>IFERROR(INDEX(TableWRMaster[Player],MATCH(TableWRTECalcPts[[#This Row],[POSRef]],TableWRMaster[WRRef],0)),"")</f>
        <v>Kevin Coleman</v>
      </c>
      <c r="AM216" s="20" t="str">
        <f>IFERROR(_xlfn.CONCAT(TableWRTECalcPts[[#This Row],[POS]],INDEX(TableWRRanks[RK],MATCH(TableWRTECalcPts[[#This Row],[PLAYER]],TableWRRanks[Player],0))),"")</f>
        <v>WR126</v>
      </c>
      <c r="AN216" s="20" t="str">
        <f>IFERROR(INDEX(TableWRMaster[TM],MATCH(TableWRTECalcPts[[#This Row],[POSRef]],TableWRMaster[WRRef],0)),"")</f>
        <v>MIA</v>
      </c>
      <c r="AO216" s="20">
        <f>IFERROR(INDEX(TableWRMaster[BYE],MATCH(TableWRTECalcPts[[#This Row],[POSRef]],TableWRMaster[WRRef],0)),"")</f>
        <v>6</v>
      </c>
      <c r="AP216" s="18">
        <f>IFERROR(INDEX(TableWRMaster[Custom],MATCH(TableWRTECalcPts[[#This Row],[POSRef]],TableWRMaster[WRRef],0)),"")</f>
        <v>21.182855032088817</v>
      </c>
    </row>
    <row r="217" spans="13:42" x14ac:dyDescent="0.25">
      <c r="M217" s="3"/>
      <c r="O217" s="2" t="str">
        <f>IFERROR(RANK(TableWRCalcPts[[#This Row],[Custom]],TableWRCalcPts[Custom])+COUNTIF($T$3:T217,T217)-1,"")</f>
        <v/>
      </c>
      <c r="P217" s="2">
        <v>215</v>
      </c>
      <c r="Q217" s="2" t="str">
        <f>IFERROR(INDEX(TableWRMaster[Player],MATCH(TableWRCalcPts[[#This Row],[WRRef]],TableWRMaster[WRRef],0)),"")</f>
        <v/>
      </c>
      <c r="R217" s="2" t="str">
        <f>IFERROR(INDEX(TableWRMaster[TM],MATCH(TableWRCalcPts[[#This Row],[WRRef]],TableWRMaster[WRRef],0)),"")</f>
        <v/>
      </c>
      <c r="S217" s="2" t="str">
        <f>IFERROR(INDEX(TableWRMaster[BYE],MATCH(TableWRCalcPts[[#This Row],[WRRef]],TableWRMaster[WRRef],0)),"")</f>
        <v/>
      </c>
      <c r="T217" s="3" t="str">
        <f>IFERROR(INDEX(TableWRMaster[Custom],MATCH(TableWRCalcPts[[#This Row],[WRRef]],TableWRMaster[WRRef],0)),"")</f>
        <v/>
      </c>
      <c r="AI217" s="2" t="s">
        <v>148</v>
      </c>
      <c r="AJ217" s="2">
        <f>IFERROR(RANK(TableWRTECalcPts[[#This Row],[Custom]],TableWRTECalcPts[Custom])+COUNTIF($AP$3:AP217,AP217)-1,"")</f>
        <v>7</v>
      </c>
      <c r="AK217" s="20">
        <v>115</v>
      </c>
      <c r="AL217" s="20" t="str">
        <f>IFERROR(INDEX(TableWRMaster[Player],MATCH(TableWRTECalcPts[[#This Row],[POSRef]],TableWRMaster[WRRef],0)),"")</f>
        <v>Justin Jefferson</v>
      </c>
      <c r="AM217" s="20" t="str">
        <f>IFERROR(_xlfn.CONCAT(TableWRTECalcPts[[#This Row],[POS]],INDEX(TableWRRanks[RK],MATCH(TableWRTECalcPts[[#This Row],[PLAYER]],TableWRRanks[Player],0))),"")</f>
        <v>WR7</v>
      </c>
      <c r="AN217" s="20" t="str">
        <f>IFERROR(INDEX(TableWRMaster[TM],MATCH(TableWRTECalcPts[[#This Row],[POSRef]],TableWRMaster[WRRef],0)),"")</f>
        <v>MIN</v>
      </c>
      <c r="AO217" s="20">
        <f>IFERROR(INDEX(TableWRMaster[BYE],MATCH(TableWRTECalcPts[[#This Row],[POSRef]],TableWRMaster[WRRef],0)),"")</f>
        <v>6</v>
      </c>
      <c r="AP217" s="18">
        <f>IFERROR(INDEX(TableWRMaster[Custom],MATCH(TableWRTECalcPts[[#This Row],[POSRef]],TableWRMaster[WRRef],0)),"")</f>
        <v>223.24740739596288</v>
      </c>
    </row>
    <row r="218" spans="13:42" x14ac:dyDescent="0.25">
      <c r="M218" s="3"/>
      <c r="O218" s="2" t="str">
        <f>IFERROR(RANK(TableWRCalcPts[[#This Row],[Custom]],TableWRCalcPts[Custom])+COUNTIF($T$3:T218,T218)-1,"")</f>
        <v/>
      </c>
      <c r="P218" s="2">
        <v>216</v>
      </c>
      <c r="Q218" s="2" t="str">
        <f>IFERROR(INDEX(TableWRMaster[Player],MATCH(TableWRCalcPts[[#This Row],[WRRef]],TableWRMaster[WRRef],0)),"")</f>
        <v/>
      </c>
      <c r="R218" s="2" t="str">
        <f>IFERROR(INDEX(TableWRMaster[TM],MATCH(TableWRCalcPts[[#This Row],[WRRef]],TableWRMaster[WRRef],0)),"")</f>
        <v/>
      </c>
      <c r="S218" s="2" t="str">
        <f>IFERROR(INDEX(TableWRMaster[BYE],MATCH(TableWRCalcPts[[#This Row],[WRRef]],TableWRMaster[WRRef],0)),"")</f>
        <v/>
      </c>
      <c r="T218" s="3" t="str">
        <f>IFERROR(INDEX(TableWRMaster[Custom],MATCH(TableWRCalcPts[[#This Row],[WRRef]],TableWRMaster[WRRef],0)),"")</f>
        <v/>
      </c>
      <c r="AI218" s="2" t="s">
        <v>148</v>
      </c>
      <c r="AJ218" s="2">
        <f>IFERROR(RANK(TableWRTECalcPts[[#This Row],[Custom]],TableWRTECalcPts[Custom])+COUNTIF($AP$3:AP218,AP218)-1,"")</f>
        <v>37</v>
      </c>
      <c r="AK218" s="20">
        <v>116</v>
      </c>
      <c r="AL218" s="20" t="str">
        <f>IFERROR(INDEX(TableWRMaster[Player],MATCH(TableWRTECalcPts[[#This Row],[POSRef]],TableWRMaster[WRRef],0)),"")</f>
        <v>Jordan Addison</v>
      </c>
      <c r="AM218" s="20" t="str">
        <f>IFERROR(_xlfn.CONCAT(TableWRTECalcPts[[#This Row],[POS]],INDEX(TableWRRanks[RK],MATCH(TableWRTECalcPts[[#This Row],[PLAYER]],TableWRRanks[Player],0))),"")</f>
        <v>WR34</v>
      </c>
      <c r="AN218" s="20" t="str">
        <f>IFERROR(INDEX(TableWRMaster[TM],MATCH(TableWRTECalcPts[[#This Row],[POSRef]],TableWRMaster[WRRef],0)),"")</f>
        <v>MIN</v>
      </c>
      <c r="AO218" s="20">
        <f>IFERROR(INDEX(TableWRMaster[BYE],MATCH(TableWRTECalcPts[[#This Row],[POSRef]],TableWRMaster[WRRef],0)),"")</f>
        <v>6</v>
      </c>
      <c r="AP218" s="18">
        <f>IFERROR(INDEX(TableWRMaster[Custom],MATCH(TableWRTECalcPts[[#This Row],[POSRef]],TableWRMaster[WRRef],0)),"")</f>
        <v>168.53891277683735</v>
      </c>
    </row>
    <row r="219" spans="13:42" x14ac:dyDescent="0.25">
      <c r="M219" s="3"/>
      <c r="O219" s="2" t="str">
        <f>IFERROR(RANK(TableWRCalcPts[[#This Row],[Custom]],TableWRCalcPts[Custom])+COUNTIF($T$3:T219,T219)-1,"")</f>
        <v/>
      </c>
      <c r="P219" s="2">
        <v>217</v>
      </c>
      <c r="Q219" s="2" t="str">
        <f>IFERROR(INDEX(TableWRMaster[Player],MATCH(TableWRCalcPts[[#This Row],[WRRef]],TableWRMaster[WRRef],0)),"")</f>
        <v/>
      </c>
      <c r="R219" s="2" t="str">
        <f>IFERROR(INDEX(TableWRMaster[TM],MATCH(TableWRCalcPts[[#This Row],[WRRef]],TableWRMaster[WRRef],0)),"")</f>
        <v/>
      </c>
      <c r="S219" s="2" t="str">
        <f>IFERROR(INDEX(TableWRMaster[BYE],MATCH(TableWRCalcPts[[#This Row],[WRRef]],TableWRMaster[WRRef],0)),"")</f>
        <v/>
      </c>
      <c r="T219" s="3" t="str">
        <f>IFERROR(INDEX(TableWRMaster[Custom],MATCH(TableWRCalcPts[[#This Row],[WRRef]],TableWRMaster[WRRef],0)),"")</f>
        <v/>
      </c>
      <c r="AI219" s="2" t="s">
        <v>148</v>
      </c>
      <c r="AJ219" s="2">
        <f>IFERROR(RANK(TableWRTECalcPts[[#This Row],[Custom]],TableWRTECalcPts[Custom])+COUNTIF($AP$3:AP219,AP219)-1,"")</f>
        <v>105</v>
      </c>
      <c r="AK219" s="20">
        <v>117</v>
      </c>
      <c r="AL219" s="20" t="str">
        <f>IFERROR(INDEX(TableWRMaster[Player],MATCH(TableWRTECalcPts[[#This Row],[POSRef]],TableWRMaster[WRRef],0)),"")</f>
        <v>Jauan Jennings</v>
      </c>
      <c r="AM219" s="20" t="str">
        <f>IFERROR(_xlfn.CONCAT(TableWRTECalcPts[[#This Row],[POS]],INDEX(TableWRRanks[RK],MATCH(TableWRTECalcPts[[#This Row],[PLAYER]],TableWRRanks[Player],0))),"")</f>
        <v>WR76</v>
      </c>
      <c r="AN219" s="20" t="str">
        <f>IFERROR(INDEX(TableWRMaster[TM],MATCH(TableWRTECalcPts[[#This Row],[POSRef]],TableWRMaster[WRRef],0)),"")</f>
        <v>MIN</v>
      </c>
      <c r="AO219" s="20">
        <f>IFERROR(INDEX(TableWRMaster[BYE],MATCH(TableWRTECalcPts[[#This Row],[POSRef]],TableWRMaster[WRRef],0)),"")</f>
        <v>6</v>
      </c>
      <c r="AP219" s="18">
        <f>IFERROR(INDEX(TableWRMaster[Custom],MATCH(TableWRTECalcPts[[#This Row],[POSRef]],TableWRMaster[WRRef],0)),"")</f>
        <v>82.789156047990502</v>
      </c>
    </row>
    <row r="220" spans="13:42" x14ac:dyDescent="0.25">
      <c r="M220" s="3"/>
      <c r="O220" s="2" t="str">
        <f>IFERROR(RANK(TableWRCalcPts[[#This Row],[Custom]],TableWRCalcPts[Custom])+COUNTIF($T$3:T220,T220)-1,"")</f>
        <v/>
      </c>
      <c r="P220" s="2">
        <v>218</v>
      </c>
      <c r="Q220" s="2" t="str">
        <f>IFERROR(INDEX(TableWRMaster[Player],MATCH(TableWRCalcPts[[#This Row],[WRRef]],TableWRMaster[WRRef],0)),"")</f>
        <v/>
      </c>
      <c r="R220" s="2" t="str">
        <f>IFERROR(INDEX(TableWRMaster[TM],MATCH(TableWRCalcPts[[#This Row],[WRRef]],TableWRMaster[WRRef],0)),"")</f>
        <v/>
      </c>
      <c r="S220" s="2" t="str">
        <f>IFERROR(INDEX(TableWRMaster[BYE],MATCH(TableWRCalcPts[[#This Row],[WRRef]],TableWRMaster[WRRef],0)),"")</f>
        <v/>
      </c>
      <c r="T220" s="3" t="str">
        <f>IFERROR(INDEX(TableWRMaster[Custom],MATCH(TableWRCalcPts[[#This Row],[WRRef]],TableWRMaster[WRRef],0)),"")</f>
        <v/>
      </c>
      <c r="AI220" s="2" t="s">
        <v>148</v>
      </c>
      <c r="AJ220" s="2">
        <f>IFERROR(RANK(TableWRTECalcPts[[#This Row],[Custom]],TableWRTECalcPts[Custom])+COUNTIF($AP$3:AP220,AP220)-1,"")</f>
        <v>218</v>
      </c>
      <c r="AK220" s="20">
        <v>118</v>
      </c>
      <c r="AL220" s="20" t="str">
        <f>IFERROR(INDEX(TableWRMaster[Player],MATCH(TableWRTECalcPts[[#This Row],[POSRef]],TableWRMaster[WRRef],0)),"")</f>
        <v>Tai Felton</v>
      </c>
      <c r="AM220" s="20" t="str">
        <f>IFERROR(_xlfn.CONCAT(TableWRTECalcPts[[#This Row],[POS]],INDEX(TableWRRanks[RK],MATCH(TableWRTECalcPts[[#This Row],[PLAYER]],TableWRRanks[Player],0))),"")</f>
        <v>WR147</v>
      </c>
      <c r="AN220" s="20" t="str">
        <f>IFERROR(INDEX(TableWRMaster[TM],MATCH(TableWRTECalcPts[[#This Row],[POSRef]],TableWRMaster[WRRef],0)),"")</f>
        <v>MIN</v>
      </c>
      <c r="AO220" s="20">
        <f>IFERROR(INDEX(TableWRMaster[BYE],MATCH(TableWRTECalcPts[[#This Row],[POSRef]],TableWRMaster[WRRef],0)),"")</f>
        <v>6</v>
      </c>
      <c r="AP220" s="18">
        <f>IFERROR(INDEX(TableWRMaster[Custom],MATCH(TableWRTECalcPts[[#This Row],[POSRef]],TableWRMaster[WRRef],0)),"")</f>
        <v>9.7061602971908254</v>
      </c>
    </row>
    <row r="221" spans="13:42" x14ac:dyDescent="0.25">
      <c r="M221" s="3"/>
      <c r="O221" s="2" t="str">
        <f>IFERROR(RANK(TableWRCalcPts[[#This Row],[Custom]],TableWRCalcPts[Custom])+COUNTIF($T$3:T221,T221)-1,"")</f>
        <v/>
      </c>
      <c r="P221" s="2">
        <v>219</v>
      </c>
      <c r="Q221" s="2" t="str">
        <f>IFERROR(INDEX(TableWRMaster[Player],MATCH(TableWRCalcPts[[#This Row],[WRRef]],TableWRMaster[WRRef],0)),"")</f>
        <v/>
      </c>
      <c r="R221" s="2" t="str">
        <f>IFERROR(INDEX(TableWRMaster[TM],MATCH(TableWRCalcPts[[#This Row],[WRRef]],TableWRMaster[WRRef],0)),"")</f>
        <v/>
      </c>
      <c r="S221" s="2" t="str">
        <f>IFERROR(INDEX(TableWRMaster[BYE],MATCH(TableWRCalcPts[[#This Row],[WRRef]],TableWRMaster[WRRef],0)),"")</f>
        <v/>
      </c>
      <c r="T221" s="3" t="str">
        <f>IFERROR(INDEX(TableWRMaster[Custom],MATCH(TableWRCalcPts[[#This Row],[WRRef]],TableWRMaster[WRRef],0)),"")</f>
        <v/>
      </c>
      <c r="AI221" s="2" t="s">
        <v>148</v>
      </c>
      <c r="AJ221" s="2">
        <f>IFERROR(RANK(TableWRTECalcPts[[#This Row],[Custom]],TableWRTECalcPts[Custom])+COUNTIF($AP$3:AP221,AP221)-1,"")</f>
        <v>248</v>
      </c>
      <c r="AK221" s="20">
        <v>119</v>
      </c>
      <c r="AL221" s="20" t="str">
        <f>IFERROR(INDEX(TableWRMaster[Player],MATCH(TableWRTECalcPts[[#This Row],[POSRef]],TableWRMaster[WRRef],0)),"")</f>
        <v>Jeshaun Jones</v>
      </c>
      <c r="AM221" s="20" t="str">
        <f>IFERROR(_xlfn.CONCAT(TableWRTECalcPts[[#This Row],[POS]],INDEX(TableWRRanks[RK],MATCH(TableWRTECalcPts[[#This Row],[PLAYER]],TableWRRanks[Player],0))),"")</f>
        <v>WR171</v>
      </c>
      <c r="AN221" s="20" t="str">
        <f>IFERROR(INDEX(TableWRMaster[TM],MATCH(TableWRTECalcPts[[#This Row],[POSRef]],TableWRMaster[WRRef],0)),"")</f>
        <v>MIN</v>
      </c>
      <c r="AO221" s="20">
        <f>IFERROR(INDEX(TableWRMaster[BYE],MATCH(TableWRTECalcPts[[#This Row],[POSRef]],TableWRMaster[WRRef],0)),"")</f>
        <v>6</v>
      </c>
      <c r="AP221" s="18">
        <f>IFERROR(INDEX(TableWRMaster[Custom],MATCH(TableWRTECalcPts[[#This Row],[POSRef]],TableWRMaster[WRRef],0)),"")</f>
        <v>5.9596989836810934</v>
      </c>
    </row>
    <row r="222" spans="13:42" x14ac:dyDescent="0.25">
      <c r="M222" s="3"/>
      <c r="O222" s="2" t="str">
        <f>IFERROR(RANK(TableWRCalcPts[[#This Row],[Custom]],TableWRCalcPts[Custom])+COUNTIF($T$3:T222,T222)-1,"")</f>
        <v/>
      </c>
      <c r="P222" s="2">
        <v>220</v>
      </c>
      <c r="Q222" s="2" t="str">
        <f>IFERROR(INDEX(TableWRMaster[Player],MATCH(TableWRCalcPts[[#This Row],[WRRef]],TableWRMaster[WRRef],0)),"")</f>
        <v/>
      </c>
      <c r="R222" s="2" t="str">
        <f>IFERROR(INDEX(TableWRMaster[TM],MATCH(TableWRCalcPts[[#This Row],[WRRef]],TableWRMaster[WRRef],0)),"")</f>
        <v/>
      </c>
      <c r="S222" s="2" t="str">
        <f>IFERROR(INDEX(TableWRMaster[BYE],MATCH(TableWRCalcPts[[#This Row],[WRRef]],TableWRMaster[WRRef],0)),"")</f>
        <v/>
      </c>
      <c r="T222" s="3" t="str">
        <f>IFERROR(INDEX(TableWRMaster[Custom],MATCH(TableWRCalcPts[[#This Row],[WRRef]],TableWRMaster[WRRef],0)),"")</f>
        <v/>
      </c>
      <c r="AI222" s="2" t="s">
        <v>148</v>
      </c>
      <c r="AJ222" s="2">
        <f>IFERROR(RANK(TableWRTECalcPts[[#This Row],[Custom]],TableWRTECalcPts[Custom])+COUNTIF($AP$3:AP222,AP222)-1,"")</f>
        <v>9</v>
      </c>
      <c r="AK222" s="20">
        <v>120</v>
      </c>
      <c r="AL222" s="20" t="str">
        <f>IFERROR(INDEX(TableWRMaster[Player],MATCH(TableWRTECalcPts[[#This Row],[POSRef]],TableWRMaster[WRRef],0)),"")</f>
        <v>A.J. Brown</v>
      </c>
      <c r="AM222" s="20" t="str">
        <f>IFERROR(_xlfn.CONCAT(TableWRTECalcPts[[#This Row],[POS]],INDEX(TableWRRanks[RK],MATCH(TableWRTECalcPts[[#This Row],[PLAYER]],TableWRRanks[Player],0))),"")</f>
        <v>WR9</v>
      </c>
      <c r="AN222" s="20" t="str">
        <f>IFERROR(INDEX(TableWRMaster[TM],MATCH(TableWRTECalcPts[[#This Row],[POSRef]],TableWRMaster[WRRef],0)),"")</f>
        <v>NE</v>
      </c>
      <c r="AO222" s="20">
        <f>IFERROR(INDEX(TableWRMaster[BYE],MATCH(TableWRTECalcPts[[#This Row],[POSRef]],TableWRMaster[WRRef],0)),"")</f>
        <v>11</v>
      </c>
      <c r="AP222" s="18">
        <f>IFERROR(INDEX(TableWRMaster[Custom],MATCH(TableWRTECalcPts[[#This Row],[POSRef]],TableWRMaster[WRRef],0)),"")</f>
        <v>221.00500461508548</v>
      </c>
    </row>
    <row r="223" spans="13:42" x14ac:dyDescent="0.25">
      <c r="M223" s="3"/>
      <c r="O223" s="2" t="str">
        <f>IFERROR(RANK(TableWRCalcPts[[#This Row],[Custom]],TableWRCalcPts[Custom])+COUNTIF($T$3:T223,T223)-1,"")</f>
        <v/>
      </c>
      <c r="P223" s="2">
        <v>221</v>
      </c>
      <c r="Q223" s="2" t="str">
        <f>IFERROR(INDEX(TableWRMaster[Player],MATCH(TableWRCalcPts[[#This Row],[WRRef]],TableWRMaster[WRRef],0)),"")</f>
        <v/>
      </c>
      <c r="R223" s="2" t="str">
        <f>IFERROR(INDEX(TableWRMaster[TM],MATCH(TableWRCalcPts[[#This Row],[WRRef]],TableWRMaster[WRRef],0)),"")</f>
        <v/>
      </c>
      <c r="S223" s="2" t="str">
        <f>IFERROR(INDEX(TableWRMaster[BYE],MATCH(TableWRCalcPts[[#This Row],[WRRef]],TableWRMaster[WRRef],0)),"")</f>
        <v/>
      </c>
      <c r="T223" s="3" t="str">
        <f>IFERROR(INDEX(TableWRMaster[Custom],MATCH(TableWRCalcPts[[#This Row],[WRRef]],TableWRMaster[WRRef],0)),"")</f>
        <v/>
      </c>
      <c r="AI223" s="2" t="s">
        <v>148</v>
      </c>
      <c r="AJ223" s="2">
        <f>IFERROR(RANK(TableWRTECalcPts[[#This Row],[Custom]],TableWRTECalcPts[Custom])+COUNTIF($AP$3:AP223,AP223)-1,"")</f>
        <v>65</v>
      </c>
      <c r="AK223" s="20">
        <v>121</v>
      </c>
      <c r="AL223" s="20" t="str">
        <f>IFERROR(INDEX(TableWRMaster[Player],MATCH(TableWRTECalcPts[[#This Row],[POSRef]],TableWRMaster[WRRef],0)),"")</f>
        <v>Romeo Doubs</v>
      </c>
      <c r="AM223" s="20" t="str">
        <f>IFERROR(_xlfn.CONCAT(TableWRTECalcPts[[#This Row],[POS]],INDEX(TableWRRanks[RK],MATCH(TableWRTECalcPts[[#This Row],[PLAYER]],TableWRRanks[Player],0))),"")</f>
        <v>WR52</v>
      </c>
      <c r="AN223" s="20" t="str">
        <f>IFERROR(INDEX(TableWRMaster[TM],MATCH(TableWRTECalcPts[[#This Row],[POSRef]],TableWRMaster[WRRef],0)),"")</f>
        <v>NE</v>
      </c>
      <c r="AO223" s="20">
        <f>IFERROR(INDEX(TableWRMaster[BYE],MATCH(TableWRTECalcPts[[#This Row],[POSRef]],TableWRMaster[WRRef],0)),"")</f>
        <v>11</v>
      </c>
      <c r="AP223" s="18">
        <f>IFERROR(INDEX(TableWRMaster[Custom],MATCH(TableWRTECalcPts[[#This Row],[POSRef]],TableWRMaster[WRRef],0)),"")</f>
        <v>131.55279041196593</v>
      </c>
    </row>
    <row r="224" spans="13:42" x14ac:dyDescent="0.25">
      <c r="M224" s="3"/>
      <c r="O224" s="2" t="str">
        <f>IFERROR(RANK(TableWRCalcPts[[#This Row],[Custom]],TableWRCalcPts[Custom])+COUNTIF($T$3:T224,T224)-1,"")</f>
        <v/>
      </c>
      <c r="P224" s="2">
        <v>222</v>
      </c>
      <c r="Q224" s="2" t="str">
        <f>IFERROR(INDEX(TableWRMaster[Player],MATCH(TableWRCalcPts[[#This Row],[WRRef]],TableWRMaster[WRRef],0)),"")</f>
        <v/>
      </c>
      <c r="R224" s="2" t="str">
        <f>IFERROR(INDEX(TableWRMaster[TM],MATCH(TableWRCalcPts[[#This Row],[WRRef]],TableWRMaster[WRRef],0)),"")</f>
        <v/>
      </c>
      <c r="S224" s="2" t="str">
        <f>IFERROR(INDEX(TableWRMaster[BYE],MATCH(TableWRCalcPts[[#This Row],[WRRef]],TableWRMaster[WRRef],0)),"")</f>
        <v/>
      </c>
      <c r="T224" s="3" t="str">
        <f>IFERROR(INDEX(TableWRMaster[Custom],MATCH(TableWRCalcPts[[#This Row],[WRRef]],TableWRMaster[WRRef],0)),"")</f>
        <v/>
      </c>
      <c r="AI224" s="2" t="s">
        <v>148</v>
      </c>
      <c r="AJ224" s="2">
        <f>IFERROR(RANK(TableWRTECalcPts[[#This Row],[Custom]],TableWRTECalcPts[Custom])+COUNTIF($AP$3:AP224,AP224)-1,"")</f>
        <v>128</v>
      </c>
      <c r="AK224" s="20">
        <v>122</v>
      </c>
      <c r="AL224" s="20" t="str">
        <f>IFERROR(INDEX(TableWRMaster[Player],MATCH(TableWRTECalcPts[[#This Row],[POSRef]],TableWRMaster[WRRef],0)),"")</f>
        <v>Kayshon Boutte</v>
      </c>
      <c r="AM224" s="20" t="str">
        <f>IFERROR(_xlfn.CONCAT(TableWRTECalcPts[[#This Row],[POS]],INDEX(TableWRRanks[RK],MATCH(TableWRTECalcPts[[#This Row],[PLAYER]],TableWRRanks[Player],0))),"")</f>
        <v>WR92</v>
      </c>
      <c r="AN224" s="20" t="str">
        <f>IFERROR(INDEX(TableWRMaster[TM],MATCH(TableWRTECalcPts[[#This Row],[POSRef]],TableWRMaster[WRRef],0)),"")</f>
        <v>NE</v>
      </c>
      <c r="AO224" s="20">
        <f>IFERROR(INDEX(TableWRMaster[BYE],MATCH(TableWRTECalcPts[[#This Row],[POSRef]],TableWRMaster[WRRef],0)),"")</f>
        <v>11</v>
      </c>
      <c r="AP224" s="18">
        <f>IFERROR(INDEX(TableWRMaster[Custom],MATCH(TableWRTECalcPts[[#This Row],[POSRef]],TableWRMaster[WRRef],0)),"")</f>
        <v>56.509578151941582</v>
      </c>
    </row>
    <row r="225" spans="13:42" x14ac:dyDescent="0.25">
      <c r="M225" s="3"/>
      <c r="O225" s="2" t="str">
        <f>IFERROR(RANK(TableWRCalcPts[[#This Row],[Custom]],TableWRCalcPts[Custom])+COUNTIF($T$3:T225,T225)-1,"")</f>
        <v/>
      </c>
      <c r="P225" s="2">
        <v>223</v>
      </c>
      <c r="Q225" s="2" t="str">
        <f>IFERROR(INDEX(TableWRMaster[Player],MATCH(TableWRCalcPts[[#This Row],[WRRef]],TableWRMaster[WRRef],0)),"")</f>
        <v/>
      </c>
      <c r="R225" s="2" t="str">
        <f>IFERROR(INDEX(TableWRMaster[TM],MATCH(TableWRCalcPts[[#This Row],[WRRef]],TableWRMaster[WRRef],0)),"")</f>
        <v/>
      </c>
      <c r="S225" s="2" t="str">
        <f>IFERROR(INDEX(TableWRMaster[BYE],MATCH(TableWRCalcPts[[#This Row],[WRRef]],TableWRMaster[WRRef],0)),"")</f>
        <v/>
      </c>
      <c r="T225" s="3" t="str">
        <f>IFERROR(INDEX(TableWRMaster[Custom],MATCH(TableWRCalcPts[[#This Row],[WRRef]],TableWRMaster[WRRef],0)),"")</f>
        <v/>
      </c>
      <c r="AI225" s="2" t="s">
        <v>148</v>
      </c>
      <c r="AJ225" s="2">
        <f>IFERROR(RANK(TableWRTECalcPts[[#This Row],[Custom]],TableWRTECalcPts[Custom])+COUNTIF($AP$3:AP225,AP225)-1,"")</f>
        <v>149</v>
      </c>
      <c r="AK225" s="20">
        <v>123</v>
      </c>
      <c r="AL225" s="20" t="str">
        <f>IFERROR(INDEX(TableWRMaster[Player],MATCH(TableWRTECalcPts[[#This Row],[POSRef]],TableWRMaster[WRRef],0)),"")</f>
        <v>Mack Hollins</v>
      </c>
      <c r="AM225" s="20" t="str">
        <f>IFERROR(_xlfn.CONCAT(TableWRTECalcPts[[#This Row],[POS]],INDEX(TableWRRanks[RK],MATCH(TableWRTECalcPts[[#This Row],[PLAYER]],TableWRRanks[Player],0))),"")</f>
        <v>WR108</v>
      </c>
      <c r="AN225" s="20" t="str">
        <f>IFERROR(INDEX(TableWRMaster[TM],MATCH(TableWRTECalcPts[[#This Row],[POSRef]],TableWRMaster[WRRef],0)),"")</f>
        <v>NE</v>
      </c>
      <c r="AO225" s="20">
        <f>IFERROR(INDEX(TableWRMaster[BYE],MATCH(TableWRTECalcPts[[#This Row],[POSRef]],TableWRMaster[WRRef],0)),"")</f>
        <v>11</v>
      </c>
      <c r="AP225" s="18">
        <f>IFERROR(INDEX(TableWRMaster[Custom],MATCH(TableWRTECalcPts[[#This Row],[POSRef]],TableWRMaster[WRRef],0)),"")</f>
        <v>42.408964281509647</v>
      </c>
    </row>
    <row r="226" spans="13:42" x14ac:dyDescent="0.25">
      <c r="M226" s="3"/>
      <c r="O226" s="2" t="str">
        <f>IFERROR(RANK(TableWRCalcPts[[#This Row],[Custom]],TableWRCalcPts[Custom])+COUNTIF($T$3:T226,T226)-1,"")</f>
        <v/>
      </c>
      <c r="P226" s="2">
        <v>224</v>
      </c>
      <c r="Q226" s="2" t="str">
        <f>IFERROR(INDEX(TableWRMaster[Player],MATCH(TableWRCalcPts[[#This Row],[WRRef]],TableWRMaster[WRRef],0)),"")</f>
        <v/>
      </c>
      <c r="R226" s="2" t="str">
        <f>IFERROR(INDEX(TableWRMaster[TM],MATCH(TableWRCalcPts[[#This Row],[WRRef]],TableWRMaster[WRRef],0)),"")</f>
        <v/>
      </c>
      <c r="S226" s="2" t="str">
        <f>IFERROR(INDEX(TableWRMaster[BYE],MATCH(TableWRCalcPts[[#This Row],[WRRef]],TableWRMaster[WRRef],0)),"")</f>
        <v/>
      </c>
      <c r="T226" s="3" t="str">
        <f>IFERROR(INDEX(TableWRMaster[Custom],MATCH(TableWRCalcPts[[#This Row],[WRRef]],TableWRMaster[WRRef],0)),"")</f>
        <v/>
      </c>
      <c r="AI226" s="2" t="s">
        <v>148</v>
      </c>
      <c r="AJ226" s="2">
        <f>IFERROR(RANK(TableWRTECalcPts[[#This Row],[Custom]],TableWRTECalcPts[Custom])+COUNTIF($AP$3:AP226,AP226)-1,"")</f>
        <v>159</v>
      </c>
      <c r="AK226" s="20">
        <v>124</v>
      </c>
      <c r="AL226" s="20" t="str">
        <f>IFERROR(INDEX(TableWRMaster[Player],MATCH(TableWRTECalcPts[[#This Row],[POSRef]],TableWRMaster[WRRef],0)),"")</f>
        <v>DeMario Douglas</v>
      </c>
      <c r="AM226" s="20" t="str">
        <f>IFERROR(_xlfn.CONCAT(TableWRTECalcPts[[#This Row],[POS]],INDEX(TableWRRanks[RK],MATCH(TableWRTECalcPts[[#This Row],[PLAYER]],TableWRRanks[Player],0))),"")</f>
        <v>WR115</v>
      </c>
      <c r="AN226" s="20" t="str">
        <f>IFERROR(INDEX(TableWRMaster[TM],MATCH(TableWRTECalcPts[[#This Row],[POSRef]],TableWRMaster[WRRef],0)),"")</f>
        <v>NE</v>
      </c>
      <c r="AO226" s="20">
        <f>IFERROR(INDEX(TableWRMaster[BYE],MATCH(TableWRTECalcPts[[#This Row],[POSRef]],TableWRMaster[WRRef],0)),"")</f>
        <v>11</v>
      </c>
      <c r="AP226" s="18">
        <f>IFERROR(INDEX(TableWRMaster[Custom],MATCH(TableWRTECalcPts[[#This Row],[POSRef]],TableWRMaster[WRRef],0)),"")</f>
        <v>39.490949945018883</v>
      </c>
    </row>
    <row r="227" spans="13:42" x14ac:dyDescent="0.25">
      <c r="M227" s="3"/>
      <c r="O227" s="2" t="str">
        <f>IFERROR(RANK(TableWRCalcPts[[#This Row],[Custom]],TableWRCalcPts[Custom])+COUNTIF($T$3:T227,T227)-1,"")</f>
        <v/>
      </c>
      <c r="P227" s="2">
        <v>225</v>
      </c>
      <c r="Q227" s="2" t="str">
        <f>IFERROR(INDEX(TableWRMaster[Player],MATCH(TableWRCalcPts[[#This Row],[WRRef]],TableWRMaster[WRRef],0)),"")</f>
        <v/>
      </c>
      <c r="R227" s="2" t="str">
        <f>IFERROR(INDEX(TableWRMaster[TM],MATCH(TableWRCalcPts[[#This Row],[WRRef]],TableWRMaster[WRRef],0)),"")</f>
        <v/>
      </c>
      <c r="S227" s="2" t="str">
        <f>IFERROR(INDEX(TableWRMaster[BYE],MATCH(TableWRCalcPts[[#This Row],[WRRef]],TableWRMaster[WRRef],0)),"")</f>
        <v/>
      </c>
      <c r="T227" s="3" t="str">
        <f>IFERROR(INDEX(TableWRMaster[Custom],MATCH(TableWRCalcPts[[#This Row],[WRRef]],TableWRMaster[WRRef],0)),"")</f>
        <v/>
      </c>
      <c r="AI227" s="2" t="s">
        <v>148</v>
      </c>
      <c r="AJ227" s="2">
        <f>IFERROR(RANK(TableWRTECalcPts[[#This Row],[Custom]],TableWRTECalcPts[Custom])+COUNTIF($AP$3:AP227,AP227)-1,"")</f>
        <v>238</v>
      </c>
      <c r="AK227" s="20">
        <v>125</v>
      </c>
      <c r="AL227" s="20" t="str">
        <f>IFERROR(INDEX(TableWRMaster[Player],MATCH(TableWRTECalcPts[[#This Row],[POSRef]],TableWRMaster[WRRef],0)),"")</f>
        <v>Kyle Williams</v>
      </c>
      <c r="AM227" s="20" t="str">
        <f>IFERROR(_xlfn.CONCAT(TableWRTECalcPts[[#This Row],[POS]],INDEX(TableWRRanks[RK],MATCH(TableWRTECalcPts[[#This Row],[PLAYER]],TableWRRanks[Player],0))),"")</f>
        <v>WR162</v>
      </c>
      <c r="AN227" s="20" t="str">
        <f>IFERROR(INDEX(TableWRMaster[TM],MATCH(TableWRTECalcPts[[#This Row],[POSRef]],TableWRMaster[WRRef],0)),"")</f>
        <v>NE</v>
      </c>
      <c r="AO227" s="20">
        <f>IFERROR(INDEX(TableWRMaster[BYE],MATCH(TableWRTECalcPts[[#This Row],[POSRef]],TableWRMaster[WRRef],0)),"")</f>
        <v>11</v>
      </c>
      <c r="AP227" s="18">
        <f>IFERROR(INDEX(TableWRMaster[Custom],MATCH(TableWRTECalcPts[[#This Row],[POSRef]],TableWRMaster[WRRef],0)),"")</f>
        <v>7.1026774721279979</v>
      </c>
    </row>
    <row r="228" spans="13:42" x14ac:dyDescent="0.25">
      <c r="M228" s="3"/>
      <c r="T228" s="3"/>
      <c r="AI228" s="2" t="s">
        <v>148</v>
      </c>
      <c r="AJ228" s="2">
        <f>IFERROR(RANK(TableWRTECalcPts[[#This Row],[Custom]],TableWRTECalcPts[Custom])+COUNTIF($AP$3:AP228,AP228)-1,"")</f>
        <v>20</v>
      </c>
      <c r="AK228" s="20">
        <v>126</v>
      </c>
      <c r="AL228" s="20" t="str">
        <f>IFERROR(INDEX(TableWRMaster[Player],MATCH(TableWRTECalcPts[[#This Row],[POSRef]],TableWRMaster[WRRef],0)),"")</f>
        <v>Chris Olave</v>
      </c>
      <c r="AM228" s="20" t="str">
        <f>IFERROR(_xlfn.CONCAT(TableWRTECalcPts[[#This Row],[POS]],INDEX(TableWRRanks[RK],MATCH(TableWRTECalcPts[[#This Row],[PLAYER]],TableWRRanks[Player],0))),"")</f>
        <v>WR19</v>
      </c>
      <c r="AN228" s="20" t="str">
        <f>IFERROR(INDEX(TableWRMaster[TM],MATCH(TableWRTECalcPts[[#This Row],[POSRef]],TableWRMaster[WRRef],0)),"")</f>
        <v>NO</v>
      </c>
      <c r="AO228" s="20">
        <f>IFERROR(INDEX(TableWRMaster[BYE],MATCH(TableWRTECalcPts[[#This Row],[POSRef]],TableWRMaster[WRRef],0)),"")</f>
        <v>8</v>
      </c>
      <c r="AP228" s="18">
        <f>IFERROR(INDEX(TableWRMaster[Custom],MATCH(TableWRTECalcPts[[#This Row],[POSRef]],TableWRMaster[WRRef],0)),"")</f>
        <v>193.42620577280005</v>
      </c>
    </row>
    <row r="229" spans="13:42" x14ac:dyDescent="0.25">
      <c r="M229" s="3"/>
      <c r="T229" s="3"/>
      <c r="AI229" s="2" t="s">
        <v>148</v>
      </c>
      <c r="AJ229" s="2">
        <f>IFERROR(RANK(TableWRTECalcPts[[#This Row],[Custom]],TableWRTECalcPts[Custom])+COUNTIF($AP$3:AP229,AP229)-1,"")</f>
        <v>40</v>
      </c>
      <c r="AK229" s="20">
        <v>127</v>
      </c>
      <c r="AL229" s="20" t="str">
        <f>IFERROR(INDEX(TableWRMaster[Player],MATCH(TableWRTECalcPts[[#This Row],[POSRef]],TableWRMaster[WRRef],0)),"")</f>
        <v>Jordyn Tyson</v>
      </c>
      <c r="AM229" s="20" t="str">
        <f>IFERROR(_xlfn.CONCAT(TableWRTECalcPts[[#This Row],[POS]],INDEX(TableWRRanks[RK],MATCH(TableWRTECalcPts[[#This Row],[PLAYER]],TableWRRanks[Player],0))),"")</f>
        <v>WR36</v>
      </c>
      <c r="AN229" s="20" t="str">
        <f>IFERROR(INDEX(TableWRMaster[TM],MATCH(TableWRTECalcPts[[#This Row],[POSRef]],TableWRMaster[WRRef],0)),"")</f>
        <v>NO</v>
      </c>
      <c r="AO229" s="20">
        <f>IFERROR(INDEX(TableWRMaster[BYE],MATCH(TableWRTECalcPts[[#This Row],[POSRef]],TableWRMaster[WRRef],0)),"")</f>
        <v>8</v>
      </c>
      <c r="AP229" s="18">
        <f>IFERROR(INDEX(TableWRMaster[Custom],MATCH(TableWRTECalcPts[[#This Row],[POSRef]],TableWRMaster[WRRef],0)),"")</f>
        <v>163.96882825838594</v>
      </c>
    </row>
    <row r="230" spans="13:42" x14ac:dyDescent="0.25">
      <c r="M230" s="3"/>
      <c r="T230" s="3"/>
      <c r="AI230" s="2" t="s">
        <v>148</v>
      </c>
      <c r="AJ230" s="2">
        <f>IFERROR(RANK(TableWRTECalcPts[[#This Row],[Custom]],TableWRTECalcPts[Custom])+COUNTIF($AP$3:AP230,AP230)-1,"")</f>
        <v>137</v>
      </c>
      <c r="AK230" s="20">
        <v>128</v>
      </c>
      <c r="AL230" s="20" t="str">
        <f>IFERROR(INDEX(TableWRMaster[Player],MATCH(TableWRTECalcPts[[#This Row],[POSRef]],TableWRMaster[WRRef],0)),"")</f>
        <v>Devaughn Vele</v>
      </c>
      <c r="AM230" s="20" t="str">
        <f>IFERROR(_xlfn.CONCAT(TableWRTECalcPts[[#This Row],[POS]],INDEX(TableWRRanks[RK],MATCH(TableWRTECalcPts[[#This Row],[PLAYER]],TableWRRanks[Player],0))),"")</f>
        <v>WR100</v>
      </c>
      <c r="AN230" s="20" t="str">
        <f>IFERROR(INDEX(TableWRMaster[TM],MATCH(TableWRTECalcPts[[#This Row],[POSRef]],TableWRMaster[WRRef],0)),"")</f>
        <v>NO</v>
      </c>
      <c r="AO230" s="20">
        <f>IFERROR(INDEX(TableWRMaster[BYE],MATCH(TableWRTECalcPts[[#This Row],[POSRef]],TableWRMaster[WRRef],0)),"")</f>
        <v>8</v>
      </c>
      <c r="AP230" s="18">
        <f>IFERROR(INDEX(TableWRMaster[Custom],MATCH(TableWRTECalcPts[[#This Row],[POSRef]],TableWRMaster[WRRef],0)),"")</f>
        <v>51.274309412403603</v>
      </c>
    </row>
    <row r="231" spans="13:42" x14ac:dyDescent="0.25">
      <c r="M231" s="3"/>
      <c r="T231" s="3"/>
      <c r="AI231" s="2" t="s">
        <v>148</v>
      </c>
      <c r="AJ231" s="2">
        <f>IFERROR(RANK(TableWRTECalcPts[[#This Row],[Custom]],TableWRTECalcPts[Custom])+COUNTIF($AP$3:AP231,AP231)-1,"")</f>
        <v>188</v>
      </c>
      <c r="AK231" s="20">
        <v>129</v>
      </c>
      <c r="AL231" s="20" t="str">
        <f>IFERROR(INDEX(TableWRMaster[Player],MATCH(TableWRTECalcPts[[#This Row],[POSRef]],TableWRMaster[WRRef],0)),"")</f>
        <v>Bryce Lance</v>
      </c>
      <c r="AM231" s="20" t="str">
        <f>IFERROR(_xlfn.CONCAT(TableWRTECalcPts[[#This Row],[POS]],INDEX(TableWRRanks[RK],MATCH(TableWRTECalcPts[[#This Row],[PLAYER]],TableWRRanks[Player],0))),"")</f>
        <v>WR129</v>
      </c>
      <c r="AN231" s="20" t="str">
        <f>IFERROR(INDEX(TableWRMaster[TM],MATCH(TableWRTECalcPts[[#This Row],[POSRef]],TableWRMaster[WRRef],0)),"")</f>
        <v>NO</v>
      </c>
      <c r="AO231" s="20">
        <f>IFERROR(INDEX(TableWRMaster[BYE],MATCH(TableWRTECalcPts[[#This Row],[POSRef]],TableWRMaster[WRRef],0)),"")</f>
        <v>8</v>
      </c>
      <c r="AP231" s="18">
        <f>IFERROR(INDEX(TableWRMaster[Custom],MATCH(TableWRTECalcPts[[#This Row],[POSRef]],TableWRMaster[WRRef],0)),"")</f>
        <v>20.315367916447233</v>
      </c>
    </row>
    <row r="232" spans="13:42" x14ac:dyDescent="0.25">
      <c r="M232" s="3"/>
      <c r="T232" s="3"/>
      <c r="AI232" s="2" t="s">
        <v>148</v>
      </c>
      <c r="AJ232" s="2">
        <f>IFERROR(RANK(TableWRTECalcPts[[#This Row],[Custom]],TableWRTECalcPts[Custom])+COUNTIF($AP$3:AP232,AP232)-1,"")</f>
        <v>240</v>
      </c>
      <c r="AK232" s="20">
        <v>130</v>
      </c>
      <c r="AL232" s="20" t="str">
        <f>IFERROR(INDEX(TableWRMaster[Player],MATCH(TableWRTECalcPts[[#This Row],[POSRef]],TableWRMaster[WRRef],0)),"")</f>
        <v>Mason Tipton</v>
      </c>
      <c r="AM232" s="20" t="str">
        <f>IFERROR(_xlfn.CONCAT(TableWRTECalcPts[[#This Row],[POS]],INDEX(TableWRRanks[RK],MATCH(TableWRTECalcPts[[#This Row],[PLAYER]],TableWRRanks[Player],0))),"")</f>
        <v>WR163</v>
      </c>
      <c r="AN232" s="20" t="str">
        <f>IFERROR(INDEX(TableWRMaster[TM],MATCH(TableWRTECalcPts[[#This Row],[POSRef]],TableWRMaster[WRRef],0)),"")</f>
        <v>NO</v>
      </c>
      <c r="AO232" s="20">
        <f>IFERROR(INDEX(TableWRMaster[BYE],MATCH(TableWRTECalcPts[[#This Row],[POSRef]],TableWRMaster[WRRef],0)),"")</f>
        <v>8</v>
      </c>
      <c r="AP232" s="18">
        <f>IFERROR(INDEX(TableWRMaster[Custom],MATCH(TableWRTECalcPts[[#This Row],[POSRef]],TableWRMaster[WRRef],0)),"")</f>
        <v>6.7051481333759995</v>
      </c>
    </row>
    <row r="233" spans="13:42" x14ac:dyDescent="0.25">
      <c r="M233" s="3"/>
      <c r="T233" s="3"/>
      <c r="AI233" s="2" t="s">
        <v>148</v>
      </c>
      <c r="AJ233" s="2">
        <f>IFERROR(RANK(TableWRTECalcPts[[#This Row],[Custom]],TableWRTECalcPts[Custom])+COUNTIF($AP$3:AP233,AP233)-1,"")</f>
        <v>55</v>
      </c>
      <c r="AK233" s="20">
        <v>131</v>
      </c>
      <c r="AL233" s="20" t="str">
        <f>IFERROR(INDEX(TableWRMaster[Player],MATCH(TableWRTECalcPts[[#This Row],[POSRef]],TableWRMaster[WRRef],0)),"")</f>
        <v>Malik Nabers</v>
      </c>
      <c r="AM233" s="20" t="str">
        <f>IFERROR(_xlfn.CONCAT(TableWRTECalcPts[[#This Row],[POS]],INDEX(TableWRRanks[RK],MATCH(TableWRTECalcPts[[#This Row],[PLAYER]],TableWRRanks[Player],0))),"")</f>
        <v>WR45</v>
      </c>
      <c r="AN233" s="20" t="str">
        <f>IFERROR(INDEX(TableWRMaster[TM],MATCH(TableWRTECalcPts[[#This Row],[POSRef]],TableWRMaster[WRRef],0)),"")</f>
        <v>NYG</v>
      </c>
      <c r="AO233" s="20">
        <f>IFERROR(INDEX(TableWRMaster[BYE],MATCH(TableWRTECalcPts[[#This Row],[POSRef]],TableWRMaster[WRRef],0)),"")</f>
        <v>8</v>
      </c>
      <c r="AP233" s="18">
        <f>IFERROR(INDEX(TableWRMaster[Custom],MATCH(TableWRTECalcPts[[#This Row],[POSRef]],TableWRMaster[WRRef],0)),"")</f>
        <v>147.06776996248362</v>
      </c>
    </row>
    <row r="234" spans="13:42" x14ac:dyDescent="0.25">
      <c r="M234" s="3"/>
      <c r="T234" s="3"/>
      <c r="AI234" s="2" t="s">
        <v>148</v>
      </c>
      <c r="AJ234" s="2">
        <f>IFERROR(RANK(TableWRTECalcPts[[#This Row],[Custom]],TableWRTECalcPts[Custom])+COUNTIF($AP$3:AP234,AP234)-1,"")</f>
        <v>106</v>
      </c>
      <c r="AK234" s="20">
        <v>132</v>
      </c>
      <c r="AL234" s="20" t="str">
        <f>IFERROR(INDEX(TableWRMaster[Player],MATCH(TableWRTECalcPts[[#This Row],[POSRef]],TableWRMaster[WRRef],0)),"")</f>
        <v>Darnell Mooney</v>
      </c>
      <c r="AM234" s="20" t="str">
        <f>IFERROR(_xlfn.CONCAT(TableWRTECalcPts[[#This Row],[POS]],INDEX(TableWRRanks[RK],MATCH(TableWRTECalcPts[[#This Row],[PLAYER]],TableWRRanks[Player],0))),"")</f>
        <v>WR77</v>
      </c>
      <c r="AN234" s="20" t="str">
        <f>IFERROR(INDEX(TableWRMaster[TM],MATCH(TableWRTECalcPts[[#This Row],[POSRef]],TableWRMaster[WRRef],0)),"")</f>
        <v>NYG</v>
      </c>
      <c r="AO234" s="20">
        <f>IFERROR(INDEX(TableWRMaster[BYE],MATCH(TableWRTECalcPts[[#This Row],[POSRef]],TableWRMaster[WRRef],0)),"")</f>
        <v>8</v>
      </c>
      <c r="AP234" s="18">
        <f>IFERROR(INDEX(TableWRMaster[Custom],MATCH(TableWRTECalcPts[[#This Row],[POSRef]],TableWRMaster[WRRef],0)),"")</f>
        <v>80.506540304927114</v>
      </c>
    </row>
    <row r="235" spans="13:42" x14ac:dyDescent="0.25">
      <c r="M235" s="3"/>
      <c r="T235" s="3"/>
      <c r="AI235" s="2" t="s">
        <v>148</v>
      </c>
      <c r="AJ235" s="2">
        <f>IFERROR(RANK(TableWRTECalcPts[[#This Row],[Custom]],TableWRTECalcPts[Custom])+COUNTIF($AP$3:AP235,AP235)-1,"")</f>
        <v>122</v>
      </c>
      <c r="AK235" s="20">
        <v>133</v>
      </c>
      <c r="AL235" s="20" t="str">
        <f>IFERROR(INDEX(TableWRMaster[Player],MATCH(TableWRTECalcPts[[#This Row],[POSRef]],TableWRMaster[WRRef],0)),"")</f>
        <v>Darius Slayton</v>
      </c>
      <c r="AM235" s="20" t="str">
        <f>IFERROR(_xlfn.CONCAT(TableWRTECalcPts[[#This Row],[POS]],INDEX(TableWRRanks[RK],MATCH(TableWRTECalcPts[[#This Row],[PLAYER]],TableWRRanks[Player],0))),"")</f>
        <v>WR86</v>
      </c>
      <c r="AN235" s="20" t="str">
        <f>IFERROR(INDEX(TableWRMaster[TM],MATCH(TableWRTECalcPts[[#This Row],[POSRef]],TableWRMaster[WRRef],0)),"")</f>
        <v>NYG</v>
      </c>
      <c r="AO235" s="20">
        <f>IFERROR(INDEX(TableWRMaster[BYE],MATCH(TableWRTECalcPts[[#This Row],[POSRef]],TableWRMaster[WRRef],0)),"")</f>
        <v>8</v>
      </c>
      <c r="AP235" s="18">
        <f>IFERROR(INDEX(TableWRMaster[Custom],MATCH(TableWRTECalcPts[[#This Row],[POSRef]],TableWRMaster[WRRef],0)),"")</f>
        <v>60.325066147251512</v>
      </c>
    </row>
    <row r="236" spans="13:42" x14ac:dyDescent="0.25">
      <c r="M236" s="3"/>
      <c r="T236" s="3"/>
      <c r="AI236" s="2" t="s">
        <v>148</v>
      </c>
      <c r="AJ236" s="2">
        <f>IFERROR(RANK(TableWRTECalcPts[[#This Row],[Custom]],TableWRTECalcPts[Custom])+COUNTIF($AP$3:AP236,AP236)-1,"")</f>
        <v>123</v>
      </c>
      <c r="AK236" s="20">
        <v>134</v>
      </c>
      <c r="AL236" s="20" t="str">
        <f>IFERROR(INDEX(TableWRMaster[Player],MATCH(TableWRTECalcPts[[#This Row],[POSRef]],TableWRMaster[WRRef],0)),"")</f>
        <v>Malachi Fields</v>
      </c>
      <c r="AM236" s="20" t="str">
        <f>IFERROR(_xlfn.CONCAT(TableWRTECalcPts[[#This Row],[POS]],INDEX(TableWRRanks[RK],MATCH(TableWRTECalcPts[[#This Row],[PLAYER]],TableWRRanks[Player],0))),"")</f>
        <v>WR87</v>
      </c>
      <c r="AN236" s="20" t="str">
        <f>IFERROR(INDEX(TableWRMaster[TM],MATCH(TableWRTECalcPts[[#This Row],[POSRef]],TableWRMaster[WRRef],0)),"")</f>
        <v>NYG</v>
      </c>
      <c r="AO236" s="20">
        <f>IFERROR(INDEX(TableWRMaster[BYE],MATCH(TableWRTECalcPts[[#This Row],[POSRef]],TableWRMaster[WRRef],0)),"")</f>
        <v>8</v>
      </c>
      <c r="AP236" s="18">
        <f>IFERROR(INDEX(TableWRMaster[Custom],MATCH(TableWRTECalcPts[[#This Row],[POSRef]],TableWRMaster[WRRef],0)),"")</f>
        <v>60.094954234465909</v>
      </c>
    </row>
    <row r="237" spans="13:42" x14ac:dyDescent="0.25">
      <c r="M237" s="3"/>
      <c r="T237" s="3"/>
      <c r="AI237" s="2" t="s">
        <v>148</v>
      </c>
      <c r="AJ237" s="2">
        <f>IFERROR(RANK(TableWRTECalcPts[[#This Row],[Custom]],TableWRTECalcPts[Custom])+COUNTIF($AP$3:AP237,AP237)-1,"")</f>
        <v>210</v>
      </c>
      <c r="AK237" s="20">
        <v>135</v>
      </c>
      <c r="AL237" s="20" t="str">
        <f>IFERROR(INDEX(TableWRMaster[Player],MATCH(TableWRTECalcPts[[#This Row],[POSRef]],TableWRMaster[WRRef],0)),"")</f>
        <v>Calvin Austin</v>
      </c>
      <c r="AM237" s="20" t="str">
        <f>IFERROR(_xlfn.CONCAT(TableWRTECalcPts[[#This Row],[POS]],INDEX(TableWRRanks[RK],MATCH(TableWRTECalcPts[[#This Row],[PLAYER]],TableWRRanks[Player],0))),"")</f>
        <v>WR142</v>
      </c>
      <c r="AN237" s="20" t="str">
        <f>IFERROR(INDEX(TableWRMaster[TM],MATCH(TableWRTECalcPts[[#This Row],[POSRef]],TableWRMaster[WRRef],0)),"")</f>
        <v>NYG</v>
      </c>
      <c r="AO237" s="20">
        <f>IFERROR(INDEX(TableWRMaster[BYE],MATCH(TableWRTECalcPts[[#This Row],[POSRef]],TableWRMaster[WRRef],0)),"")</f>
        <v>8</v>
      </c>
      <c r="AP237" s="18">
        <f>IFERROR(INDEX(TableWRMaster[Custom],MATCH(TableWRTECalcPts[[#This Row],[POSRef]],TableWRMaster[WRRef],0)),"")</f>
        <v>12.083934808922724</v>
      </c>
    </row>
    <row r="238" spans="13:42" x14ac:dyDescent="0.25">
      <c r="M238" s="3"/>
      <c r="T238" s="3"/>
      <c r="AI238" s="2" t="s">
        <v>148</v>
      </c>
      <c r="AJ238" s="2">
        <f>IFERROR(RANK(TableWRTECalcPts[[#This Row],[Custom]],TableWRTECalcPts[Custom])+COUNTIF($AP$3:AP238,AP238)-1,"")</f>
        <v>226</v>
      </c>
      <c r="AK238" s="20">
        <v>136</v>
      </c>
      <c r="AL238" s="20" t="str">
        <f>IFERROR(INDEX(TableWRMaster[Player],MATCH(TableWRTECalcPts[[#This Row],[POSRef]],TableWRMaster[WRRef],0)),"")</f>
        <v>Beaux Collins</v>
      </c>
      <c r="AM238" s="20" t="str">
        <f>IFERROR(_xlfn.CONCAT(TableWRTECalcPts[[#This Row],[POS]],INDEX(TableWRRanks[RK],MATCH(TableWRTECalcPts[[#This Row],[PLAYER]],TableWRRanks[Player],0))),"")</f>
        <v>WR152</v>
      </c>
      <c r="AN238" s="20" t="str">
        <f>IFERROR(INDEX(TableWRMaster[TM],MATCH(TableWRTECalcPts[[#This Row],[POSRef]],TableWRMaster[WRRef],0)),"")</f>
        <v>NYG</v>
      </c>
      <c r="AO238" s="20">
        <f>IFERROR(INDEX(TableWRMaster[BYE],MATCH(TableWRTECalcPts[[#This Row],[POSRef]],TableWRMaster[WRRef],0)),"")</f>
        <v>8</v>
      </c>
      <c r="AP238" s="18">
        <f>IFERROR(INDEX(TableWRMaster[Custom],MATCH(TableWRTECalcPts[[#This Row],[POSRef]],TableWRMaster[WRRef],0)),"")</f>
        <v>8.3371175754971993</v>
      </c>
    </row>
    <row r="239" spans="13:42" x14ac:dyDescent="0.25">
      <c r="M239" s="3"/>
      <c r="T239" s="3"/>
      <c r="AI239" s="2" t="s">
        <v>148</v>
      </c>
      <c r="AJ239" s="2">
        <f>IFERROR(RANK(TableWRTECalcPts[[#This Row],[Custom]],TableWRTECalcPts[Custom])+COUNTIF($AP$3:AP239,AP239)-1,"")</f>
        <v>25</v>
      </c>
      <c r="AK239" s="20">
        <v>137</v>
      </c>
      <c r="AL239" s="20" t="str">
        <f>IFERROR(INDEX(TableWRMaster[Player],MATCH(TableWRTECalcPts[[#This Row],[POSRef]],TableWRMaster[WRRef],0)),"")</f>
        <v>Garrett Wilson</v>
      </c>
      <c r="AM239" s="20" t="str">
        <f>IFERROR(_xlfn.CONCAT(TableWRTECalcPts[[#This Row],[POS]],INDEX(TableWRRanks[RK],MATCH(TableWRTECalcPts[[#This Row],[PLAYER]],TableWRRanks[Player],0))),"")</f>
        <v>WR23</v>
      </c>
      <c r="AN239" s="20" t="str">
        <f>IFERROR(INDEX(TableWRMaster[TM],MATCH(TableWRTECalcPts[[#This Row],[POSRef]],TableWRMaster[WRRef],0)),"")</f>
        <v>NYJ</v>
      </c>
      <c r="AO239" s="20">
        <f>IFERROR(INDEX(TableWRMaster[BYE],MATCH(TableWRTECalcPts[[#This Row],[POSRef]],TableWRMaster[WRRef],0)),"")</f>
        <v>13</v>
      </c>
      <c r="AP239" s="18">
        <f>IFERROR(INDEX(TableWRMaster[Custom],MATCH(TableWRTECalcPts[[#This Row],[POSRef]],TableWRMaster[WRRef],0)),"")</f>
        <v>189.14773728625423</v>
      </c>
    </row>
    <row r="240" spans="13:42" x14ac:dyDescent="0.25">
      <c r="M240" s="3"/>
      <c r="T240" s="3"/>
      <c r="AI240" s="2" t="s">
        <v>148</v>
      </c>
      <c r="AJ240" s="2">
        <f>IFERROR(RANK(TableWRTECalcPts[[#This Row],[Custom]],TableWRTECalcPts[Custom])+COUNTIF($AP$3:AP240,AP240)-1,"")</f>
        <v>66</v>
      </c>
      <c r="AK240" s="20">
        <v>138</v>
      </c>
      <c r="AL240" s="20" t="str">
        <f>IFERROR(INDEX(TableWRMaster[Player],MATCH(TableWRTECalcPts[[#This Row],[POSRef]],TableWRMaster[WRRef],0)),"")</f>
        <v>Omar Cooper</v>
      </c>
      <c r="AM240" s="20" t="str">
        <f>IFERROR(_xlfn.CONCAT(TableWRTECalcPts[[#This Row],[POS]],INDEX(TableWRRanks[RK],MATCH(TableWRTECalcPts[[#This Row],[PLAYER]],TableWRRanks[Player],0))),"")</f>
        <v>WR53</v>
      </c>
      <c r="AN240" s="20" t="str">
        <f>IFERROR(INDEX(TableWRMaster[TM],MATCH(TableWRTECalcPts[[#This Row],[POSRef]],TableWRMaster[WRRef],0)),"")</f>
        <v>NYJ</v>
      </c>
      <c r="AO240" s="20">
        <f>IFERROR(INDEX(TableWRMaster[BYE],MATCH(TableWRTECalcPts[[#This Row],[POSRef]],TableWRMaster[WRRef],0)),"")</f>
        <v>13</v>
      </c>
      <c r="AP240" s="18">
        <f>IFERROR(INDEX(TableWRMaster[Custom],MATCH(TableWRTECalcPts[[#This Row],[POSRef]],TableWRMaster[WRRef],0)),"")</f>
        <v>131.08678629872901</v>
      </c>
    </row>
    <row r="241" spans="13:42" x14ac:dyDescent="0.25">
      <c r="M241" s="3"/>
      <c r="T241" s="3"/>
      <c r="AI241" s="2" t="s">
        <v>148</v>
      </c>
      <c r="AJ241" s="2">
        <f>IFERROR(RANK(TableWRTECalcPts[[#This Row],[Custom]],TableWRTECalcPts[Custom])+COUNTIF($AP$3:AP241,AP241)-1,"")</f>
        <v>83</v>
      </c>
      <c r="AK241" s="20">
        <v>139</v>
      </c>
      <c r="AL241" s="20" t="str">
        <f>IFERROR(INDEX(TableWRMaster[Player],MATCH(TableWRTECalcPts[[#This Row],[POSRef]],TableWRMaster[WRRef],0)),"")</f>
        <v>Adonai Mitchell</v>
      </c>
      <c r="AM241" s="20" t="str">
        <f>IFERROR(_xlfn.CONCAT(TableWRTECalcPts[[#This Row],[POS]],INDEX(TableWRRanks[RK],MATCH(TableWRTECalcPts[[#This Row],[PLAYER]],TableWRRanks[Player],0))),"")</f>
        <v>WR62</v>
      </c>
      <c r="AN241" s="20" t="str">
        <f>IFERROR(INDEX(TableWRMaster[TM],MATCH(TableWRTECalcPts[[#This Row],[POSRef]],TableWRMaster[WRRef],0)),"")</f>
        <v>NYJ</v>
      </c>
      <c r="AO241" s="20">
        <f>IFERROR(INDEX(TableWRMaster[BYE],MATCH(TableWRTECalcPts[[#This Row],[POSRef]],TableWRMaster[WRRef],0)),"")</f>
        <v>13</v>
      </c>
      <c r="AP241" s="18">
        <f>IFERROR(INDEX(TableWRMaster[Custom],MATCH(TableWRTECalcPts[[#This Row],[POSRef]],TableWRMaster[WRRef],0)),"")</f>
        <v>101.89531015054624</v>
      </c>
    </row>
    <row r="242" spans="13:42" x14ac:dyDescent="0.25">
      <c r="M242" s="3"/>
      <c r="T242" s="3"/>
      <c r="AI242" s="2" t="s">
        <v>148</v>
      </c>
      <c r="AJ242" s="2">
        <f>IFERROR(RANK(TableWRTECalcPts[[#This Row],[Custom]],TableWRTECalcPts[Custom])+COUNTIF($AP$3:AP242,AP242)-1,"")</f>
        <v>195</v>
      </c>
      <c r="AK242" s="20">
        <v>140</v>
      </c>
      <c r="AL242" s="20" t="str">
        <f>IFERROR(INDEX(TableWRMaster[Player],MATCH(TableWRTECalcPts[[#This Row],[POSRef]],TableWRMaster[WRRef],0)),"")</f>
        <v>Tim Patrick</v>
      </c>
      <c r="AM242" s="20" t="str">
        <f>IFERROR(_xlfn.CONCAT(TableWRTECalcPts[[#This Row],[POS]],INDEX(TableWRRanks[RK],MATCH(TableWRTECalcPts[[#This Row],[PLAYER]],TableWRRanks[Player],0))),"")</f>
        <v>WR133</v>
      </c>
      <c r="AN242" s="20" t="str">
        <f>IFERROR(INDEX(TableWRMaster[TM],MATCH(TableWRTECalcPts[[#This Row],[POSRef]],TableWRMaster[WRRef],0)),"")</f>
        <v>NYJ</v>
      </c>
      <c r="AO242" s="20">
        <f>IFERROR(INDEX(TableWRMaster[BYE],MATCH(TableWRTECalcPts[[#This Row],[POSRef]],TableWRMaster[WRRef],0)),"")</f>
        <v>13</v>
      </c>
      <c r="AP242" s="18">
        <f>IFERROR(INDEX(TableWRMaster[Custom],MATCH(TableWRTECalcPts[[#This Row],[POSRef]],TableWRMaster[WRRef],0)),"")</f>
        <v>18.042811324773403</v>
      </c>
    </row>
    <row r="243" spans="13:42" x14ac:dyDescent="0.25">
      <c r="AI243" s="2" t="s">
        <v>148</v>
      </c>
      <c r="AJ243" s="2">
        <f>IFERROR(RANK(TableWRTECalcPts[[#This Row],[Custom]],TableWRTECalcPts[Custom])+COUNTIF($AP$3:AP243,AP243)-1,"")</f>
        <v>245</v>
      </c>
      <c r="AK243" s="20">
        <v>141</v>
      </c>
      <c r="AL243" s="20" t="str">
        <f>IFERROR(INDEX(TableWRMaster[Player],MATCH(TableWRTECalcPts[[#This Row],[POSRef]],TableWRMaster[WRRef],0)),"")</f>
        <v>Isaiah Williams</v>
      </c>
      <c r="AM243" s="20" t="str">
        <f>IFERROR(_xlfn.CONCAT(TableWRTECalcPts[[#This Row],[POS]],INDEX(TableWRRanks[RK],MATCH(TableWRTECalcPts[[#This Row],[PLAYER]],TableWRRanks[Player],0))),"")</f>
        <v>WR168</v>
      </c>
      <c r="AN243" s="20" t="str">
        <f>IFERROR(INDEX(TableWRMaster[TM],MATCH(TableWRTECalcPts[[#This Row],[POSRef]],TableWRMaster[WRRef],0)),"")</f>
        <v>NYJ</v>
      </c>
      <c r="AO243" s="20">
        <f>IFERROR(INDEX(TableWRMaster[BYE],MATCH(TableWRTECalcPts[[#This Row],[POSRef]],TableWRMaster[WRRef],0)),"")</f>
        <v>13</v>
      </c>
      <c r="AP243" s="18">
        <f>IFERROR(INDEX(TableWRMaster[Custom],MATCH(TableWRTECalcPts[[#This Row],[POSRef]],TableWRMaster[WRRef],0)),"")</f>
        <v>6.2127515792074117</v>
      </c>
    </row>
    <row r="244" spans="13:42" x14ac:dyDescent="0.25">
      <c r="AI244" s="2" t="s">
        <v>148</v>
      </c>
      <c r="AJ244" s="2">
        <f>IFERROR(RANK(TableWRTECalcPts[[#This Row],[Custom]],TableWRTECalcPts[Custom])+COUNTIF($AP$3:AP244,AP244)-1,"")</f>
        <v>264</v>
      </c>
      <c r="AK244" s="20">
        <v>142</v>
      </c>
      <c r="AL244" s="20" t="str">
        <f>IFERROR(INDEX(TableWRMaster[Player],MATCH(TableWRTECalcPts[[#This Row],[POSRef]],TableWRMaster[WRRef],0)),"")</f>
        <v>Arian Smith</v>
      </c>
      <c r="AM244" s="20" t="str">
        <f>IFERROR(_xlfn.CONCAT(TableWRTECalcPts[[#This Row],[POS]],INDEX(TableWRRanks[RK],MATCH(TableWRTECalcPts[[#This Row],[PLAYER]],TableWRRanks[Player],0))),"")</f>
        <v>WR181</v>
      </c>
      <c r="AN244" s="20" t="str">
        <f>IFERROR(INDEX(TableWRMaster[TM],MATCH(TableWRTECalcPts[[#This Row],[POSRef]],TableWRMaster[WRRef],0)),"")</f>
        <v>NYJ</v>
      </c>
      <c r="AO244" s="20">
        <f>IFERROR(INDEX(TableWRMaster[BYE],MATCH(TableWRTECalcPts[[#This Row],[POSRef]],TableWRMaster[WRRef],0)),"")</f>
        <v>13</v>
      </c>
      <c r="AP244" s="18">
        <f>IFERROR(INDEX(TableWRMaster[Custom],MATCH(TableWRTECalcPts[[#This Row],[POSRef]],TableWRMaster[WRRef],0)),"")</f>
        <v>2.818823583122898</v>
      </c>
    </row>
    <row r="245" spans="13:42" x14ac:dyDescent="0.25">
      <c r="AI245" s="2" t="s">
        <v>148</v>
      </c>
      <c r="AJ245" s="2">
        <f>IFERROR(RANK(TableWRTECalcPts[[#This Row],[Custom]],TableWRTECalcPts[Custom])+COUNTIF($AP$3:AP245,AP245)-1,"")</f>
        <v>16</v>
      </c>
      <c r="AK245" s="20">
        <v>143</v>
      </c>
      <c r="AL245" s="20" t="str">
        <f>IFERROR(INDEX(TableWRMaster[Player],MATCH(TableWRTECalcPts[[#This Row],[POSRef]],TableWRMaster[WRRef],0)),"")</f>
        <v>DeVonta Smith</v>
      </c>
      <c r="AM245" s="20" t="str">
        <f>IFERROR(_xlfn.CONCAT(TableWRTECalcPts[[#This Row],[POS]],INDEX(TableWRRanks[RK],MATCH(TableWRTECalcPts[[#This Row],[PLAYER]],TableWRRanks[Player],0))),"")</f>
        <v>WR16</v>
      </c>
      <c r="AN245" s="20" t="str">
        <f>IFERROR(INDEX(TableWRMaster[TM],MATCH(TableWRTECalcPts[[#This Row],[POSRef]],TableWRMaster[WRRef],0)),"")</f>
        <v>PHI</v>
      </c>
      <c r="AO245" s="20">
        <f>IFERROR(INDEX(TableWRMaster[BYE],MATCH(TableWRTECalcPts[[#This Row],[POSRef]],TableWRMaster[WRRef],0)),"")</f>
        <v>10</v>
      </c>
      <c r="AP245" s="18">
        <f>IFERROR(INDEX(TableWRMaster[Custom],MATCH(TableWRTECalcPts[[#This Row],[POSRef]],TableWRMaster[WRRef],0)),"")</f>
        <v>198.11700522987917</v>
      </c>
    </row>
    <row r="246" spans="13:42" x14ac:dyDescent="0.25">
      <c r="AI246" s="2" t="s">
        <v>148</v>
      </c>
      <c r="AJ246" s="2">
        <f>IFERROR(RANK(TableWRTECalcPts[[#This Row],[Custom]],TableWRTECalcPts[Custom])+COUNTIF($AP$3:AP246,AP246)-1,"")</f>
        <v>36</v>
      </c>
      <c r="AK246" s="20">
        <v>144</v>
      </c>
      <c r="AL246" s="20" t="str">
        <f>IFERROR(INDEX(TableWRMaster[Player],MATCH(TableWRTECalcPts[[#This Row],[POSRef]],TableWRMaster[WRRef],0)),"")</f>
        <v>Makai Lemon</v>
      </c>
      <c r="AM246" s="20" t="str">
        <f>IFERROR(_xlfn.CONCAT(TableWRTECalcPts[[#This Row],[POS]],INDEX(TableWRRanks[RK],MATCH(TableWRTECalcPts[[#This Row],[PLAYER]],TableWRRanks[Player],0))),"")</f>
        <v>WR33</v>
      </c>
      <c r="AN246" s="20" t="str">
        <f>IFERROR(INDEX(TableWRMaster[TM],MATCH(TableWRTECalcPts[[#This Row],[POSRef]],TableWRMaster[WRRef],0)),"")</f>
        <v>PHI</v>
      </c>
      <c r="AO246" s="20">
        <f>IFERROR(INDEX(TableWRMaster[BYE],MATCH(TableWRTECalcPts[[#This Row],[POSRef]],TableWRMaster[WRRef],0)),"")</f>
        <v>10</v>
      </c>
      <c r="AP246" s="18">
        <f>IFERROR(INDEX(TableWRMaster[Custom],MATCH(TableWRTECalcPts[[#This Row],[POSRef]],TableWRMaster[WRRef],0)),"")</f>
        <v>169.40745113120846</v>
      </c>
    </row>
    <row r="247" spans="13:42" x14ac:dyDescent="0.25">
      <c r="AI247" s="2" t="s">
        <v>148</v>
      </c>
      <c r="AJ247" s="2">
        <f>IFERROR(RANK(TableWRTECalcPts[[#This Row],[Custom]],TableWRTECalcPts[Custom])+COUNTIF($AP$3:AP247,AP247)-1,"")</f>
        <v>135</v>
      </c>
      <c r="AK247" s="20">
        <v>145</v>
      </c>
      <c r="AL247" s="20" t="str">
        <f>IFERROR(INDEX(TableWRMaster[Player],MATCH(TableWRTECalcPts[[#This Row],[POSRef]],TableWRMaster[WRRef],0)),"")</f>
        <v>Dontayvion Wicks</v>
      </c>
      <c r="AM247" s="20" t="str">
        <f>IFERROR(_xlfn.CONCAT(TableWRTECalcPts[[#This Row],[POS]],INDEX(TableWRRanks[RK],MATCH(TableWRTECalcPts[[#This Row],[PLAYER]],TableWRRanks[Player],0))),"")</f>
        <v>WR98</v>
      </c>
      <c r="AN247" s="20" t="str">
        <f>IFERROR(INDEX(TableWRMaster[TM],MATCH(TableWRTECalcPts[[#This Row],[POSRef]],TableWRMaster[WRRef],0)),"")</f>
        <v>PHI</v>
      </c>
      <c r="AO247" s="20">
        <f>IFERROR(INDEX(TableWRMaster[BYE],MATCH(TableWRTECalcPts[[#This Row],[POSRef]],TableWRMaster[WRRef],0)),"")</f>
        <v>10</v>
      </c>
      <c r="AP247" s="18">
        <f>IFERROR(INDEX(TableWRMaster[Custom],MATCH(TableWRTECalcPts[[#This Row],[POSRef]],TableWRMaster[WRRef],0)),"")</f>
        <v>52.067609080945914</v>
      </c>
    </row>
    <row r="248" spans="13:42" x14ac:dyDescent="0.25">
      <c r="AI248" s="2" t="s">
        <v>148</v>
      </c>
      <c r="AJ248" s="2">
        <f>IFERROR(RANK(TableWRTECalcPts[[#This Row],[Custom]],TableWRTECalcPts[Custom])+COUNTIF($AP$3:AP248,AP248)-1,"")</f>
        <v>176</v>
      </c>
      <c r="AK248" s="20">
        <v>146</v>
      </c>
      <c r="AL248" s="20" t="str">
        <f>IFERROR(INDEX(TableWRMaster[Player],MATCH(TableWRTECalcPts[[#This Row],[POSRef]],TableWRMaster[WRRef],0)),"")</f>
        <v>Hollywood Brown</v>
      </c>
      <c r="AM248" s="20" t="str">
        <f>IFERROR(_xlfn.CONCAT(TableWRTECalcPts[[#This Row],[POS]],INDEX(TableWRRanks[RK],MATCH(TableWRTECalcPts[[#This Row],[PLAYER]],TableWRRanks[Player],0))),"")</f>
        <v>WR123</v>
      </c>
      <c r="AN248" s="20" t="str">
        <f>IFERROR(INDEX(TableWRMaster[TM],MATCH(TableWRTECalcPts[[#This Row],[POSRef]],TableWRMaster[WRRef],0)),"")</f>
        <v>PHI</v>
      </c>
      <c r="AO248" s="20">
        <f>IFERROR(INDEX(TableWRMaster[BYE],MATCH(TableWRTECalcPts[[#This Row],[POSRef]],TableWRMaster[WRRef],0)),"")</f>
        <v>10</v>
      </c>
      <c r="AP248" s="18">
        <f>IFERROR(INDEX(TableWRMaster[Custom],MATCH(TableWRTECalcPts[[#This Row],[POSRef]],TableWRMaster[WRRef],0)),"")</f>
        <v>27.400382337814349</v>
      </c>
    </row>
    <row r="249" spans="13:42" x14ac:dyDescent="0.25">
      <c r="AI249" s="2" t="s">
        <v>148</v>
      </c>
      <c r="AJ249" s="2">
        <f>IFERROR(RANK(TableWRTECalcPts[[#This Row],[Custom]],TableWRTECalcPts[Custom])+COUNTIF($AP$3:AP249,AP249)-1,"")</f>
        <v>204</v>
      </c>
      <c r="AK249" s="20">
        <v>147</v>
      </c>
      <c r="AL249" s="20" t="str">
        <f>IFERROR(INDEX(TableWRMaster[Player],MATCH(TableWRTECalcPts[[#This Row],[POSRef]],TableWRMaster[WRRef],0)),"")</f>
        <v>Elijah Moore</v>
      </c>
      <c r="AM249" s="20" t="str">
        <f>IFERROR(_xlfn.CONCAT(TableWRTECalcPts[[#This Row],[POS]],INDEX(TableWRRanks[RK],MATCH(TableWRTECalcPts[[#This Row],[PLAYER]],TableWRRanks[Player],0))),"")</f>
        <v>WR138</v>
      </c>
      <c r="AN249" s="20" t="str">
        <f>IFERROR(INDEX(TableWRMaster[TM],MATCH(TableWRTECalcPts[[#This Row],[POSRef]],TableWRMaster[WRRef],0)),"")</f>
        <v>PHI</v>
      </c>
      <c r="AO249" s="20">
        <f>IFERROR(INDEX(TableWRMaster[BYE],MATCH(TableWRTECalcPts[[#This Row],[POSRef]],TableWRMaster[WRRef],0)),"")</f>
        <v>10</v>
      </c>
      <c r="AP249" s="18">
        <f>IFERROR(INDEX(TableWRMaster[Custom],MATCH(TableWRTECalcPts[[#This Row],[POSRef]],TableWRMaster[WRRef],0)),"")</f>
        <v>14.119421015700002</v>
      </c>
    </row>
    <row r="250" spans="13:42" x14ac:dyDescent="0.25">
      <c r="AI250" s="2" t="s">
        <v>148</v>
      </c>
      <c r="AJ250" s="2">
        <f>IFERROR(RANK(TableWRTECalcPts[[#This Row],[Custom]],TableWRTECalcPts[Custom])+COUNTIF($AP$3:AP250,AP250)-1,"")</f>
        <v>227</v>
      </c>
      <c r="AK250" s="20">
        <v>148</v>
      </c>
      <c r="AL250" s="20" t="str">
        <f>IFERROR(INDEX(TableWRMaster[Player],MATCH(TableWRTECalcPts[[#This Row],[POSRef]],TableWRMaster[WRRef],0)),"")</f>
        <v>Darius Cooper</v>
      </c>
      <c r="AM250" s="20" t="str">
        <f>IFERROR(_xlfn.CONCAT(TableWRTECalcPts[[#This Row],[POS]],INDEX(TableWRRanks[RK],MATCH(TableWRTECalcPts[[#This Row],[PLAYER]],TableWRRanks[Player],0))),"")</f>
        <v>WR153</v>
      </c>
      <c r="AN250" s="20" t="str">
        <f>IFERROR(INDEX(TableWRMaster[TM],MATCH(TableWRTECalcPts[[#This Row],[POSRef]],TableWRMaster[WRRef],0)),"")</f>
        <v>PHI</v>
      </c>
      <c r="AO250" s="20">
        <f>IFERROR(INDEX(TableWRMaster[BYE],MATCH(TableWRTECalcPts[[#This Row],[POSRef]],TableWRMaster[WRRef],0)),"")</f>
        <v>10</v>
      </c>
      <c r="AP250" s="18">
        <f>IFERROR(INDEX(TableWRMaster[Custom],MATCH(TableWRTECalcPts[[#This Row],[POSRef]],TableWRMaster[WRRef],0)),"")</f>
        <v>8.0354077095599976</v>
      </c>
    </row>
    <row r="251" spans="13:42" x14ac:dyDescent="0.25">
      <c r="AI251" s="2" t="s">
        <v>148</v>
      </c>
      <c r="AJ251" s="2">
        <f>IFERROR(RANK(TableWRTECalcPts[[#This Row],[Custom]],TableWRTECalcPts[Custom])+COUNTIF($AP$3:AP251,AP251)-1,"")</f>
        <v>42</v>
      </c>
      <c r="AK251" s="20">
        <v>149</v>
      </c>
      <c r="AL251" s="20" t="str">
        <f>IFERROR(INDEX(TableWRMaster[Player],MATCH(TableWRTECalcPts[[#This Row],[POSRef]],TableWRMaster[WRRef],0)),"")</f>
        <v>Michael Pittman</v>
      </c>
      <c r="AM251" s="20" t="str">
        <f>IFERROR(_xlfn.CONCAT(TableWRTECalcPts[[#This Row],[POS]],INDEX(TableWRRanks[RK],MATCH(TableWRTECalcPts[[#This Row],[PLAYER]],TableWRRanks[Player],0))),"")</f>
        <v>WR38</v>
      </c>
      <c r="AN251" s="20" t="str">
        <f>IFERROR(INDEX(TableWRMaster[TM],MATCH(TableWRTECalcPts[[#This Row],[POSRef]],TableWRMaster[WRRef],0)),"")</f>
        <v>PIT</v>
      </c>
      <c r="AO251" s="20">
        <f>IFERROR(INDEX(TableWRMaster[BYE],MATCH(TableWRTECalcPts[[#This Row],[POSRef]],TableWRMaster[WRRef],0)),"")</f>
        <v>9</v>
      </c>
      <c r="AP251" s="18">
        <f>IFERROR(INDEX(TableWRMaster[Custom],MATCH(TableWRTECalcPts[[#This Row],[POSRef]],TableWRMaster[WRRef],0)),"")</f>
        <v>161.35338225495778</v>
      </c>
    </row>
    <row r="252" spans="13:42" x14ac:dyDescent="0.25">
      <c r="AI252" s="2" t="s">
        <v>148</v>
      </c>
      <c r="AJ252" s="2">
        <f>IFERROR(RANK(TableWRTECalcPts[[#This Row],[Custom]],TableWRTECalcPts[Custom])+COUNTIF($AP$3:AP252,AP252)-1,"")</f>
        <v>41</v>
      </c>
      <c r="AK252" s="20">
        <v>150</v>
      </c>
      <c r="AL252" s="20" t="str">
        <f>IFERROR(INDEX(TableWRMaster[Player],MATCH(TableWRTECalcPts[[#This Row],[POSRef]],TableWRMaster[WRRef],0)),"")</f>
        <v>DK Metcalf</v>
      </c>
      <c r="AM252" s="20" t="str">
        <f>IFERROR(_xlfn.CONCAT(TableWRTECalcPts[[#This Row],[POS]],INDEX(TableWRRanks[RK],MATCH(TableWRTECalcPts[[#This Row],[PLAYER]],TableWRRanks[Player],0))),"")</f>
        <v>WR37</v>
      </c>
      <c r="AN252" s="20" t="str">
        <f>IFERROR(INDEX(TableWRMaster[TM],MATCH(TableWRTECalcPts[[#This Row],[POSRef]],TableWRMaster[WRRef],0)),"")</f>
        <v>PIT</v>
      </c>
      <c r="AO252" s="20">
        <f>IFERROR(INDEX(TableWRMaster[BYE],MATCH(TableWRTECalcPts[[#This Row],[POSRef]],TableWRMaster[WRRef],0)),"")</f>
        <v>9</v>
      </c>
      <c r="AP252" s="18">
        <f>IFERROR(INDEX(TableWRMaster[Custom],MATCH(TableWRTECalcPts[[#This Row],[POSRef]],TableWRMaster[WRRef],0)),"")</f>
        <v>162.91605562564334</v>
      </c>
    </row>
    <row r="253" spans="13:42" x14ac:dyDescent="0.25">
      <c r="AI253" s="2" t="s">
        <v>148</v>
      </c>
      <c r="AJ253" s="2">
        <f>IFERROR(RANK(TableWRTECalcPts[[#This Row],[Custom]],TableWRTECalcPts[Custom])+COUNTIF($AP$3:AP253,AP253)-1,"")</f>
        <v>96</v>
      </c>
      <c r="AK253" s="20">
        <v>151</v>
      </c>
      <c r="AL253" s="20" t="str">
        <f>IFERROR(INDEX(TableWRMaster[Player],MATCH(TableWRTECalcPts[[#This Row],[POSRef]],TableWRMaster[WRRef],0)),"")</f>
        <v>Germie Bernard</v>
      </c>
      <c r="AM253" s="20" t="str">
        <f>IFERROR(_xlfn.CONCAT(TableWRTECalcPts[[#This Row],[POS]],INDEX(TableWRRanks[RK],MATCH(TableWRTECalcPts[[#This Row],[PLAYER]],TableWRRanks[Player],0))),"")</f>
        <v>WR71</v>
      </c>
      <c r="AN253" s="20" t="str">
        <f>IFERROR(INDEX(TableWRMaster[TM],MATCH(TableWRTECalcPts[[#This Row],[POSRef]],TableWRMaster[WRRef],0)),"")</f>
        <v>PIT</v>
      </c>
      <c r="AO253" s="20">
        <f>IFERROR(INDEX(TableWRMaster[BYE],MATCH(TableWRTECalcPts[[#This Row],[POSRef]],TableWRMaster[WRRef],0)),"")</f>
        <v>9</v>
      </c>
      <c r="AP253" s="18">
        <f>IFERROR(INDEX(TableWRMaster[Custom],MATCH(TableWRTECalcPts[[#This Row],[POSRef]],TableWRMaster[WRRef],0)),"")</f>
        <v>91.944125838049231</v>
      </c>
    </row>
    <row r="254" spans="13:42" x14ac:dyDescent="0.25">
      <c r="AI254" s="2" t="s">
        <v>148</v>
      </c>
      <c r="AJ254" s="2">
        <f>IFERROR(RANK(TableWRTECalcPts[[#This Row],[Custom]],TableWRTECalcPts[Custom])+COUNTIF($AP$3:AP254,AP254)-1,"")</f>
        <v>203</v>
      </c>
      <c r="AK254" s="20">
        <v>152</v>
      </c>
      <c r="AL254" s="20" t="str">
        <f>IFERROR(INDEX(TableWRMaster[Player],MATCH(TableWRTECalcPts[[#This Row],[POSRef]],TableWRMaster[WRRef],0)),"")</f>
        <v>Ben Skowronek</v>
      </c>
      <c r="AM254" s="20" t="str">
        <f>IFERROR(_xlfn.CONCAT(TableWRTECalcPts[[#This Row],[POS]],INDEX(TableWRRanks[RK],MATCH(TableWRTECalcPts[[#This Row],[PLAYER]],TableWRRanks[Player],0))),"")</f>
        <v>WR137</v>
      </c>
      <c r="AN254" s="20" t="str">
        <f>IFERROR(INDEX(TableWRMaster[TM],MATCH(TableWRTECalcPts[[#This Row],[POSRef]],TableWRMaster[WRRef],0)),"")</f>
        <v>PIT</v>
      </c>
      <c r="AO254" s="20">
        <f>IFERROR(INDEX(TableWRMaster[BYE],MATCH(TableWRTECalcPts[[#This Row],[POSRef]],TableWRMaster[WRRef],0)),"")</f>
        <v>9</v>
      </c>
      <c r="AP254" s="18">
        <f>IFERROR(INDEX(TableWRMaster[Custom],MATCH(TableWRTECalcPts[[#This Row],[POSRef]],TableWRMaster[WRRef],0)),"")</f>
        <v>14.542424820000003</v>
      </c>
    </row>
    <row r="255" spans="13:42" x14ac:dyDescent="0.25">
      <c r="AI255" s="2" t="s">
        <v>148</v>
      </c>
      <c r="AJ255" s="2">
        <f>IFERROR(RANK(TableWRTECalcPts[[#This Row],[Custom]],TableWRTECalcPts[Custom])+COUNTIF($AP$3:AP255,AP255)-1,"")</f>
        <v>230</v>
      </c>
      <c r="AK255" s="20">
        <v>153</v>
      </c>
      <c r="AL255" s="20" t="str">
        <f>IFERROR(INDEX(TableWRMaster[Player],MATCH(TableWRTECalcPts[[#This Row],[POSRef]],TableWRMaster[WRRef],0)),"")</f>
        <v>Roman Wilson</v>
      </c>
      <c r="AM255" s="20" t="str">
        <f>IFERROR(_xlfn.CONCAT(TableWRTECalcPts[[#This Row],[POS]],INDEX(TableWRRanks[RK],MATCH(TableWRTECalcPts[[#This Row],[PLAYER]],TableWRRanks[Player],0))),"")</f>
        <v>WR156</v>
      </c>
      <c r="AN255" s="20" t="str">
        <f>IFERROR(INDEX(TableWRMaster[TM],MATCH(TableWRTECalcPts[[#This Row],[POSRef]],TableWRMaster[WRRef],0)),"")</f>
        <v>PIT</v>
      </c>
      <c r="AO255" s="20">
        <f>IFERROR(INDEX(TableWRMaster[BYE],MATCH(TableWRTECalcPts[[#This Row],[POSRef]],TableWRMaster[WRRef],0)),"")</f>
        <v>9</v>
      </c>
      <c r="AP255" s="18">
        <f>IFERROR(INDEX(TableWRMaster[Custom],MATCH(TableWRTECalcPts[[#This Row],[POSRef]],TableWRMaster[WRRef],0)),"")</f>
        <v>7.8258581215897616</v>
      </c>
    </row>
    <row r="256" spans="13:42" x14ac:dyDescent="0.25">
      <c r="AI256" s="2" t="s">
        <v>148</v>
      </c>
      <c r="AJ256" s="2">
        <f>IFERROR(RANK(TableWRTECalcPts[[#This Row],[Custom]],TableWRTECalcPts[Custom])+COUNTIF($AP$3:AP256,AP256)-1,"")</f>
        <v>1</v>
      </c>
      <c r="AK256" s="20">
        <v>154</v>
      </c>
      <c r="AL256" s="20" t="str">
        <f>IFERROR(INDEX(TableWRMaster[Player],MATCH(TableWRTECalcPts[[#This Row],[POSRef]],TableWRMaster[WRRef],0)),"")</f>
        <v>Jaxon Smith-Njigba</v>
      </c>
      <c r="AM256" s="20" t="str">
        <f>IFERROR(_xlfn.CONCAT(TableWRTECalcPts[[#This Row],[POS]],INDEX(TableWRRanks[RK],MATCH(TableWRTECalcPts[[#This Row],[PLAYER]],TableWRRanks[Player],0))),"")</f>
        <v>WR1</v>
      </c>
      <c r="AN256" s="20" t="str">
        <f>IFERROR(INDEX(TableWRMaster[TM],MATCH(TableWRTECalcPts[[#This Row],[POSRef]],TableWRMaster[WRRef],0)),"")</f>
        <v>SEA</v>
      </c>
      <c r="AO256" s="20">
        <f>IFERROR(INDEX(TableWRMaster[BYE],MATCH(TableWRTECalcPts[[#This Row],[POSRef]],TableWRMaster[WRRef],0)),"")</f>
        <v>11</v>
      </c>
      <c r="AP256" s="18">
        <f>IFERROR(INDEX(TableWRMaster[Custom],MATCH(TableWRTECalcPts[[#This Row],[POSRef]],TableWRMaster[WRRef],0)),"")</f>
        <v>300.17510590598198</v>
      </c>
    </row>
    <row r="257" spans="35:42" x14ac:dyDescent="0.25">
      <c r="AI257" s="2" t="s">
        <v>148</v>
      </c>
      <c r="AJ257" s="2">
        <f>IFERROR(RANK(TableWRTECalcPts[[#This Row],[Custom]],TableWRTECalcPts[Custom])+COUNTIF($AP$3:AP257,AP257)-1,"")</f>
        <v>74</v>
      </c>
      <c r="AK257" s="20">
        <v>155</v>
      </c>
      <c r="AL257" s="20" t="str">
        <f>IFERROR(INDEX(TableWRMaster[Player],MATCH(TableWRTECalcPts[[#This Row],[POSRef]],TableWRMaster[WRRef],0)),"")</f>
        <v>Rashid Shaheed</v>
      </c>
      <c r="AM257" s="20" t="str">
        <f>IFERROR(_xlfn.CONCAT(TableWRTECalcPts[[#This Row],[POS]],INDEX(TableWRRanks[RK],MATCH(TableWRTECalcPts[[#This Row],[PLAYER]],TableWRRanks[Player],0))),"")</f>
        <v>WR56</v>
      </c>
      <c r="AN257" s="20" t="str">
        <f>IFERROR(INDEX(TableWRMaster[TM],MATCH(TableWRTECalcPts[[#This Row],[POSRef]],TableWRMaster[WRRef],0)),"")</f>
        <v>SEA</v>
      </c>
      <c r="AO257" s="20">
        <f>IFERROR(INDEX(TableWRMaster[BYE],MATCH(TableWRTECalcPts[[#This Row],[POSRef]],TableWRMaster[WRRef],0)),"")</f>
        <v>11</v>
      </c>
      <c r="AP257" s="18">
        <f>IFERROR(INDEX(TableWRMaster[Custom],MATCH(TableWRTECalcPts[[#This Row],[POSRef]],TableWRMaster[WRRef],0)),"")</f>
        <v>119.41105593447746</v>
      </c>
    </row>
    <row r="258" spans="35:42" x14ac:dyDescent="0.25">
      <c r="AI258" s="2" t="s">
        <v>148</v>
      </c>
      <c r="AJ258" s="2">
        <f>IFERROR(RANK(TableWRTECalcPts[[#This Row],[Custom]],TableWRTECalcPts[Custom])+COUNTIF($AP$3:AP258,AP258)-1,"")</f>
        <v>97</v>
      </c>
      <c r="AK258" s="20">
        <v>156</v>
      </c>
      <c r="AL258" s="20" t="str">
        <f>IFERROR(INDEX(TableWRMaster[Player],MATCH(TableWRTECalcPts[[#This Row],[POSRef]],TableWRMaster[WRRef],0)),"")</f>
        <v>Cooper Kupp</v>
      </c>
      <c r="AM258" s="20" t="str">
        <f>IFERROR(_xlfn.CONCAT(TableWRTECalcPts[[#This Row],[POS]],INDEX(TableWRRanks[RK],MATCH(TableWRTECalcPts[[#This Row],[PLAYER]],TableWRRanks[Player],0))),"")</f>
        <v>WR72</v>
      </c>
      <c r="AN258" s="20" t="str">
        <f>IFERROR(INDEX(TableWRMaster[TM],MATCH(TableWRTECalcPts[[#This Row],[POSRef]],TableWRMaster[WRRef],0)),"")</f>
        <v>SEA</v>
      </c>
      <c r="AO258" s="20">
        <f>IFERROR(INDEX(TableWRMaster[BYE],MATCH(TableWRTECalcPts[[#This Row],[POSRef]],TableWRMaster[WRRef],0)),"")</f>
        <v>11</v>
      </c>
      <c r="AP258" s="18">
        <f>IFERROR(INDEX(TableWRMaster[Custom],MATCH(TableWRTECalcPts[[#This Row],[POSRef]],TableWRMaster[WRRef],0)),"")</f>
        <v>90.871065206669996</v>
      </c>
    </row>
    <row r="259" spans="35:42" x14ac:dyDescent="0.25">
      <c r="AI259" s="2" t="s">
        <v>148</v>
      </c>
      <c r="AJ259" s="2">
        <f>IFERROR(RANK(TableWRTECalcPts[[#This Row],[Custom]],TableWRTECalcPts[Custom])+COUNTIF($AP$3:AP259,AP259)-1,"")</f>
        <v>156</v>
      </c>
      <c r="AK259" s="20">
        <v>157</v>
      </c>
      <c r="AL259" s="20" t="str">
        <f>IFERROR(INDEX(TableWRMaster[Player],MATCH(TableWRTECalcPts[[#This Row],[POSRef]],TableWRMaster[WRRef],0)),"")</f>
        <v>Tory Horton</v>
      </c>
      <c r="AM259" s="20" t="str">
        <f>IFERROR(_xlfn.CONCAT(TableWRTECalcPts[[#This Row],[POS]],INDEX(TableWRRanks[RK],MATCH(TableWRTECalcPts[[#This Row],[PLAYER]],TableWRRanks[Player],0))),"")</f>
        <v>WR112</v>
      </c>
      <c r="AN259" s="20" t="str">
        <f>IFERROR(INDEX(TableWRMaster[TM],MATCH(TableWRTECalcPts[[#This Row],[POSRef]],TableWRMaster[WRRef],0)),"")</f>
        <v>SEA</v>
      </c>
      <c r="AO259" s="20">
        <f>IFERROR(INDEX(TableWRMaster[BYE],MATCH(TableWRTECalcPts[[#This Row],[POSRef]],TableWRMaster[WRRef],0)),"")</f>
        <v>11</v>
      </c>
      <c r="AP259" s="18">
        <f>IFERROR(INDEX(TableWRMaster[Custom],MATCH(TableWRTECalcPts[[#This Row],[POSRef]],TableWRMaster[WRRef],0)),"")</f>
        <v>39.720708971919365</v>
      </c>
    </row>
    <row r="260" spans="35:42" x14ac:dyDescent="0.25">
      <c r="AI260" s="2" t="s">
        <v>148</v>
      </c>
      <c r="AJ260" s="2">
        <f>IFERROR(RANK(TableWRTECalcPts[[#This Row],[Custom]],TableWRTECalcPts[Custom])+COUNTIF($AP$3:AP260,AP260)-1,"")</f>
        <v>237</v>
      </c>
      <c r="AK260" s="20">
        <v>158</v>
      </c>
      <c r="AL260" s="20" t="str">
        <f>IFERROR(INDEX(TableWRMaster[Player],MATCH(TableWRTECalcPts[[#This Row],[POSRef]],TableWRMaster[WRRef],0)),"")</f>
        <v>Jake Bobo</v>
      </c>
      <c r="AM260" s="20" t="str">
        <f>IFERROR(_xlfn.CONCAT(TableWRTECalcPts[[#This Row],[POS]],INDEX(TableWRRanks[RK],MATCH(TableWRTECalcPts[[#This Row],[PLAYER]],TableWRRanks[Player],0))),"")</f>
        <v>WR161</v>
      </c>
      <c r="AN260" s="20" t="str">
        <f>IFERROR(INDEX(TableWRMaster[TM],MATCH(TableWRTECalcPts[[#This Row],[POSRef]],TableWRMaster[WRRef],0)),"")</f>
        <v>SEA</v>
      </c>
      <c r="AO260" s="20">
        <f>IFERROR(INDEX(TableWRMaster[BYE],MATCH(TableWRTECalcPts[[#This Row],[POSRef]],TableWRMaster[WRRef],0)),"")</f>
        <v>11</v>
      </c>
      <c r="AP260" s="18">
        <f>IFERROR(INDEX(TableWRMaster[Custom],MATCH(TableWRTECalcPts[[#This Row],[POSRef]],TableWRMaster[WRRef],0)),"")</f>
        <v>7.1671548843720014</v>
      </c>
    </row>
    <row r="261" spans="35:42" x14ac:dyDescent="0.25">
      <c r="AI261" s="2" t="s">
        <v>148</v>
      </c>
      <c r="AJ261" s="2">
        <f>IFERROR(RANK(TableWRTECalcPts[[#This Row],[Custom]],TableWRTECalcPts[Custom])+COUNTIF($AP$3:AP261,AP261)-1,"")</f>
        <v>21</v>
      </c>
      <c r="AK261" s="20">
        <v>159</v>
      </c>
      <c r="AL261" s="20" t="str">
        <f>IFERROR(INDEX(TableWRMaster[Player],MATCH(TableWRTECalcPts[[#This Row],[POSRef]],TableWRMaster[WRRef],0)),"")</f>
        <v>Mike Evans</v>
      </c>
      <c r="AM261" s="20" t="str">
        <f>IFERROR(_xlfn.CONCAT(TableWRTECalcPts[[#This Row],[POS]],INDEX(TableWRRanks[RK],MATCH(TableWRTECalcPts[[#This Row],[PLAYER]],TableWRRanks[Player],0))),"")</f>
        <v>WR20</v>
      </c>
      <c r="AN261" s="20" t="str">
        <f>IFERROR(INDEX(TableWRMaster[TM],MATCH(TableWRTECalcPts[[#This Row],[POSRef]],TableWRMaster[WRRef],0)),"")</f>
        <v>SF</v>
      </c>
      <c r="AO261" s="20">
        <f>IFERROR(INDEX(TableWRMaster[BYE],MATCH(TableWRTECalcPts[[#This Row],[POSRef]],TableWRMaster[WRRef],0)),"")</f>
        <v>8</v>
      </c>
      <c r="AP261" s="18">
        <f>IFERROR(INDEX(TableWRMaster[Custom],MATCH(TableWRTECalcPts[[#This Row],[POSRef]],TableWRMaster[WRRef],0)),"")</f>
        <v>192.40786039577091</v>
      </c>
    </row>
    <row r="262" spans="35:42" x14ac:dyDescent="0.25">
      <c r="AI262" s="2" t="s">
        <v>148</v>
      </c>
      <c r="AJ262" s="2">
        <f>IFERROR(RANK(TableWRTECalcPts[[#This Row],[Custom]],TableWRTECalcPts[Custom])+COUNTIF($AP$3:AP262,AP262)-1,"")</f>
        <v>50</v>
      </c>
      <c r="AK262" s="20">
        <v>160</v>
      </c>
      <c r="AL262" s="20" t="str">
        <f>IFERROR(INDEX(TableWRMaster[Player],MATCH(TableWRTECalcPts[[#This Row],[POSRef]],TableWRMaster[WRRef],0)),"")</f>
        <v>Deebo Samuel</v>
      </c>
      <c r="AM262" s="20" t="str">
        <f>IFERROR(_xlfn.CONCAT(TableWRTECalcPts[[#This Row],[POS]],INDEX(TableWRRanks[RK],MATCH(TableWRTECalcPts[[#This Row],[PLAYER]],TableWRRanks[Player],0))),"")</f>
        <v>WR42</v>
      </c>
      <c r="AN262" s="20" t="str">
        <f>IFERROR(INDEX(TableWRMaster[TM],MATCH(TableWRTECalcPts[[#This Row],[POSRef]],TableWRMaster[WRRef],0)),"")</f>
        <v>SF</v>
      </c>
      <c r="AO262" s="20">
        <f>IFERROR(INDEX(TableWRMaster[BYE],MATCH(TableWRTECalcPts[[#This Row],[POSRef]],TableWRMaster[WRRef],0)),"")</f>
        <v>8</v>
      </c>
      <c r="AP262" s="18">
        <f>IFERROR(INDEX(TableWRMaster[Custom],MATCH(TableWRTECalcPts[[#This Row],[POSRef]],TableWRMaster[WRRef],0)),"")</f>
        <v>150.71515766082945</v>
      </c>
    </row>
    <row r="263" spans="35:42" x14ac:dyDescent="0.25">
      <c r="AI263" s="2" t="s">
        <v>148</v>
      </c>
      <c r="AJ263" s="2">
        <f>IFERROR(RANK(TableWRTECalcPts[[#This Row],[Custom]],TableWRTECalcPts[Custom])+COUNTIF($AP$3:AP263,AP263)-1,"")</f>
        <v>147</v>
      </c>
      <c r="AK263" s="20">
        <v>161</v>
      </c>
      <c r="AL263" s="20" t="str">
        <f>IFERROR(INDEX(TableWRMaster[Player],MATCH(TableWRTECalcPts[[#This Row],[POSRef]],TableWRMaster[WRRef],0)),"")</f>
        <v>De'Zhaun Stribling</v>
      </c>
      <c r="AM263" s="20" t="str">
        <f>IFERROR(_xlfn.CONCAT(TableWRTECalcPts[[#This Row],[POS]],INDEX(TableWRRanks[RK],MATCH(TableWRTECalcPts[[#This Row],[PLAYER]],TableWRRanks[Player],0))),"")</f>
        <v>WR106</v>
      </c>
      <c r="AN263" s="20" t="str">
        <f>IFERROR(INDEX(TableWRMaster[TM],MATCH(TableWRTECalcPts[[#This Row],[POSRef]],TableWRMaster[WRRef],0)),"")</f>
        <v>SF</v>
      </c>
      <c r="AO263" s="20">
        <f>IFERROR(INDEX(TableWRMaster[BYE],MATCH(TableWRTECalcPts[[#This Row],[POSRef]],TableWRMaster[WRRef],0)),"")</f>
        <v>8</v>
      </c>
      <c r="AP263" s="18">
        <f>IFERROR(INDEX(TableWRMaster[Custom],MATCH(TableWRTECalcPts[[#This Row],[POSRef]],TableWRMaster[WRRef],0)),"")</f>
        <v>45.1604312615232</v>
      </c>
    </row>
    <row r="264" spans="35:42" x14ac:dyDescent="0.25">
      <c r="AI264" s="2" t="s">
        <v>148</v>
      </c>
      <c r="AJ264" s="2">
        <f>IFERROR(RANK(TableWRTECalcPts[[#This Row],[Custom]],TableWRTECalcPts[Custom])+COUNTIF($AP$3:AP264,AP264)-1,"")</f>
        <v>160</v>
      </c>
      <c r="AK264" s="20">
        <v>162</v>
      </c>
      <c r="AL264" s="20" t="str">
        <f>IFERROR(INDEX(TableWRMaster[Player],MATCH(TableWRTECalcPts[[#This Row],[POSRef]],TableWRMaster[WRRef],0)),"")</f>
        <v>Christian Kirk</v>
      </c>
      <c r="AM264" s="20" t="str">
        <f>IFERROR(_xlfn.CONCAT(TableWRTECalcPts[[#This Row],[POS]],INDEX(TableWRRanks[RK],MATCH(TableWRTECalcPts[[#This Row],[PLAYER]],TableWRRanks[Player],0))),"")</f>
        <v>WR116</v>
      </c>
      <c r="AN264" s="20" t="str">
        <f>IFERROR(INDEX(TableWRMaster[TM],MATCH(TableWRTECalcPts[[#This Row],[POSRef]],TableWRMaster[WRRef],0)),"")</f>
        <v>SF</v>
      </c>
      <c r="AO264" s="20">
        <f>IFERROR(INDEX(TableWRMaster[BYE],MATCH(TableWRTECalcPts[[#This Row],[POSRef]],TableWRMaster[WRRef],0)),"")</f>
        <v>8</v>
      </c>
      <c r="AP264" s="18">
        <f>IFERROR(INDEX(TableWRMaster[Custom],MATCH(TableWRTECalcPts[[#This Row],[POSRef]],TableWRMaster[WRRef],0)),"")</f>
        <v>38.671375046540604</v>
      </c>
    </row>
    <row r="265" spans="35:42" x14ac:dyDescent="0.25">
      <c r="AI265" s="2" t="s">
        <v>148</v>
      </c>
      <c r="AJ265" s="2">
        <f>IFERROR(RANK(TableWRTECalcPts[[#This Row],[Custom]],TableWRTECalcPts[Custom])+COUNTIF($AP$3:AP265,AP265)-1,"")</f>
        <v>207</v>
      </c>
      <c r="AK265" s="20">
        <v>163</v>
      </c>
      <c r="AL265" s="20" t="str">
        <f>IFERROR(INDEX(TableWRMaster[Player],MATCH(TableWRTECalcPts[[#This Row],[POSRef]],TableWRMaster[WRRef],0)),"")</f>
        <v>Dermarcus Robinson</v>
      </c>
      <c r="AM265" s="20" t="str">
        <f>IFERROR(_xlfn.CONCAT(TableWRTECalcPts[[#This Row],[POS]],INDEX(TableWRRanks[RK],MATCH(TableWRTECalcPts[[#This Row],[PLAYER]],TableWRRanks[Player],0))),"")</f>
        <v>WR140</v>
      </c>
      <c r="AN265" s="20" t="str">
        <f>IFERROR(INDEX(TableWRMaster[TM],MATCH(TableWRTECalcPts[[#This Row],[POSRef]],TableWRMaster[WRRef],0)),"")</f>
        <v>SF</v>
      </c>
      <c r="AO265" s="20">
        <f>IFERROR(INDEX(TableWRMaster[BYE],MATCH(TableWRTECalcPts[[#This Row],[POSRef]],TableWRMaster[WRRef],0)),"")</f>
        <v>8</v>
      </c>
      <c r="AP265" s="18">
        <f>IFERROR(INDEX(TableWRMaster[Custom],MATCH(TableWRTECalcPts[[#This Row],[POSRef]],TableWRMaster[WRRef],0)),"")</f>
        <v>13.142608134655999</v>
      </c>
    </row>
    <row r="266" spans="35:42" x14ac:dyDescent="0.25">
      <c r="AI266" s="2" t="s">
        <v>148</v>
      </c>
      <c r="AJ266" s="2">
        <f>IFERROR(RANK(TableWRTECalcPts[[#This Row],[Custom]],TableWRTECalcPts[Custom])+COUNTIF($AP$3:AP266,AP266)-1,"")</f>
        <v>241</v>
      </c>
      <c r="AK266" s="20">
        <v>164</v>
      </c>
      <c r="AL266" s="20" t="str">
        <f>IFERROR(INDEX(TableWRMaster[Player],MATCH(TableWRTECalcPts[[#This Row],[POSRef]],TableWRMaster[WRRef],0)),"")</f>
        <v>Jordan Watkins</v>
      </c>
      <c r="AM266" s="20" t="str">
        <f>IFERROR(_xlfn.CONCAT(TableWRTECalcPts[[#This Row],[POS]],INDEX(TableWRRanks[RK],MATCH(TableWRTECalcPts[[#This Row],[PLAYER]],TableWRRanks[Player],0))),"")</f>
        <v>WR164</v>
      </c>
      <c r="AN266" s="20" t="str">
        <f>IFERROR(INDEX(TableWRMaster[TM],MATCH(TableWRTECalcPts[[#This Row],[POSRef]],TableWRMaster[WRRef],0)),"")</f>
        <v>SF</v>
      </c>
      <c r="AO266" s="20">
        <f>IFERROR(INDEX(TableWRMaster[BYE],MATCH(TableWRTECalcPts[[#This Row],[POSRef]],TableWRMaster[WRRef],0)),"")</f>
        <v>8</v>
      </c>
      <c r="AP266" s="18">
        <f>IFERROR(INDEX(TableWRMaster[Custom],MATCH(TableWRTECalcPts[[#This Row],[POSRef]],TableWRMaster[WRRef],0)),"")</f>
        <v>6.6859447263304252</v>
      </c>
    </row>
    <row r="267" spans="35:42" x14ac:dyDescent="0.25">
      <c r="AI267" s="2" t="s">
        <v>148</v>
      </c>
      <c r="AJ267" s="2">
        <f>IFERROR(RANK(TableWRTECalcPts[[#This Row],[Custom]],TableWRTECalcPts[Custom])+COUNTIF($AP$3:AP267,AP267)-1,"")</f>
        <v>27</v>
      </c>
      <c r="AK267" s="20">
        <v>165</v>
      </c>
      <c r="AL267" s="20" t="str">
        <f>IFERROR(INDEX(TableWRMaster[Player],MATCH(TableWRTECalcPts[[#This Row],[POSRef]],TableWRMaster[WRRef],0)),"")</f>
        <v>Emeka Egbuka</v>
      </c>
      <c r="AM267" s="20" t="str">
        <f>IFERROR(_xlfn.CONCAT(TableWRTECalcPts[[#This Row],[POS]],INDEX(TableWRRanks[RK],MATCH(TableWRTECalcPts[[#This Row],[PLAYER]],TableWRRanks[Player],0))),"")</f>
        <v>WR25</v>
      </c>
      <c r="AN267" s="20" t="str">
        <f>IFERROR(INDEX(TableWRMaster[TM],MATCH(TableWRTECalcPts[[#This Row],[POSRef]],TableWRMaster[WRRef],0)),"")</f>
        <v>TB</v>
      </c>
      <c r="AO267" s="20">
        <f>IFERROR(INDEX(TableWRMaster[BYE],MATCH(TableWRTECalcPts[[#This Row],[POSRef]],TableWRMaster[WRRef],0)),"")</f>
        <v>10</v>
      </c>
      <c r="AP267" s="18">
        <f>IFERROR(INDEX(TableWRMaster[Custom],MATCH(TableWRTECalcPts[[#This Row],[POSRef]],TableWRMaster[WRRef],0)),"")</f>
        <v>187.69417440185407</v>
      </c>
    </row>
    <row r="268" spans="35:42" x14ac:dyDescent="0.25">
      <c r="AI268" s="2" t="s">
        <v>148</v>
      </c>
      <c r="AJ268" s="2">
        <f>IFERROR(RANK(TableWRTECalcPts[[#This Row],[Custom]],TableWRTECalcPts[Custom])+COUNTIF($AP$3:AP268,AP268)-1,"")</f>
        <v>57</v>
      </c>
      <c r="AK268" s="20">
        <v>166</v>
      </c>
      <c r="AL268" s="20" t="str">
        <f>IFERROR(INDEX(TableWRMaster[Player],MATCH(TableWRTECalcPts[[#This Row],[POSRef]],TableWRMaster[WRRef],0)),"")</f>
        <v>Chris Godwin</v>
      </c>
      <c r="AM268" s="20" t="str">
        <f>IFERROR(_xlfn.CONCAT(TableWRTECalcPts[[#This Row],[POS]],INDEX(TableWRRanks[RK],MATCH(TableWRTECalcPts[[#This Row],[PLAYER]],TableWRRanks[Player],0))),"")</f>
        <v>WR47</v>
      </c>
      <c r="AN268" s="20" t="str">
        <f>IFERROR(INDEX(TableWRMaster[TM],MATCH(TableWRTECalcPts[[#This Row],[POSRef]],TableWRMaster[WRRef],0)),"")</f>
        <v>TB</v>
      </c>
      <c r="AO268" s="20">
        <f>IFERROR(INDEX(TableWRMaster[BYE],MATCH(TableWRTECalcPts[[#This Row],[POSRef]],TableWRMaster[WRRef],0)),"")</f>
        <v>10</v>
      </c>
      <c r="AP268" s="18">
        <f>IFERROR(INDEX(TableWRMaster[Custom],MATCH(TableWRTECalcPts[[#This Row],[POSRef]],TableWRMaster[WRRef],0)),"")</f>
        <v>144.56829686906872</v>
      </c>
    </row>
    <row r="269" spans="35:42" x14ac:dyDescent="0.25">
      <c r="AI269" s="2" t="s">
        <v>148</v>
      </c>
      <c r="AJ269" s="2">
        <f>IFERROR(RANK(TableWRTECalcPts[[#This Row],[Custom]],TableWRTECalcPts[Custom])+COUNTIF($AP$3:AP269,AP269)-1,"")</f>
        <v>78</v>
      </c>
      <c r="AK269" s="20">
        <v>167</v>
      </c>
      <c r="AL269" s="20" t="str">
        <f>IFERROR(INDEX(TableWRMaster[Player],MATCH(TableWRTECalcPts[[#This Row],[POSRef]],TableWRMaster[WRRef],0)),"")</f>
        <v>Jalen McMillan</v>
      </c>
      <c r="AM269" s="20" t="str">
        <f>IFERROR(_xlfn.CONCAT(TableWRTECalcPts[[#This Row],[POS]],INDEX(TableWRRanks[RK],MATCH(TableWRTECalcPts[[#This Row],[PLAYER]],TableWRRanks[Player],0))),"")</f>
        <v>WR57</v>
      </c>
      <c r="AN269" s="20" t="str">
        <f>IFERROR(INDEX(TableWRMaster[TM],MATCH(TableWRTECalcPts[[#This Row],[POSRef]],TableWRMaster[WRRef],0)),"")</f>
        <v>TB</v>
      </c>
      <c r="AO269" s="20">
        <f>IFERROR(INDEX(TableWRMaster[BYE],MATCH(TableWRTECalcPts[[#This Row],[POSRef]],TableWRMaster[WRRef],0)),"")</f>
        <v>10</v>
      </c>
      <c r="AP269" s="18">
        <f>IFERROR(INDEX(TableWRMaster[Custom],MATCH(TableWRTECalcPts[[#This Row],[POSRef]],TableWRMaster[WRRef],0)),"")</f>
        <v>108.1071908674808</v>
      </c>
    </row>
    <row r="270" spans="35:42" x14ac:dyDescent="0.25">
      <c r="AI270" s="2" t="s">
        <v>148</v>
      </c>
      <c r="AJ270" s="2">
        <f>IFERROR(RANK(TableWRTECalcPts[[#This Row],[Custom]],TableWRTECalcPts[Custom])+COUNTIF($AP$3:AP270,AP270)-1,"")</f>
        <v>143</v>
      </c>
      <c r="AK270" s="20">
        <v>168</v>
      </c>
      <c r="AL270" s="20" t="str">
        <f>IFERROR(INDEX(TableWRMaster[Player],MATCH(TableWRTECalcPts[[#This Row],[POSRef]],TableWRMaster[WRRef],0)),"")</f>
        <v>Ted Hurst</v>
      </c>
      <c r="AM270" s="20" t="str">
        <f>IFERROR(_xlfn.CONCAT(TableWRTECalcPts[[#This Row],[POS]],INDEX(TableWRRanks[RK],MATCH(TableWRTECalcPts[[#This Row],[PLAYER]],TableWRRanks[Player],0))),"")</f>
        <v>WR104</v>
      </c>
      <c r="AN270" s="20" t="str">
        <f>IFERROR(INDEX(TableWRMaster[TM],MATCH(TableWRTECalcPts[[#This Row],[POSRef]],TableWRMaster[WRRef],0)),"")</f>
        <v>TB</v>
      </c>
      <c r="AO270" s="20">
        <f>IFERROR(INDEX(TableWRMaster[BYE],MATCH(TableWRTECalcPts[[#This Row],[POSRef]],TableWRMaster[WRRef],0)),"")</f>
        <v>10</v>
      </c>
      <c r="AP270" s="18">
        <f>IFERROR(INDEX(TableWRMaster[Custom],MATCH(TableWRTECalcPts[[#This Row],[POSRef]],TableWRMaster[WRRef],0)),"")</f>
        <v>47.619043990707816</v>
      </c>
    </row>
    <row r="271" spans="35:42" x14ac:dyDescent="0.25">
      <c r="AI271" s="2" t="s">
        <v>148</v>
      </c>
      <c r="AJ271" s="2">
        <f>IFERROR(RANK(TableWRTECalcPts[[#This Row],[Custom]],TableWRTECalcPts[Custom])+COUNTIF($AP$3:AP271,AP271)-1,"")</f>
        <v>211</v>
      </c>
      <c r="AK271" s="20">
        <v>169</v>
      </c>
      <c r="AL271" s="20" t="str">
        <f>IFERROR(INDEX(TableWRMaster[Player],MATCH(TableWRTECalcPts[[#This Row],[POSRef]],TableWRMaster[WRRef],0)),"")</f>
        <v>Tez Johnson</v>
      </c>
      <c r="AM271" s="20" t="str">
        <f>IFERROR(_xlfn.CONCAT(TableWRTECalcPts[[#This Row],[POS]],INDEX(TableWRRanks[RK],MATCH(TableWRTECalcPts[[#This Row],[PLAYER]],TableWRRanks[Player],0))),"")</f>
        <v>WR143</v>
      </c>
      <c r="AN271" s="20" t="str">
        <f>IFERROR(INDEX(TableWRMaster[TM],MATCH(TableWRTECalcPts[[#This Row],[POSRef]],TableWRMaster[WRRef],0)),"")</f>
        <v>TB</v>
      </c>
      <c r="AO271" s="20">
        <f>IFERROR(INDEX(TableWRMaster[BYE],MATCH(TableWRTECalcPts[[#This Row],[POSRef]],TableWRMaster[WRRef],0)),"")</f>
        <v>10</v>
      </c>
      <c r="AP271" s="18">
        <f>IFERROR(INDEX(TableWRMaster[Custom],MATCH(TableWRTECalcPts[[#This Row],[POSRef]],TableWRMaster[WRRef],0)),"")</f>
        <v>11.598759577124993</v>
      </c>
    </row>
    <row r="272" spans="35:42" x14ac:dyDescent="0.25">
      <c r="AI272" s="2" t="s">
        <v>148</v>
      </c>
      <c r="AJ272" s="2">
        <f>IFERROR(RANK(TableWRTECalcPts[[#This Row],[Custom]],TableWRTECalcPts[Custom])+COUNTIF($AP$3:AP272,AP272)-1,"")</f>
        <v>243</v>
      </c>
      <c r="AK272" s="20">
        <v>170</v>
      </c>
      <c r="AL272" s="20" t="str">
        <f>IFERROR(INDEX(TableWRMaster[Player],MATCH(TableWRTECalcPts[[#This Row],[POSRef]],TableWRMaster[WRRef],0)),"")</f>
        <v>Kameron Johnson</v>
      </c>
      <c r="AM272" s="20" t="str">
        <f>IFERROR(_xlfn.CONCAT(TableWRTECalcPts[[#This Row],[POS]],INDEX(TableWRRanks[RK],MATCH(TableWRTECalcPts[[#This Row],[PLAYER]],TableWRRanks[Player],0))),"")</f>
        <v>WR166</v>
      </c>
      <c r="AN272" s="20" t="str">
        <f>IFERROR(INDEX(TableWRMaster[TM],MATCH(TableWRTECalcPts[[#This Row],[POSRef]],TableWRMaster[WRRef],0)),"")</f>
        <v>TB</v>
      </c>
      <c r="AO272" s="20">
        <f>IFERROR(INDEX(TableWRMaster[BYE],MATCH(TableWRTECalcPts[[#This Row],[POSRef]],TableWRMaster[WRRef],0)),"")</f>
        <v>10</v>
      </c>
      <c r="AP272" s="18">
        <f>IFERROR(INDEX(TableWRMaster[Custom],MATCH(TableWRTECalcPts[[#This Row],[POSRef]],TableWRMaster[WRRef],0)),"")</f>
        <v>6.3680204445311972</v>
      </c>
    </row>
    <row r="273" spans="35:42" x14ac:dyDescent="0.25">
      <c r="AI273" s="2" t="s">
        <v>148</v>
      </c>
      <c r="AJ273" s="2">
        <f>IFERROR(RANK(TableWRTECalcPts[[#This Row],[Custom]],TableWRTECalcPts[Custom])+COUNTIF($AP$3:AP273,AP273)-1,"")</f>
        <v>28</v>
      </c>
      <c r="AK273" s="20">
        <v>171</v>
      </c>
      <c r="AL273" s="20" t="str">
        <f>IFERROR(INDEX(TableWRMaster[Player],MATCH(TableWRTECalcPts[[#This Row],[POSRef]],TableWRMaster[WRRef],0)),"")</f>
        <v>Carnell Tate</v>
      </c>
      <c r="AM273" s="20" t="str">
        <f>IFERROR(_xlfn.CONCAT(TableWRTECalcPts[[#This Row],[POS]],INDEX(TableWRRanks[RK],MATCH(TableWRTECalcPts[[#This Row],[PLAYER]],TableWRRanks[Player],0))),"")</f>
        <v>WR26</v>
      </c>
      <c r="AN273" s="20" t="str">
        <f>IFERROR(INDEX(TableWRMaster[TM],MATCH(TableWRTECalcPts[[#This Row],[POSRef]],TableWRMaster[WRRef],0)),"")</f>
        <v>TEN</v>
      </c>
      <c r="AO273" s="20">
        <f>IFERROR(INDEX(TableWRMaster[BYE],MATCH(TableWRTECalcPts[[#This Row],[POSRef]],TableWRMaster[WRRef],0)),"")</f>
        <v>9</v>
      </c>
      <c r="AP273" s="18">
        <f>IFERROR(INDEX(TableWRMaster[Custom],MATCH(TableWRTECalcPts[[#This Row],[POSRef]],TableWRMaster[WRRef],0)),"")</f>
        <v>186.69245943108095</v>
      </c>
    </row>
    <row r="274" spans="35:42" x14ac:dyDescent="0.25">
      <c r="AI274" s="2" t="s">
        <v>148</v>
      </c>
      <c r="AJ274" s="2">
        <f>IFERROR(RANK(TableWRTECalcPts[[#This Row],[Custom]],TableWRTECalcPts[Custom])+COUNTIF($AP$3:AP274,AP274)-1,"")</f>
        <v>49</v>
      </c>
      <c r="AK274" s="20">
        <v>172</v>
      </c>
      <c r="AL274" s="20" t="str">
        <f>IFERROR(INDEX(TableWRMaster[Player],MATCH(TableWRTECalcPts[[#This Row],[POSRef]],TableWRMaster[WRRef],0)),"")</f>
        <v>Wan'Dale Robinson</v>
      </c>
      <c r="AM274" s="20" t="str">
        <f>IFERROR(_xlfn.CONCAT(TableWRTECalcPts[[#This Row],[POS]],INDEX(TableWRRanks[RK],MATCH(TableWRTECalcPts[[#This Row],[PLAYER]],TableWRRanks[Player],0))),"")</f>
        <v>WR41</v>
      </c>
      <c r="AN274" s="20" t="str">
        <f>IFERROR(INDEX(TableWRMaster[TM],MATCH(TableWRTECalcPts[[#This Row],[POSRef]],TableWRMaster[WRRef],0)),"")</f>
        <v>TEN</v>
      </c>
      <c r="AO274" s="20">
        <f>IFERROR(INDEX(TableWRMaster[BYE],MATCH(TableWRTECalcPts[[#This Row],[POSRef]],TableWRMaster[WRRef],0)),"")</f>
        <v>9</v>
      </c>
      <c r="AP274" s="18">
        <f>IFERROR(INDEX(TableWRMaster[Custom],MATCH(TableWRTECalcPts[[#This Row],[POSRef]],TableWRMaster[WRRef],0)),"")</f>
        <v>152.09749839836161</v>
      </c>
    </row>
    <row r="275" spans="35:42" x14ac:dyDescent="0.25">
      <c r="AI275" s="2" t="s">
        <v>148</v>
      </c>
      <c r="AJ275" s="2">
        <f>IFERROR(RANK(TableWRTECalcPts[[#This Row],[Custom]],TableWRTECalcPts[Custom])+COUNTIF($AP$3:AP275,AP275)-1,"")</f>
        <v>80</v>
      </c>
      <c r="AK275" s="20">
        <v>173</v>
      </c>
      <c r="AL275" s="20" t="str">
        <f>IFERROR(INDEX(TableWRMaster[Player],MATCH(TableWRTECalcPts[[#This Row],[POSRef]],TableWRMaster[WRRef],0)),"")</f>
        <v>Calvin Ridley</v>
      </c>
      <c r="AM275" s="20" t="str">
        <f>IFERROR(_xlfn.CONCAT(TableWRTECalcPts[[#This Row],[POS]],INDEX(TableWRRanks[RK],MATCH(TableWRTECalcPts[[#This Row],[PLAYER]],TableWRRanks[Player],0))),"")</f>
        <v>WR59</v>
      </c>
      <c r="AN275" s="20" t="str">
        <f>IFERROR(INDEX(TableWRMaster[TM],MATCH(TableWRTECalcPts[[#This Row],[POSRef]],TableWRMaster[WRRef],0)),"")</f>
        <v>TEN</v>
      </c>
      <c r="AO275" s="20">
        <f>IFERROR(INDEX(TableWRMaster[BYE],MATCH(TableWRTECalcPts[[#This Row],[POSRef]],TableWRMaster[WRRef],0)),"")</f>
        <v>9</v>
      </c>
      <c r="AP275" s="18">
        <f>IFERROR(INDEX(TableWRMaster[Custom],MATCH(TableWRTECalcPts[[#This Row],[POSRef]],TableWRMaster[WRRef],0)),"")</f>
        <v>105.40024930600705</v>
      </c>
    </row>
    <row r="276" spans="35:42" x14ac:dyDescent="0.25">
      <c r="AI276" s="2" t="s">
        <v>148</v>
      </c>
      <c r="AJ276" s="2">
        <f>IFERROR(RANK(TableWRTECalcPts[[#This Row],[Custom]],TableWRTECalcPts[Custom])+COUNTIF($AP$3:AP276,AP276)-1,"")</f>
        <v>150</v>
      </c>
      <c r="AK276" s="20">
        <v>174</v>
      </c>
      <c r="AL276" s="20" t="str">
        <f>IFERROR(INDEX(TableWRMaster[Player],MATCH(TableWRTECalcPts[[#This Row],[POSRef]],TableWRMaster[WRRef],0)),"")</f>
        <v>Elic Ayomanor</v>
      </c>
      <c r="AM276" s="20" t="str">
        <f>IFERROR(_xlfn.CONCAT(TableWRTECalcPts[[#This Row],[POS]],INDEX(TableWRRanks[RK],MATCH(TableWRTECalcPts[[#This Row],[PLAYER]],TableWRRanks[Player],0))),"")</f>
        <v>WR109</v>
      </c>
      <c r="AN276" s="20" t="str">
        <f>IFERROR(INDEX(TableWRMaster[TM],MATCH(TableWRTECalcPts[[#This Row],[POSRef]],TableWRMaster[WRRef],0)),"")</f>
        <v>TEN</v>
      </c>
      <c r="AO276" s="20">
        <f>IFERROR(INDEX(TableWRMaster[BYE],MATCH(TableWRTECalcPts[[#This Row],[POSRef]],TableWRMaster[WRRef],0)),"")</f>
        <v>9</v>
      </c>
      <c r="AP276" s="18">
        <f>IFERROR(INDEX(TableWRMaster[Custom],MATCH(TableWRTECalcPts[[#This Row],[POSRef]],TableWRMaster[WRRef],0)),"")</f>
        <v>42.293158152537607</v>
      </c>
    </row>
    <row r="277" spans="35:42" x14ac:dyDescent="0.25">
      <c r="AI277" s="2" t="s">
        <v>148</v>
      </c>
      <c r="AJ277" s="2">
        <f>IFERROR(RANK(TableWRTECalcPts[[#This Row],[Custom]],TableWRTECalcPts[Custom])+COUNTIF($AP$3:AP277,AP277)-1,"")</f>
        <v>190</v>
      </c>
      <c r="AK277" s="20">
        <v>175</v>
      </c>
      <c r="AL277" s="20" t="str">
        <f>IFERROR(INDEX(TableWRMaster[Player],MATCH(TableWRTECalcPts[[#This Row],[POSRef]],TableWRMaster[WRRef],0)),"")</f>
        <v>Chimere Dike</v>
      </c>
      <c r="AM277" s="20" t="str">
        <f>IFERROR(_xlfn.CONCAT(TableWRTECalcPts[[#This Row],[POS]],INDEX(TableWRRanks[RK],MATCH(TableWRTECalcPts[[#This Row],[PLAYER]],TableWRRanks[Player],0))),"")</f>
        <v>WR130</v>
      </c>
      <c r="AN277" s="20" t="str">
        <f>IFERROR(INDEX(TableWRMaster[TM],MATCH(TableWRTECalcPts[[#This Row],[POSRef]],TableWRMaster[WRRef],0)),"")</f>
        <v>TEN</v>
      </c>
      <c r="AO277" s="20">
        <f>IFERROR(INDEX(TableWRMaster[BYE],MATCH(TableWRTECalcPts[[#This Row],[POSRef]],TableWRMaster[WRRef],0)),"")</f>
        <v>9</v>
      </c>
      <c r="AP277" s="18">
        <f>IFERROR(INDEX(TableWRMaster[Custom],MATCH(TableWRTECalcPts[[#This Row],[POSRef]],TableWRMaster[WRRef],0)),"")</f>
        <v>19.953913792414774</v>
      </c>
    </row>
    <row r="278" spans="35:42" x14ac:dyDescent="0.25">
      <c r="AI278" s="2" t="s">
        <v>148</v>
      </c>
      <c r="AJ278" s="2">
        <f>IFERROR(RANK(TableWRTECalcPts[[#This Row],[Custom]],TableWRTECalcPts[Custom])+COUNTIF($AP$3:AP278,AP278)-1,"")</f>
        <v>214</v>
      </c>
      <c r="AK278" s="20">
        <v>176</v>
      </c>
      <c r="AL278" s="20" t="str">
        <f>IFERROR(INDEX(TableWRMaster[Player],MATCH(TableWRTECalcPts[[#This Row],[POSRef]],TableWRMaster[WRRef],0)),"")</f>
        <v>K.J. Osborn</v>
      </c>
      <c r="AM278" s="20" t="str">
        <f>IFERROR(_xlfn.CONCAT(TableWRTECalcPts[[#This Row],[POS]],INDEX(TableWRRanks[RK],MATCH(TableWRTECalcPts[[#This Row],[PLAYER]],TableWRRanks[Player],0))),"")</f>
        <v>WR145</v>
      </c>
      <c r="AN278" s="20" t="str">
        <f>IFERROR(INDEX(TableWRMaster[TM],MATCH(TableWRTECalcPts[[#This Row],[POSRef]],TableWRMaster[WRRef],0)),"")</f>
        <v>TEN</v>
      </c>
      <c r="AO278" s="20">
        <f>IFERROR(INDEX(TableWRMaster[BYE],MATCH(TableWRTECalcPts[[#This Row],[POSRef]],TableWRMaster[WRRef],0)),"")</f>
        <v>9</v>
      </c>
      <c r="AP278" s="18">
        <f>IFERROR(INDEX(TableWRMaster[Custom],MATCH(TableWRTECalcPts[[#This Row],[POSRef]],TableWRMaster[WRRef],0)),"")</f>
        <v>10.322717076403201</v>
      </c>
    </row>
    <row r="279" spans="35:42" x14ac:dyDescent="0.25">
      <c r="AI279" s="2" t="s">
        <v>148</v>
      </c>
      <c r="AJ279" s="2">
        <f>IFERROR(RANK(TableWRTECalcPts[[#This Row],[Custom]],TableWRTECalcPts[Custom])+COUNTIF($AP$3:AP279,AP279)-1,"")</f>
        <v>15</v>
      </c>
      <c r="AK279" s="20">
        <v>177</v>
      </c>
      <c r="AL279" s="20" t="str">
        <f>IFERROR(INDEX(TableWRMaster[Player],MATCH(TableWRTECalcPts[[#This Row],[POSRef]],TableWRMaster[WRRef],0)),"")</f>
        <v>Terry McLaurin</v>
      </c>
      <c r="AM279" s="20" t="str">
        <f>IFERROR(_xlfn.CONCAT(TableWRTECalcPts[[#This Row],[POS]],INDEX(TableWRRanks[RK],MATCH(TableWRTECalcPts[[#This Row],[PLAYER]],TableWRRanks[Player],0))),"")</f>
        <v>WR15</v>
      </c>
      <c r="AN279" s="20" t="str">
        <f>IFERROR(INDEX(TableWRMaster[TM],MATCH(TableWRTECalcPts[[#This Row],[POSRef]],TableWRMaster[WRRef],0)),"")</f>
        <v>WSH</v>
      </c>
      <c r="AO279" s="20">
        <f>IFERROR(INDEX(TableWRMaster[BYE],MATCH(TableWRTECalcPts[[#This Row],[POSRef]],TableWRMaster[WRRef],0)),"")</f>
        <v>7</v>
      </c>
      <c r="AP279" s="18">
        <f>IFERROR(INDEX(TableWRMaster[Custom],MATCH(TableWRTECalcPts[[#This Row],[POSRef]],TableWRMaster[WRRef],0)),"")</f>
        <v>200.39780956148348</v>
      </c>
    </row>
    <row r="280" spans="35:42" x14ac:dyDescent="0.25">
      <c r="AI280" s="2" t="s">
        <v>148</v>
      </c>
      <c r="AJ280" s="2">
        <f>IFERROR(RANK(TableWRTECalcPts[[#This Row],[Custom]],TableWRTECalcPts[Custom])+COUNTIF($AP$3:AP280,AP280)-1,"")</f>
        <v>81</v>
      </c>
      <c r="AK280" s="20">
        <v>178</v>
      </c>
      <c r="AL280" s="20" t="str">
        <f>IFERROR(INDEX(TableWRMaster[Player],MATCH(TableWRTECalcPts[[#This Row],[POSRef]],TableWRMaster[WRRef],0)),"")</f>
        <v>Antonio Williams</v>
      </c>
      <c r="AM280" s="20" t="str">
        <f>IFERROR(_xlfn.CONCAT(TableWRTECalcPts[[#This Row],[POS]],INDEX(TableWRRanks[RK],MATCH(TableWRTECalcPts[[#This Row],[PLAYER]],TableWRRanks[Player],0))),"")</f>
        <v>WR60</v>
      </c>
      <c r="AN280" s="20" t="str">
        <f>IFERROR(INDEX(TableWRMaster[TM],MATCH(TableWRTECalcPts[[#This Row],[POSRef]],TableWRMaster[WRRef],0)),"")</f>
        <v>WSH</v>
      </c>
      <c r="AO280" s="20">
        <f>IFERROR(INDEX(TableWRMaster[BYE],MATCH(TableWRTECalcPts[[#This Row],[POSRef]],TableWRMaster[WRRef],0)),"")</f>
        <v>7</v>
      </c>
      <c r="AP280" s="18">
        <f>IFERROR(INDEX(TableWRMaster[Custom],MATCH(TableWRTECalcPts[[#This Row],[POSRef]],TableWRMaster[WRRef],0)),"")</f>
        <v>103.72050015538173</v>
      </c>
    </row>
    <row r="281" spans="35:42" x14ac:dyDescent="0.25">
      <c r="AI281" s="2" t="s">
        <v>148</v>
      </c>
      <c r="AJ281" s="2">
        <f>IFERROR(RANK(TableWRTECalcPts[[#This Row],[Custom]],TableWRTECalcPts[Custom])+COUNTIF($AP$3:AP281,AP281)-1,"")</f>
        <v>140</v>
      </c>
      <c r="AK281" s="20">
        <v>179</v>
      </c>
      <c r="AL281" s="20" t="str">
        <f>IFERROR(INDEX(TableWRMaster[Player],MATCH(TableWRTECalcPts[[#This Row],[POSRef]],TableWRMaster[WRRef],0)),"")</f>
        <v>Dyami Brown</v>
      </c>
      <c r="AM281" s="20" t="str">
        <f>IFERROR(_xlfn.CONCAT(TableWRTECalcPts[[#This Row],[POS]],INDEX(TableWRRanks[RK],MATCH(TableWRTECalcPts[[#This Row],[PLAYER]],TableWRRanks[Player],0))),"")</f>
        <v>WR102</v>
      </c>
      <c r="AN281" s="20" t="str">
        <f>IFERROR(INDEX(TableWRMaster[TM],MATCH(TableWRTECalcPts[[#This Row],[POSRef]],TableWRMaster[WRRef],0)),"")</f>
        <v>WSH</v>
      </c>
      <c r="AO281" s="20">
        <f>IFERROR(INDEX(TableWRMaster[BYE],MATCH(TableWRTECalcPts[[#This Row],[POSRef]],TableWRMaster[WRRef],0)),"")</f>
        <v>7</v>
      </c>
      <c r="AP281" s="18">
        <f>IFERROR(INDEX(TableWRMaster[Custom],MATCH(TableWRTECalcPts[[#This Row],[POSRef]],TableWRMaster[WRRef],0)),"")</f>
        <v>50.015364219898544</v>
      </c>
    </row>
    <row r="282" spans="35:42" x14ac:dyDescent="0.25">
      <c r="AI282" s="2" t="s">
        <v>148</v>
      </c>
      <c r="AJ282" s="2">
        <f>IFERROR(RANK(TableWRTECalcPts[[#This Row],[Custom]],TableWRTECalcPts[Custom])+COUNTIF($AP$3:AP282,AP282)-1,"")</f>
        <v>163</v>
      </c>
      <c r="AK282" s="20">
        <v>180</v>
      </c>
      <c r="AL282" s="20" t="str">
        <f>IFERROR(INDEX(TableWRMaster[Player],MATCH(TableWRTECalcPts[[#This Row],[POSRef]],TableWRMaster[WRRef],0)),"")</f>
        <v>Jaylin Lane</v>
      </c>
      <c r="AM282" s="20" t="str">
        <f>IFERROR(_xlfn.CONCAT(TableWRTECalcPts[[#This Row],[POS]],INDEX(TableWRRanks[RK],MATCH(TableWRTECalcPts[[#This Row],[PLAYER]],TableWRRanks[Player],0))),"")</f>
        <v>WR118</v>
      </c>
      <c r="AN282" s="20" t="str">
        <f>IFERROR(INDEX(TableWRMaster[TM],MATCH(TableWRTECalcPts[[#This Row],[POSRef]],TableWRMaster[WRRef],0)),"")</f>
        <v>WSH</v>
      </c>
      <c r="AO282" s="20">
        <f>IFERROR(INDEX(TableWRMaster[BYE],MATCH(TableWRTECalcPts[[#This Row],[POSRef]],TableWRMaster[WRRef],0)),"")</f>
        <v>7</v>
      </c>
      <c r="AP282" s="18">
        <f>IFERROR(INDEX(TableWRMaster[Custom],MATCH(TableWRTECalcPts[[#This Row],[POSRef]],TableWRMaster[WRRef],0)),"")</f>
        <v>33.911979493432312</v>
      </c>
    </row>
    <row r="283" spans="35:42" x14ac:dyDescent="0.25">
      <c r="AI283" s="2" t="s">
        <v>148</v>
      </c>
      <c r="AJ283" s="2">
        <f>IFERROR(RANK(TableWRTECalcPts[[#This Row],[Custom]],TableWRTECalcPts[Custom])+COUNTIF($AP$3:AP283,AP283)-1,"")</f>
        <v>158</v>
      </c>
      <c r="AK283" s="20">
        <v>181</v>
      </c>
      <c r="AL283" s="20" t="str">
        <f>IFERROR(INDEX(TableWRMaster[Player],MATCH(TableWRTECalcPts[[#This Row],[POSRef]],TableWRMaster[WRRef],0)),"")</f>
        <v>Treylon Burks</v>
      </c>
      <c r="AM283" s="20" t="str">
        <f>IFERROR(_xlfn.CONCAT(TableWRTECalcPts[[#This Row],[POS]],INDEX(TableWRRanks[RK],MATCH(TableWRTECalcPts[[#This Row],[PLAYER]],TableWRRanks[Player],0))),"")</f>
        <v>WR114</v>
      </c>
      <c r="AN283" s="20" t="str">
        <f>IFERROR(INDEX(TableWRMaster[TM],MATCH(TableWRTECalcPts[[#This Row],[POSRef]],TableWRMaster[WRRef],0)),"")</f>
        <v>WSH</v>
      </c>
      <c r="AO283" s="20">
        <f>IFERROR(INDEX(TableWRMaster[BYE],MATCH(TableWRTECalcPts[[#This Row],[POSRef]],TableWRMaster[WRRef],0)),"")</f>
        <v>7</v>
      </c>
      <c r="AP283" s="18">
        <f>IFERROR(INDEX(TableWRMaster[Custom],MATCH(TableWRTECalcPts[[#This Row],[POSRef]],TableWRMaster[WRRef],0)),"")</f>
        <v>39.492766813743984</v>
      </c>
    </row>
    <row r="284" spans="35:42" x14ac:dyDescent="0.25">
      <c r="AI284" s="2" t="s">
        <v>148</v>
      </c>
      <c r="AJ284" s="2">
        <f>IFERROR(RANK(TableWRTECalcPts[[#This Row],[Custom]],TableWRTECalcPts[Custom])+COUNTIF($AP$3:AP284,AP284)-1,"")</f>
        <v>199</v>
      </c>
      <c r="AK284" s="20">
        <v>182</v>
      </c>
      <c r="AL284" s="20" t="str">
        <f>IFERROR(INDEX(TableWRMaster[Player],MATCH(TableWRTECalcPts[[#This Row],[POSRef]],TableWRMaster[WRRef],0)),"")</f>
        <v>Luke McCaffrey</v>
      </c>
      <c r="AM284" s="20" t="str">
        <f>IFERROR(_xlfn.CONCAT(TableWRTECalcPts[[#This Row],[POS]],INDEX(TableWRRanks[RK],MATCH(TableWRTECalcPts[[#This Row],[PLAYER]],TableWRRanks[Player],0))),"")</f>
        <v>WR134</v>
      </c>
      <c r="AN284" s="20" t="str">
        <f>IFERROR(INDEX(TableWRMaster[TM],MATCH(TableWRTECalcPts[[#This Row],[POSRef]],TableWRMaster[WRRef],0)),"")</f>
        <v>WSH</v>
      </c>
      <c r="AO284" s="20">
        <f>IFERROR(INDEX(TableWRMaster[BYE],MATCH(TableWRTECalcPts[[#This Row],[POSRef]],TableWRMaster[WRRef],0)),"")</f>
        <v>7</v>
      </c>
      <c r="AP284" s="18">
        <f>IFERROR(INDEX(TableWRMaster[Custom],MATCH(TableWRTECalcPts[[#This Row],[POSRef]],TableWRMaster[WRRef],0)),"")</f>
        <v>16.997646659839997</v>
      </c>
    </row>
    <row r="285" spans="35:42" x14ac:dyDescent="0.25">
      <c r="AI285" s="2" t="s">
        <v>148</v>
      </c>
      <c r="AJ285" s="2" t="str">
        <f>IFERROR(RANK(TableWRTECalcPts[[#This Row],[Custom]],TableWRTECalcPts[Custom])+COUNTIF($AP$3:AP285,AP285)-1,"")</f>
        <v/>
      </c>
      <c r="AK285" s="20">
        <v>183</v>
      </c>
      <c r="AL285" s="20" t="str">
        <f>IFERROR(INDEX(TableWRMaster[Player],MATCH(TableWRTECalcPts[[#This Row],[POSRef]],TableWRMaster[WRRef],0)),"")</f>
        <v/>
      </c>
      <c r="AM285" s="20" t="str">
        <f>IFERROR(_xlfn.CONCAT(TableWRTECalcPts[[#This Row],[POS]],INDEX(TableWRRanks[RK],MATCH(TableWRTECalcPts[[#This Row],[PLAYER]],TableWRRanks[Player],0))),"")</f>
        <v>WR183</v>
      </c>
      <c r="AN285" s="20" t="str">
        <f>IFERROR(INDEX(TableWRMaster[TM],MATCH(TableWRTECalcPts[[#This Row],[POSRef]],TableWRMaster[WRRef],0)),"")</f>
        <v/>
      </c>
      <c r="AO285" s="20" t="str">
        <f>IFERROR(INDEX(TableWRMaster[BYE],MATCH(TableWRTECalcPts[[#This Row],[POSRef]],TableWRMaster[WRRef],0)),"")</f>
        <v/>
      </c>
      <c r="AP285" s="18" t="str">
        <f>IFERROR(INDEX(TableWRMaster[Custom],MATCH(TableWRTECalcPts[[#This Row],[POSRef]],TableWRMaster[WRRef],0)),"")</f>
        <v/>
      </c>
    </row>
    <row r="286" spans="35:42" x14ac:dyDescent="0.25">
      <c r="AI286" s="2" t="s">
        <v>148</v>
      </c>
      <c r="AJ286" s="2" t="str">
        <f>IFERROR(RANK(TableWRTECalcPts[[#This Row],[Custom]],TableWRTECalcPts[Custom])+COUNTIF($AP$3:AP286,AP286)-1,"")</f>
        <v/>
      </c>
      <c r="AK286" s="20">
        <v>184</v>
      </c>
      <c r="AL286" s="20" t="str">
        <f>IFERROR(INDEX(TableWRMaster[Player],MATCH(TableWRTECalcPts[[#This Row],[POSRef]],TableWRMaster[WRRef],0)),"")</f>
        <v/>
      </c>
      <c r="AM286" s="20" t="str">
        <f>IFERROR(_xlfn.CONCAT(TableWRTECalcPts[[#This Row],[POS]],INDEX(TableWRRanks[RK],MATCH(TableWRTECalcPts[[#This Row],[PLAYER]],TableWRRanks[Player],0))),"")</f>
        <v>WR183</v>
      </c>
      <c r="AN286" s="20" t="str">
        <f>IFERROR(INDEX(TableWRMaster[TM],MATCH(TableWRTECalcPts[[#This Row],[POSRef]],TableWRMaster[WRRef],0)),"")</f>
        <v/>
      </c>
      <c r="AO286" s="20" t="str">
        <f>IFERROR(INDEX(TableWRMaster[BYE],MATCH(TableWRTECalcPts[[#This Row],[POSRef]],TableWRMaster[WRRef],0)),"")</f>
        <v/>
      </c>
      <c r="AP286" s="18" t="str">
        <f>IFERROR(INDEX(TableWRMaster[Custom],MATCH(TableWRTECalcPts[[#This Row],[POSRef]],TableWRMaster[WRRef],0)),"")</f>
        <v/>
      </c>
    </row>
    <row r="287" spans="35:42" x14ac:dyDescent="0.25">
      <c r="AI287" s="2" t="s">
        <v>148</v>
      </c>
      <c r="AJ287" s="2" t="str">
        <f>IFERROR(RANK(TableWRTECalcPts[[#This Row],[Custom]],TableWRTECalcPts[Custom])+COUNTIF($AP$3:AP287,AP287)-1,"")</f>
        <v/>
      </c>
      <c r="AK287" s="20">
        <v>185</v>
      </c>
      <c r="AL287" s="20" t="str">
        <f>IFERROR(INDEX(TableWRMaster[Player],MATCH(TableWRTECalcPts[[#This Row],[POSRef]],TableWRMaster[WRRef],0)),"")</f>
        <v/>
      </c>
      <c r="AM287" s="20" t="str">
        <f>IFERROR(_xlfn.CONCAT(TableWRTECalcPts[[#This Row],[POS]],INDEX(TableWRRanks[RK],MATCH(TableWRTECalcPts[[#This Row],[PLAYER]],TableWRRanks[Player],0))),"")</f>
        <v>WR183</v>
      </c>
      <c r="AN287" s="20" t="str">
        <f>IFERROR(INDEX(TableWRMaster[TM],MATCH(TableWRTECalcPts[[#This Row],[POSRef]],TableWRMaster[WRRef],0)),"")</f>
        <v/>
      </c>
      <c r="AO287" s="20" t="str">
        <f>IFERROR(INDEX(TableWRMaster[BYE],MATCH(TableWRTECalcPts[[#This Row],[POSRef]],TableWRMaster[WRRef],0)),"")</f>
        <v/>
      </c>
      <c r="AP287" s="18" t="str">
        <f>IFERROR(INDEX(TableWRMaster[Custom],MATCH(TableWRTECalcPts[[#This Row],[POSRef]],TableWRMaster[WRRef],0)),"")</f>
        <v/>
      </c>
    </row>
    <row r="288" spans="35:42" x14ac:dyDescent="0.25">
      <c r="AI288" s="2" t="s">
        <v>148</v>
      </c>
      <c r="AJ288" s="2" t="str">
        <f>IFERROR(RANK(TableWRTECalcPts[[#This Row],[Custom]],TableWRTECalcPts[Custom])+COUNTIF($AP$3:AP288,AP288)-1,"")</f>
        <v/>
      </c>
      <c r="AK288" s="20">
        <v>186</v>
      </c>
      <c r="AL288" s="20" t="str">
        <f>IFERROR(INDEX(TableWRMaster[Player],MATCH(TableWRTECalcPts[[#This Row],[POSRef]],TableWRMaster[WRRef],0)),"")</f>
        <v/>
      </c>
      <c r="AM288" s="20" t="str">
        <f>IFERROR(_xlfn.CONCAT(TableWRTECalcPts[[#This Row],[POS]],INDEX(TableWRRanks[RK],MATCH(TableWRTECalcPts[[#This Row],[PLAYER]],TableWRRanks[Player],0))),"")</f>
        <v>WR183</v>
      </c>
      <c r="AN288" s="20" t="str">
        <f>IFERROR(INDEX(TableWRMaster[TM],MATCH(TableWRTECalcPts[[#This Row],[POSRef]],TableWRMaster[WRRef],0)),"")</f>
        <v/>
      </c>
      <c r="AO288" s="20" t="str">
        <f>IFERROR(INDEX(TableWRMaster[BYE],MATCH(TableWRTECalcPts[[#This Row],[POSRef]],TableWRMaster[WRRef],0)),"")</f>
        <v/>
      </c>
      <c r="AP288" s="18" t="str">
        <f>IFERROR(INDEX(TableWRMaster[Custom],MATCH(TableWRTECalcPts[[#This Row],[POSRef]],TableWRMaster[WRRef],0)),"")</f>
        <v/>
      </c>
    </row>
    <row r="289" spans="35:42" x14ac:dyDescent="0.25">
      <c r="AI289" s="2" t="s">
        <v>148</v>
      </c>
      <c r="AJ289" s="2" t="str">
        <f>IFERROR(RANK(TableWRTECalcPts[[#This Row],[Custom]],TableWRTECalcPts[Custom])+COUNTIF($AP$3:AP289,AP289)-1,"")</f>
        <v/>
      </c>
      <c r="AK289" s="20">
        <v>187</v>
      </c>
      <c r="AL289" s="20" t="str">
        <f>IFERROR(INDEX(TableWRMaster[Player],MATCH(TableWRTECalcPts[[#This Row],[POSRef]],TableWRMaster[WRRef],0)),"")</f>
        <v/>
      </c>
      <c r="AM289" s="20" t="str">
        <f>IFERROR(_xlfn.CONCAT(TableWRTECalcPts[[#This Row],[POS]],INDEX(TableWRRanks[RK],MATCH(TableWRTECalcPts[[#This Row],[PLAYER]],TableWRRanks[Player],0))),"")</f>
        <v>WR183</v>
      </c>
      <c r="AN289" s="20" t="str">
        <f>IFERROR(INDEX(TableWRMaster[TM],MATCH(TableWRTECalcPts[[#This Row],[POSRef]],TableWRMaster[WRRef],0)),"")</f>
        <v/>
      </c>
      <c r="AO289" s="20" t="str">
        <f>IFERROR(INDEX(TableWRMaster[BYE],MATCH(TableWRTECalcPts[[#This Row],[POSRef]],TableWRMaster[WRRef],0)),"")</f>
        <v/>
      </c>
      <c r="AP289" s="18" t="str">
        <f>IFERROR(INDEX(TableWRMaster[Custom],MATCH(TableWRTECalcPts[[#This Row],[POSRef]],TableWRMaster[WRRef],0)),"")</f>
        <v/>
      </c>
    </row>
    <row r="290" spans="35:42" x14ac:dyDescent="0.25">
      <c r="AI290" s="2" t="s">
        <v>148</v>
      </c>
      <c r="AJ290" s="2" t="str">
        <f>IFERROR(RANK(TableWRTECalcPts[[#This Row],[Custom]],TableWRTECalcPts[Custom])+COUNTIF($AP$3:AP290,AP290)-1,"")</f>
        <v/>
      </c>
      <c r="AK290" s="20">
        <v>188</v>
      </c>
      <c r="AL290" s="20" t="str">
        <f>IFERROR(INDEX(TableWRMaster[Player],MATCH(TableWRTECalcPts[[#This Row],[POSRef]],TableWRMaster[WRRef],0)),"")</f>
        <v/>
      </c>
      <c r="AM290" s="20" t="str">
        <f>IFERROR(_xlfn.CONCAT(TableWRTECalcPts[[#This Row],[POS]],INDEX(TableWRRanks[RK],MATCH(TableWRTECalcPts[[#This Row],[PLAYER]],TableWRRanks[Player],0))),"")</f>
        <v>WR183</v>
      </c>
      <c r="AN290" s="20" t="str">
        <f>IFERROR(INDEX(TableWRMaster[TM],MATCH(TableWRTECalcPts[[#This Row],[POSRef]],TableWRMaster[WRRef],0)),"")</f>
        <v/>
      </c>
      <c r="AO290" s="20" t="str">
        <f>IFERROR(INDEX(TableWRMaster[BYE],MATCH(TableWRTECalcPts[[#This Row],[POSRef]],TableWRMaster[WRRef],0)),"")</f>
        <v/>
      </c>
      <c r="AP290" s="18" t="str">
        <f>IFERROR(INDEX(TableWRMaster[Custom],MATCH(TableWRTECalcPts[[#This Row],[POSRef]],TableWRMaster[WRRef],0)),"")</f>
        <v/>
      </c>
    </row>
    <row r="291" spans="35:42" x14ac:dyDescent="0.25">
      <c r="AI291" s="2" t="s">
        <v>148</v>
      </c>
      <c r="AJ291" s="2" t="str">
        <f>IFERROR(RANK(TableWRTECalcPts[[#This Row],[Custom]],TableWRTECalcPts[Custom])+COUNTIF($AP$3:AP291,AP291)-1,"")</f>
        <v/>
      </c>
      <c r="AK291" s="20">
        <v>189</v>
      </c>
      <c r="AL291" s="20" t="str">
        <f>IFERROR(INDEX(TableWRMaster[Player],MATCH(TableWRTECalcPts[[#This Row],[POSRef]],TableWRMaster[WRRef],0)),"")</f>
        <v/>
      </c>
      <c r="AM291" s="20" t="str">
        <f>IFERROR(_xlfn.CONCAT(TableWRTECalcPts[[#This Row],[POS]],INDEX(TableWRRanks[RK],MATCH(TableWRTECalcPts[[#This Row],[PLAYER]],TableWRRanks[Player],0))),"")</f>
        <v>WR183</v>
      </c>
      <c r="AN291" s="20" t="str">
        <f>IFERROR(INDEX(TableWRMaster[TM],MATCH(TableWRTECalcPts[[#This Row],[POSRef]],TableWRMaster[WRRef],0)),"")</f>
        <v/>
      </c>
      <c r="AO291" s="20" t="str">
        <f>IFERROR(INDEX(TableWRMaster[BYE],MATCH(TableWRTECalcPts[[#This Row],[POSRef]],TableWRMaster[WRRef],0)),"")</f>
        <v/>
      </c>
      <c r="AP291" s="18" t="str">
        <f>IFERROR(INDEX(TableWRMaster[Custom],MATCH(TableWRTECalcPts[[#This Row],[POSRef]],TableWRMaster[WRRef],0)),"")</f>
        <v/>
      </c>
    </row>
    <row r="292" spans="35:42" x14ac:dyDescent="0.25">
      <c r="AI292" s="2" t="s">
        <v>148</v>
      </c>
      <c r="AJ292" s="2" t="str">
        <f>IFERROR(RANK(TableWRTECalcPts[[#This Row],[Custom]],TableWRTECalcPts[Custom])+COUNTIF($AP$3:AP292,AP292)-1,"")</f>
        <v/>
      </c>
      <c r="AK292" s="20">
        <v>190</v>
      </c>
      <c r="AL292" s="20" t="str">
        <f>IFERROR(INDEX(TableWRMaster[Player],MATCH(TableWRTECalcPts[[#This Row],[POSRef]],TableWRMaster[WRRef],0)),"")</f>
        <v/>
      </c>
      <c r="AM292" s="20" t="str">
        <f>IFERROR(_xlfn.CONCAT(TableWRTECalcPts[[#This Row],[POS]],INDEX(TableWRRanks[RK],MATCH(TableWRTECalcPts[[#This Row],[PLAYER]],TableWRRanks[Player],0))),"")</f>
        <v>WR183</v>
      </c>
      <c r="AN292" s="20" t="str">
        <f>IFERROR(INDEX(TableWRMaster[TM],MATCH(TableWRTECalcPts[[#This Row],[POSRef]],TableWRMaster[WRRef],0)),"")</f>
        <v/>
      </c>
      <c r="AO292" s="20" t="str">
        <f>IFERROR(INDEX(TableWRMaster[BYE],MATCH(TableWRTECalcPts[[#This Row],[POSRef]],TableWRMaster[WRRef],0)),"")</f>
        <v/>
      </c>
      <c r="AP292" s="18" t="str">
        <f>IFERROR(INDEX(TableWRMaster[Custom],MATCH(TableWRTECalcPts[[#This Row],[POSRef]],TableWRMaster[WRRef],0)),"")</f>
        <v/>
      </c>
    </row>
    <row r="293" spans="35:42" x14ac:dyDescent="0.25">
      <c r="AI293" s="2" t="s">
        <v>148</v>
      </c>
      <c r="AJ293" s="2" t="str">
        <f>IFERROR(RANK(TableWRTECalcPts[[#This Row],[Custom]],TableWRTECalcPts[Custom])+COUNTIF($AP$3:AP293,AP293)-1,"")</f>
        <v/>
      </c>
      <c r="AK293" s="20">
        <v>191</v>
      </c>
      <c r="AL293" s="20" t="str">
        <f>IFERROR(INDEX(TableWRMaster[Player],MATCH(TableWRTECalcPts[[#This Row],[POSRef]],TableWRMaster[WRRef],0)),"")</f>
        <v/>
      </c>
      <c r="AM293" s="20" t="str">
        <f>IFERROR(_xlfn.CONCAT(TableWRTECalcPts[[#This Row],[POS]],INDEX(TableWRRanks[RK],MATCH(TableWRTECalcPts[[#This Row],[PLAYER]],TableWRRanks[Player],0))),"")</f>
        <v>WR183</v>
      </c>
      <c r="AN293" s="20" t="str">
        <f>IFERROR(INDEX(TableWRMaster[TM],MATCH(TableWRTECalcPts[[#This Row],[POSRef]],TableWRMaster[WRRef],0)),"")</f>
        <v/>
      </c>
      <c r="AO293" s="20" t="str">
        <f>IFERROR(INDEX(TableWRMaster[BYE],MATCH(TableWRTECalcPts[[#This Row],[POSRef]],TableWRMaster[WRRef],0)),"")</f>
        <v/>
      </c>
      <c r="AP293" s="18" t="str">
        <f>IFERROR(INDEX(TableWRMaster[Custom],MATCH(TableWRTECalcPts[[#This Row],[POSRef]],TableWRMaster[WRRef],0)),"")</f>
        <v/>
      </c>
    </row>
    <row r="294" spans="35:42" x14ac:dyDescent="0.25">
      <c r="AI294" s="2" t="s">
        <v>148</v>
      </c>
      <c r="AJ294" s="2" t="str">
        <f>IFERROR(RANK(TableWRTECalcPts[[#This Row],[Custom]],TableWRTECalcPts[Custom])+COUNTIF($AP$3:AP294,AP294)-1,"")</f>
        <v/>
      </c>
      <c r="AK294" s="20">
        <v>192</v>
      </c>
      <c r="AL294" s="20" t="str">
        <f>IFERROR(INDEX(TableWRMaster[Player],MATCH(TableWRTECalcPts[[#This Row],[POSRef]],TableWRMaster[WRRef],0)),"")</f>
        <v/>
      </c>
      <c r="AM294" s="20" t="str">
        <f>IFERROR(_xlfn.CONCAT(TableWRTECalcPts[[#This Row],[POS]],INDEX(TableWRRanks[RK],MATCH(TableWRTECalcPts[[#This Row],[PLAYER]],TableWRRanks[Player],0))),"")</f>
        <v>WR183</v>
      </c>
      <c r="AN294" s="20" t="str">
        <f>IFERROR(INDEX(TableWRMaster[TM],MATCH(TableWRTECalcPts[[#This Row],[POSRef]],TableWRMaster[WRRef],0)),"")</f>
        <v/>
      </c>
      <c r="AO294" s="20" t="str">
        <f>IFERROR(INDEX(TableWRMaster[BYE],MATCH(TableWRTECalcPts[[#This Row],[POSRef]],TableWRMaster[WRRef],0)),"")</f>
        <v/>
      </c>
      <c r="AP294" s="18" t="str">
        <f>IFERROR(INDEX(TableWRMaster[Custom],MATCH(TableWRTECalcPts[[#This Row],[POSRef]],TableWRMaster[WRRef],0)),"")</f>
        <v/>
      </c>
    </row>
    <row r="295" spans="35:42" x14ac:dyDescent="0.25">
      <c r="AI295" s="2" t="s">
        <v>148</v>
      </c>
      <c r="AJ295" s="2" t="str">
        <f>IFERROR(RANK(TableWRTECalcPts[[#This Row],[Custom]],TableWRTECalcPts[Custom])+COUNTIF($AP$3:AP295,AP295)-1,"")</f>
        <v/>
      </c>
      <c r="AK295" s="20">
        <v>193</v>
      </c>
      <c r="AL295" s="20" t="str">
        <f>IFERROR(INDEX(TableWRMaster[Player],MATCH(TableWRTECalcPts[[#This Row],[POSRef]],TableWRMaster[WRRef],0)),"")</f>
        <v/>
      </c>
      <c r="AM295" s="20" t="str">
        <f>IFERROR(_xlfn.CONCAT(TableWRTECalcPts[[#This Row],[POS]],INDEX(TableWRRanks[RK],MATCH(TableWRTECalcPts[[#This Row],[PLAYER]],TableWRRanks[Player],0))),"")</f>
        <v>WR183</v>
      </c>
      <c r="AN295" s="20" t="str">
        <f>IFERROR(INDEX(TableWRMaster[TM],MATCH(TableWRTECalcPts[[#This Row],[POSRef]],TableWRMaster[WRRef],0)),"")</f>
        <v/>
      </c>
      <c r="AO295" s="20" t="str">
        <f>IFERROR(INDEX(TableWRMaster[BYE],MATCH(TableWRTECalcPts[[#This Row],[POSRef]],TableWRMaster[WRRef],0)),"")</f>
        <v/>
      </c>
      <c r="AP295" s="18" t="str">
        <f>IFERROR(INDEX(TableWRMaster[Custom],MATCH(TableWRTECalcPts[[#This Row],[POSRef]],TableWRMaster[WRRef],0)),"")</f>
        <v/>
      </c>
    </row>
    <row r="296" spans="35:42" x14ac:dyDescent="0.25">
      <c r="AI296" s="2" t="s">
        <v>148</v>
      </c>
      <c r="AJ296" s="2" t="str">
        <f>IFERROR(RANK(TableWRTECalcPts[[#This Row],[Custom]],TableWRTECalcPts[Custom])+COUNTIF($AP$3:AP296,AP296)-1,"")</f>
        <v/>
      </c>
      <c r="AK296" s="20">
        <v>194</v>
      </c>
      <c r="AL296" s="20" t="str">
        <f>IFERROR(INDEX(TableWRMaster[Player],MATCH(TableWRTECalcPts[[#This Row],[POSRef]],TableWRMaster[WRRef],0)),"")</f>
        <v/>
      </c>
      <c r="AM296" s="20" t="str">
        <f>IFERROR(_xlfn.CONCAT(TableWRTECalcPts[[#This Row],[POS]],INDEX(TableWRRanks[RK],MATCH(TableWRTECalcPts[[#This Row],[PLAYER]],TableWRRanks[Player],0))),"")</f>
        <v>WR183</v>
      </c>
      <c r="AN296" s="20" t="str">
        <f>IFERROR(INDEX(TableWRMaster[TM],MATCH(TableWRTECalcPts[[#This Row],[POSRef]],TableWRMaster[WRRef],0)),"")</f>
        <v/>
      </c>
      <c r="AO296" s="20" t="str">
        <f>IFERROR(INDEX(TableWRMaster[BYE],MATCH(TableWRTECalcPts[[#This Row],[POSRef]],TableWRMaster[WRRef],0)),"")</f>
        <v/>
      </c>
      <c r="AP296" s="18" t="str">
        <f>IFERROR(INDEX(TableWRMaster[Custom],MATCH(TableWRTECalcPts[[#This Row],[POSRef]],TableWRMaster[WRRef],0)),"")</f>
        <v/>
      </c>
    </row>
    <row r="297" spans="35:42" x14ac:dyDescent="0.25">
      <c r="AI297" s="2" t="s">
        <v>148</v>
      </c>
      <c r="AJ297" s="2" t="str">
        <f>IFERROR(RANK(TableWRTECalcPts[[#This Row],[Custom]],TableWRTECalcPts[Custom])+COUNTIF($AP$3:AP297,AP297)-1,"")</f>
        <v/>
      </c>
      <c r="AK297" s="20">
        <v>195</v>
      </c>
      <c r="AL297" s="20" t="str">
        <f>IFERROR(INDEX(TableWRMaster[Player],MATCH(TableWRTECalcPts[[#This Row],[POSRef]],TableWRMaster[WRRef],0)),"")</f>
        <v/>
      </c>
      <c r="AM297" s="20" t="str">
        <f>IFERROR(_xlfn.CONCAT(TableWRTECalcPts[[#This Row],[POS]],INDEX(TableWRRanks[RK],MATCH(TableWRTECalcPts[[#This Row],[PLAYER]],TableWRRanks[Player],0))),"")</f>
        <v>WR183</v>
      </c>
      <c r="AN297" s="20" t="str">
        <f>IFERROR(INDEX(TableWRMaster[TM],MATCH(TableWRTECalcPts[[#This Row],[POSRef]],TableWRMaster[WRRef],0)),"")</f>
        <v/>
      </c>
      <c r="AO297" s="20" t="str">
        <f>IFERROR(INDEX(TableWRMaster[BYE],MATCH(TableWRTECalcPts[[#This Row],[POSRef]],TableWRMaster[WRRef],0)),"")</f>
        <v/>
      </c>
      <c r="AP297" s="18" t="str">
        <f>IFERROR(INDEX(TableWRMaster[Custom],MATCH(TableWRTECalcPts[[#This Row],[POSRef]],TableWRMaster[WRRef],0)),"")</f>
        <v/>
      </c>
    </row>
    <row r="298" spans="35:42" x14ac:dyDescent="0.25">
      <c r="AI298" s="2" t="s">
        <v>148</v>
      </c>
      <c r="AJ298" s="2" t="str">
        <f>IFERROR(RANK(TableWRTECalcPts[[#This Row],[Custom]],TableWRTECalcPts[Custom])+COUNTIF($AP$3:AP298,AP298)-1,"")</f>
        <v/>
      </c>
      <c r="AK298" s="20">
        <v>196</v>
      </c>
      <c r="AL298" s="20" t="str">
        <f>IFERROR(INDEX(TableWRMaster[Player],MATCH(TableWRTECalcPts[[#This Row],[POSRef]],TableWRMaster[WRRef],0)),"")</f>
        <v/>
      </c>
      <c r="AM298" s="20" t="str">
        <f>IFERROR(_xlfn.CONCAT(TableWRTECalcPts[[#This Row],[POS]],INDEX(TableWRRanks[RK],MATCH(TableWRTECalcPts[[#This Row],[PLAYER]],TableWRRanks[Player],0))),"")</f>
        <v>WR183</v>
      </c>
      <c r="AN298" s="20" t="str">
        <f>IFERROR(INDEX(TableWRMaster[TM],MATCH(TableWRTECalcPts[[#This Row],[POSRef]],TableWRMaster[WRRef],0)),"")</f>
        <v/>
      </c>
      <c r="AO298" s="20" t="str">
        <f>IFERROR(INDEX(TableWRMaster[BYE],MATCH(TableWRTECalcPts[[#This Row],[POSRef]],TableWRMaster[WRRef],0)),"")</f>
        <v/>
      </c>
      <c r="AP298" s="18" t="str">
        <f>IFERROR(INDEX(TableWRMaster[Custom],MATCH(TableWRTECalcPts[[#This Row],[POSRef]],TableWRMaster[WRRef],0)),"")</f>
        <v/>
      </c>
    </row>
    <row r="299" spans="35:42" x14ac:dyDescent="0.25">
      <c r="AI299" s="2" t="s">
        <v>148</v>
      </c>
      <c r="AJ299" s="2" t="str">
        <f>IFERROR(RANK(TableWRTECalcPts[[#This Row],[Custom]],TableWRTECalcPts[Custom])+COUNTIF($AP$3:AP299,AP299)-1,"")</f>
        <v/>
      </c>
      <c r="AK299" s="20">
        <v>197</v>
      </c>
      <c r="AL299" s="20" t="str">
        <f>IFERROR(INDEX(TableWRMaster[Player],MATCH(TableWRTECalcPts[[#This Row],[POSRef]],TableWRMaster[WRRef],0)),"")</f>
        <v/>
      </c>
      <c r="AM299" s="20" t="str">
        <f>IFERROR(_xlfn.CONCAT(TableWRTECalcPts[[#This Row],[POS]],INDEX(TableWRRanks[RK],MATCH(TableWRTECalcPts[[#This Row],[PLAYER]],TableWRRanks[Player],0))),"")</f>
        <v>WR183</v>
      </c>
      <c r="AN299" s="20" t="str">
        <f>IFERROR(INDEX(TableWRMaster[TM],MATCH(TableWRTECalcPts[[#This Row],[POSRef]],TableWRMaster[WRRef],0)),"")</f>
        <v/>
      </c>
      <c r="AO299" s="20" t="str">
        <f>IFERROR(INDEX(TableWRMaster[BYE],MATCH(TableWRTECalcPts[[#This Row],[POSRef]],TableWRMaster[WRRef],0)),"")</f>
        <v/>
      </c>
      <c r="AP299" s="18" t="str">
        <f>IFERROR(INDEX(TableWRMaster[Custom],MATCH(TableWRTECalcPts[[#This Row],[POSRef]],TableWRMaster[WRRef],0)),"")</f>
        <v/>
      </c>
    </row>
    <row r="300" spans="35:42" x14ac:dyDescent="0.25">
      <c r="AI300" s="2" t="s">
        <v>148</v>
      </c>
      <c r="AJ300" s="2" t="str">
        <f>IFERROR(RANK(TableWRTECalcPts[[#This Row],[Custom]],TableWRTECalcPts[Custom])+COUNTIF($AP$3:AP300,AP300)-1,"")</f>
        <v/>
      </c>
      <c r="AK300" s="20">
        <v>198</v>
      </c>
      <c r="AL300" s="20" t="str">
        <f>IFERROR(INDEX(TableWRMaster[Player],MATCH(TableWRTECalcPts[[#This Row],[POSRef]],TableWRMaster[WRRef],0)),"")</f>
        <v/>
      </c>
      <c r="AM300" s="20" t="str">
        <f>IFERROR(_xlfn.CONCAT(TableWRTECalcPts[[#This Row],[POS]],INDEX(TableWRRanks[RK],MATCH(TableWRTECalcPts[[#This Row],[PLAYER]],TableWRRanks[Player],0))),"")</f>
        <v>WR183</v>
      </c>
      <c r="AN300" s="20" t="str">
        <f>IFERROR(INDEX(TableWRMaster[TM],MATCH(TableWRTECalcPts[[#This Row],[POSRef]],TableWRMaster[WRRef],0)),"")</f>
        <v/>
      </c>
      <c r="AO300" s="20" t="str">
        <f>IFERROR(INDEX(TableWRMaster[BYE],MATCH(TableWRTECalcPts[[#This Row],[POSRef]],TableWRMaster[WRRef],0)),"")</f>
        <v/>
      </c>
      <c r="AP300" s="18" t="str">
        <f>IFERROR(INDEX(TableWRMaster[Custom],MATCH(TableWRTECalcPts[[#This Row],[POSRef]],TableWRMaster[WRRef],0)),"")</f>
        <v/>
      </c>
    </row>
    <row r="301" spans="35:42" x14ac:dyDescent="0.25">
      <c r="AI301" s="2" t="s">
        <v>148</v>
      </c>
      <c r="AJ301" s="2" t="str">
        <f>IFERROR(RANK(TableWRTECalcPts[[#This Row],[Custom]],TableWRTECalcPts[Custom])+COUNTIF($AP$3:AP301,AP301)-1,"")</f>
        <v/>
      </c>
      <c r="AK301" s="20">
        <v>199</v>
      </c>
      <c r="AL301" s="20" t="str">
        <f>IFERROR(INDEX(TableWRMaster[Player],MATCH(TableWRTECalcPts[[#This Row],[POSRef]],TableWRMaster[WRRef],0)),"")</f>
        <v/>
      </c>
      <c r="AM301" s="20" t="str">
        <f>IFERROR(_xlfn.CONCAT(TableWRTECalcPts[[#This Row],[POS]],INDEX(TableWRRanks[RK],MATCH(TableWRTECalcPts[[#This Row],[PLAYER]],TableWRRanks[Player],0))),"")</f>
        <v>WR183</v>
      </c>
      <c r="AN301" s="20" t="str">
        <f>IFERROR(INDEX(TableWRMaster[TM],MATCH(TableWRTECalcPts[[#This Row],[POSRef]],TableWRMaster[WRRef],0)),"")</f>
        <v/>
      </c>
      <c r="AO301" s="20" t="str">
        <f>IFERROR(INDEX(TableWRMaster[BYE],MATCH(TableWRTECalcPts[[#This Row],[POSRef]],TableWRMaster[WRRef],0)),"")</f>
        <v/>
      </c>
      <c r="AP301" s="18" t="str">
        <f>IFERROR(INDEX(TableWRMaster[Custom],MATCH(TableWRTECalcPts[[#This Row],[POSRef]],TableWRMaster[WRRef],0)),"")</f>
        <v/>
      </c>
    </row>
    <row r="302" spans="35:42" x14ac:dyDescent="0.25">
      <c r="AI302" s="2" t="s">
        <v>148</v>
      </c>
      <c r="AJ302" s="2" t="str">
        <f>IFERROR(RANK(TableWRTECalcPts[[#This Row],[Custom]],TableWRTECalcPts[Custom])+COUNTIF($AP$3:AP302,AP302)-1,"")</f>
        <v/>
      </c>
      <c r="AK302" s="20">
        <v>200</v>
      </c>
      <c r="AL302" s="20" t="str">
        <f>IFERROR(INDEX(TableWRMaster[Player],MATCH(TableWRTECalcPts[[#This Row],[POSRef]],TableWRMaster[WRRef],0)),"")</f>
        <v/>
      </c>
      <c r="AM302" s="20" t="str">
        <f>IFERROR(_xlfn.CONCAT(TableWRTECalcPts[[#This Row],[POS]],INDEX(TableWRRanks[RK],MATCH(TableWRTECalcPts[[#This Row],[PLAYER]],TableWRRanks[Player],0))),"")</f>
        <v>WR183</v>
      </c>
      <c r="AN302" s="20" t="str">
        <f>IFERROR(INDEX(TableWRMaster[TM],MATCH(TableWRTECalcPts[[#This Row],[POSRef]],TableWRMaster[WRRef],0)),"")</f>
        <v/>
      </c>
      <c r="AO302" s="20" t="str">
        <f>IFERROR(INDEX(TableWRMaster[BYE],MATCH(TableWRTECalcPts[[#This Row],[POSRef]],TableWRMaster[WRRef],0)),"")</f>
        <v/>
      </c>
      <c r="AP302" s="18" t="str">
        <f>IFERROR(INDEX(TableWRMaster[Custom],MATCH(TableWRTECalcPts[[#This Row],[POSRef]],TableWRMaster[WRRef],0)),"")</f>
        <v/>
      </c>
    </row>
    <row r="303" spans="35:42" x14ac:dyDescent="0.25">
      <c r="AI303" s="2" t="s">
        <v>148</v>
      </c>
      <c r="AJ303" s="2" t="str">
        <f>IFERROR(RANK(TableWRTECalcPts[[#This Row],[Custom]],TableWRTECalcPts[Custom])+COUNTIF($AP$3:AP303,AP303)-1,"")</f>
        <v/>
      </c>
      <c r="AK303" s="20">
        <v>201</v>
      </c>
      <c r="AL303" s="20" t="str">
        <f>IFERROR(INDEX(TableWRMaster[Player],MATCH(TableWRTECalcPts[[#This Row],[POSRef]],TableWRMaster[WRRef],0)),"")</f>
        <v/>
      </c>
      <c r="AM303" s="20" t="str">
        <f>IFERROR(_xlfn.CONCAT(TableWRTECalcPts[[#This Row],[POS]],INDEX(TableWRRanks[RK],MATCH(TableWRTECalcPts[[#This Row],[PLAYER]],TableWRRanks[Player],0))),"")</f>
        <v>WR183</v>
      </c>
      <c r="AN303" s="20" t="str">
        <f>IFERROR(INDEX(TableWRMaster[TM],MATCH(TableWRTECalcPts[[#This Row],[POSRef]],TableWRMaster[WRRef],0)),"")</f>
        <v/>
      </c>
      <c r="AO303" s="20" t="str">
        <f>IFERROR(INDEX(TableWRMaster[BYE],MATCH(TableWRTECalcPts[[#This Row],[POSRef]],TableWRMaster[WRRef],0)),"")</f>
        <v/>
      </c>
      <c r="AP303" s="18" t="str">
        <f>IFERROR(INDEX(TableWRMaster[Custom],MATCH(TableWRTECalcPts[[#This Row],[POSRef]],TableWRMaster[WRRef],0)),"")</f>
        <v/>
      </c>
    </row>
    <row r="304" spans="35:42" x14ac:dyDescent="0.25">
      <c r="AI304" s="2" t="s">
        <v>148</v>
      </c>
      <c r="AJ304" s="2" t="str">
        <f>IFERROR(RANK(TableWRTECalcPts[[#This Row],[Custom]],TableWRTECalcPts[Custom])+COUNTIF($AP$3:AP304,AP304)-1,"")</f>
        <v/>
      </c>
      <c r="AK304" s="20">
        <v>202</v>
      </c>
      <c r="AL304" s="20" t="str">
        <f>IFERROR(INDEX(TableWRMaster[Player],MATCH(TableWRTECalcPts[[#This Row],[POSRef]],TableWRMaster[WRRef],0)),"")</f>
        <v/>
      </c>
      <c r="AM304" s="20" t="str">
        <f>IFERROR(_xlfn.CONCAT(TableWRTECalcPts[[#This Row],[POS]],INDEX(TableWRRanks[RK],MATCH(TableWRTECalcPts[[#This Row],[PLAYER]],TableWRRanks[Player],0))),"")</f>
        <v>WR183</v>
      </c>
      <c r="AN304" s="20" t="str">
        <f>IFERROR(INDEX(TableWRMaster[TM],MATCH(TableWRTECalcPts[[#This Row],[POSRef]],TableWRMaster[WRRef],0)),"")</f>
        <v/>
      </c>
      <c r="AO304" s="20" t="str">
        <f>IFERROR(INDEX(TableWRMaster[BYE],MATCH(TableWRTECalcPts[[#This Row],[POSRef]],TableWRMaster[WRRef],0)),"")</f>
        <v/>
      </c>
      <c r="AP304" s="18" t="str">
        <f>IFERROR(INDEX(TableWRMaster[Custom],MATCH(TableWRTECalcPts[[#This Row],[POSRef]],TableWRMaster[WRRef],0)),"")</f>
        <v/>
      </c>
    </row>
    <row r="305" spans="35:42" x14ac:dyDescent="0.25">
      <c r="AI305" s="2" t="s">
        <v>148</v>
      </c>
      <c r="AJ305" s="2" t="str">
        <f>IFERROR(RANK(TableWRTECalcPts[[#This Row],[Custom]],TableWRTECalcPts[Custom])+COUNTIF($AP$3:AP305,AP305)-1,"")</f>
        <v/>
      </c>
      <c r="AK305" s="20">
        <v>203</v>
      </c>
      <c r="AL305" s="20" t="str">
        <f>IFERROR(INDEX(TableWRMaster[Player],MATCH(TableWRTECalcPts[[#This Row],[POSRef]],TableWRMaster[WRRef],0)),"")</f>
        <v/>
      </c>
      <c r="AM305" s="20" t="str">
        <f>IFERROR(_xlfn.CONCAT(TableWRTECalcPts[[#This Row],[POS]],INDEX(TableWRRanks[RK],MATCH(TableWRTECalcPts[[#This Row],[PLAYER]],TableWRRanks[Player],0))),"")</f>
        <v>WR183</v>
      </c>
      <c r="AN305" s="20" t="str">
        <f>IFERROR(INDEX(TableWRMaster[TM],MATCH(TableWRTECalcPts[[#This Row],[POSRef]],TableWRMaster[WRRef],0)),"")</f>
        <v/>
      </c>
      <c r="AO305" s="20" t="str">
        <f>IFERROR(INDEX(TableWRMaster[BYE],MATCH(TableWRTECalcPts[[#This Row],[POSRef]],TableWRMaster[WRRef],0)),"")</f>
        <v/>
      </c>
      <c r="AP305" s="18" t="str">
        <f>IFERROR(INDEX(TableWRMaster[Custom],MATCH(TableWRTECalcPts[[#This Row],[POSRef]],TableWRMaster[WRRef],0)),"")</f>
        <v/>
      </c>
    </row>
    <row r="306" spans="35:42" x14ac:dyDescent="0.25">
      <c r="AI306" s="2" t="s">
        <v>148</v>
      </c>
      <c r="AJ306" s="2" t="str">
        <f>IFERROR(RANK(TableWRTECalcPts[[#This Row],[Custom]],TableWRTECalcPts[Custom])+COUNTIF($AP$3:AP306,AP306)-1,"")</f>
        <v/>
      </c>
      <c r="AK306" s="20">
        <v>204</v>
      </c>
      <c r="AL306" s="20" t="str">
        <f>IFERROR(INDEX(TableWRMaster[Player],MATCH(TableWRTECalcPts[[#This Row],[POSRef]],TableWRMaster[WRRef],0)),"")</f>
        <v/>
      </c>
      <c r="AM306" s="20" t="str">
        <f>IFERROR(_xlfn.CONCAT(TableWRTECalcPts[[#This Row],[POS]],INDEX(TableWRRanks[RK],MATCH(TableWRTECalcPts[[#This Row],[PLAYER]],TableWRRanks[Player],0))),"")</f>
        <v>WR183</v>
      </c>
      <c r="AN306" s="20" t="str">
        <f>IFERROR(INDEX(TableWRMaster[TM],MATCH(TableWRTECalcPts[[#This Row],[POSRef]],TableWRMaster[WRRef],0)),"")</f>
        <v/>
      </c>
      <c r="AO306" s="20" t="str">
        <f>IFERROR(INDEX(TableWRMaster[BYE],MATCH(TableWRTECalcPts[[#This Row],[POSRef]],TableWRMaster[WRRef],0)),"")</f>
        <v/>
      </c>
      <c r="AP306" s="18" t="str">
        <f>IFERROR(INDEX(TableWRMaster[Custom],MATCH(TableWRTECalcPts[[#This Row],[POSRef]],TableWRMaster[WRRef],0)),"")</f>
        <v/>
      </c>
    </row>
    <row r="307" spans="35:42" x14ac:dyDescent="0.25">
      <c r="AI307" s="2" t="s">
        <v>148</v>
      </c>
      <c r="AJ307" s="2" t="str">
        <f>IFERROR(RANK(TableWRTECalcPts[[#This Row],[Custom]],TableWRTECalcPts[Custom])+COUNTIF($AP$3:AP307,AP307)-1,"")</f>
        <v/>
      </c>
      <c r="AK307" s="20">
        <v>205</v>
      </c>
      <c r="AL307" s="20" t="str">
        <f>IFERROR(INDEX(TableWRMaster[Player],MATCH(TableWRTECalcPts[[#This Row],[POSRef]],TableWRMaster[WRRef],0)),"")</f>
        <v/>
      </c>
      <c r="AM307" s="20" t="str">
        <f>IFERROR(_xlfn.CONCAT(TableWRTECalcPts[[#This Row],[POS]],INDEX(TableWRRanks[RK],MATCH(TableWRTECalcPts[[#This Row],[PLAYER]],TableWRRanks[Player],0))),"")</f>
        <v>WR183</v>
      </c>
      <c r="AN307" s="20" t="str">
        <f>IFERROR(INDEX(TableWRMaster[TM],MATCH(TableWRTECalcPts[[#This Row],[POSRef]],TableWRMaster[WRRef],0)),"")</f>
        <v/>
      </c>
      <c r="AO307" s="20" t="str">
        <f>IFERROR(INDEX(TableWRMaster[BYE],MATCH(TableWRTECalcPts[[#This Row],[POSRef]],TableWRMaster[WRRef],0)),"")</f>
        <v/>
      </c>
      <c r="AP307" s="18" t="str">
        <f>IFERROR(INDEX(TableWRMaster[Custom],MATCH(TableWRTECalcPts[[#This Row],[POSRef]],TableWRMaster[WRRef],0)),"")</f>
        <v/>
      </c>
    </row>
    <row r="308" spans="35:42" x14ac:dyDescent="0.25">
      <c r="AI308" s="2" t="s">
        <v>148</v>
      </c>
      <c r="AJ308" s="2" t="str">
        <f>IFERROR(RANK(TableWRTECalcPts[[#This Row],[Custom]],TableWRTECalcPts[Custom])+COUNTIF($AP$3:AP308,AP308)-1,"")</f>
        <v/>
      </c>
      <c r="AK308" s="20">
        <v>206</v>
      </c>
      <c r="AL308" s="20" t="str">
        <f>IFERROR(INDEX(TableWRMaster[Player],MATCH(TableWRTECalcPts[[#This Row],[POSRef]],TableWRMaster[WRRef],0)),"")</f>
        <v/>
      </c>
      <c r="AM308" s="20" t="str">
        <f>IFERROR(_xlfn.CONCAT(TableWRTECalcPts[[#This Row],[POS]],INDEX(TableWRRanks[RK],MATCH(TableWRTECalcPts[[#This Row],[PLAYER]],TableWRRanks[Player],0))),"")</f>
        <v>WR183</v>
      </c>
      <c r="AN308" s="20" t="str">
        <f>IFERROR(INDEX(TableWRMaster[TM],MATCH(TableWRTECalcPts[[#This Row],[POSRef]],TableWRMaster[WRRef],0)),"")</f>
        <v/>
      </c>
      <c r="AO308" s="20" t="str">
        <f>IFERROR(INDEX(TableWRMaster[BYE],MATCH(TableWRTECalcPts[[#This Row],[POSRef]],TableWRMaster[WRRef],0)),"")</f>
        <v/>
      </c>
      <c r="AP308" s="18" t="str">
        <f>IFERROR(INDEX(TableWRMaster[Custom],MATCH(TableWRTECalcPts[[#This Row],[POSRef]],TableWRMaster[WRRef],0)),"")</f>
        <v/>
      </c>
    </row>
    <row r="309" spans="35:42" x14ac:dyDescent="0.25">
      <c r="AI309" s="2" t="s">
        <v>148</v>
      </c>
      <c r="AJ309" s="2" t="str">
        <f>IFERROR(RANK(TableWRTECalcPts[[#This Row],[Custom]],TableWRTECalcPts[Custom])+COUNTIF($AP$3:AP309,AP309)-1,"")</f>
        <v/>
      </c>
      <c r="AK309" s="20">
        <v>207</v>
      </c>
      <c r="AL309" s="20" t="str">
        <f>IFERROR(INDEX(TableWRMaster[Player],MATCH(TableWRTECalcPts[[#This Row],[POSRef]],TableWRMaster[WRRef],0)),"")</f>
        <v/>
      </c>
      <c r="AM309" s="20" t="str">
        <f>IFERROR(_xlfn.CONCAT(TableWRTECalcPts[[#This Row],[POS]],INDEX(TableWRRanks[RK],MATCH(TableWRTECalcPts[[#This Row],[PLAYER]],TableWRRanks[Player],0))),"")</f>
        <v>WR183</v>
      </c>
      <c r="AN309" s="20" t="str">
        <f>IFERROR(INDEX(TableWRMaster[TM],MATCH(TableWRTECalcPts[[#This Row],[POSRef]],TableWRMaster[WRRef],0)),"")</f>
        <v/>
      </c>
      <c r="AO309" s="20" t="str">
        <f>IFERROR(INDEX(TableWRMaster[BYE],MATCH(TableWRTECalcPts[[#This Row],[POSRef]],TableWRMaster[WRRef],0)),"")</f>
        <v/>
      </c>
      <c r="AP309" s="18" t="str">
        <f>IFERROR(INDEX(TableWRMaster[Custom],MATCH(TableWRTECalcPts[[#This Row],[POSRef]],TableWRMaster[WRRef],0)),"")</f>
        <v/>
      </c>
    </row>
    <row r="310" spans="35:42" x14ac:dyDescent="0.25">
      <c r="AI310" s="2" t="s">
        <v>148</v>
      </c>
      <c r="AJ310" s="2" t="str">
        <f>IFERROR(RANK(TableWRTECalcPts[[#This Row],[Custom]],TableWRTECalcPts[Custom])+COUNTIF($AP$3:AP310,AP310)-1,"")</f>
        <v/>
      </c>
      <c r="AK310" s="20">
        <v>208</v>
      </c>
      <c r="AL310" s="20" t="str">
        <f>IFERROR(INDEX(TableWRMaster[Player],MATCH(TableWRTECalcPts[[#This Row],[POSRef]],TableWRMaster[WRRef],0)),"")</f>
        <v/>
      </c>
      <c r="AM310" s="20" t="str">
        <f>IFERROR(_xlfn.CONCAT(TableWRTECalcPts[[#This Row],[POS]],INDEX(TableWRRanks[RK],MATCH(TableWRTECalcPts[[#This Row],[PLAYER]],TableWRRanks[Player],0))),"")</f>
        <v>WR183</v>
      </c>
      <c r="AN310" s="20" t="str">
        <f>IFERROR(INDEX(TableWRMaster[TM],MATCH(TableWRTECalcPts[[#This Row],[POSRef]],TableWRMaster[WRRef],0)),"")</f>
        <v/>
      </c>
      <c r="AO310" s="20" t="str">
        <f>IFERROR(INDEX(TableWRMaster[BYE],MATCH(TableWRTECalcPts[[#This Row],[POSRef]],TableWRMaster[WRRef],0)),"")</f>
        <v/>
      </c>
      <c r="AP310" s="18" t="str">
        <f>IFERROR(INDEX(TableWRMaster[Custom],MATCH(TableWRTECalcPts[[#This Row],[POSRef]],TableWRMaster[WRRef],0)),"")</f>
        <v/>
      </c>
    </row>
    <row r="311" spans="35:42" x14ac:dyDescent="0.25">
      <c r="AI311" s="2" t="s">
        <v>148</v>
      </c>
      <c r="AJ311" s="2" t="str">
        <f>IFERROR(RANK(TableWRTECalcPts[[#This Row],[Custom]],TableWRTECalcPts[Custom])+COUNTIF($AP$3:AP311,AP311)-1,"")</f>
        <v/>
      </c>
      <c r="AK311" s="20">
        <v>209</v>
      </c>
      <c r="AL311" s="20" t="str">
        <f>IFERROR(INDEX(TableWRMaster[Player],MATCH(TableWRTECalcPts[[#This Row],[POSRef]],TableWRMaster[WRRef],0)),"")</f>
        <v/>
      </c>
      <c r="AM311" s="20" t="str">
        <f>IFERROR(_xlfn.CONCAT(TableWRTECalcPts[[#This Row],[POS]],INDEX(TableWRRanks[RK],MATCH(TableWRTECalcPts[[#This Row],[PLAYER]],TableWRRanks[Player],0))),"")</f>
        <v>WR183</v>
      </c>
      <c r="AN311" s="20" t="str">
        <f>IFERROR(INDEX(TableWRMaster[TM],MATCH(TableWRTECalcPts[[#This Row],[POSRef]],TableWRMaster[WRRef],0)),"")</f>
        <v/>
      </c>
      <c r="AO311" s="20" t="str">
        <f>IFERROR(INDEX(TableWRMaster[BYE],MATCH(TableWRTECalcPts[[#This Row],[POSRef]],TableWRMaster[WRRef],0)),"")</f>
        <v/>
      </c>
      <c r="AP311" s="18" t="str">
        <f>IFERROR(INDEX(TableWRMaster[Custom],MATCH(TableWRTECalcPts[[#This Row],[POSRef]],TableWRMaster[WRRef],0)),"")</f>
        <v/>
      </c>
    </row>
    <row r="312" spans="35:42" x14ac:dyDescent="0.25">
      <c r="AI312" s="2" t="s">
        <v>148</v>
      </c>
      <c r="AJ312" s="2" t="str">
        <f>IFERROR(RANK(TableWRTECalcPts[[#This Row],[Custom]],TableWRTECalcPts[Custom])+COUNTIF($AP$3:AP312,AP312)-1,"")</f>
        <v/>
      </c>
      <c r="AK312" s="20">
        <v>210</v>
      </c>
      <c r="AL312" s="20" t="str">
        <f>IFERROR(INDEX(TableWRMaster[Player],MATCH(TableWRTECalcPts[[#This Row],[POSRef]],TableWRMaster[WRRef],0)),"")</f>
        <v/>
      </c>
      <c r="AM312" s="20" t="str">
        <f>IFERROR(_xlfn.CONCAT(TableWRTECalcPts[[#This Row],[POS]],INDEX(TableWRRanks[RK],MATCH(TableWRTECalcPts[[#This Row],[PLAYER]],TableWRRanks[Player],0))),"")</f>
        <v>WR183</v>
      </c>
      <c r="AN312" s="20" t="str">
        <f>IFERROR(INDEX(TableWRMaster[TM],MATCH(TableWRTECalcPts[[#This Row],[POSRef]],TableWRMaster[WRRef],0)),"")</f>
        <v/>
      </c>
      <c r="AO312" s="20" t="str">
        <f>IFERROR(INDEX(TableWRMaster[BYE],MATCH(TableWRTECalcPts[[#This Row],[POSRef]],TableWRMaster[WRRef],0)),"")</f>
        <v/>
      </c>
      <c r="AP312" s="18" t="str">
        <f>IFERROR(INDEX(TableWRMaster[Custom],MATCH(TableWRTECalcPts[[#This Row],[POSRef]],TableWRMaster[WRRef],0)),"")</f>
        <v/>
      </c>
    </row>
    <row r="313" spans="35:42" x14ac:dyDescent="0.25">
      <c r="AI313" s="2" t="s">
        <v>148</v>
      </c>
      <c r="AJ313" s="2" t="str">
        <f>IFERROR(RANK(TableWRTECalcPts[[#This Row],[Custom]],TableWRTECalcPts[Custom])+COUNTIF($AP$3:AP313,AP313)-1,"")</f>
        <v/>
      </c>
      <c r="AK313" s="20">
        <v>211</v>
      </c>
      <c r="AL313" s="20" t="str">
        <f>IFERROR(INDEX(TableWRMaster[Player],MATCH(TableWRTECalcPts[[#This Row],[POSRef]],TableWRMaster[WRRef],0)),"")</f>
        <v/>
      </c>
      <c r="AM313" s="20" t="str">
        <f>IFERROR(_xlfn.CONCAT(TableWRTECalcPts[[#This Row],[POS]],INDEX(TableWRRanks[RK],MATCH(TableWRTECalcPts[[#This Row],[PLAYER]],TableWRRanks[Player],0))),"")</f>
        <v>WR183</v>
      </c>
      <c r="AN313" s="20" t="str">
        <f>IFERROR(INDEX(TableWRMaster[TM],MATCH(TableWRTECalcPts[[#This Row],[POSRef]],TableWRMaster[WRRef],0)),"")</f>
        <v/>
      </c>
      <c r="AO313" s="20" t="str">
        <f>IFERROR(INDEX(TableWRMaster[BYE],MATCH(TableWRTECalcPts[[#This Row],[POSRef]],TableWRMaster[WRRef],0)),"")</f>
        <v/>
      </c>
      <c r="AP313" s="18" t="str">
        <f>IFERROR(INDEX(TableWRMaster[Custom],MATCH(TableWRTECalcPts[[#This Row],[POSRef]],TableWRMaster[WRRef],0)),"")</f>
        <v/>
      </c>
    </row>
    <row r="314" spans="35:42" x14ac:dyDescent="0.25">
      <c r="AI314" s="2" t="s">
        <v>148</v>
      </c>
      <c r="AJ314" s="2" t="str">
        <f>IFERROR(RANK(TableWRTECalcPts[[#This Row],[Custom]],TableWRTECalcPts[Custom])+COUNTIF($AP$3:AP314,AP314)-1,"")</f>
        <v/>
      </c>
      <c r="AK314" s="20">
        <v>212</v>
      </c>
      <c r="AL314" s="20" t="str">
        <f>IFERROR(INDEX(TableWRMaster[Player],MATCH(TableWRTECalcPts[[#This Row],[POSRef]],TableWRMaster[WRRef],0)),"")</f>
        <v/>
      </c>
      <c r="AM314" s="20" t="str">
        <f>IFERROR(_xlfn.CONCAT(TableWRTECalcPts[[#This Row],[POS]],INDEX(TableWRRanks[RK],MATCH(TableWRTECalcPts[[#This Row],[PLAYER]],TableWRRanks[Player],0))),"")</f>
        <v>WR183</v>
      </c>
      <c r="AN314" s="20" t="str">
        <f>IFERROR(INDEX(TableWRMaster[TM],MATCH(TableWRTECalcPts[[#This Row],[POSRef]],TableWRMaster[WRRef],0)),"")</f>
        <v/>
      </c>
      <c r="AO314" s="20" t="str">
        <f>IFERROR(INDEX(TableWRMaster[BYE],MATCH(TableWRTECalcPts[[#This Row],[POSRef]],TableWRMaster[WRRef],0)),"")</f>
        <v/>
      </c>
      <c r="AP314" s="18" t="str">
        <f>IFERROR(INDEX(TableWRMaster[Custom],MATCH(TableWRTECalcPts[[#This Row],[POSRef]],TableWRMaster[WRRef],0)),"")</f>
        <v/>
      </c>
    </row>
    <row r="315" spans="35:42" x14ac:dyDescent="0.25">
      <c r="AI315" s="2" t="s">
        <v>148</v>
      </c>
      <c r="AJ315" s="2" t="str">
        <f>IFERROR(RANK(TableWRTECalcPts[[#This Row],[Custom]],TableWRTECalcPts[Custom])+COUNTIF($AP$3:AP315,AP315)-1,"")</f>
        <v/>
      </c>
      <c r="AK315" s="20">
        <v>213</v>
      </c>
      <c r="AL315" s="20" t="str">
        <f>IFERROR(INDEX(TableWRMaster[Player],MATCH(TableWRTECalcPts[[#This Row],[POSRef]],TableWRMaster[WRRef],0)),"")</f>
        <v/>
      </c>
      <c r="AM315" s="20" t="str">
        <f>IFERROR(_xlfn.CONCAT(TableWRTECalcPts[[#This Row],[POS]],INDEX(TableWRRanks[RK],MATCH(TableWRTECalcPts[[#This Row],[PLAYER]],TableWRRanks[Player],0))),"")</f>
        <v>WR183</v>
      </c>
      <c r="AN315" s="20" t="str">
        <f>IFERROR(INDEX(TableWRMaster[TM],MATCH(TableWRTECalcPts[[#This Row],[POSRef]],TableWRMaster[WRRef],0)),"")</f>
        <v/>
      </c>
      <c r="AO315" s="20" t="str">
        <f>IFERROR(INDEX(TableWRMaster[BYE],MATCH(TableWRTECalcPts[[#This Row],[POSRef]],TableWRMaster[WRRef],0)),"")</f>
        <v/>
      </c>
      <c r="AP315" s="18" t="str">
        <f>IFERROR(INDEX(TableWRMaster[Custom],MATCH(TableWRTECalcPts[[#This Row],[POSRef]],TableWRMaster[WRRef],0)),"")</f>
        <v/>
      </c>
    </row>
    <row r="316" spans="35:42" x14ac:dyDescent="0.25">
      <c r="AI316" s="2" t="s">
        <v>148</v>
      </c>
      <c r="AJ316" s="2" t="str">
        <f>IFERROR(RANK(TableWRTECalcPts[[#This Row],[Custom]],TableWRTECalcPts[Custom])+COUNTIF($AP$3:AP316,AP316)-1,"")</f>
        <v/>
      </c>
      <c r="AK316" s="20">
        <v>214</v>
      </c>
      <c r="AL316" s="20" t="str">
        <f>IFERROR(INDEX(TableWRMaster[Player],MATCH(TableWRTECalcPts[[#This Row],[POSRef]],TableWRMaster[WRRef],0)),"")</f>
        <v/>
      </c>
      <c r="AM316" s="20" t="str">
        <f>IFERROR(_xlfn.CONCAT(TableWRTECalcPts[[#This Row],[POS]],INDEX(TableWRRanks[RK],MATCH(TableWRTECalcPts[[#This Row],[PLAYER]],TableWRRanks[Player],0))),"")</f>
        <v>WR183</v>
      </c>
      <c r="AN316" s="20" t="str">
        <f>IFERROR(INDEX(TableWRMaster[TM],MATCH(TableWRTECalcPts[[#This Row],[POSRef]],TableWRMaster[WRRef],0)),"")</f>
        <v/>
      </c>
      <c r="AO316" s="20" t="str">
        <f>IFERROR(INDEX(TableWRMaster[BYE],MATCH(TableWRTECalcPts[[#This Row],[POSRef]],TableWRMaster[WRRef],0)),"")</f>
        <v/>
      </c>
      <c r="AP316" s="18" t="str">
        <f>IFERROR(INDEX(TableWRMaster[Custom],MATCH(TableWRTECalcPts[[#This Row],[POSRef]],TableWRMaster[WRRef],0)),"")</f>
        <v/>
      </c>
    </row>
    <row r="317" spans="35:42" x14ac:dyDescent="0.25">
      <c r="AI317" s="2" t="s">
        <v>148</v>
      </c>
      <c r="AJ317" s="2" t="str">
        <f>IFERROR(RANK(TableWRTECalcPts[[#This Row],[Custom]],TableWRTECalcPts[Custom])+COUNTIF($AP$3:AP317,AP317)-1,"")</f>
        <v/>
      </c>
      <c r="AK317" s="20">
        <v>215</v>
      </c>
      <c r="AL317" s="20" t="str">
        <f>IFERROR(INDEX(TableWRMaster[Player],MATCH(TableWRTECalcPts[[#This Row],[POSRef]],TableWRMaster[WRRef],0)),"")</f>
        <v/>
      </c>
      <c r="AM317" s="20" t="str">
        <f>IFERROR(_xlfn.CONCAT(TableWRTECalcPts[[#This Row],[POS]],INDEX(TableWRRanks[RK],MATCH(TableWRTECalcPts[[#This Row],[PLAYER]],TableWRRanks[Player],0))),"")</f>
        <v>WR183</v>
      </c>
      <c r="AN317" s="20" t="str">
        <f>IFERROR(INDEX(TableWRMaster[TM],MATCH(TableWRTECalcPts[[#This Row],[POSRef]],TableWRMaster[WRRef],0)),"")</f>
        <v/>
      </c>
      <c r="AO317" s="20" t="str">
        <f>IFERROR(INDEX(TableWRMaster[BYE],MATCH(TableWRTECalcPts[[#This Row],[POSRef]],TableWRMaster[WRRef],0)),"")</f>
        <v/>
      </c>
      <c r="AP317" s="18" t="str">
        <f>IFERROR(INDEX(TableWRMaster[Custom],MATCH(TableWRTECalcPts[[#This Row],[POSRef]],TableWRMaster[WRRef],0)),"")</f>
        <v/>
      </c>
    </row>
    <row r="318" spans="35:42" x14ac:dyDescent="0.25">
      <c r="AI318" s="2" t="s">
        <v>148</v>
      </c>
      <c r="AJ318" s="2" t="str">
        <f>IFERROR(RANK(TableWRTECalcPts[[#This Row],[Custom]],TableWRTECalcPts[Custom])+COUNTIF($AP$3:AP318,AP318)-1,"")</f>
        <v/>
      </c>
      <c r="AK318" s="20">
        <v>216</v>
      </c>
      <c r="AL318" s="20" t="str">
        <f>IFERROR(INDEX(TableWRMaster[Player],MATCH(TableWRTECalcPts[[#This Row],[POSRef]],TableWRMaster[WRRef],0)),"")</f>
        <v/>
      </c>
      <c r="AM318" s="20" t="str">
        <f>IFERROR(_xlfn.CONCAT(TableWRTECalcPts[[#This Row],[POS]],INDEX(TableWRRanks[RK],MATCH(TableWRTECalcPts[[#This Row],[PLAYER]],TableWRRanks[Player],0))),"")</f>
        <v>WR183</v>
      </c>
      <c r="AN318" s="20" t="str">
        <f>IFERROR(INDEX(TableWRMaster[TM],MATCH(TableWRTECalcPts[[#This Row],[POSRef]],TableWRMaster[WRRef],0)),"")</f>
        <v/>
      </c>
      <c r="AO318" s="20" t="str">
        <f>IFERROR(INDEX(TableWRMaster[BYE],MATCH(TableWRTECalcPts[[#This Row],[POSRef]],TableWRMaster[WRRef],0)),"")</f>
        <v/>
      </c>
      <c r="AP318" s="18" t="str">
        <f>IFERROR(INDEX(TableWRMaster[Custom],MATCH(TableWRTECalcPts[[#This Row],[POSRef]],TableWRMaster[WRRef],0)),"")</f>
        <v/>
      </c>
    </row>
    <row r="319" spans="35:42" x14ac:dyDescent="0.25">
      <c r="AI319" s="2" t="s">
        <v>148</v>
      </c>
      <c r="AJ319" s="2" t="str">
        <f>IFERROR(RANK(TableWRTECalcPts[[#This Row],[Custom]],TableWRTECalcPts[Custom])+COUNTIF($AP$3:AP319,AP319)-1,"")</f>
        <v/>
      </c>
      <c r="AK319" s="20">
        <v>217</v>
      </c>
      <c r="AL319" s="20" t="str">
        <f>IFERROR(INDEX(TableWRMaster[Player],MATCH(TableWRTECalcPts[[#This Row],[POSRef]],TableWRMaster[WRRef],0)),"")</f>
        <v/>
      </c>
      <c r="AM319" s="20" t="str">
        <f>IFERROR(_xlfn.CONCAT(TableWRTECalcPts[[#This Row],[POS]],INDEX(TableWRRanks[RK],MATCH(TableWRTECalcPts[[#This Row],[PLAYER]],TableWRRanks[Player],0))),"")</f>
        <v>WR183</v>
      </c>
      <c r="AN319" s="20" t="str">
        <f>IFERROR(INDEX(TableWRMaster[TM],MATCH(TableWRTECalcPts[[#This Row],[POSRef]],TableWRMaster[WRRef],0)),"")</f>
        <v/>
      </c>
      <c r="AO319" s="20" t="str">
        <f>IFERROR(INDEX(TableWRMaster[BYE],MATCH(TableWRTECalcPts[[#This Row],[POSRef]],TableWRMaster[WRRef],0)),"")</f>
        <v/>
      </c>
      <c r="AP319" s="18" t="str">
        <f>IFERROR(INDEX(TableWRMaster[Custom],MATCH(TableWRTECalcPts[[#This Row],[POSRef]],TableWRMaster[WRRef],0)),"")</f>
        <v/>
      </c>
    </row>
    <row r="320" spans="35:42" x14ac:dyDescent="0.25">
      <c r="AI320" s="2" t="s">
        <v>148</v>
      </c>
      <c r="AJ320" s="2" t="str">
        <f>IFERROR(RANK(TableWRTECalcPts[[#This Row],[Custom]],TableWRTECalcPts[Custom])+COUNTIF($AP$3:AP320,AP320)-1,"")</f>
        <v/>
      </c>
      <c r="AK320" s="20">
        <v>218</v>
      </c>
      <c r="AL320" s="20" t="str">
        <f>IFERROR(INDEX(TableWRMaster[Player],MATCH(TableWRTECalcPts[[#This Row],[POSRef]],TableWRMaster[WRRef],0)),"")</f>
        <v/>
      </c>
      <c r="AM320" s="20" t="str">
        <f>IFERROR(_xlfn.CONCAT(TableWRTECalcPts[[#This Row],[POS]],INDEX(TableWRRanks[RK],MATCH(TableWRTECalcPts[[#This Row],[PLAYER]],TableWRRanks[Player],0))),"")</f>
        <v>WR183</v>
      </c>
      <c r="AN320" s="20" t="str">
        <f>IFERROR(INDEX(TableWRMaster[TM],MATCH(TableWRTECalcPts[[#This Row],[POSRef]],TableWRMaster[WRRef],0)),"")</f>
        <v/>
      </c>
      <c r="AO320" s="20" t="str">
        <f>IFERROR(INDEX(TableWRMaster[BYE],MATCH(TableWRTECalcPts[[#This Row],[POSRef]],TableWRMaster[WRRef],0)),"")</f>
        <v/>
      </c>
      <c r="AP320" s="18" t="str">
        <f>IFERROR(INDEX(TableWRMaster[Custom],MATCH(TableWRTECalcPts[[#This Row],[POSRef]],TableWRMaster[WRRef],0)),"")</f>
        <v/>
      </c>
    </row>
    <row r="321" spans="35:42" x14ac:dyDescent="0.25">
      <c r="AI321" s="2" t="s">
        <v>148</v>
      </c>
      <c r="AJ321" s="2" t="str">
        <f>IFERROR(RANK(TableWRTECalcPts[[#This Row],[Custom]],TableWRTECalcPts[Custom])+COUNTIF($AP$3:AP321,AP321)-1,"")</f>
        <v/>
      </c>
      <c r="AK321" s="20">
        <v>219</v>
      </c>
      <c r="AL321" s="20" t="str">
        <f>IFERROR(INDEX(TableWRMaster[Player],MATCH(TableWRTECalcPts[[#This Row],[POSRef]],TableWRMaster[WRRef],0)),"")</f>
        <v/>
      </c>
      <c r="AM321" s="20" t="str">
        <f>IFERROR(_xlfn.CONCAT(TableWRTECalcPts[[#This Row],[POS]],INDEX(TableWRRanks[RK],MATCH(TableWRTECalcPts[[#This Row],[PLAYER]],TableWRRanks[Player],0))),"")</f>
        <v>WR183</v>
      </c>
      <c r="AN321" s="20" t="str">
        <f>IFERROR(INDEX(TableWRMaster[TM],MATCH(TableWRTECalcPts[[#This Row],[POSRef]],TableWRMaster[WRRef],0)),"")</f>
        <v/>
      </c>
      <c r="AO321" s="20" t="str">
        <f>IFERROR(INDEX(TableWRMaster[BYE],MATCH(TableWRTECalcPts[[#This Row],[POSRef]],TableWRMaster[WRRef],0)),"")</f>
        <v/>
      </c>
      <c r="AP321" s="18" t="str">
        <f>IFERROR(INDEX(TableWRMaster[Custom],MATCH(TableWRTECalcPts[[#This Row],[POSRef]],TableWRMaster[WRRef],0)),"")</f>
        <v/>
      </c>
    </row>
    <row r="322" spans="35:42" x14ac:dyDescent="0.25">
      <c r="AI322" s="2" t="s">
        <v>148</v>
      </c>
      <c r="AJ322" s="2" t="str">
        <f>IFERROR(RANK(TableWRTECalcPts[[#This Row],[Custom]],TableWRTECalcPts[Custom])+COUNTIF($AP$3:AP322,AP322)-1,"")</f>
        <v/>
      </c>
      <c r="AK322" s="20">
        <v>220</v>
      </c>
      <c r="AL322" s="20" t="str">
        <f>IFERROR(INDEX(TableWRMaster[Player],MATCH(TableWRTECalcPts[[#This Row],[POSRef]],TableWRMaster[WRRef],0)),"")</f>
        <v/>
      </c>
      <c r="AM322" s="20" t="str">
        <f>IFERROR(_xlfn.CONCAT(TableWRTECalcPts[[#This Row],[POS]],INDEX(TableWRRanks[RK],MATCH(TableWRTECalcPts[[#This Row],[PLAYER]],TableWRRanks[Player],0))),"")</f>
        <v>WR183</v>
      </c>
      <c r="AN322" s="20" t="str">
        <f>IFERROR(INDEX(TableWRMaster[TM],MATCH(TableWRTECalcPts[[#This Row],[POSRef]],TableWRMaster[WRRef],0)),"")</f>
        <v/>
      </c>
      <c r="AO322" s="20" t="str">
        <f>IFERROR(INDEX(TableWRMaster[BYE],MATCH(TableWRTECalcPts[[#This Row],[POSRef]],TableWRMaster[WRRef],0)),"")</f>
        <v/>
      </c>
      <c r="AP322" s="18" t="str">
        <f>IFERROR(INDEX(TableWRMaster[Custom],MATCH(TableWRTECalcPts[[#This Row],[POSRef]],TableWRMaster[WRRef],0)),"")</f>
        <v/>
      </c>
    </row>
    <row r="323" spans="35:42" x14ac:dyDescent="0.25">
      <c r="AI323" s="2" t="s">
        <v>148</v>
      </c>
      <c r="AJ323" s="2" t="str">
        <f>IFERROR(RANK(TableWRTECalcPts[[#This Row],[Custom]],TableWRTECalcPts[Custom])+COUNTIF($AP$3:AP323,AP323)-1,"")</f>
        <v/>
      </c>
      <c r="AK323" s="20">
        <v>221</v>
      </c>
      <c r="AL323" s="20" t="str">
        <f>IFERROR(INDEX(TableWRMaster[Player],MATCH(TableWRTECalcPts[[#This Row],[POSRef]],TableWRMaster[WRRef],0)),"")</f>
        <v/>
      </c>
      <c r="AM323" s="20" t="str">
        <f>IFERROR(_xlfn.CONCAT(TableWRTECalcPts[[#This Row],[POS]],INDEX(TableWRRanks[RK],MATCH(TableWRTECalcPts[[#This Row],[PLAYER]],TableWRRanks[Player],0))),"")</f>
        <v>WR183</v>
      </c>
      <c r="AN323" s="20" t="str">
        <f>IFERROR(INDEX(TableWRMaster[TM],MATCH(TableWRTECalcPts[[#This Row],[POSRef]],TableWRMaster[WRRef],0)),"")</f>
        <v/>
      </c>
      <c r="AO323" s="20" t="str">
        <f>IFERROR(INDEX(TableWRMaster[BYE],MATCH(TableWRTECalcPts[[#This Row],[POSRef]],TableWRMaster[WRRef],0)),"")</f>
        <v/>
      </c>
      <c r="AP323" s="18" t="str">
        <f>IFERROR(INDEX(TableWRMaster[Custom],MATCH(TableWRTECalcPts[[#This Row],[POSRef]],TableWRMaster[WRRef],0)),"")</f>
        <v/>
      </c>
    </row>
    <row r="324" spans="35:42" x14ac:dyDescent="0.25">
      <c r="AI324" s="2" t="s">
        <v>148</v>
      </c>
      <c r="AJ324" s="2" t="str">
        <f>IFERROR(RANK(TableWRTECalcPts[[#This Row],[Custom]],TableWRTECalcPts[Custom])+COUNTIF($AP$3:AP324,AP324)-1,"")</f>
        <v/>
      </c>
      <c r="AK324" s="20">
        <v>222</v>
      </c>
      <c r="AL324" s="20" t="str">
        <f>IFERROR(INDEX(TableWRMaster[Player],MATCH(TableWRTECalcPts[[#This Row],[POSRef]],TableWRMaster[WRRef],0)),"")</f>
        <v/>
      </c>
      <c r="AM324" s="20" t="str">
        <f>IFERROR(_xlfn.CONCAT(TableWRTECalcPts[[#This Row],[POS]],INDEX(TableWRRanks[RK],MATCH(TableWRTECalcPts[[#This Row],[PLAYER]],TableWRRanks[Player],0))),"")</f>
        <v>WR183</v>
      </c>
      <c r="AN324" s="20" t="str">
        <f>IFERROR(INDEX(TableWRMaster[TM],MATCH(TableWRTECalcPts[[#This Row],[POSRef]],TableWRMaster[WRRef],0)),"")</f>
        <v/>
      </c>
      <c r="AO324" s="20" t="str">
        <f>IFERROR(INDEX(TableWRMaster[BYE],MATCH(TableWRTECalcPts[[#This Row],[POSRef]],TableWRMaster[WRRef],0)),"")</f>
        <v/>
      </c>
      <c r="AP324" s="18" t="str">
        <f>IFERROR(INDEX(TableWRMaster[Custom],MATCH(TableWRTECalcPts[[#This Row],[POSRef]],TableWRMaster[WRRef],0)),"")</f>
        <v/>
      </c>
    </row>
    <row r="325" spans="35:42" x14ac:dyDescent="0.25">
      <c r="AI325" s="2" t="s">
        <v>148</v>
      </c>
      <c r="AJ325" s="2" t="str">
        <f>IFERROR(RANK(TableWRTECalcPts[[#This Row],[Custom]],TableWRTECalcPts[Custom])+COUNTIF($AP$3:AP325,AP325)-1,"")</f>
        <v/>
      </c>
      <c r="AK325" s="20">
        <v>223</v>
      </c>
      <c r="AL325" s="20" t="str">
        <f>IFERROR(INDEX(TableWRMaster[Player],MATCH(TableWRTECalcPts[[#This Row],[POSRef]],TableWRMaster[WRRef],0)),"")</f>
        <v/>
      </c>
      <c r="AM325" s="20" t="str">
        <f>IFERROR(_xlfn.CONCAT(TableWRTECalcPts[[#This Row],[POS]],INDEX(TableWRRanks[RK],MATCH(TableWRTECalcPts[[#This Row],[PLAYER]],TableWRRanks[Player],0))),"")</f>
        <v>WR183</v>
      </c>
      <c r="AN325" s="20" t="str">
        <f>IFERROR(INDEX(TableWRMaster[TM],MATCH(TableWRTECalcPts[[#This Row],[POSRef]],TableWRMaster[WRRef],0)),"")</f>
        <v/>
      </c>
      <c r="AO325" s="20" t="str">
        <f>IFERROR(INDEX(TableWRMaster[BYE],MATCH(TableWRTECalcPts[[#This Row],[POSRef]],TableWRMaster[WRRef],0)),"")</f>
        <v/>
      </c>
      <c r="AP325" s="18" t="str">
        <f>IFERROR(INDEX(TableWRMaster[Custom],MATCH(TableWRTECalcPts[[#This Row],[POSRef]],TableWRMaster[WRRef],0)),"")</f>
        <v/>
      </c>
    </row>
    <row r="326" spans="35:42" x14ac:dyDescent="0.25">
      <c r="AI326" s="2" t="s">
        <v>148</v>
      </c>
      <c r="AJ326" s="2" t="str">
        <f>IFERROR(RANK(TableWRTECalcPts[[#This Row],[Custom]],TableWRTECalcPts[Custom])+COUNTIF($AP$3:AP326,AP326)-1,"")</f>
        <v/>
      </c>
      <c r="AK326" s="20">
        <v>224</v>
      </c>
      <c r="AL326" s="20" t="str">
        <f>IFERROR(INDEX(TableWRMaster[Player],MATCH(TableWRTECalcPts[[#This Row],[POSRef]],TableWRMaster[WRRef],0)),"")</f>
        <v/>
      </c>
      <c r="AM326" s="20" t="str">
        <f>IFERROR(_xlfn.CONCAT(TableWRTECalcPts[[#This Row],[POS]],INDEX(TableWRRanks[RK],MATCH(TableWRTECalcPts[[#This Row],[PLAYER]],TableWRRanks[Player],0))),"")</f>
        <v>WR183</v>
      </c>
      <c r="AN326" s="20" t="str">
        <f>IFERROR(INDEX(TableWRMaster[TM],MATCH(TableWRTECalcPts[[#This Row],[POSRef]],TableWRMaster[WRRef],0)),"")</f>
        <v/>
      </c>
      <c r="AO326" s="20" t="str">
        <f>IFERROR(INDEX(TableWRMaster[BYE],MATCH(TableWRTECalcPts[[#This Row],[POSRef]],TableWRMaster[WRRef],0)),"")</f>
        <v/>
      </c>
      <c r="AP326" s="18" t="str">
        <f>IFERROR(INDEX(TableWRMaster[Custom],MATCH(TableWRTECalcPts[[#This Row],[POSRef]],TableWRMaster[WRRef],0)),"")</f>
        <v/>
      </c>
    </row>
    <row r="327" spans="35:42" x14ac:dyDescent="0.25">
      <c r="AI327" s="2" t="s">
        <v>148</v>
      </c>
      <c r="AJ327" s="2" t="str">
        <f>IFERROR(RANK(TableWRTECalcPts[[#This Row],[Custom]],TableWRTECalcPts[Custom])+COUNTIF($AP$3:AP327,AP327)-1,"")</f>
        <v/>
      </c>
      <c r="AK327" s="20">
        <v>225</v>
      </c>
      <c r="AL327" s="20" t="str">
        <f>IFERROR(INDEX(TableWRMaster[Player],MATCH(TableWRTECalcPts[[#This Row],[POSRef]],TableWRMaster[WRRef],0)),"")</f>
        <v/>
      </c>
      <c r="AM327" s="20" t="str">
        <f>IFERROR(_xlfn.CONCAT(TableWRTECalcPts[[#This Row],[POS]],INDEX(TableWRRanks[RK],MATCH(TableWRTECalcPts[[#This Row],[PLAYER]],TableWRRanks[Player],0))),"")</f>
        <v>WR183</v>
      </c>
      <c r="AN327" s="20" t="str">
        <f>IFERROR(INDEX(TableWRMaster[TM],MATCH(TableWRTECalcPts[[#This Row],[POSRef]],TableWRMaster[WRRef],0)),"")</f>
        <v/>
      </c>
      <c r="AO327" s="20" t="str">
        <f>IFERROR(INDEX(TableWRMaster[BYE],MATCH(TableWRTECalcPts[[#This Row],[POSRef]],TableWRMaster[WRRef],0)),"")</f>
        <v/>
      </c>
      <c r="AP327" s="18" t="str">
        <f>IFERROR(INDEX(TableWRMaster[Custom],MATCH(TableWRTECalcPts[[#This Row],[POSRef]],TableWRMaster[WRRef],0)),"")</f>
        <v/>
      </c>
    </row>
  </sheetData>
  <pageMargins left="0.7" right="0.7" top="0.75" bottom="0.75" header="0.3" footer="0.3"/>
  <pageSetup orientation="portrait" horizontalDpi="90" verticalDpi="90" r:id="rId1"/>
  <ignoredErrors>
    <ignoredError sqref="AM3:AM327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904-1E5C-49A4-BE58-407A92F40514}">
  <sheetPr codeName="Sheet46"/>
  <dimension ref="A1:AY187"/>
  <sheetViews>
    <sheetView zoomScale="85" zoomScaleNormal="85" workbookViewId="0"/>
  </sheetViews>
  <sheetFormatPr defaultColWidth="9" defaultRowHeight="12.75" x14ac:dyDescent="0.2"/>
  <cols>
    <col min="1" max="1" width="4.140625" bestFit="1" customWidth="1"/>
    <col min="2" max="2" width="4.140625" customWidth="1"/>
    <col min="3" max="3" width="19.5703125" bestFit="1" customWidth="1"/>
    <col min="4" max="4" width="5.5703125" bestFit="1" customWidth="1"/>
    <col min="5" max="5" width="7.7109375" bestFit="1" customWidth="1"/>
    <col min="6" max="6" width="8.140625" bestFit="1" customWidth="1"/>
    <col min="8" max="8" width="19.28515625" bestFit="1" customWidth="1"/>
    <col min="9" max="9" width="5.5703125" bestFit="1" customWidth="1"/>
    <col min="10" max="10" width="7.7109375" bestFit="1" customWidth="1"/>
    <col min="11" max="11" width="8.140625" bestFit="1" customWidth="1"/>
    <col min="13" max="13" width="19.28515625" bestFit="1" customWidth="1"/>
    <col min="14" max="14" width="5.5703125" bestFit="1" customWidth="1"/>
    <col min="15" max="15" width="7.7109375" bestFit="1" customWidth="1"/>
    <col min="16" max="16" width="8.140625" bestFit="1" customWidth="1"/>
    <col min="18" max="18" width="17.140625" bestFit="1" customWidth="1"/>
    <col min="19" max="19" width="5.5703125" bestFit="1" customWidth="1"/>
    <col min="20" max="20" width="7.7109375" bestFit="1" customWidth="1"/>
    <col min="21" max="21" width="8.140625" bestFit="1" customWidth="1"/>
    <col min="23" max="23" width="19.28515625" style="188" bestFit="1" customWidth="1"/>
    <col min="24" max="24" width="5.5703125" style="188" bestFit="1" customWidth="1"/>
    <col min="25" max="25" width="7.7109375" style="188" bestFit="1" customWidth="1"/>
    <col min="26" max="26" width="8.140625" style="188" bestFit="1" customWidth="1"/>
    <col min="27" max="27" width="9" style="188"/>
    <col min="28" max="28" width="19.28515625" style="188" bestFit="1" customWidth="1"/>
    <col min="29" max="29" width="5.5703125" style="188" bestFit="1" customWidth="1"/>
    <col min="30" max="30" width="7.7109375" style="188" bestFit="1" customWidth="1"/>
    <col min="31" max="31" width="8.140625" style="188" bestFit="1" customWidth="1"/>
    <col min="32" max="32" width="9" style="188"/>
    <col min="33" max="33" width="17.140625" style="188" bestFit="1" customWidth="1"/>
    <col min="34" max="34" width="5.5703125" style="188" bestFit="1" customWidth="1"/>
    <col min="35" max="35" width="7.7109375" style="188" bestFit="1" customWidth="1"/>
    <col min="36" max="36" width="8.140625" style="188" bestFit="1" customWidth="1"/>
    <col min="38" max="38" width="19.28515625" style="189" bestFit="1" customWidth="1"/>
    <col min="39" max="39" width="5.5703125" style="189" bestFit="1" customWidth="1"/>
    <col min="40" max="40" width="7.7109375" style="189" bestFit="1" customWidth="1"/>
    <col min="41" max="41" width="8.140625" style="189" bestFit="1" customWidth="1"/>
    <col min="42" max="42" width="9" style="189"/>
    <col min="43" max="43" width="19.28515625" style="189" bestFit="1" customWidth="1"/>
    <col min="44" max="44" width="5.5703125" style="189" bestFit="1" customWidth="1"/>
    <col min="45" max="45" width="7.7109375" style="189" bestFit="1" customWidth="1"/>
    <col min="46" max="46" width="8.140625" style="189" bestFit="1" customWidth="1"/>
    <col min="47" max="47" width="9" style="189"/>
    <col min="48" max="48" width="17.140625" style="189" bestFit="1" customWidth="1"/>
    <col min="49" max="49" width="5.5703125" style="189" bestFit="1" customWidth="1"/>
    <col min="50" max="50" width="7.7109375" style="189" bestFit="1" customWidth="1"/>
    <col min="51" max="51" width="8.140625" style="189" bestFit="1" customWidth="1"/>
  </cols>
  <sheetData>
    <row r="1" spans="1:51" x14ac:dyDescent="0.2">
      <c r="A1" t="s">
        <v>98</v>
      </c>
      <c r="C1" t="s">
        <v>7</v>
      </c>
      <c r="H1" t="s">
        <v>147</v>
      </c>
      <c r="M1" t="s">
        <v>148</v>
      </c>
      <c r="R1" t="s">
        <v>8</v>
      </c>
      <c r="W1" s="188" t="s">
        <v>147</v>
      </c>
      <c r="AB1" s="188" t="s">
        <v>148</v>
      </c>
      <c r="AG1" s="188" t="s">
        <v>8</v>
      </c>
      <c r="AL1" s="189" t="s">
        <v>147</v>
      </c>
      <c r="AQ1" s="189" t="s">
        <v>148</v>
      </c>
      <c r="AV1" s="189" t="s">
        <v>8</v>
      </c>
    </row>
    <row r="2" spans="1:51" x14ac:dyDescent="0.2">
      <c r="C2" t="s">
        <v>354</v>
      </c>
      <c r="D2" t="s">
        <v>345</v>
      </c>
      <c r="E2" t="s">
        <v>355</v>
      </c>
      <c r="F2" t="s">
        <v>721</v>
      </c>
      <c r="H2" t="s">
        <v>354</v>
      </c>
      <c r="I2" t="s">
        <v>345</v>
      </c>
      <c r="J2" t="s">
        <v>355</v>
      </c>
      <c r="K2" t="s">
        <v>721</v>
      </c>
      <c r="M2" t="s">
        <v>354</v>
      </c>
      <c r="N2" t="s">
        <v>345</v>
      </c>
      <c r="O2" t="s">
        <v>355</v>
      </c>
      <c r="P2" t="s">
        <v>721</v>
      </c>
      <c r="R2" t="s">
        <v>354</v>
      </c>
      <c r="S2" t="s">
        <v>345</v>
      </c>
      <c r="T2" t="s">
        <v>355</v>
      </c>
      <c r="U2" t="s">
        <v>721</v>
      </c>
      <c r="W2" s="188" t="s">
        <v>354</v>
      </c>
      <c r="X2" s="188" t="s">
        <v>345</v>
      </c>
      <c r="Y2" s="188" t="s">
        <v>355</v>
      </c>
      <c r="Z2" s="188" t="s">
        <v>721</v>
      </c>
      <c r="AB2" s="188" t="s">
        <v>354</v>
      </c>
      <c r="AC2" s="188" t="s">
        <v>345</v>
      </c>
      <c r="AD2" s="188" t="s">
        <v>355</v>
      </c>
      <c r="AE2" s="188" t="s">
        <v>721</v>
      </c>
      <c r="AG2" s="188" t="s">
        <v>354</v>
      </c>
      <c r="AH2" s="188" t="s">
        <v>345</v>
      </c>
      <c r="AI2" s="188" t="s">
        <v>355</v>
      </c>
      <c r="AJ2" s="188" t="s">
        <v>721</v>
      </c>
      <c r="AL2" s="189" t="s">
        <v>354</v>
      </c>
      <c r="AM2" s="189" t="s">
        <v>345</v>
      </c>
      <c r="AN2" s="189" t="s">
        <v>355</v>
      </c>
      <c r="AO2" s="189" t="s">
        <v>721</v>
      </c>
      <c r="AQ2" s="189" t="s">
        <v>354</v>
      </c>
      <c r="AR2" s="189" t="s">
        <v>345</v>
      </c>
      <c r="AS2" s="189" t="s">
        <v>355</v>
      </c>
      <c r="AT2" s="189" t="s">
        <v>721</v>
      </c>
      <c r="AV2" s="189" t="s">
        <v>354</v>
      </c>
      <c r="AW2" s="189" t="s">
        <v>345</v>
      </c>
      <c r="AX2" s="189" t="s">
        <v>355</v>
      </c>
      <c r="AY2" s="189" t="s">
        <v>721</v>
      </c>
    </row>
    <row r="3" spans="1:51" x14ac:dyDescent="0.2">
      <c r="A3">
        <v>1</v>
      </c>
      <c r="C3" t="s">
        <v>16</v>
      </c>
      <c r="D3" t="s">
        <v>55</v>
      </c>
      <c r="E3" t="s">
        <v>7</v>
      </c>
      <c r="F3">
        <v>17298</v>
      </c>
      <c r="H3" t="s">
        <v>367</v>
      </c>
      <c r="I3" t="s">
        <v>53</v>
      </c>
      <c r="J3" t="s">
        <v>147</v>
      </c>
      <c r="K3">
        <v>23133</v>
      </c>
      <c r="M3" t="s">
        <v>393</v>
      </c>
      <c r="N3" t="s">
        <v>69</v>
      </c>
      <c r="O3" t="s">
        <v>148</v>
      </c>
      <c r="P3">
        <v>23180</v>
      </c>
      <c r="R3" t="s">
        <v>430</v>
      </c>
      <c r="S3" t="s">
        <v>115</v>
      </c>
      <c r="T3" t="s">
        <v>8</v>
      </c>
      <c r="U3">
        <v>22955</v>
      </c>
      <c r="W3" s="188" t="s">
        <v>367</v>
      </c>
      <c r="X3" s="188" t="s">
        <v>53</v>
      </c>
      <c r="Y3" s="188" t="s">
        <v>147</v>
      </c>
      <c r="Z3" s="188">
        <v>23133</v>
      </c>
      <c r="AB3" s="188" t="s">
        <v>393</v>
      </c>
      <c r="AC3" s="188" t="s">
        <v>69</v>
      </c>
      <c r="AD3" s="188" t="s">
        <v>148</v>
      </c>
      <c r="AE3" s="188">
        <v>23180</v>
      </c>
      <c r="AG3" s="188" t="s">
        <v>430</v>
      </c>
      <c r="AH3" s="188" t="s">
        <v>115</v>
      </c>
      <c r="AI3" s="188" t="s">
        <v>8</v>
      </c>
      <c r="AJ3" s="188">
        <v>22955</v>
      </c>
      <c r="AL3" s="189" t="s">
        <v>367</v>
      </c>
      <c r="AM3" s="189" t="s">
        <v>53</v>
      </c>
      <c r="AN3" s="189" t="s">
        <v>147</v>
      </c>
      <c r="AO3" s="189">
        <v>23133</v>
      </c>
      <c r="AQ3" s="189" t="s">
        <v>393</v>
      </c>
      <c r="AR3" s="189" t="s">
        <v>69</v>
      </c>
      <c r="AS3" s="189" t="s">
        <v>148</v>
      </c>
      <c r="AT3" s="189">
        <v>23180</v>
      </c>
      <c r="AV3" s="189" t="s">
        <v>430</v>
      </c>
      <c r="AW3" s="189" t="s">
        <v>115</v>
      </c>
      <c r="AX3" s="189" t="s">
        <v>8</v>
      </c>
      <c r="AY3" s="189">
        <v>22955</v>
      </c>
    </row>
    <row r="4" spans="1:51" x14ac:dyDescent="0.2">
      <c r="A4">
        <v>2</v>
      </c>
      <c r="C4" t="s">
        <v>425</v>
      </c>
      <c r="D4" t="s">
        <v>72</v>
      </c>
      <c r="E4" t="s">
        <v>7</v>
      </c>
      <c r="F4">
        <v>23046</v>
      </c>
      <c r="H4" t="s">
        <v>376</v>
      </c>
      <c r="I4" t="s">
        <v>62</v>
      </c>
      <c r="J4" t="s">
        <v>147</v>
      </c>
      <c r="K4">
        <v>22968</v>
      </c>
      <c r="M4" t="s">
        <v>398</v>
      </c>
      <c r="N4" t="s">
        <v>78</v>
      </c>
      <c r="O4" t="s">
        <v>148</v>
      </c>
      <c r="P4">
        <v>23070</v>
      </c>
      <c r="R4" t="s">
        <v>349</v>
      </c>
      <c r="S4" t="s">
        <v>52</v>
      </c>
      <c r="T4" t="s">
        <v>8</v>
      </c>
      <c r="U4">
        <v>22936</v>
      </c>
      <c r="W4" s="188" t="s">
        <v>376</v>
      </c>
      <c r="X4" s="188" t="s">
        <v>62</v>
      </c>
      <c r="Y4" s="188" t="s">
        <v>147</v>
      </c>
      <c r="Z4" s="188">
        <v>22968</v>
      </c>
      <c r="AB4" s="188" t="s">
        <v>398</v>
      </c>
      <c r="AC4" s="188" t="s">
        <v>78</v>
      </c>
      <c r="AD4" s="188" t="s">
        <v>148</v>
      </c>
      <c r="AE4" s="188">
        <v>23070</v>
      </c>
      <c r="AG4" s="188" t="s">
        <v>349</v>
      </c>
      <c r="AH4" s="188" t="s">
        <v>52</v>
      </c>
      <c r="AI4" s="188" t="s">
        <v>8</v>
      </c>
      <c r="AJ4" s="188">
        <v>22936</v>
      </c>
      <c r="AL4" s="189" t="s">
        <v>376</v>
      </c>
      <c r="AM4" s="189" t="s">
        <v>62</v>
      </c>
      <c r="AN4" s="189" t="s">
        <v>147</v>
      </c>
      <c r="AO4" s="189">
        <v>22968</v>
      </c>
      <c r="AQ4" s="189" t="s">
        <v>138</v>
      </c>
      <c r="AR4" s="189" t="s">
        <v>58</v>
      </c>
      <c r="AS4" s="189" t="s">
        <v>148</v>
      </c>
      <c r="AT4" s="189">
        <v>19788</v>
      </c>
      <c r="AV4" s="189" t="s">
        <v>349</v>
      </c>
      <c r="AW4" s="189" t="s">
        <v>52</v>
      </c>
      <c r="AX4" s="189" t="s">
        <v>8</v>
      </c>
      <c r="AY4" s="189">
        <v>22936</v>
      </c>
    </row>
    <row r="5" spans="1:51" x14ac:dyDescent="0.2">
      <c r="A5">
        <v>3</v>
      </c>
      <c r="C5" t="s">
        <v>12</v>
      </c>
      <c r="D5" t="s">
        <v>54</v>
      </c>
      <c r="E5" t="s">
        <v>7</v>
      </c>
      <c r="F5">
        <v>17233</v>
      </c>
      <c r="H5" t="s">
        <v>5</v>
      </c>
      <c r="I5" t="s">
        <v>79</v>
      </c>
      <c r="J5" t="s">
        <v>147</v>
      </c>
      <c r="K5">
        <v>16393</v>
      </c>
      <c r="M5" t="s">
        <v>138</v>
      </c>
      <c r="N5" t="s">
        <v>58</v>
      </c>
      <c r="O5" t="s">
        <v>148</v>
      </c>
      <c r="P5">
        <v>19788</v>
      </c>
      <c r="R5" t="s">
        <v>516</v>
      </c>
      <c r="S5" t="s">
        <v>57</v>
      </c>
      <c r="T5" t="s">
        <v>8</v>
      </c>
      <c r="U5">
        <v>26006</v>
      </c>
      <c r="W5" s="188" t="s">
        <v>5</v>
      </c>
      <c r="X5" s="188" t="s">
        <v>79</v>
      </c>
      <c r="Y5" s="188" t="s">
        <v>147</v>
      </c>
      <c r="Z5" s="188">
        <v>16393</v>
      </c>
      <c r="AB5" s="188" t="s">
        <v>138</v>
      </c>
      <c r="AC5" s="188" t="s">
        <v>58</v>
      </c>
      <c r="AD5" s="188" t="s">
        <v>148</v>
      </c>
      <c r="AE5" s="188">
        <v>19788</v>
      </c>
      <c r="AG5" s="188" t="s">
        <v>516</v>
      </c>
      <c r="AH5" s="188" t="s">
        <v>57</v>
      </c>
      <c r="AI5" s="188" t="s">
        <v>8</v>
      </c>
      <c r="AJ5" s="188">
        <v>26006</v>
      </c>
      <c r="AL5" s="189" t="s">
        <v>5</v>
      </c>
      <c r="AM5" s="189" t="s">
        <v>79</v>
      </c>
      <c r="AN5" s="189" t="s">
        <v>147</v>
      </c>
      <c r="AO5" s="189">
        <v>16393</v>
      </c>
      <c r="AQ5" s="189" t="s">
        <v>398</v>
      </c>
      <c r="AR5" s="189" t="s">
        <v>78</v>
      </c>
      <c r="AS5" s="189" t="s">
        <v>148</v>
      </c>
      <c r="AT5" s="189">
        <v>23070</v>
      </c>
      <c r="AV5" s="189" t="s">
        <v>516</v>
      </c>
      <c r="AW5" s="189" t="s">
        <v>57</v>
      </c>
      <c r="AX5" s="189" t="s">
        <v>8</v>
      </c>
      <c r="AY5" s="189">
        <v>26006</v>
      </c>
    </row>
    <row r="6" spans="1:51" x14ac:dyDescent="0.2">
      <c r="A6">
        <v>4</v>
      </c>
      <c r="C6" t="s">
        <v>421</v>
      </c>
      <c r="D6" t="s">
        <v>341</v>
      </c>
      <c r="E6" t="s">
        <v>7</v>
      </c>
      <c r="F6">
        <v>22902</v>
      </c>
      <c r="H6" t="s">
        <v>109</v>
      </c>
      <c r="I6" t="s">
        <v>65</v>
      </c>
      <c r="J6" t="s">
        <v>147</v>
      </c>
      <c r="K6">
        <v>19217</v>
      </c>
      <c r="M6" t="s">
        <v>139</v>
      </c>
      <c r="N6" t="s">
        <v>62</v>
      </c>
      <c r="O6" t="s">
        <v>148</v>
      </c>
      <c r="P6">
        <v>19799</v>
      </c>
      <c r="R6" t="s">
        <v>531</v>
      </c>
      <c r="S6" t="s">
        <v>65</v>
      </c>
      <c r="T6" t="s">
        <v>8</v>
      </c>
      <c r="U6">
        <v>26434</v>
      </c>
      <c r="W6" s="188" t="s">
        <v>109</v>
      </c>
      <c r="X6" s="188" t="s">
        <v>65</v>
      </c>
      <c r="Y6" s="188" t="s">
        <v>147</v>
      </c>
      <c r="Z6" s="188">
        <v>19217</v>
      </c>
      <c r="AB6" s="188" t="s">
        <v>139</v>
      </c>
      <c r="AC6" s="188" t="s">
        <v>62</v>
      </c>
      <c r="AD6" s="188" t="s">
        <v>148</v>
      </c>
      <c r="AE6" s="188">
        <v>19799</v>
      </c>
      <c r="AG6" s="188" t="s">
        <v>531</v>
      </c>
      <c r="AH6" s="188" t="s">
        <v>65</v>
      </c>
      <c r="AI6" s="188" t="s">
        <v>8</v>
      </c>
      <c r="AJ6" s="188">
        <v>26434</v>
      </c>
      <c r="AL6" s="189" t="s">
        <v>109</v>
      </c>
      <c r="AM6" s="189" t="s">
        <v>65</v>
      </c>
      <c r="AN6" s="189" t="s">
        <v>147</v>
      </c>
      <c r="AO6" s="189">
        <v>19217</v>
      </c>
      <c r="AQ6" s="189" t="s">
        <v>139</v>
      </c>
      <c r="AR6" s="189" t="s">
        <v>62</v>
      </c>
      <c r="AS6" s="189" t="s">
        <v>148</v>
      </c>
      <c r="AT6" s="189">
        <v>19799</v>
      </c>
      <c r="AV6" s="189" t="s">
        <v>380</v>
      </c>
      <c r="AW6" s="189" t="s">
        <v>63</v>
      </c>
      <c r="AX6" s="189" t="s">
        <v>8</v>
      </c>
      <c r="AY6" s="189">
        <v>25298</v>
      </c>
    </row>
    <row r="7" spans="1:51" x14ac:dyDescent="0.2">
      <c r="A7">
        <v>5</v>
      </c>
      <c r="C7" t="s">
        <v>104</v>
      </c>
      <c r="D7" t="s">
        <v>58</v>
      </c>
      <c r="E7" t="s">
        <v>7</v>
      </c>
      <c r="F7">
        <v>19196</v>
      </c>
      <c r="H7" t="s">
        <v>338</v>
      </c>
      <c r="I7" t="s">
        <v>55</v>
      </c>
      <c r="J7" t="s">
        <v>147</v>
      </c>
      <c r="K7">
        <v>22958</v>
      </c>
      <c r="M7" t="s">
        <v>112</v>
      </c>
      <c r="N7" t="s">
        <v>71</v>
      </c>
      <c r="O7" t="s">
        <v>148</v>
      </c>
      <c r="P7">
        <v>19236</v>
      </c>
      <c r="R7" t="s">
        <v>380</v>
      </c>
      <c r="S7" t="s">
        <v>63</v>
      </c>
      <c r="T7" t="s">
        <v>8</v>
      </c>
      <c r="U7">
        <v>25298</v>
      </c>
      <c r="W7" s="188" t="s">
        <v>338</v>
      </c>
      <c r="X7" s="188" t="s">
        <v>55</v>
      </c>
      <c r="Y7" s="188" t="s">
        <v>147</v>
      </c>
      <c r="Z7" s="188">
        <v>22958</v>
      </c>
      <c r="AB7" s="188" t="s">
        <v>112</v>
      </c>
      <c r="AC7" s="188" t="s">
        <v>71</v>
      </c>
      <c r="AD7" s="188" t="s">
        <v>148</v>
      </c>
      <c r="AE7" s="188">
        <v>19236</v>
      </c>
      <c r="AG7" s="188" t="s">
        <v>380</v>
      </c>
      <c r="AH7" s="188" t="s">
        <v>63</v>
      </c>
      <c r="AI7" s="188" t="s">
        <v>8</v>
      </c>
      <c r="AJ7" s="188">
        <v>25298</v>
      </c>
      <c r="AL7" s="189" t="s">
        <v>338</v>
      </c>
      <c r="AM7" s="189" t="s">
        <v>55</v>
      </c>
      <c r="AN7" s="189" t="s">
        <v>147</v>
      </c>
      <c r="AO7" s="189">
        <v>22958</v>
      </c>
      <c r="AQ7" s="189" t="s">
        <v>112</v>
      </c>
      <c r="AR7" s="189" t="s">
        <v>71</v>
      </c>
      <c r="AS7" s="189" t="s">
        <v>148</v>
      </c>
      <c r="AT7" s="189">
        <v>19236</v>
      </c>
      <c r="AV7" s="189" t="s">
        <v>531</v>
      </c>
      <c r="AW7" s="189" t="s">
        <v>65</v>
      </c>
      <c r="AX7" s="189" t="s">
        <v>8</v>
      </c>
      <c r="AY7" s="189">
        <v>26434</v>
      </c>
    </row>
    <row r="8" spans="1:51" x14ac:dyDescent="0.2">
      <c r="A8">
        <v>6</v>
      </c>
      <c r="C8" t="s">
        <v>114</v>
      </c>
      <c r="D8" t="s">
        <v>76</v>
      </c>
      <c r="E8" t="s">
        <v>7</v>
      </c>
      <c r="F8">
        <v>19275</v>
      </c>
      <c r="H8" t="s">
        <v>371</v>
      </c>
      <c r="I8" t="s">
        <v>58</v>
      </c>
      <c r="J8" t="s">
        <v>147</v>
      </c>
      <c r="K8">
        <v>25324</v>
      </c>
      <c r="M8" t="s">
        <v>724</v>
      </c>
      <c r="N8" t="s">
        <v>72</v>
      </c>
      <c r="O8" t="s">
        <v>148</v>
      </c>
      <c r="P8">
        <v>18218</v>
      </c>
      <c r="R8" t="s">
        <v>10</v>
      </c>
      <c r="S8" t="s">
        <v>79</v>
      </c>
      <c r="T8" t="s">
        <v>8</v>
      </c>
      <c r="U8">
        <v>16499</v>
      </c>
      <c r="W8" s="188" t="s">
        <v>371</v>
      </c>
      <c r="X8" s="188" t="s">
        <v>58</v>
      </c>
      <c r="Y8" s="188" t="s">
        <v>147</v>
      </c>
      <c r="Z8" s="188">
        <v>25324</v>
      </c>
      <c r="AB8" s="188" t="s">
        <v>724</v>
      </c>
      <c r="AC8" s="188" t="s">
        <v>72</v>
      </c>
      <c r="AD8" s="188" t="s">
        <v>148</v>
      </c>
      <c r="AE8" s="188">
        <v>18218</v>
      </c>
      <c r="AG8" s="188" t="s">
        <v>10</v>
      </c>
      <c r="AH8" s="188" t="s">
        <v>79</v>
      </c>
      <c r="AI8" s="188" t="s">
        <v>8</v>
      </c>
      <c r="AJ8" s="188">
        <v>16499</v>
      </c>
      <c r="AL8" s="189" t="s">
        <v>35</v>
      </c>
      <c r="AM8" s="189" t="s">
        <v>54</v>
      </c>
      <c r="AN8" s="189" t="s">
        <v>147</v>
      </c>
      <c r="AO8" s="189">
        <v>15514</v>
      </c>
      <c r="AQ8" s="189" t="s">
        <v>724</v>
      </c>
      <c r="AR8" s="189" t="s">
        <v>72</v>
      </c>
      <c r="AS8" s="189" t="s">
        <v>148</v>
      </c>
      <c r="AT8" s="189">
        <v>18218</v>
      </c>
      <c r="AV8" s="189" t="s">
        <v>10</v>
      </c>
      <c r="AW8" s="189" t="s">
        <v>79</v>
      </c>
      <c r="AX8" s="189" t="s">
        <v>8</v>
      </c>
      <c r="AY8" s="189">
        <v>16499</v>
      </c>
    </row>
    <row r="9" spans="1:51" x14ac:dyDescent="0.2">
      <c r="A9">
        <v>7</v>
      </c>
      <c r="C9" t="s">
        <v>21</v>
      </c>
      <c r="D9" t="s">
        <v>60</v>
      </c>
      <c r="E9" t="s">
        <v>7</v>
      </c>
      <c r="F9">
        <v>15600</v>
      </c>
      <c r="H9" t="s">
        <v>404</v>
      </c>
      <c r="I9" t="s">
        <v>70</v>
      </c>
      <c r="J9" t="s">
        <v>147</v>
      </c>
      <c r="K9">
        <v>23136</v>
      </c>
      <c r="M9" t="s">
        <v>313</v>
      </c>
      <c r="N9" t="s">
        <v>53</v>
      </c>
      <c r="O9" t="s">
        <v>148</v>
      </c>
      <c r="P9">
        <v>23163</v>
      </c>
      <c r="R9" t="s">
        <v>520</v>
      </c>
      <c r="S9" t="s">
        <v>59</v>
      </c>
      <c r="T9" t="s">
        <v>8</v>
      </c>
      <c r="U9">
        <v>27050</v>
      </c>
      <c r="W9" s="188" t="s">
        <v>404</v>
      </c>
      <c r="X9" s="188" t="s">
        <v>70</v>
      </c>
      <c r="Y9" s="188" t="s">
        <v>147</v>
      </c>
      <c r="Z9" s="188">
        <v>23136</v>
      </c>
      <c r="AB9" s="188" t="s">
        <v>313</v>
      </c>
      <c r="AC9" s="188" t="s">
        <v>53</v>
      </c>
      <c r="AD9" s="188" t="s">
        <v>148</v>
      </c>
      <c r="AE9" s="188">
        <v>23163</v>
      </c>
      <c r="AG9" s="188" t="s">
        <v>520</v>
      </c>
      <c r="AH9" s="188" t="s">
        <v>59</v>
      </c>
      <c r="AI9" s="188" t="s">
        <v>8</v>
      </c>
      <c r="AJ9" s="188">
        <v>27050</v>
      </c>
      <c r="AL9" s="189" t="s">
        <v>371</v>
      </c>
      <c r="AM9" s="189" t="s">
        <v>58</v>
      </c>
      <c r="AN9" s="189" t="s">
        <v>147</v>
      </c>
      <c r="AO9" s="189">
        <v>25324</v>
      </c>
      <c r="AQ9" s="189" t="s">
        <v>330</v>
      </c>
      <c r="AR9" s="189" t="s">
        <v>60</v>
      </c>
      <c r="AS9" s="189" t="s">
        <v>148</v>
      </c>
      <c r="AT9" s="189">
        <v>22963</v>
      </c>
      <c r="AV9" s="189" t="s">
        <v>377</v>
      </c>
      <c r="AW9" s="189" t="s">
        <v>62</v>
      </c>
      <c r="AX9" s="189" t="s">
        <v>8</v>
      </c>
      <c r="AY9" s="189">
        <v>22978</v>
      </c>
    </row>
    <row r="10" spans="1:51" x14ac:dyDescent="0.2">
      <c r="A10">
        <v>8</v>
      </c>
      <c r="C10" t="s">
        <v>504</v>
      </c>
      <c r="D10" t="s">
        <v>74</v>
      </c>
      <c r="E10" t="s">
        <v>7</v>
      </c>
      <c r="F10">
        <v>23160</v>
      </c>
      <c r="H10" t="s">
        <v>506</v>
      </c>
      <c r="I10" t="s">
        <v>115</v>
      </c>
      <c r="J10" t="s">
        <v>147</v>
      </c>
      <c r="K10">
        <v>25989</v>
      </c>
      <c r="M10" t="s">
        <v>106</v>
      </c>
      <c r="N10" t="s">
        <v>60</v>
      </c>
      <c r="O10" t="s">
        <v>148</v>
      </c>
      <c r="P10">
        <v>19202</v>
      </c>
      <c r="R10" t="s">
        <v>377</v>
      </c>
      <c r="S10" t="s">
        <v>62</v>
      </c>
      <c r="T10" t="s">
        <v>8</v>
      </c>
      <c r="U10">
        <v>22978</v>
      </c>
      <c r="W10" s="188" t="s">
        <v>506</v>
      </c>
      <c r="X10" s="188" t="s">
        <v>115</v>
      </c>
      <c r="Y10" s="188" t="s">
        <v>147</v>
      </c>
      <c r="Z10" s="188">
        <v>25989</v>
      </c>
      <c r="AB10" s="188" t="s">
        <v>106</v>
      </c>
      <c r="AC10" s="188" t="s">
        <v>60</v>
      </c>
      <c r="AD10" s="188" t="s">
        <v>148</v>
      </c>
      <c r="AE10" s="188">
        <v>19202</v>
      </c>
      <c r="AG10" s="188" t="s">
        <v>377</v>
      </c>
      <c r="AH10" s="188" t="s">
        <v>62</v>
      </c>
      <c r="AI10" s="188" t="s">
        <v>8</v>
      </c>
      <c r="AJ10" s="188">
        <v>22978</v>
      </c>
      <c r="AL10" s="189" t="s">
        <v>404</v>
      </c>
      <c r="AM10" s="189" t="s">
        <v>70</v>
      </c>
      <c r="AN10" s="189" t="s">
        <v>147</v>
      </c>
      <c r="AO10" s="189">
        <v>23136</v>
      </c>
      <c r="AQ10" s="189" t="s">
        <v>313</v>
      </c>
      <c r="AR10" s="189" t="s">
        <v>53</v>
      </c>
      <c r="AS10" s="189" t="s">
        <v>148</v>
      </c>
      <c r="AT10" s="189">
        <v>23163</v>
      </c>
      <c r="AV10" s="189" t="s">
        <v>520</v>
      </c>
      <c r="AW10" s="189" t="s">
        <v>59</v>
      </c>
      <c r="AX10" s="189" t="s">
        <v>8</v>
      </c>
      <c r="AY10" s="189">
        <v>27050</v>
      </c>
    </row>
    <row r="11" spans="1:51" x14ac:dyDescent="0.2">
      <c r="A11">
        <v>9</v>
      </c>
      <c r="C11" t="s">
        <v>120</v>
      </c>
      <c r="D11" t="s">
        <v>344</v>
      </c>
      <c r="E11" t="s">
        <v>7</v>
      </c>
      <c r="F11">
        <v>19780</v>
      </c>
      <c r="H11" t="s">
        <v>35</v>
      </c>
      <c r="I11" t="s">
        <v>54</v>
      </c>
      <c r="J11" t="s">
        <v>147</v>
      </c>
      <c r="K11">
        <v>15514</v>
      </c>
      <c r="M11" t="s">
        <v>330</v>
      </c>
      <c r="N11" t="s">
        <v>60</v>
      </c>
      <c r="O11" t="s">
        <v>148</v>
      </c>
      <c r="P11">
        <v>22963</v>
      </c>
      <c r="R11" t="s">
        <v>125</v>
      </c>
      <c r="S11" t="s">
        <v>53</v>
      </c>
      <c r="T11" t="s">
        <v>8</v>
      </c>
      <c r="U11">
        <v>20164</v>
      </c>
      <c r="W11" s="188" t="s">
        <v>35</v>
      </c>
      <c r="X11" s="188" t="s">
        <v>54</v>
      </c>
      <c r="Y11" s="188" t="s">
        <v>147</v>
      </c>
      <c r="Z11" s="188">
        <v>15514</v>
      </c>
      <c r="AB11" s="188" t="s">
        <v>330</v>
      </c>
      <c r="AC11" s="188" t="s">
        <v>60</v>
      </c>
      <c r="AD11" s="188" t="s">
        <v>148</v>
      </c>
      <c r="AE11" s="188">
        <v>22963</v>
      </c>
      <c r="AG11" s="188" t="s">
        <v>29</v>
      </c>
      <c r="AH11" s="188" t="s">
        <v>67</v>
      </c>
      <c r="AI11" s="188" t="s">
        <v>8</v>
      </c>
      <c r="AJ11" s="188">
        <v>11594</v>
      </c>
      <c r="AL11" s="189" t="s">
        <v>506</v>
      </c>
      <c r="AM11" s="189" t="s">
        <v>115</v>
      </c>
      <c r="AN11" s="189" t="s">
        <v>147</v>
      </c>
      <c r="AO11" s="189">
        <v>25989</v>
      </c>
      <c r="AQ11" s="189" t="s">
        <v>106</v>
      </c>
      <c r="AR11" s="189" t="s">
        <v>60</v>
      </c>
      <c r="AS11" s="189" t="s">
        <v>148</v>
      </c>
      <c r="AT11" s="189">
        <v>19202</v>
      </c>
      <c r="AV11" s="189" t="s">
        <v>125</v>
      </c>
      <c r="AW11" s="189" t="s">
        <v>53</v>
      </c>
      <c r="AX11" s="189" t="s">
        <v>8</v>
      </c>
      <c r="AY11" s="189">
        <v>20164</v>
      </c>
    </row>
    <row r="12" spans="1:51" x14ac:dyDescent="0.2">
      <c r="A12">
        <v>10</v>
      </c>
      <c r="C12" t="s">
        <v>28</v>
      </c>
      <c r="D12" t="s">
        <v>67</v>
      </c>
      <c r="E12" t="s">
        <v>7</v>
      </c>
      <c r="F12">
        <v>16413</v>
      </c>
      <c r="H12" t="s">
        <v>44</v>
      </c>
      <c r="I12" t="s">
        <v>76</v>
      </c>
      <c r="J12" t="s">
        <v>147</v>
      </c>
      <c r="K12">
        <v>17240</v>
      </c>
      <c r="M12" t="s">
        <v>140</v>
      </c>
      <c r="N12" t="s">
        <v>64</v>
      </c>
      <c r="O12" t="s">
        <v>148</v>
      </c>
      <c r="P12">
        <v>20130</v>
      </c>
      <c r="R12" t="s">
        <v>324</v>
      </c>
      <c r="S12" t="s">
        <v>74</v>
      </c>
      <c r="T12" t="s">
        <v>8</v>
      </c>
      <c r="U12">
        <v>23781</v>
      </c>
      <c r="W12" s="188" t="s">
        <v>507</v>
      </c>
      <c r="X12" s="188" t="s">
        <v>68</v>
      </c>
      <c r="Y12" s="188" t="s">
        <v>147</v>
      </c>
      <c r="Z12" s="188">
        <v>25395</v>
      </c>
      <c r="AB12" s="188" t="s">
        <v>140</v>
      </c>
      <c r="AC12" s="188" t="s">
        <v>64</v>
      </c>
      <c r="AD12" s="188" t="s">
        <v>148</v>
      </c>
      <c r="AE12" s="188">
        <v>20130</v>
      </c>
      <c r="AG12" s="188" t="s">
        <v>125</v>
      </c>
      <c r="AH12" s="188" t="s">
        <v>53</v>
      </c>
      <c r="AI12" s="188" t="s">
        <v>8</v>
      </c>
      <c r="AJ12" s="188">
        <v>20164</v>
      </c>
      <c r="AL12" s="189" t="s">
        <v>44</v>
      </c>
      <c r="AM12" s="189" t="s">
        <v>76</v>
      </c>
      <c r="AN12" s="189" t="s">
        <v>147</v>
      </c>
      <c r="AO12" s="189">
        <v>17240</v>
      </c>
      <c r="AQ12" s="189" t="s">
        <v>140</v>
      </c>
      <c r="AR12" s="189" t="s">
        <v>64</v>
      </c>
      <c r="AS12" s="189" t="s">
        <v>148</v>
      </c>
      <c r="AT12" s="189">
        <v>20130</v>
      </c>
      <c r="AV12" s="189" t="s">
        <v>324</v>
      </c>
      <c r="AW12" s="189" t="s">
        <v>74</v>
      </c>
      <c r="AX12" s="189" t="s">
        <v>8</v>
      </c>
      <c r="AY12" s="189">
        <v>23781</v>
      </c>
    </row>
    <row r="13" spans="1:51" x14ac:dyDescent="0.2">
      <c r="A13">
        <v>11</v>
      </c>
      <c r="C13" t="s">
        <v>417</v>
      </c>
      <c r="D13" t="s">
        <v>57</v>
      </c>
      <c r="E13" t="s">
        <v>7</v>
      </c>
      <c r="F13">
        <v>23084</v>
      </c>
      <c r="H13" t="s">
        <v>507</v>
      </c>
      <c r="I13" t="s">
        <v>68</v>
      </c>
      <c r="J13" t="s">
        <v>147</v>
      </c>
      <c r="K13">
        <v>25395</v>
      </c>
      <c r="M13" t="s">
        <v>321</v>
      </c>
      <c r="N13" t="s">
        <v>73</v>
      </c>
      <c r="O13" t="s">
        <v>148</v>
      </c>
      <c r="P13">
        <v>20111</v>
      </c>
      <c r="R13" t="s">
        <v>29</v>
      </c>
      <c r="S13" t="s">
        <v>67</v>
      </c>
      <c r="T13" t="s">
        <v>8</v>
      </c>
      <c r="U13">
        <v>11594</v>
      </c>
      <c r="W13" s="188" t="s">
        <v>44</v>
      </c>
      <c r="X13" s="188" t="s">
        <v>76</v>
      </c>
      <c r="Y13" s="188" t="s">
        <v>147</v>
      </c>
      <c r="Z13" s="188">
        <v>17240</v>
      </c>
      <c r="AB13" s="188" t="s">
        <v>321</v>
      </c>
      <c r="AC13" s="188" t="s">
        <v>73</v>
      </c>
      <c r="AD13" s="188" t="s">
        <v>148</v>
      </c>
      <c r="AE13" s="188">
        <v>20111</v>
      </c>
      <c r="AG13" s="188" t="s">
        <v>326</v>
      </c>
      <c r="AH13" s="188" t="s">
        <v>60</v>
      </c>
      <c r="AI13" s="188" t="s">
        <v>8</v>
      </c>
      <c r="AJ13" s="188">
        <v>22718</v>
      </c>
      <c r="AL13" s="189" t="s">
        <v>507</v>
      </c>
      <c r="AM13" s="189" t="s">
        <v>68</v>
      </c>
      <c r="AN13" s="189" t="s">
        <v>147</v>
      </c>
      <c r="AO13" s="189">
        <v>25395</v>
      </c>
      <c r="AQ13" s="189" t="s">
        <v>321</v>
      </c>
      <c r="AR13" s="189" t="s">
        <v>73</v>
      </c>
      <c r="AS13" s="189" t="s">
        <v>148</v>
      </c>
      <c r="AT13" s="189">
        <v>20111</v>
      </c>
      <c r="AV13" s="189" t="s">
        <v>369</v>
      </c>
      <c r="AW13" s="189" t="s">
        <v>55</v>
      </c>
      <c r="AX13" s="189" t="s">
        <v>8</v>
      </c>
      <c r="AY13" s="189">
        <v>25247</v>
      </c>
    </row>
    <row r="14" spans="1:51" x14ac:dyDescent="0.2">
      <c r="A14">
        <v>12</v>
      </c>
      <c r="C14" t="s">
        <v>110</v>
      </c>
      <c r="D14" t="s">
        <v>68</v>
      </c>
      <c r="E14" t="s">
        <v>7</v>
      </c>
      <c r="F14">
        <v>18635</v>
      </c>
      <c r="H14" t="s">
        <v>403</v>
      </c>
      <c r="I14" t="s">
        <v>67</v>
      </c>
      <c r="J14" t="s">
        <v>147</v>
      </c>
      <c r="K14">
        <v>23021</v>
      </c>
      <c r="M14" t="s">
        <v>511</v>
      </c>
      <c r="N14" t="s">
        <v>56</v>
      </c>
      <c r="O14" t="s">
        <v>148</v>
      </c>
      <c r="P14">
        <v>25417</v>
      </c>
      <c r="R14" t="s">
        <v>326</v>
      </c>
      <c r="S14" t="s">
        <v>60</v>
      </c>
      <c r="T14" t="s">
        <v>8</v>
      </c>
      <c r="U14">
        <v>22718</v>
      </c>
      <c r="W14" s="188" t="s">
        <v>403</v>
      </c>
      <c r="X14" s="188" t="s">
        <v>67</v>
      </c>
      <c r="Y14" s="188" t="s">
        <v>147</v>
      </c>
      <c r="Z14" s="188">
        <v>23021</v>
      </c>
      <c r="AB14" s="188" t="s">
        <v>511</v>
      </c>
      <c r="AC14" s="188" t="s">
        <v>56</v>
      </c>
      <c r="AD14" s="188" t="s">
        <v>148</v>
      </c>
      <c r="AE14" s="188">
        <v>25417</v>
      </c>
      <c r="AG14" s="188" t="s">
        <v>324</v>
      </c>
      <c r="AH14" s="188" t="s">
        <v>74</v>
      </c>
      <c r="AI14" s="188" t="s">
        <v>8</v>
      </c>
      <c r="AJ14" s="188">
        <v>23781</v>
      </c>
      <c r="AL14" s="189" t="s">
        <v>403</v>
      </c>
      <c r="AM14" s="189" t="s">
        <v>67</v>
      </c>
      <c r="AN14" s="189" t="s">
        <v>147</v>
      </c>
      <c r="AO14" s="189">
        <v>23021</v>
      </c>
      <c r="AQ14" s="189" t="s">
        <v>511</v>
      </c>
      <c r="AR14" s="189" t="s">
        <v>56</v>
      </c>
      <c r="AS14" s="189" t="s">
        <v>148</v>
      </c>
      <c r="AT14" s="189">
        <v>25417</v>
      </c>
      <c r="AV14" s="189" t="s">
        <v>29</v>
      </c>
      <c r="AW14" s="189" t="s">
        <v>67</v>
      </c>
      <c r="AX14" s="189" t="s">
        <v>8</v>
      </c>
      <c r="AY14" s="189">
        <v>11594</v>
      </c>
    </row>
    <row r="15" spans="1:51" x14ac:dyDescent="0.2">
      <c r="A15">
        <v>13</v>
      </c>
      <c r="C15" t="s">
        <v>362</v>
      </c>
      <c r="D15" t="s">
        <v>79</v>
      </c>
      <c r="E15" t="s">
        <v>7</v>
      </c>
      <c r="F15">
        <v>19797</v>
      </c>
      <c r="H15" t="s">
        <v>335</v>
      </c>
      <c r="I15" t="s">
        <v>69</v>
      </c>
      <c r="J15" t="s">
        <v>147</v>
      </c>
      <c r="K15">
        <v>23059</v>
      </c>
      <c r="M15" t="s">
        <v>368</v>
      </c>
      <c r="N15" t="s">
        <v>54</v>
      </c>
      <c r="O15" t="s">
        <v>148</v>
      </c>
      <c r="P15">
        <v>22916</v>
      </c>
      <c r="R15" t="s">
        <v>369</v>
      </c>
      <c r="S15" t="s">
        <v>55</v>
      </c>
      <c r="T15" t="s">
        <v>8</v>
      </c>
      <c r="U15">
        <v>25247</v>
      </c>
      <c r="W15" s="188" t="s">
        <v>335</v>
      </c>
      <c r="X15" s="188" t="s">
        <v>69</v>
      </c>
      <c r="Y15" s="188" t="s">
        <v>147</v>
      </c>
      <c r="Z15" s="188">
        <v>23059</v>
      </c>
      <c r="AB15" s="188" t="s">
        <v>368</v>
      </c>
      <c r="AC15" s="188" t="s">
        <v>54</v>
      </c>
      <c r="AD15" s="188" t="s">
        <v>148</v>
      </c>
      <c r="AE15" s="188">
        <v>22916</v>
      </c>
      <c r="AG15" s="188" t="s">
        <v>369</v>
      </c>
      <c r="AH15" s="188" t="s">
        <v>55</v>
      </c>
      <c r="AI15" s="188" t="s">
        <v>8</v>
      </c>
      <c r="AJ15" s="188">
        <v>25247</v>
      </c>
      <c r="AL15" s="189" t="s">
        <v>335</v>
      </c>
      <c r="AM15" s="189" t="s">
        <v>69</v>
      </c>
      <c r="AN15" s="189" t="s">
        <v>147</v>
      </c>
      <c r="AO15" s="189">
        <v>23059</v>
      </c>
      <c r="AQ15" s="189" t="s">
        <v>368</v>
      </c>
      <c r="AR15" s="189" t="s">
        <v>54</v>
      </c>
      <c r="AS15" s="189" t="s">
        <v>148</v>
      </c>
      <c r="AT15" s="189">
        <v>22916</v>
      </c>
      <c r="AV15" s="189" t="s">
        <v>13</v>
      </c>
      <c r="AW15" s="189" t="s">
        <v>54</v>
      </c>
      <c r="AX15" s="189" t="s">
        <v>8</v>
      </c>
      <c r="AY15" s="189">
        <v>17269</v>
      </c>
    </row>
    <row r="16" spans="1:51" x14ac:dyDescent="0.2">
      <c r="A16">
        <v>14</v>
      </c>
      <c r="C16" t="s">
        <v>429</v>
      </c>
      <c r="D16" t="s">
        <v>61</v>
      </c>
      <c r="E16" t="s">
        <v>7</v>
      </c>
      <c r="F16">
        <v>22910</v>
      </c>
      <c r="H16" t="s">
        <v>40</v>
      </c>
      <c r="I16" t="s">
        <v>63</v>
      </c>
      <c r="J16" t="s">
        <v>147</v>
      </c>
      <c r="K16">
        <v>18269</v>
      </c>
      <c r="M16" t="s">
        <v>143</v>
      </c>
      <c r="N16" t="s">
        <v>76</v>
      </c>
      <c r="O16" t="s">
        <v>148</v>
      </c>
      <c r="P16">
        <v>19222</v>
      </c>
      <c r="R16" t="s">
        <v>13</v>
      </c>
      <c r="S16" t="s">
        <v>54</v>
      </c>
      <c r="T16" t="s">
        <v>8</v>
      </c>
      <c r="U16">
        <v>17269</v>
      </c>
      <c r="W16" s="188" t="s">
        <v>40</v>
      </c>
      <c r="X16" s="188" t="s">
        <v>63</v>
      </c>
      <c r="Y16" s="188" t="s">
        <v>147</v>
      </c>
      <c r="Z16" s="188">
        <v>18269</v>
      </c>
      <c r="AB16" s="188" t="s">
        <v>143</v>
      </c>
      <c r="AC16" s="188" t="s">
        <v>76</v>
      </c>
      <c r="AD16" s="188" t="s">
        <v>148</v>
      </c>
      <c r="AE16" s="188">
        <v>19222</v>
      </c>
      <c r="AG16" s="188" t="s">
        <v>39</v>
      </c>
      <c r="AH16" s="188" t="s">
        <v>76</v>
      </c>
      <c r="AI16" s="188" t="s">
        <v>8</v>
      </c>
      <c r="AJ16" s="188">
        <v>17270</v>
      </c>
      <c r="AL16" s="189" t="s">
        <v>40</v>
      </c>
      <c r="AM16" s="189" t="s">
        <v>63</v>
      </c>
      <c r="AN16" s="189" t="s">
        <v>147</v>
      </c>
      <c r="AO16" s="189">
        <v>18269</v>
      </c>
      <c r="AQ16" s="189" t="s">
        <v>143</v>
      </c>
      <c r="AR16" s="189" t="s">
        <v>76</v>
      </c>
      <c r="AS16" s="189" t="s">
        <v>148</v>
      </c>
      <c r="AT16" s="189">
        <v>19222</v>
      </c>
      <c r="AV16" s="189" t="s">
        <v>326</v>
      </c>
      <c r="AW16" s="189" t="s">
        <v>60</v>
      </c>
      <c r="AX16" s="189" t="s">
        <v>8</v>
      </c>
      <c r="AY16" s="189">
        <v>22718</v>
      </c>
    </row>
    <row r="17" spans="1:51" x14ac:dyDescent="0.2">
      <c r="A17">
        <v>15</v>
      </c>
      <c r="C17" t="s">
        <v>24</v>
      </c>
      <c r="D17" t="s">
        <v>69</v>
      </c>
      <c r="E17" t="s">
        <v>7</v>
      </c>
      <c r="F17">
        <v>9451</v>
      </c>
      <c r="H17" t="s">
        <v>667</v>
      </c>
      <c r="I17" t="s">
        <v>52</v>
      </c>
      <c r="J17" t="s">
        <v>147</v>
      </c>
      <c r="K17">
        <v>25403</v>
      </c>
      <c r="M17" t="s">
        <v>105</v>
      </c>
      <c r="N17" t="s">
        <v>58</v>
      </c>
      <c r="O17" t="s">
        <v>148</v>
      </c>
      <c r="P17">
        <v>19211</v>
      </c>
      <c r="R17" t="s">
        <v>39</v>
      </c>
      <c r="S17" t="s">
        <v>76</v>
      </c>
      <c r="T17" t="s">
        <v>8</v>
      </c>
      <c r="U17">
        <v>17270</v>
      </c>
      <c r="W17" s="188" t="s">
        <v>667</v>
      </c>
      <c r="X17" s="188" t="s">
        <v>52</v>
      </c>
      <c r="Y17" s="188" t="s">
        <v>147</v>
      </c>
      <c r="Z17" s="188">
        <v>25403</v>
      </c>
      <c r="AB17" s="188" t="s">
        <v>105</v>
      </c>
      <c r="AC17" s="188" t="s">
        <v>58</v>
      </c>
      <c r="AD17" s="188" t="s">
        <v>148</v>
      </c>
      <c r="AE17" s="188">
        <v>19211</v>
      </c>
      <c r="AG17" s="188" t="s">
        <v>13</v>
      </c>
      <c r="AH17" s="188" t="s">
        <v>54</v>
      </c>
      <c r="AI17" s="188" t="s">
        <v>8</v>
      </c>
      <c r="AJ17" s="188">
        <v>17269</v>
      </c>
      <c r="AL17" s="189" t="s">
        <v>132</v>
      </c>
      <c r="AM17" s="189" t="s">
        <v>60</v>
      </c>
      <c r="AN17" s="189" t="s">
        <v>147</v>
      </c>
      <c r="AO17" s="189">
        <v>22739</v>
      </c>
      <c r="AQ17" s="189" t="s">
        <v>105</v>
      </c>
      <c r="AR17" s="189" t="s">
        <v>58</v>
      </c>
      <c r="AS17" s="189" t="s">
        <v>148</v>
      </c>
      <c r="AT17" s="189">
        <v>19211</v>
      </c>
      <c r="AV17" s="189" t="s">
        <v>39</v>
      </c>
      <c r="AW17" s="189" t="s">
        <v>76</v>
      </c>
      <c r="AX17" s="189" t="s">
        <v>8</v>
      </c>
      <c r="AY17" s="189">
        <v>17270</v>
      </c>
    </row>
    <row r="18" spans="1:51" x14ac:dyDescent="0.2">
      <c r="A18">
        <v>16</v>
      </c>
      <c r="C18" t="s">
        <v>50</v>
      </c>
      <c r="D18" t="s">
        <v>71</v>
      </c>
      <c r="E18" t="s">
        <v>7</v>
      </c>
      <c r="F18">
        <v>18600</v>
      </c>
      <c r="H18" t="s">
        <v>132</v>
      </c>
      <c r="I18" t="s">
        <v>60</v>
      </c>
      <c r="J18" t="s">
        <v>147</v>
      </c>
      <c r="K18">
        <v>22739</v>
      </c>
      <c r="M18" t="s">
        <v>388</v>
      </c>
      <c r="N18" t="s">
        <v>67</v>
      </c>
      <c r="O18" t="s">
        <v>148</v>
      </c>
      <c r="P18">
        <v>23113</v>
      </c>
      <c r="R18" t="s">
        <v>23</v>
      </c>
      <c r="S18" t="s">
        <v>71</v>
      </c>
      <c r="T18" t="s">
        <v>8</v>
      </c>
      <c r="U18">
        <v>18290</v>
      </c>
      <c r="W18" s="188" t="s">
        <v>328</v>
      </c>
      <c r="X18" s="188" t="s">
        <v>75</v>
      </c>
      <c r="Y18" s="188" t="s">
        <v>147</v>
      </c>
      <c r="Z18" s="188">
        <v>22982</v>
      </c>
      <c r="AB18" s="188" t="s">
        <v>388</v>
      </c>
      <c r="AC18" s="188" t="s">
        <v>67</v>
      </c>
      <c r="AD18" s="188" t="s">
        <v>148</v>
      </c>
      <c r="AE18" s="188">
        <v>23113</v>
      </c>
      <c r="AG18" s="188" t="s">
        <v>23</v>
      </c>
      <c r="AH18" s="188" t="s">
        <v>71</v>
      </c>
      <c r="AI18" s="188" t="s">
        <v>8</v>
      </c>
      <c r="AJ18" s="188">
        <v>18290</v>
      </c>
      <c r="AL18" s="189" t="s">
        <v>667</v>
      </c>
      <c r="AM18" s="189" t="s">
        <v>52</v>
      </c>
      <c r="AN18" s="189" t="s">
        <v>147</v>
      </c>
      <c r="AO18" s="189">
        <v>25403</v>
      </c>
      <c r="AQ18" s="189" t="s">
        <v>388</v>
      </c>
      <c r="AR18" s="189" t="s">
        <v>67</v>
      </c>
      <c r="AS18" s="189" t="s">
        <v>148</v>
      </c>
      <c r="AT18" s="189">
        <v>23113</v>
      </c>
      <c r="AV18" s="189" t="s">
        <v>11</v>
      </c>
      <c r="AW18" s="189" t="s">
        <v>72</v>
      </c>
      <c r="AX18" s="189" t="s">
        <v>8</v>
      </c>
      <c r="AY18" s="189">
        <v>15561</v>
      </c>
    </row>
    <row r="19" spans="1:51" x14ac:dyDescent="0.2">
      <c r="A19">
        <v>17</v>
      </c>
      <c r="C19" t="s">
        <v>501</v>
      </c>
      <c r="D19" t="s">
        <v>70</v>
      </c>
      <c r="E19" t="s">
        <v>7</v>
      </c>
      <c r="F19">
        <v>23499</v>
      </c>
      <c r="H19" t="s">
        <v>328</v>
      </c>
      <c r="I19" t="s">
        <v>75</v>
      </c>
      <c r="J19" t="s">
        <v>147</v>
      </c>
      <c r="K19">
        <v>22982</v>
      </c>
      <c r="M19" t="s">
        <v>573</v>
      </c>
      <c r="N19" t="s">
        <v>80</v>
      </c>
      <c r="O19" t="s">
        <v>148</v>
      </c>
      <c r="P19">
        <v>23062</v>
      </c>
      <c r="R19" t="s">
        <v>571</v>
      </c>
      <c r="S19" t="s">
        <v>341</v>
      </c>
      <c r="T19" t="s">
        <v>8</v>
      </c>
      <c r="U19">
        <v>23982</v>
      </c>
      <c r="W19" s="188" t="s">
        <v>132</v>
      </c>
      <c r="X19" s="188" t="s">
        <v>60</v>
      </c>
      <c r="Y19" s="188" t="s">
        <v>147</v>
      </c>
      <c r="Z19" s="188">
        <v>22739</v>
      </c>
      <c r="AB19" s="188" t="s">
        <v>573</v>
      </c>
      <c r="AC19" s="188" t="s">
        <v>80</v>
      </c>
      <c r="AD19" s="188" t="s">
        <v>148</v>
      </c>
      <c r="AE19" s="188">
        <v>23062</v>
      </c>
      <c r="AG19" s="188" t="s">
        <v>571</v>
      </c>
      <c r="AH19" s="188" t="s">
        <v>341</v>
      </c>
      <c r="AI19" s="188" t="s">
        <v>8</v>
      </c>
      <c r="AJ19" s="188">
        <v>23982</v>
      </c>
      <c r="AL19" s="189" t="s">
        <v>328</v>
      </c>
      <c r="AM19" s="189" t="s">
        <v>75</v>
      </c>
      <c r="AN19" s="189" t="s">
        <v>147</v>
      </c>
      <c r="AO19" s="189">
        <v>22982</v>
      </c>
      <c r="AQ19" s="189" t="s">
        <v>573</v>
      </c>
      <c r="AR19" s="189" t="s">
        <v>80</v>
      </c>
      <c r="AS19" s="189" t="s">
        <v>148</v>
      </c>
      <c r="AT19" s="189">
        <v>23062</v>
      </c>
      <c r="AV19" s="189" t="s">
        <v>23</v>
      </c>
      <c r="AW19" s="189" t="s">
        <v>71</v>
      </c>
      <c r="AX19" s="189" t="s">
        <v>8</v>
      </c>
      <c r="AY19" s="189">
        <v>18290</v>
      </c>
    </row>
    <row r="20" spans="1:51" x14ac:dyDescent="0.2">
      <c r="A20">
        <v>18</v>
      </c>
      <c r="C20" t="s">
        <v>32</v>
      </c>
      <c r="D20" t="s">
        <v>62</v>
      </c>
      <c r="E20" t="s">
        <v>7</v>
      </c>
      <c r="F20">
        <v>15501</v>
      </c>
      <c r="H20" t="s">
        <v>550</v>
      </c>
      <c r="I20" t="s">
        <v>74</v>
      </c>
      <c r="J20" t="s">
        <v>147</v>
      </c>
      <c r="K20">
        <v>27166</v>
      </c>
      <c r="M20" t="s">
        <v>435</v>
      </c>
      <c r="N20" t="s">
        <v>68</v>
      </c>
      <c r="O20" t="s">
        <v>148</v>
      </c>
      <c r="P20">
        <v>26122</v>
      </c>
      <c r="R20" t="s">
        <v>11</v>
      </c>
      <c r="S20" t="s">
        <v>72</v>
      </c>
      <c r="T20" t="s">
        <v>8</v>
      </c>
      <c r="U20">
        <v>15561</v>
      </c>
      <c r="W20" s="188" t="s">
        <v>116</v>
      </c>
      <c r="X20" s="188" t="s">
        <v>57</v>
      </c>
      <c r="Y20" s="188" t="s">
        <v>147</v>
      </c>
      <c r="Z20" s="188">
        <v>19210</v>
      </c>
      <c r="AB20" s="188" t="s">
        <v>435</v>
      </c>
      <c r="AC20" s="188" t="s">
        <v>68</v>
      </c>
      <c r="AD20" s="188" t="s">
        <v>148</v>
      </c>
      <c r="AE20" s="188">
        <v>26122</v>
      </c>
      <c r="AG20" s="188" t="s">
        <v>11</v>
      </c>
      <c r="AH20" s="188" t="s">
        <v>72</v>
      </c>
      <c r="AI20" s="188" t="s">
        <v>8</v>
      </c>
      <c r="AJ20" s="188">
        <v>15561</v>
      </c>
      <c r="AL20" s="189" t="s">
        <v>17</v>
      </c>
      <c r="AM20" s="189" t="s">
        <v>64</v>
      </c>
      <c r="AN20" s="189" t="s">
        <v>147</v>
      </c>
      <c r="AO20" s="189">
        <v>18239</v>
      </c>
      <c r="AQ20" s="189" t="s">
        <v>36</v>
      </c>
      <c r="AR20" s="189" t="s">
        <v>79</v>
      </c>
      <c r="AS20" s="189" t="s">
        <v>148</v>
      </c>
      <c r="AT20" s="189">
        <v>12119</v>
      </c>
      <c r="AV20" s="189" t="s">
        <v>571</v>
      </c>
      <c r="AW20" s="189" t="s">
        <v>341</v>
      </c>
      <c r="AX20" s="189" t="s">
        <v>8</v>
      </c>
      <c r="AY20" s="189">
        <v>23982</v>
      </c>
    </row>
    <row r="21" spans="1:51" x14ac:dyDescent="0.2">
      <c r="A21">
        <v>19</v>
      </c>
      <c r="C21" t="s">
        <v>356</v>
      </c>
      <c r="D21" t="s">
        <v>80</v>
      </c>
      <c r="E21" t="s">
        <v>7</v>
      </c>
      <c r="F21">
        <v>17237</v>
      </c>
      <c r="H21" t="s">
        <v>17</v>
      </c>
      <c r="I21" t="s">
        <v>64</v>
      </c>
      <c r="J21" t="s">
        <v>147</v>
      </c>
      <c r="K21">
        <v>18239</v>
      </c>
      <c r="M21" t="s">
        <v>320</v>
      </c>
      <c r="N21" t="s">
        <v>75</v>
      </c>
      <c r="O21" t="s">
        <v>148</v>
      </c>
      <c r="P21">
        <v>23072</v>
      </c>
      <c r="R21" t="s">
        <v>610</v>
      </c>
      <c r="S21" t="s">
        <v>70</v>
      </c>
      <c r="T21" t="s">
        <v>8</v>
      </c>
      <c r="U21">
        <v>23153</v>
      </c>
      <c r="W21" s="188" t="s">
        <v>550</v>
      </c>
      <c r="X21" s="188" t="s">
        <v>74</v>
      </c>
      <c r="Y21" s="188" t="s">
        <v>147</v>
      </c>
      <c r="Z21" s="188">
        <v>27166</v>
      </c>
      <c r="AB21" s="188" t="s">
        <v>34</v>
      </c>
      <c r="AC21" s="188" t="s">
        <v>341</v>
      </c>
      <c r="AD21" s="188" t="s">
        <v>148</v>
      </c>
      <c r="AE21" s="188">
        <v>18466</v>
      </c>
      <c r="AG21" s="188" t="s">
        <v>610</v>
      </c>
      <c r="AH21" s="188" t="s">
        <v>70</v>
      </c>
      <c r="AI21" s="188" t="s">
        <v>8</v>
      </c>
      <c r="AJ21" s="188">
        <v>23153</v>
      </c>
      <c r="AL21" s="189" t="s">
        <v>550</v>
      </c>
      <c r="AM21" s="189" t="s">
        <v>74</v>
      </c>
      <c r="AN21" s="189" t="s">
        <v>147</v>
      </c>
      <c r="AO21" s="189">
        <v>27166</v>
      </c>
      <c r="AQ21" s="189" t="s">
        <v>34</v>
      </c>
      <c r="AR21" s="189" t="s">
        <v>341</v>
      </c>
      <c r="AS21" s="189" t="s">
        <v>148</v>
      </c>
      <c r="AT21" s="189">
        <v>18466</v>
      </c>
      <c r="AV21" s="189" t="s">
        <v>610</v>
      </c>
      <c r="AW21" s="189" t="s">
        <v>70</v>
      </c>
      <c r="AX21" s="189" t="s">
        <v>8</v>
      </c>
      <c r="AY21" s="189">
        <v>23153</v>
      </c>
    </row>
    <row r="22" spans="1:51" x14ac:dyDescent="0.2">
      <c r="A22">
        <v>20</v>
      </c>
      <c r="C22" t="s">
        <v>548</v>
      </c>
      <c r="D22" t="s">
        <v>73</v>
      </c>
      <c r="E22" t="s">
        <v>7</v>
      </c>
      <c r="F22">
        <v>23096</v>
      </c>
      <c r="H22" t="s">
        <v>317</v>
      </c>
      <c r="I22" t="s">
        <v>73</v>
      </c>
      <c r="J22" t="s">
        <v>147</v>
      </c>
      <c r="K22">
        <v>19231</v>
      </c>
      <c r="M22" t="s">
        <v>34</v>
      </c>
      <c r="N22" t="s">
        <v>341</v>
      </c>
      <c r="O22" t="s">
        <v>148</v>
      </c>
      <c r="P22">
        <v>18466</v>
      </c>
      <c r="R22" t="s">
        <v>387</v>
      </c>
      <c r="S22" t="s">
        <v>344</v>
      </c>
      <c r="T22" t="s">
        <v>8</v>
      </c>
      <c r="U22">
        <v>25345</v>
      </c>
      <c r="W22" s="188" t="s">
        <v>17</v>
      </c>
      <c r="X22" s="188" t="s">
        <v>64</v>
      </c>
      <c r="Y22" s="188" t="s">
        <v>147</v>
      </c>
      <c r="Z22" s="188">
        <v>18239</v>
      </c>
      <c r="AB22" s="188" t="s">
        <v>320</v>
      </c>
      <c r="AC22" s="188" t="s">
        <v>75</v>
      </c>
      <c r="AD22" s="188" t="s">
        <v>148</v>
      </c>
      <c r="AE22" s="188">
        <v>23072</v>
      </c>
      <c r="AG22" s="188" t="s">
        <v>387</v>
      </c>
      <c r="AH22" s="188" t="s">
        <v>344</v>
      </c>
      <c r="AI22" s="188" t="s">
        <v>8</v>
      </c>
      <c r="AJ22" s="188">
        <v>25345</v>
      </c>
      <c r="AL22" s="189" t="s">
        <v>116</v>
      </c>
      <c r="AM22" s="189" t="s">
        <v>57</v>
      </c>
      <c r="AN22" s="189" t="s">
        <v>147</v>
      </c>
      <c r="AO22" s="189">
        <v>19210</v>
      </c>
      <c r="AQ22" s="189" t="s">
        <v>435</v>
      </c>
      <c r="AR22" s="189" t="s">
        <v>68</v>
      </c>
      <c r="AS22" s="189" t="s">
        <v>148</v>
      </c>
      <c r="AT22" s="189">
        <v>26122</v>
      </c>
      <c r="AV22" s="189" t="s">
        <v>387</v>
      </c>
      <c r="AW22" s="189" t="s">
        <v>344</v>
      </c>
      <c r="AX22" s="189" t="s">
        <v>8</v>
      </c>
      <c r="AY22" s="189">
        <v>25345</v>
      </c>
    </row>
    <row r="23" spans="1:51" x14ac:dyDescent="0.2">
      <c r="A23">
        <v>21</v>
      </c>
      <c r="C23" t="s">
        <v>108</v>
      </c>
      <c r="D23" t="s">
        <v>63</v>
      </c>
      <c r="E23" t="s">
        <v>7</v>
      </c>
      <c r="F23">
        <v>19246</v>
      </c>
      <c r="H23" t="s">
        <v>116</v>
      </c>
      <c r="I23" t="s">
        <v>57</v>
      </c>
      <c r="J23" t="s">
        <v>147</v>
      </c>
      <c r="K23">
        <v>19210</v>
      </c>
      <c r="M23" t="s">
        <v>36</v>
      </c>
      <c r="N23" t="s">
        <v>79</v>
      </c>
      <c r="O23" t="s">
        <v>148</v>
      </c>
      <c r="P23">
        <v>12119</v>
      </c>
      <c r="R23" t="s">
        <v>97</v>
      </c>
      <c r="S23" t="s">
        <v>64</v>
      </c>
      <c r="T23" t="s">
        <v>8</v>
      </c>
      <c r="U23">
        <v>17349</v>
      </c>
      <c r="W23" s="188" t="s">
        <v>532</v>
      </c>
      <c r="X23" s="188" t="s">
        <v>344</v>
      </c>
      <c r="Y23" s="188" t="s">
        <v>147</v>
      </c>
      <c r="Z23" s="188">
        <v>27297</v>
      </c>
      <c r="AB23" s="188" t="s">
        <v>36</v>
      </c>
      <c r="AC23" s="188" t="s">
        <v>79</v>
      </c>
      <c r="AD23" s="188" t="s">
        <v>148</v>
      </c>
      <c r="AE23" s="188">
        <v>12119</v>
      </c>
      <c r="AG23" s="188" t="s">
        <v>97</v>
      </c>
      <c r="AH23" s="188" t="s">
        <v>64</v>
      </c>
      <c r="AI23" s="188" t="s">
        <v>8</v>
      </c>
      <c r="AJ23" s="188">
        <v>17349</v>
      </c>
      <c r="AL23" s="189" t="s">
        <v>532</v>
      </c>
      <c r="AM23" s="189" t="s">
        <v>344</v>
      </c>
      <c r="AN23" s="189" t="s">
        <v>147</v>
      </c>
      <c r="AO23" s="189">
        <v>27297</v>
      </c>
      <c r="AQ23" s="189" t="s">
        <v>320</v>
      </c>
      <c r="AR23" s="189" t="s">
        <v>75</v>
      </c>
      <c r="AS23" s="189" t="s">
        <v>148</v>
      </c>
      <c r="AT23" s="189">
        <v>23072</v>
      </c>
      <c r="AV23" s="189" t="s">
        <v>97</v>
      </c>
      <c r="AW23" s="189" t="s">
        <v>64</v>
      </c>
      <c r="AX23" s="189" t="s">
        <v>8</v>
      </c>
      <c r="AY23" s="189">
        <v>17349</v>
      </c>
    </row>
    <row r="24" spans="1:51" x14ac:dyDescent="0.2">
      <c r="A24">
        <v>22</v>
      </c>
      <c r="C24" t="s">
        <v>381</v>
      </c>
      <c r="D24" t="s">
        <v>64</v>
      </c>
      <c r="E24" t="s">
        <v>7</v>
      </c>
      <c r="F24">
        <v>23071</v>
      </c>
      <c r="H24" t="s">
        <v>532</v>
      </c>
      <c r="I24" t="s">
        <v>344</v>
      </c>
      <c r="J24" t="s">
        <v>147</v>
      </c>
      <c r="K24">
        <v>27297</v>
      </c>
      <c r="M24" t="s">
        <v>136</v>
      </c>
      <c r="N24" t="s">
        <v>55</v>
      </c>
      <c r="O24" t="s">
        <v>148</v>
      </c>
      <c r="P24">
        <v>17265</v>
      </c>
      <c r="R24" t="s">
        <v>127</v>
      </c>
      <c r="S24" t="s">
        <v>77</v>
      </c>
      <c r="T24" t="s">
        <v>8</v>
      </c>
      <c r="U24">
        <v>20163</v>
      </c>
      <c r="W24" s="188" t="s">
        <v>317</v>
      </c>
      <c r="X24" s="188" t="s">
        <v>73</v>
      </c>
      <c r="Y24" s="188" t="s">
        <v>147</v>
      </c>
      <c r="Z24" s="188">
        <v>19231</v>
      </c>
      <c r="AB24" s="188" t="s">
        <v>136</v>
      </c>
      <c r="AC24" s="188" t="s">
        <v>55</v>
      </c>
      <c r="AD24" s="188" t="s">
        <v>148</v>
      </c>
      <c r="AE24" s="188">
        <v>17265</v>
      </c>
      <c r="AG24" s="188" t="s">
        <v>127</v>
      </c>
      <c r="AH24" s="188" t="s">
        <v>77</v>
      </c>
      <c r="AI24" s="188" t="s">
        <v>8</v>
      </c>
      <c r="AJ24" s="188">
        <v>20163</v>
      </c>
      <c r="AL24" s="189" t="s">
        <v>317</v>
      </c>
      <c r="AM24" s="189" t="s">
        <v>73</v>
      </c>
      <c r="AN24" s="189" t="s">
        <v>147</v>
      </c>
      <c r="AO24" s="189">
        <v>19231</v>
      </c>
      <c r="AQ24" s="189" t="s">
        <v>142</v>
      </c>
      <c r="AR24" s="189" t="s">
        <v>61</v>
      </c>
      <c r="AS24" s="189" t="s">
        <v>148</v>
      </c>
      <c r="AT24" s="189">
        <v>19790</v>
      </c>
      <c r="AV24" s="189" t="s">
        <v>127</v>
      </c>
      <c r="AW24" s="189" t="s">
        <v>77</v>
      </c>
      <c r="AX24" s="189" t="s">
        <v>8</v>
      </c>
      <c r="AY24" s="189">
        <v>20163</v>
      </c>
    </row>
    <row r="25" spans="1:51" x14ac:dyDescent="0.2">
      <c r="A25">
        <v>23</v>
      </c>
      <c r="C25" t="s">
        <v>505</v>
      </c>
      <c r="D25" t="s">
        <v>81</v>
      </c>
      <c r="E25" t="s">
        <v>7</v>
      </c>
      <c r="F25">
        <v>24755</v>
      </c>
      <c r="H25" t="s">
        <v>657</v>
      </c>
      <c r="I25" t="s">
        <v>78</v>
      </c>
      <c r="J25" t="s">
        <v>147</v>
      </c>
      <c r="K25">
        <v>27329</v>
      </c>
      <c r="M25" t="s">
        <v>142</v>
      </c>
      <c r="N25" t="s">
        <v>61</v>
      </c>
      <c r="O25" t="s">
        <v>148</v>
      </c>
      <c r="P25">
        <v>19790</v>
      </c>
      <c r="R25" t="s">
        <v>311</v>
      </c>
      <c r="S25" t="s">
        <v>73</v>
      </c>
      <c r="T25" t="s">
        <v>8</v>
      </c>
      <c r="U25">
        <v>19562</v>
      </c>
      <c r="W25" s="188" t="s">
        <v>657</v>
      </c>
      <c r="X25" s="188" t="s">
        <v>78</v>
      </c>
      <c r="Y25" s="188" t="s">
        <v>147</v>
      </c>
      <c r="Z25" s="188">
        <v>27329</v>
      </c>
      <c r="AB25" s="188" t="s">
        <v>142</v>
      </c>
      <c r="AC25" s="188" t="s">
        <v>61</v>
      </c>
      <c r="AD25" s="188" t="s">
        <v>148</v>
      </c>
      <c r="AE25" s="188">
        <v>19790</v>
      </c>
      <c r="AG25" s="188" t="s">
        <v>311</v>
      </c>
      <c r="AH25" s="188" t="s">
        <v>73</v>
      </c>
      <c r="AI25" s="188" t="s">
        <v>8</v>
      </c>
      <c r="AJ25" s="188">
        <v>19562</v>
      </c>
      <c r="AL25" s="189" t="s">
        <v>657</v>
      </c>
      <c r="AM25" s="189" t="s">
        <v>78</v>
      </c>
      <c r="AN25" s="189" t="s">
        <v>147</v>
      </c>
      <c r="AO25" s="189">
        <v>27329</v>
      </c>
      <c r="AQ25" s="189" t="s">
        <v>136</v>
      </c>
      <c r="AR25" s="189" t="s">
        <v>55</v>
      </c>
      <c r="AS25" s="189" t="s">
        <v>148</v>
      </c>
      <c r="AT25" s="189">
        <v>17265</v>
      </c>
      <c r="AV25" s="189" t="s">
        <v>311</v>
      </c>
      <c r="AW25" s="189" t="s">
        <v>73</v>
      </c>
      <c r="AX25" s="189" t="s">
        <v>8</v>
      </c>
      <c r="AY25" s="189">
        <v>19562</v>
      </c>
    </row>
    <row r="26" spans="1:51" x14ac:dyDescent="0.2">
      <c r="A26">
        <v>24</v>
      </c>
      <c r="C26" t="s">
        <v>45</v>
      </c>
      <c r="D26" t="s">
        <v>65</v>
      </c>
      <c r="E26" t="s">
        <v>7</v>
      </c>
      <c r="F26">
        <v>18232</v>
      </c>
      <c r="H26" t="s">
        <v>584</v>
      </c>
      <c r="I26" t="s">
        <v>59</v>
      </c>
      <c r="J26" t="s">
        <v>147</v>
      </c>
      <c r="K26">
        <v>25391</v>
      </c>
      <c r="M26" t="s">
        <v>515</v>
      </c>
      <c r="N26" t="s">
        <v>57</v>
      </c>
      <c r="O26" t="s">
        <v>148</v>
      </c>
      <c r="P26">
        <v>27016</v>
      </c>
      <c r="R26" t="s">
        <v>706</v>
      </c>
      <c r="S26" t="s">
        <v>75</v>
      </c>
      <c r="T26" t="s">
        <v>8</v>
      </c>
      <c r="U26">
        <v>26055</v>
      </c>
      <c r="W26" s="188" t="s">
        <v>584</v>
      </c>
      <c r="X26" s="188" t="s">
        <v>59</v>
      </c>
      <c r="Y26" s="188" t="s">
        <v>147</v>
      </c>
      <c r="Z26" s="188">
        <v>25391</v>
      </c>
      <c r="AB26" s="188" t="s">
        <v>515</v>
      </c>
      <c r="AC26" s="188" t="s">
        <v>57</v>
      </c>
      <c r="AD26" s="188" t="s">
        <v>148</v>
      </c>
      <c r="AE26" s="188">
        <v>27016</v>
      </c>
      <c r="AG26" s="188" t="s">
        <v>706</v>
      </c>
      <c r="AH26" s="188" t="s">
        <v>75</v>
      </c>
      <c r="AI26" s="188" t="s">
        <v>8</v>
      </c>
      <c r="AJ26" s="188">
        <v>26055</v>
      </c>
      <c r="AL26" s="189" t="s">
        <v>584</v>
      </c>
      <c r="AM26" s="189" t="s">
        <v>59</v>
      </c>
      <c r="AN26" s="189" t="s">
        <v>147</v>
      </c>
      <c r="AO26" s="189">
        <v>25391</v>
      </c>
      <c r="AQ26" s="189" t="s">
        <v>515</v>
      </c>
      <c r="AR26" s="189" t="s">
        <v>57</v>
      </c>
      <c r="AS26" s="189" t="s">
        <v>148</v>
      </c>
      <c r="AT26" s="189">
        <v>27016</v>
      </c>
      <c r="AV26" s="189" t="s">
        <v>542</v>
      </c>
      <c r="AW26" s="189" t="s">
        <v>69</v>
      </c>
      <c r="AX26" s="189" t="s">
        <v>8</v>
      </c>
      <c r="AY26" s="189">
        <v>23091</v>
      </c>
    </row>
    <row r="27" spans="1:51" x14ac:dyDescent="0.2">
      <c r="A27">
        <v>25</v>
      </c>
      <c r="C27" t="s">
        <v>41</v>
      </c>
      <c r="D27" t="s">
        <v>78</v>
      </c>
      <c r="E27" t="s">
        <v>7</v>
      </c>
      <c r="F27">
        <v>17236</v>
      </c>
      <c r="H27" t="s">
        <v>545</v>
      </c>
      <c r="I27" t="s">
        <v>72</v>
      </c>
      <c r="J27" t="s">
        <v>147</v>
      </c>
      <c r="K27">
        <v>23065</v>
      </c>
      <c r="M27" t="s">
        <v>427</v>
      </c>
      <c r="N27" t="s">
        <v>74</v>
      </c>
      <c r="O27" t="s">
        <v>148</v>
      </c>
      <c r="P27">
        <v>25409</v>
      </c>
      <c r="R27" t="s">
        <v>19</v>
      </c>
      <c r="S27" t="s">
        <v>68</v>
      </c>
      <c r="T27" t="s">
        <v>8</v>
      </c>
      <c r="U27">
        <v>16399</v>
      </c>
      <c r="W27" s="188" t="s">
        <v>545</v>
      </c>
      <c r="X27" s="188" t="s">
        <v>72</v>
      </c>
      <c r="Y27" s="188" t="s">
        <v>147</v>
      </c>
      <c r="Z27" s="188">
        <v>23065</v>
      </c>
      <c r="AB27" s="188" t="s">
        <v>427</v>
      </c>
      <c r="AC27" s="188" t="s">
        <v>74</v>
      </c>
      <c r="AD27" s="188" t="s">
        <v>148</v>
      </c>
      <c r="AE27" s="188">
        <v>25409</v>
      </c>
      <c r="AG27" s="188" t="s">
        <v>19</v>
      </c>
      <c r="AH27" s="188" t="s">
        <v>68</v>
      </c>
      <c r="AI27" s="188" t="s">
        <v>8</v>
      </c>
      <c r="AJ27" s="188">
        <v>16399</v>
      </c>
      <c r="AL27" s="189" t="s">
        <v>545</v>
      </c>
      <c r="AM27" s="189" t="s">
        <v>72</v>
      </c>
      <c r="AN27" s="189" t="s">
        <v>147</v>
      </c>
      <c r="AO27" s="189">
        <v>23065</v>
      </c>
      <c r="AQ27" s="189" t="s">
        <v>607</v>
      </c>
      <c r="AR27" s="189" t="s">
        <v>63</v>
      </c>
      <c r="AS27" s="189" t="s">
        <v>148</v>
      </c>
      <c r="AT27" s="189">
        <v>23886</v>
      </c>
      <c r="AV27" s="189" t="s">
        <v>19</v>
      </c>
      <c r="AW27" s="189" t="s">
        <v>68</v>
      </c>
      <c r="AX27" s="189" t="s">
        <v>8</v>
      </c>
      <c r="AY27" s="189">
        <v>16399</v>
      </c>
    </row>
    <row r="28" spans="1:51" x14ac:dyDescent="0.2">
      <c r="A28">
        <v>26</v>
      </c>
      <c r="C28" t="s">
        <v>370</v>
      </c>
      <c r="D28" t="s">
        <v>56</v>
      </c>
      <c r="E28" t="s">
        <v>7</v>
      </c>
      <c r="F28">
        <v>22900</v>
      </c>
      <c r="H28" t="s">
        <v>460</v>
      </c>
      <c r="I28" t="s">
        <v>80</v>
      </c>
      <c r="J28" t="s">
        <v>147</v>
      </c>
      <c r="K28">
        <v>25981</v>
      </c>
      <c r="M28" t="s">
        <v>27</v>
      </c>
      <c r="N28" t="s">
        <v>69</v>
      </c>
      <c r="O28" t="s">
        <v>148</v>
      </c>
      <c r="P28">
        <v>12123</v>
      </c>
      <c r="R28" t="s">
        <v>539</v>
      </c>
      <c r="S28" t="s">
        <v>68</v>
      </c>
      <c r="T28" t="s">
        <v>8</v>
      </c>
      <c r="U28">
        <v>25997</v>
      </c>
      <c r="W28" s="188" t="s">
        <v>133</v>
      </c>
      <c r="X28" s="188" t="s">
        <v>72</v>
      </c>
      <c r="Y28" s="188" t="s">
        <v>147</v>
      </c>
      <c r="Z28" s="188">
        <v>22726</v>
      </c>
      <c r="AB28" s="188" t="s">
        <v>27</v>
      </c>
      <c r="AC28" s="188" t="s">
        <v>69</v>
      </c>
      <c r="AD28" s="188" t="s">
        <v>148</v>
      </c>
      <c r="AE28" s="188">
        <v>12123</v>
      </c>
      <c r="AG28" s="188" t="s">
        <v>539</v>
      </c>
      <c r="AH28" s="188" t="s">
        <v>68</v>
      </c>
      <c r="AI28" s="188" t="s">
        <v>8</v>
      </c>
      <c r="AJ28" s="188">
        <v>25997</v>
      </c>
      <c r="AL28" s="189" t="s">
        <v>20</v>
      </c>
      <c r="AM28" s="189" t="s">
        <v>81</v>
      </c>
      <c r="AN28" s="189" t="s">
        <v>147</v>
      </c>
      <c r="AO28" s="189">
        <v>18705</v>
      </c>
      <c r="AQ28" s="189" t="s">
        <v>427</v>
      </c>
      <c r="AR28" s="189" t="s">
        <v>74</v>
      </c>
      <c r="AS28" s="189" t="s">
        <v>148</v>
      </c>
      <c r="AT28" s="189">
        <v>25409</v>
      </c>
      <c r="AV28" s="189" t="s">
        <v>706</v>
      </c>
      <c r="AW28" s="189" t="s">
        <v>75</v>
      </c>
      <c r="AX28" s="189" t="s">
        <v>8</v>
      </c>
      <c r="AY28" s="189">
        <v>26055</v>
      </c>
    </row>
    <row r="29" spans="1:51" x14ac:dyDescent="0.2">
      <c r="A29">
        <v>27</v>
      </c>
      <c r="C29" t="s">
        <v>25</v>
      </c>
      <c r="D29" t="s">
        <v>77</v>
      </c>
      <c r="E29" t="s">
        <v>7</v>
      </c>
      <c r="F29">
        <v>9001</v>
      </c>
      <c r="H29" t="s">
        <v>133</v>
      </c>
      <c r="I29" t="s">
        <v>72</v>
      </c>
      <c r="J29" t="s">
        <v>147</v>
      </c>
      <c r="K29">
        <v>22726</v>
      </c>
      <c r="M29" t="s">
        <v>607</v>
      </c>
      <c r="N29" t="s">
        <v>63</v>
      </c>
      <c r="O29" t="s">
        <v>148</v>
      </c>
      <c r="P29">
        <v>23886</v>
      </c>
      <c r="R29" t="s">
        <v>542</v>
      </c>
      <c r="S29" t="s">
        <v>69</v>
      </c>
      <c r="T29" t="s">
        <v>8</v>
      </c>
      <c r="U29">
        <v>23091</v>
      </c>
      <c r="W29" s="188" t="s">
        <v>460</v>
      </c>
      <c r="X29" s="188" t="s">
        <v>80</v>
      </c>
      <c r="Y29" s="188" t="s">
        <v>147</v>
      </c>
      <c r="Z29" s="188">
        <v>25981</v>
      </c>
      <c r="AB29" s="188" t="s">
        <v>607</v>
      </c>
      <c r="AC29" s="188" t="s">
        <v>63</v>
      </c>
      <c r="AD29" s="188" t="s">
        <v>148</v>
      </c>
      <c r="AE29" s="188">
        <v>23886</v>
      </c>
      <c r="AG29" s="188" t="s">
        <v>542</v>
      </c>
      <c r="AH29" s="188" t="s">
        <v>69</v>
      </c>
      <c r="AI29" s="188" t="s">
        <v>8</v>
      </c>
      <c r="AJ29" s="188">
        <v>23091</v>
      </c>
      <c r="AL29" s="189" t="s">
        <v>460</v>
      </c>
      <c r="AM29" s="189" t="s">
        <v>80</v>
      </c>
      <c r="AN29" s="189" t="s">
        <v>147</v>
      </c>
      <c r="AO29" s="189">
        <v>25981</v>
      </c>
      <c r="AQ29" s="189" t="s">
        <v>27</v>
      </c>
      <c r="AR29" s="189" t="s">
        <v>69</v>
      </c>
      <c r="AS29" s="189" t="s">
        <v>148</v>
      </c>
      <c r="AT29" s="189">
        <v>12123</v>
      </c>
      <c r="AV29" s="189" t="s">
        <v>539</v>
      </c>
      <c r="AW29" s="189" t="s">
        <v>68</v>
      </c>
      <c r="AX29" s="189" t="s">
        <v>8</v>
      </c>
      <c r="AY29" s="189">
        <v>25997</v>
      </c>
    </row>
    <row r="30" spans="1:51" x14ac:dyDescent="0.2">
      <c r="A30">
        <v>28</v>
      </c>
      <c r="C30" t="s">
        <v>88</v>
      </c>
      <c r="D30" t="s">
        <v>52</v>
      </c>
      <c r="E30" t="s">
        <v>7</v>
      </c>
      <c r="F30">
        <v>15642</v>
      </c>
      <c r="H30" t="s">
        <v>20</v>
      </c>
      <c r="I30" t="s">
        <v>81</v>
      </c>
      <c r="J30" t="s">
        <v>147</v>
      </c>
      <c r="K30">
        <v>18705</v>
      </c>
      <c r="M30" t="s">
        <v>426</v>
      </c>
      <c r="N30" t="s">
        <v>52</v>
      </c>
      <c r="O30" t="s">
        <v>148</v>
      </c>
      <c r="P30">
        <v>23064</v>
      </c>
      <c r="R30" t="s">
        <v>563</v>
      </c>
      <c r="S30" t="s">
        <v>81</v>
      </c>
      <c r="T30" t="s">
        <v>8</v>
      </c>
      <c r="U30">
        <v>27109</v>
      </c>
      <c r="W30" s="188" t="s">
        <v>20</v>
      </c>
      <c r="X30" s="188" t="s">
        <v>81</v>
      </c>
      <c r="Y30" s="188" t="s">
        <v>147</v>
      </c>
      <c r="Z30" s="188">
        <v>18705</v>
      </c>
      <c r="AB30" s="188" t="s">
        <v>426</v>
      </c>
      <c r="AC30" s="188" t="s">
        <v>52</v>
      </c>
      <c r="AD30" s="188" t="s">
        <v>148</v>
      </c>
      <c r="AE30" s="188">
        <v>23064</v>
      </c>
      <c r="AG30" s="188" t="s">
        <v>563</v>
      </c>
      <c r="AH30" s="188" t="s">
        <v>81</v>
      </c>
      <c r="AI30" s="188" t="s">
        <v>8</v>
      </c>
      <c r="AJ30" s="188">
        <v>27109</v>
      </c>
      <c r="AL30" s="189" t="s">
        <v>133</v>
      </c>
      <c r="AM30" s="189" t="s">
        <v>72</v>
      </c>
      <c r="AN30" s="189" t="s">
        <v>147</v>
      </c>
      <c r="AO30" s="189">
        <v>22726</v>
      </c>
      <c r="AQ30" s="189" t="s">
        <v>426</v>
      </c>
      <c r="AR30" s="189" t="s">
        <v>52</v>
      </c>
      <c r="AS30" s="189" t="s">
        <v>148</v>
      </c>
      <c r="AT30" s="189">
        <v>23064</v>
      </c>
      <c r="AV30" s="189" t="s">
        <v>563</v>
      </c>
      <c r="AW30" s="189" t="s">
        <v>81</v>
      </c>
      <c r="AX30" s="189" t="s">
        <v>8</v>
      </c>
      <c r="AY30" s="189">
        <v>27109</v>
      </c>
    </row>
    <row r="31" spans="1:51" x14ac:dyDescent="0.2">
      <c r="A31">
        <v>29</v>
      </c>
      <c r="C31" t="s">
        <v>111</v>
      </c>
      <c r="D31" t="s">
        <v>53</v>
      </c>
      <c r="E31" t="s">
        <v>7</v>
      </c>
      <c r="F31">
        <v>19198</v>
      </c>
      <c r="H31" t="s">
        <v>523</v>
      </c>
      <c r="I31" t="s">
        <v>61</v>
      </c>
      <c r="J31" t="s">
        <v>147</v>
      </c>
      <c r="K31">
        <v>27142</v>
      </c>
      <c r="M31" t="s">
        <v>703</v>
      </c>
      <c r="N31" t="s">
        <v>81</v>
      </c>
      <c r="O31" t="s">
        <v>148</v>
      </c>
      <c r="P31">
        <v>26009</v>
      </c>
      <c r="R31" t="s">
        <v>458</v>
      </c>
      <c r="S31" t="s">
        <v>78</v>
      </c>
      <c r="T31" t="s">
        <v>8</v>
      </c>
      <c r="U31">
        <v>26335</v>
      </c>
      <c r="W31" s="188" t="s">
        <v>523</v>
      </c>
      <c r="X31" s="188" t="s">
        <v>61</v>
      </c>
      <c r="Y31" s="188" t="s">
        <v>147</v>
      </c>
      <c r="Z31" s="188">
        <v>27142</v>
      </c>
      <c r="AB31" s="188" t="s">
        <v>703</v>
      </c>
      <c r="AC31" s="188" t="s">
        <v>81</v>
      </c>
      <c r="AD31" s="188" t="s">
        <v>148</v>
      </c>
      <c r="AE31" s="188">
        <v>26009</v>
      </c>
      <c r="AG31" s="188" t="s">
        <v>333</v>
      </c>
      <c r="AH31" s="188" t="s">
        <v>80</v>
      </c>
      <c r="AI31" s="188" t="s">
        <v>8</v>
      </c>
      <c r="AJ31" s="188">
        <v>23181</v>
      </c>
      <c r="AL31" s="189" t="s">
        <v>523</v>
      </c>
      <c r="AM31" s="189" t="s">
        <v>61</v>
      </c>
      <c r="AN31" s="189" t="s">
        <v>147</v>
      </c>
      <c r="AO31" s="189">
        <v>27142</v>
      </c>
      <c r="AQ31" s="189" t="s">
        <v>424</v>
      </c>
      <c r="AR31" s="189" t="s">
        <v>57</v>
      </c>
      <c r="AS31" s="189" t="s">
        <v>148</v>
      </c>
      <c r="AT31" s="189">
        <v>25411</v>
      </c>
      <c r="AV31" s="189" t="s">
        <v>458</v>
      </c>
      <c r="AW31" s="189" t="s">
        <v>78</v>
      </c>
      <c r="AX31" s="189" t="s">
        <v>8</v>
      </c>
      <c r="AY31" s="189">
        <v>26335</v>
      </c>
    </row>
    <row r="32" spans="1:51" x14ac:dyDescent="0.2">
      <c r="A32">
        <v>30</v>
      </c>
      <c r="C32" t="s">
        <v>124</v>
      </c>
      <c r="D32" t="s">
        <v>75</v>
      </c>
      <c r="E32" t="s">
        <v>7</v>
      </c>
      <c r="F32">
        <v>11687</v>
      </c>
      <c r="H32" t="s">
        <v>346</v>
      </c>
      <c r="I32" t="s">
        <v>80</v>
      </c>
      <c r="J32" t="s">
        <v>147</v>
      </c>
      <c r="K32">
        <v>23310</v>
      </c>
      <c r="M32" t="s">
        <v>692</v>
      </c>
      <c r="N32" t="s">
        <v>73</v>
      </c>
      <c r="O32" t="s">
        <v>148</v>
      </c>
      <c r="P32">
        <v>26035</v>
      </c>
      <c r="R32" t="s">
        <v>333</v>
      </c>
      <c r="S32" t="s">
        <v>80</v>
      </c>
      <c r="T32" t="s">
        <v>8</v>
      </c>
      <c r="U32">
        <v>23181</v>
      </c>
      <c r="W32" s="188" t="s">
        <v>346</v>
      </c>
      <c r="X32" s="188" t="s">
        <v>80</v>
      </c>
      <c r="Y32" s="188" t="s">
        <v>147</v>
      </c>
      <c r="Z32" s="188">
        <v>23310</v>
      </c>
      <c r="AB32" s="188" t="s">
        <v>692</v>
      </c>
      <c r="AC32" s="188" t="s">
        <v>73</v>
      </c>
      <c r="AD32" s="188" t="s">
        <v>148</v>
      </c>
      <c r="AE32" s="188">
        <v>26035</v>
      </c>
      <c r="AG32" s="188" t="s">
        <v>458</v>
      </c>
      <c r="AH32" s="188" t="s">
        <v>78</v>
      </c>
      <c r="AI32" s="188" t="s">
        <v>8</v>
      </c>
      <c r="AJ32" s="188">
        <v>26335</v>
      </c>
      <c r="AL32" s="189" t="s">
        <v>346</v>
      </c>
      <c r="AM32" s="189" t="s">
        <v>80</v>
      </c>
      <c r="AN32" s="189" t="s">
        <v>147</v>
      </c>
      <c r="AO32" s="189">
        <v>23310</v>
      </c>
      <c r="AQ32" s="189" t="s">
        <v>336</v>
      </c>
      <c r="AR32" s="189" t="s">
        <v>65</v>
      </c>
      <c r="AS32" s="189" t="s">
        <v>148</v>
      </c>
      <c r="AT32" s="189">
        <v>23791</v>
      </c>
      <c r="AV32" s="189" t="s">
        <v>33</v>
      </c>
      <c r="AW32" s="189" t="s">
        <v>58</v>
      </c>
      <c r="AX32" s="189" t="s">
        <v>8</v>
      </c>
      <c r="AY32" s="189">
        <v>17272</v>
      </c>
    </row>
    <row r="33" spans="1:51" x14ac:dyDescent="0.2">
      <c r="A33">
        <v>31</v>
      </c>
      <c r="C33" t="s">
        <v>47</v>
      </c>
      <c r="D33" t="s">
        <v>115</v>
      </c>
      <c r="E33" t="s">
        <v>7</v>
      </c>
      <c r="F33">
        <v>11177</v>
      </c>
      <c r="H33" t="s">
        <v>130</v>
      </c>
      <c r="I33" t="s">
        <v>56</v>
      </c>
      <c r="J33" t="s">
        <v>147</v>
      </c>
      <c r="K33">
        <v>19792</v>
      </c>
      <c r="M33" t="s">
        <v>697</v>
      </c>
      <c r="N33" t="s">
        <v>76</v>
      </c>
      <c r="O33" t="s">
        <v>148</v>
      </c>
      <c r="P33">
        <v>25420</v>
      </c>
      <c r="R33" t="s">
        <v>33</v>
      </c>
      <c r="S33" t="s">
        <v>58</v>
      </c>
      <c r="T33" t="s">
        <v>8</v>
      </c>
      <c r="U33">
        <v>17272</v>
      </c>
      <c r="W33" s="188" t="s">
        <v>130</v>
      </c>
      <c r="X33" s="188" t="s">
        <v>56</v>
      </c>
      <c r="Y33" s="188" t="s">
        <v>147</v>
      </c>
      <c r="Z33" s="188">
        <v>19792</v>
      </c>
      <c r="AB33" s="188" t="s">
        <v>697</v>
      </c>
      <c r="AC33" s="188" t="s">
        <v>76</v>
      </c>
      <c r="AD33" s="188" t="s">
        <v>148</v>
      </c>
      <c r="AE33" s="188">
        <v>25420</v>
      </c>
      <c r="AG33" s="188" t="s">
        <v>33</v>
      </c>
      <c r="AH33" s="188" t="s">
        <v>58</v>
      </c>
      <c r="AI33" s="188" t="s">
        <v>8</v>
      </c>
      <c r="AJ33" s="188">
        <v>17272</v>
      </c>
      <c r="AL33" s="189" t="s">
        <v>130</v>
      </c>
      <c r="AM33" s="189" t="s">
        <v>56</v>
      </c>
      <c r="AN33" s="189" t="s">
        <v>147</v>
      </c>
      <c r="AO33" s="189">
        <v>19792</v>
      </c>
      <c r="AQ33" s="189" t="s">
        <v>692</v>
      </c>
      <c r="AR33" s="189" t="s">
        <v>73</v>
      </c>
      <c r="AS33" s="189" t="s">
        <v>148</v>
      </c>
      <c r="AT33" s="189">
        <v>26035</v>
      </c>
      <c r="AV33" s="189" t="s">
        <v>333</v>
      </c>
      <c r="AW33" s="189" t="s">
        <v>80</v>
      </c>
      <c r="AX33" s="189" t="s">
        <v>8</v>
      </c>
      <c r="AY33" s="189">
        <v>23181</v>
      </c>
    </row>
    <row r="34" spans="1:51" x14ac:dyDescent="0.2">
      <c r="A34">
        <v>32</v>
      </c>
      <c r="C34" t="s">
        <v>621</v>
      </c>
      <c r="D34" t="s">
        <v>59</v>
      </c>
      <c r="E34" t="s">
        <v>7</v>
      </c>
      <c r="F34">
        <v>16398</v>
      </c>
      <c r="H34" t="s">
        <v>358</v>
      </c>
      <c r="I34" t="s">
        <v>77</v>
      </c>
      <c r="J34" t="s">
        <v>147</v>
      </c>
      <c r="K34">
        <v>24209</v>
      </c>
      <c r="M34" t="s">
        <v>386</v>
      </c>
      <c r="N34" t="s">
        <v>344</v>
      </c>
      <c r="O34" t="s">
        <v>148</v>
      </c>
      <c r="P34">
        <v>23106</v>
      </c>
      <c r="R34" t="s">
        <v>42</v>
      </c>
      <c r="S34" t="s">
        <v>61</v>
      </c>
      <c r="T34" t="s">
        <v>8</v>
      </c>
      <c r="U34">
        <v>16411</v>
      </c>
      <c r="W34" s="188" t="s">
        <v>358</v>
      </c>
      <c r="X34" s="188" t="s">
        <v>77</v>
      </c>
      <c r="Y34" s="188" t="s">
        <v>147</v>
      </c>
      <c r="Z34" s="188">
        <v>24209</v>
      </c>
      <c r="AB34" s="188" t="s">
        <v>386</v>
      </c>
      <c r="AC34" s="188" t="s">
        <v>344</v>
      </c>
      <c r="AD34" s="188" t="s">
        <v>148</v>
      </c>
      <c r="AE34" s="188">
        <v>23106</v>
      </c>
      <c r="AG34" s="188" t="s">
        <v>42</v>
      </c>
      <c r="AH34" s="188" t="s">
        <v>61</v>
      </c>
      <c r="AI34" s="188" t="s">
        <v>8</v>
      </c>
      <c r="AJ34" s="188">
        <v>16411</v>
      </c>
      <c r="AL34" s="189" t="s">
        <v>314</v>
      </c>
      <c r="AM34" s="189" t="s">
        <v>61</v>
      </c>
      <c r="AN34" s="189" t="s">
        <v>147</v>
      </c>
      <c r="AO34" s="189">
        <v>19245</v>
      </c>
      <c r="AQ34" s="189" t="s">
        <v>386</v>
      </c>
      <c r="AR34" s="189" t="s">
        <v>344</v>
      </c>
      <c r="AS34" s="189" t="s">
        <v>148</v>
      </c>
      <c r="AT34" s="189">
        <v>23106</v>
      </c>
      <c r="AV34" s="189" t="s">
        <v>14</v>
      </c>
      <c r="AW34" s="189" t="s">
        <v>55</v>
      </c>
      <c r="AX34" s="189" t="s">
        <v>8</v>
      </c>
      <c r="AY34" s="189">
        <v>18631</v>
      </c>
    </row>
    <row r="35" spans="1:51" x14ac:dyDescent="0.2">
      <c r="A35">
        <v>33</v>
      </c>
      <c r="C35" t="s">
        <v>518</v>
      </c>
      <c r="D35" t="s">
        <v>59</v>
      </c>
      <c r="E35" t="s">
        <v>7</v>
      </c>
      <c r="F35">
        <v>25968</v>
      </c>
      <c r="H35" t="s">
        <v>408</v>
      </c>
      <c r="I35" t="s">
        <v>77</v>
      </c>
      <c r="J35" t="s">
        <v>147</v>
      </c>
      <c r="K35">
        <v>19647</v>
      </c>
      <c r="M35" t="s">
        <v>424</v>
      </c>
      <c r="N35" t="s">
        <v>57</v>
      </c>
      <c r="O35" t="s">
        <v>148</v>
      </c>
      <c r="P35">
        <v>25411</v>
      </c>
      <c r="R35" t="s">
        <v>552</v>
      </c>
      <c r="S35" t="s">
        <v>75</v>
      </c>
      <c r="T35" t="s">
        <v>8</v>
      </c>
      <c r="U35">
        <v>26005</v>
      </c>
      <c r="W35" s="188" t="s">
        <v>408</v>
      </c>
      <c r="X35" s="188" t="s">
        <v>77</v>
      </c>
      <c r="Y35" s="188" t="s">
        <v>147</v>
      </c>
      <c r="Z35" s="188">
        <v>19647</v>
      </c>
      <c r="AB35" s="188" t="s">
        <v>424</v>
      </c>
      <c r="AC35" s="188" t="s">
        <v>57</v>
      </c>
      <c r="AD35" s="188" t="s">
        <v>148</v>
      </c>
      <c r="AE35" s="188">
        <v>25411</v>
      </c>
      <c r="AG35" s="188" t="s">
        <v>552</v>
      </c>
      <c r="AH35" s="188" t="s">
        <v>75</v>
      </c>
      <c r="AI35" s="188" t="s">
        <v>8</v>
      </c>
      <c r="AJ35" s="188">
        <v>26005</v>
      </c>
      <c r="AL35" s="189" t="s">
        <v>359</v>
      </c>
      <c r="AM35" s="189" t="s">
        <v>71</v>
      </c>
      <c r="AN35" s="189" t="s">
        <v>147</v>
      </c>
      <c r="AO35" s="189">
        <v>22969</v>
      </c>
      <c r="AQ35" s="189" t="s">
        <v>315</v>
      </c>
      <c r="AR35" s="189" t="s">
        <v>62</v>
      </c>
      <c r="AS35" s="189" t="s">
        <v>148</v>
      </c>
      <c r="AT35" s="189">
        <v>23677</v>
      </c>
      <c r="AV35" s="189" t="s">
        <v>42</v>
      </c>
      <c r="AW35" s="189" t="s">
        <v>61</v>
      </c>
      <c r="AX35" s="189" t="s">
        <v>8</v>
      </c>
      <c r="AY35" s="189">
        <v>16411</v>
      </c>
    </row>
    <row r="36" spans="1:51" x14ac:dyDescent="0.2">
      <c r="A36">
        <v>34</v>
      </c>
      <c r="C36" t="s">
        <v>635</v>
      </c>
      <c r="D36" t="s">
        <v>115</v>
      </c>
      <c r="E36" t="s">
        <v>7</v>
      </c>
      <c r="F36">
        <v>28013</v>
      </c>
      <c r="H36" t="s">
        <v>314</v>
      </c>
      <c r="I36" t="s">
        <v>61</v>
      </c>
      <c r="J36" t="s">
        <v>147</v>
      </c>
      <c r="K36">
        <v>19245</v>
      </c>
      <c r="M36" t="s">
        <v>315</v>
      </c>
      <c r="N36" t="s">
        <v>62</v>
      </c>
      <c r="O36" t="s">
        <v>148</v>
      </c>
      <c r="P36">
        <v>23677</v>
      </c>
      <c r="R36" t="s">
        <v>14</v>
      </c>
      <c r="S36" t="s">
        <v>55</v>
      </c>
      <c r="T36" t="s">
        <v>8</v>
      </c>
      <c r="U36">
        <v>18631</v>
      </c>
      <c r="W36" s="188" t="s">
        <v>314</v>
      </c>
      <c r="X36" s="188" t="s">
        <v>61</v>
      </c>
      <c r="Y36" s="188" t="s">
        <v>147</v>
      </c>
      <c r="Z36" s="188">
        <v>19245</v>
      </c>
      <c r="AB36" s="188" t="s">
        <v>315</v>
      </c>
      <c r="AC36" s="188" t="s">
        <v>62</v>
      </c>
      <c r="AD36" s="188" t="s">
        <v>148</v>
      </c>
      <c r="AE36" s="188">
        <v>23677</v>
      </c>
      <c r="AG36" s="188" t="s">
        <v>14</v>
      </c>
      <c r="AH36" s="188" t="s">
        <v>55</v>
      </c>
      <c r="AI36" s="188" t="s">
        <v>8</v>
      </c>
      <c r="AJ36" s="188">
        <v>18631</v>
      </c>
      <c r="AL36" s="189" t="s">
        <v>358</v>
      </c>
      <c r="AM36" s="189" t="s">
        <v>77</v>
      </c>
      <c r="AN36" s="189" t="s">
        <v>147</v>
      </c>
      <c r="AO36" s="189">
        <v>24209</v>
      </c>
      <c r="AQ36" s="189" t="s">
        <v>703</v>
      </c>
      <c r="AR36" s="189" t="s">
        <v>81</v>
      </c>
      <c r="AS36" s="189" t="s">
        <v>148</v>
      </c>
      <c r="AT36" s="189">
        <v>26009</v>
      </c>
      <c r="AV36" s="189" t="s">
        <v>705</v>
      </c>
      <c r="AW36" s="189" t="s">
        <v>76</v>
      </c>
      <c r="AX36" s="189" t="s">
        <v>8</v>
      </c>
      <c r="AY36" s="189">
        <v>23144</v>
      </c>
    </row>
    <row r="37" spans="1:51" x14ac:dyDescent="0.2">
      <c r="A37">
        <v>35</v>
      </c>
      <c r="C37" t="s">
        <v>428</v>
      </c>
      <c r="D37" t="s">
        <v>53</v>
      </c>
      <c r="E37" t="s">
        <v>7</v>
      </c>
      <c r="F37">
        <v>22973</v>
      </c>
      <c r="H37" t="s">
        <v>359</v>
      </c>
      <c r="I37" t="s">
        <v>71</v>
      </c>
      <c r="J37" t="s">
        <v>147</v>
      </c>
      <c r="K37">
        <v>22969</v>
      </c>
      <c r="M37" t="s">
        <v>336</v>
      </c>
      <c r="N37" t="s">
        <v>65</v>
      </c>
      <c r="O37" t="s">
        <v>148</v>
      </c>
      <c r="P37">
        <v>23791</v>
      </c>
      <c r="R37" t="s">
        <v>614</v>
      </c>
      <c r="S37" t="s">
        <v>79</v>
      </c>
      <c r="T37" t="s">
        <v>8</v>
      </c>
      <c r="U37">
        <v>24778</v>
      </c>
      <c r="W37" s="188" t="s">
        <v>514</v>
      </c>
      <c r="X37" s="188" t="s">
        <v>57</v>
      </c>
      <c r="Y37" s="188" t="s">
        <v>147</v>
      </c>
      <c r="Z37" s="188">
        <v>27131</v>
      </c>
      <c r="AB37" s="188" t="s">
        <v>336</v>
      </c>
      <c r="AC37" s="188" t="s">
        <v>65</v>
      </c>
      <c r="AD37" s="188" t="s">
        <v>148</v>
      </c>
      <c r="AE37" s="188">
        <v>23791</v>
      </c>
      <c r="AG37" s="188" t="s">
        <v>614</v>
      </c>
      <c r="AH37" s="188" t="s">
        <v>79</v>
      </c>
      <c r="AI37" s="188" t="s">
        <v>8</v>
      </c>
      <c r="AJ37" s="188">
        <v>24778</v>
      </c>
      <c r="AL37" s="189" t="s">
        <v>408</v>
      </c>
      <c r="AM37" s="189" t="s">
        <v>77</v>
      </c>
      <c r="AN37" s="189" t="s">
        <v>147</v>
      </c>
      <c r="AO37" s="189">
        <v>19647</v>
      </c>
      <c r="AQ37" s="189" t="s">
        <v>697</v>
      </c>
      <c r="AR37" s="189" t="s">
        <v>76</v>
      </c>
      <c r="AS37" s="189" t="s">
        <v>148</v>
      </c>
      <c r="AT37" s="189">
        <v>25420</v>
      </c>
      <c r="AV37" s="189" t="s">
        <v>614</v>
      </c>
      <c r="AW37" s="189" t="s">
        <v>79</v>
      </c>
      <c r="AX37" s="189" t="s">
        <v>8</v>
      </c>
      <c r="AY37" s="189">
        <v>24778</v>
      </c>
    </row>
    <row r="38" spans="1:51" x14ac:dyDescent="0.2">
      <c r="A38">
        <v>36</v>
      </c>
      <c r="C38" t="s">
        <v>383</v>
      </c>
      <c r="D38" t="s">
        <v>65</v>
      </c>
      <c r="E38" t="s">
        <v>7</v>
      </c>
      <c r="F38">
        <v>24347</v>
      </c>
      <c r="H38" t="s">
        <v>514</v>
      </c>
      <c r="I38" t="s">
        <v>57</v>
      </c>
      <c r="J38" t="s">
        <v>147</v>
      </c>
      <c r="K38">
        <v>27131</v>
      </c>
      <c r="M38" t="s">
        <v>22</v>
      </c>
      <c r="N38" t="s">
        <v>61</v>
      </c>
      <c r="O38" t="s">
        <v>148</v>
      </c>
      <c r="P38">
        <v>17253</v>
      </c>
      <c r="R38" t="s">
        <v>705</v>
      </c>
      <c r="S38" t="s">
        <v>76</v>
      </c>
      <c r="T38" t="s">
        <v>8</v>
      </c>
      <c r="U38">
        <v>23144</v>
      </c>
      <c r="W38" s="188" t="s">
        <v>359</v>
      </c>
      <c r="X38" s="188" t="s">
        <v>71</v>
      </c>
      <c r="Y38" s="188" t="s">
        <v>147</v>
      </c>
      <c r="Z38" s="188">
        <v>22969</v>
      </c>
      <c r="AB38" s="188" t="s">
        <v>22</v>
      </c>
      <c r="AC38" s="188" t="s">
        <v>61</v>
      </c>
      <c r="AD38" s="188" t="s">
        <v>148</v>
      </c>
      <c r="AE38" s="188">
        <v>17253</v>
      </c>
      <c r="AG38" s="188" t="s">
        <v>705</v>
      </c>
      <c r="AH38" s="188" t="s">
        <v>76</v>
      </c>
      <c r="AI38" s="188" t="s">
        <v>8</v>
      </c>
      <c r="AJ38" s="188">
        <v>23144</v>
      </c>
      <c r="AL38" s="189" t="s">
        <v>514</v>
      </c>
      <c r="AM38" s="189" t="s">
        <v>57</v>
      </c>
      <c r="AN38" s="189" t="s">
        <v>147</v>
      </c>
      <c r="AO38" s="189">
        <v>27131</v>
      </c>
      <c r="AQ38" s="189" t="s">
        <v>431</v>
      </c>
      <c r="AR38" s="189" t="s">
        <v>344</v>
      </c>
      <c r="AS38" s="189" t="s">
        <v>148</v>
      </c>
      <c r="AT38" s="189">
        <v>23000</v>
      </c>
      <c r="AV38" s="189" t="s">
        <v>552</v>
      </c>
      <c r="AW38" s="189" t="s">
        <v>75</v>
      </c>
      <c r="AX38" s="189" t="s">
        <v>8</v>
      </c>
      <c r="AY38" s="189">
        <v>26005</v>
      </c>
    </row>
    <row r="39" spans="1:51" x14ac:dyDescent="0.2">
      <c r="A39">
        <v>37</v>
      </c>
      <c r="C39" t="s">
        <v>119</v>
      </c>
      <c r="D39" t="s">
        <v>67</v>
      </c>
      <c r="E39" t="s">
        <v>7</v>
      </c>
      <c r="F39">
        <v>19781</v>
      </c>
      <c r="H39" t="s">
        <v>448</v>
      </c>
      <c r="I39" t="s">
        <v>69</v>
      </c>
      <c r="J39" t="s">
        <v>147</v>
      </c>
      <c r="K39">
        <v>23013</v>
      </c>
      <c r="M39" t="s">
        <v>431</v>
      </c>
      <c r="N39" t="s">
        <v>344</v>
      </c>
      <c r="O39" t="s">
        <v>148</v>
      </c>
      <c r="P39">
        <v>23000</v>
      </c>
      <c r="R39" t="s">
        <v>396</v>
      </c>
      <c r="S39" t="s">
        <v>77</v>
      </c>
      <c r="T39" t="s">
        <v>8</v>
      </c>
      <c r="U39">
        <v>22967</v>
      </c>
      <c r="W39" s="188" t="s">
        <v>448</v>
      </c>
      <c r="X39" s="188" t="s">
        <v>69</v>
      </c>
      <c r="Y39" s="188" t="s">
        <v>147</v>
      </c>
      <c r="Z39" s="188">
        <v>23013</v>
      </c>
      <c r="AB39" s="188" t="s">
        <v>348</v>
      </c>
      <c r="AC39" s="188" t="s">
        <v>77</v>
      </c>
      <c r="AD39" s="188" t="s">
        <v>148</v>
      </c>
      <c r="AE39" s="188">
        <v>19278</v>
      </c>
      <c r="AG39" s="188" t="s">
        <v>396</v>
      </c>
      <c r="AH39" s="188" t="s">
        <v>77</v>
      </c>
      <c r="AI39" s="188" t="s">
        <v>8</v>
      </c>
      <c r="AJ39" s="188">
        <v>22967</v>
      </c>
      <c r="AL39" s="189" t="s">
        <v>448</v>
      </c>
      <c r="AM39" s="189" t="s">
        <v>69</v>
      </c>
      <c r="AN39" s="189" t="s">
        <v>147</v>
      </c>
      <c r="AO39" s="189">
        <v>23013</v>
      </c>
      <c r="AQ39" s="189" t="s">
        <v>22</v>
      </c>
      <c r="AR39" s="189" t="s">
        <v>61</v>
      </c>
      <c r="AS39" s="189" t="s">
        <v>148</v>
      </c>
      <c r="AT39" s="189">
        <v>17253</v>
      </c>
      <c r="AV39" s="189" t="s">
        <v>396</v>
      </c>
      <c r="AW39" s="189" t="s">
        <v>77</v>
      </c>
      <c r="AX39" s="189" t="s">
        <v>8</v>
      </c>
      <c r="AY39" s="189">
        <v>22967</v>
      </c>
    </row>
    <row r="40" spans="1:51" x14ac:dyDescent="0.2">
      <c r="A40">
        <v>38</v>
      </c>
      <c r="C40" t="s">
        <v>121</v>
      </c>
      <c r="D40" t="s">
        <v>341</v>
      </c>
      <c r="E40" t="s">
        <v>7</v>
      </c>
      <c r="F40">
        <v>13890</v>
      </c>
      <c r="H40" t="s">
        <v>334</v>
      </c>
      <c r="I40" t="s">
        <v>341</v>
      </c>
      <c r="J40" t="s">
        <v>147</v>
      </c>
      <c r="K40">
        <v>23891</v>
      </c>
      <c r="M40" t="s">
        <v>117</v>
      </c>
      <c r="N40" t="s">
        <v>77</v>
      </c>
      <c r="O40" t="s">
        <v>148</v>
      </c>
      <c r="P40">
        <v>18219</v>
      </c>
      <c r="R40" t="s">
        <v>128</v>
      </c>
      <c r="S40" t="s">
        <v>69</v>
      </c>
      <c r="T40" t="s">
        <v>8</v>
      </c>
      <c r="U40">
        <v>19372</v>
      </c>
      <c r="W40" s="188" t="s">
        <v>334</v>
      </c>
      <c r="X40" s="188" t="s">
        <v>341</v>
      </c>
      <c r="Y40" s="188" t="s">
        <v>147</v>
      </c>
      <c r="Z40" s="188">
        <v>23891</v>
      </c>
      <c r="AB40" s="188" t="s">
        <v>384</v>
      </c>
      <c r="AC40" s="188" t="s">
        <v>65</v>
      </c>
      <c r="AD40" s="188" t="s">
        <v>148</v>
      </c>
      <c r="AE40" s="188">
        <v>24706</v>
      </c>
      <c r="AG40" s="188" t="s">
        <v>128</v>
      </c>
      <c r="AH40" s="188" t="s">
        <v>69</v>
      </c>
      <c r="AI40" s="188" t="s">
        <v>8</v>
      </c>
      <c r="AJ40" s="188">
        <v>19372</v>
      </c>
      <c r="AL40" s="189" t="s">
        <v>46</v>
      </c>
      <c r="AM40" s="189" t="s">
        <v>73</v>
      </c>
      <c r="AN40" s="189" t="s">
        <v>147</v>
      </c>
      <c r="AO40" s="189">
        <v>16421</v>
      </c>
      <c r="AQ40" s="189" t="s">
        <v>117</v>
      </c>
      <c r="AR40" s="189" t="s">
        <v>77</v>
      </c>
      <c r="AS40" s="189" t="s">
        <v>148</v>
      </c>
      <c r="AT40" s="189">
        <v>18219</v>
      </c>
      <c r="AV40" s="189" t="s">
        <v>128</v>
      </c>
      <c r="AW40" s="189" t="s">
        <v>69</v>
      </c>
      <c r="AX40" s="189" t="s">
        <v>8</v>
      </c>
      <c r="AY40" s="189">
        <v>19372</v>
      </c>
    </row>
    <row r="41" spans="1:51" x14ac:dyDescent="0.2">
      <c r="A41">
        <v>39</v>
      </c>
      <c r="C41" t="s">
        <v>617</v>
      </c>
      <c r="D41" t="s">
        <v>54</v>
      </c>
      <c r="E41" t="s">
        <v>7</v>
      </c>
      <c r="F41">
        <v>19297</v>
      </c>
      <c r="H41" t="s">
        <v>46</v>
      </c>
      <c r="I41" t="s">
        <v>73</v>
      </c>
      <c r="J41" t="s">
        <v>147</v>
      </c>
      <c r="K41">
        <v>16421</v>
      </c>
      <c r="M41" t="s">
        <v>394</v>
      </c>
      <c r="N41" t="s">
        <v>71</v>
      </c>
      <c r="O41" t="s">
        <v>148</v>
      </c>
      <c r="P41">
        <v>23107</v>
      </c>
      <c r="R41" t="s">
        <v>708</v>
      </c>
      <c r="S41" t="s">
        <v>72</v>
      </c>
      <c r="T41" t="s">
        <v>8</v>
      </c>
      <c r="U41">
        <v>28154</v>
      </c>
      <c r="W41" s="188" t="s">
        <v>606</v>
      </c>
      <c r="X41" s="188" t="s">
        <v>56</v>
      </c>
      <c r="Y41" s="188" t="s">
        <v>147</v>
      </c>
      <c r="Z41" s="188">
        <v>26148</v>
      </c>
      <c r="AB41" s="188" t="s">
        <v>117</v>
      </c>
      <c r="AC41" s="188" t="s">
        <v>77</v>
      </c>
      <c r="AD41" s="188" t="s">
        <v>148</v>
      </c>
      <c r="AE41" s="188">
        <v>18219</v>
      </c>
      <c r="AG41" s="188" t="s">
        <v>708</v>
      </c>
      <c r="AH41" s="188" t="s">
        <v>72</v>
      </c>
      <c r="AI41" s="188" t="s">
        <v>8</v>
      </c>
      <c r="AJ41" s="188">
        <v>28154</v>
      </c>
      <c r="AL41" s="189" t="s">
        <v>334</v>
      </c>
      <c r="AM41" s="189" t="s">
        <v>341</v>
      </c>
      <c r="AN41" s="189" t="s">
        <v>147</v>
      </c>
      <c r="AO41" s="189">
        <v>23891</v>
      </c>
      <c r="AQ41" s="189" t="s">
        <v>394</v>
      </c>
      <c r="AR41" s="189" t="s">
        <v>71</v>
      </c>
      <c r="AS41" s="189" t="s">
        <v>148</v>
      </c>
      <c r="AT41" s="189">
        <v>23107</v>
      </c>
      <c r="AV41" s="189" t="s">
        <v>103</v>
      </c>
      <c r="AW41" s="189" t="s">
        <v>57</v>
      </c>
      <c r="AX41" s="189" t="s">
        <v>8</v>
      </c>
      <c r="AY41" s="189">
        <v>19229</v>
      </c>
    </row>
    <row r="42" spans="1:51" x14ac:dyDescent="0.2">
      <c r="A42">
        <v>40</v>
      </c>
      <c r="C42" t="s">
        <v>503</v>
      </c>
      <c r="D42" t="s">
        <v>71</v>
      </c>
      <c r="E42" t="s">
        <v>7</v>
      </c>
      <c r="F42">
        <v>23018</v>
      </c>
      <c r="H42" t="s">
        <v>606</v>
      </c>
      <c r="I42" t="s">
        <v>56</v>
      </c>
      <c r="J42" t="s">
        <v>147</v>
      </c>
      <c r="K42">
        <v>26148</v>
      </c>
      <c r="M42" t="s">
        <v>348</v>
      </c>
      <c r="N42" t="s">
        <v>77</v>
      </c>
      <c r="O42" t="s">
        <v>148</v>
      </c>
      <c r="P42">
        <v>19278</v>
      </c>
      <c r="R42" t="s">
        <v>710</v>
      </c>
      <c r="S42" t="s">
        <v>69</v>
      </c>
      <c r="T42" t="s">
        <v>8</v>
      </c>
      <c r="U42">
        <v>27993</v>
      </c>
      <c r="W42" s="188" t="s">
        <v>46</v>
      </c>
      <c r="X42" s="188" t="s">
        <v>73</v>
      </c>
      <c r="Y42" s="188" t="s">
        <v>147</v>
      </c>
      <c r="Z42" s="188">
        <v>16421</v>
      </c>
      <c r="AB42" s="188" t="s">
        <v>431</v>
      </c>
      <c r="AC42" s="188" t="s">
        <v>344</v>
      </c>
      <c r="AD42" s="188" t="s">
        <v>148</v>
      </c>
      <c r="AE42" s="188">
        <v>23000</v>
      </c>
      <c r="AG42" s="188" t="s">
        <v>710</v>
      </c>
      <c r="AH42" s="188" t="s">
        <v>69</v>
      </c>
      <c r="AI42" s="188" t="s">
        <v>8</v>
      </c>
      <c r="AJ42" s="188">
        <v>27993</v>
      </c>
      <c r="AL42" s="189" t="s">
        <v>606</v>
      </c>
      <c r="AM42" s="189" t="s">
        <v>56</v>
      </c>
      <c r="AN42" s="189" t="s">
        <v>147</v>
      </c>
      <c r="AO42" s="189">
        <v>26148</v>
      </c>
      <c r="AQ42" s="189" t="s">
        <v>391</v>
      </c>
      <c r="AR42" s="189" t="s">
        <v>68</v>
      </c>
      <c r="AS42" s="189" t="s">
        <v>148</v>
      </c>
      <c r="AT42" s="189">
        <v>23123</v>
      </c>
      <c r="AV42" s="189" t="s">
        <v>443</v>
      </c>
      <c r="AW42" s="189" t="s">
        <v>56</v>
      </c>
      <c r="AX42" s="189" t="s">
        <v>8</v>
      </c>
      <c r="AY42" s="189">
        <v>24334</v>
      </c>
    </row>
    <row r="43" spans="1:51" x14ac:dyDescent="0.2">
      <c r="A43">
        <v>41</v>
      </c>
      <c r="H43" t="s">
        <v>453</v>
      </c>
      <c r="I43" t="s">
        <v>74</v>
      </c>
      <c r="J43" t="s">
        <v>147</v>
      </c>
      <c r="K43">
        <v>22980</v>
      </c>
      <c r="M43" t="s">
        <v>366</v>
      </c>
      <c r="N43" t="s">
        <v>52</v>
      </c>
      <c r="O43" t="s">
        <v>148</v>
      </c>
      <c r="P43">
        <v>25333</v>
      </c>
      <c r="R43" t="s">
        <v>443</v>
      </c>
      <c r="S43" t="s">
        <v>56</v>
      </c>
      <c r="T43" t="s">
        <v>8</v>
      </c>
      <c r="U43">
        <v>24334</v>
      </c>
      <c r="W43" s="188" t="s">
        <v>453</v>
      </c>
      <c r="X43" s="188" t="s">
        <v>74</v>
      </c>
      <c r="Y43" s="188" t="s">
        <v>147</v>
      </c>
      <c r="Z43" s="188">
        <v>22980</v>
      </c>
      <c r="AB43" s="188" t="s">
        <v>37</v>
      </c>
      <c r="AC43" s="188" t="s">
        <v>80</v>
      </c>
      <c r="AD43" s="188" t="s">
        <v>148</v>
      </c>
      <c r="AE43" s="188">
        <v>16406</v>
      </c>
      <c r="AG43" s="188" t="s">
        <v>443</v>
      </c>
      <c r="AH43" s="188" t="s">
        <v>56</v>
      </c>
      <c r="AI43" s="188" t="s">
        <v>8</v>
      </c>
      <c r="AJ43" s="188">
        <v>24334</v>
      </c>
      <c r="AL43" s="189" t="s">
        <v>564</v>
      </c>
      <c r="AM43" s="189" t="s">
        <v>341</v>
      </c>
      <c r="AN43" s="189" t="s">
        <v>147</v>
      </c>
      <c r="AO43" s="189">
        <v>27316</v>
      </c>
      <c r="AQ43" s="189" t="s">
        <v>366</v>
      </c>
      <c r="AR43" s="189" t="s">
        <v>52</v>
      </c>
      <c r="AS43" s="189" t="s">
        <v>148</v>
      </c>
      <c r="AT43" s="189">
        <v>25333</v>
      </c>
      <c r="AV43" s="189" t="s">
        <v>708</v>
      </c>
      <c r="AW43" s="189" t="s">
        <v>72</v>
      </c>
      <c r="AX43" s="189" t="s">
        <v>8</v>
      </c>
      <c r="AY43" s="189">
        <v>28154</v>
      </c>
    </row>
    <row r="44" spans="1:51" x14ac:dyDescent="0.2">
      <c r="A44">
        <v>42</v>
      </c>
      <c r="H44" t="s">
        <v>26</v>
      </c>
      <c r="I44" t="s">
        <v>71</v>
      </c>
      <c r="J44" t="s">
        <v>147</v>
      </c>
      <c r="K44">
        <v>16673</v>
      </c>
      <c r="M44" t="s">
        <v>37</v>
      </c>
      <c r="N44" t="s">
        <v>80</v>
      </c>
      <c r="O44" t="s">
        <v>148</v>
      </c>
      <c r="P44">
        <v>16406</v>
      </c>
      <c r="R44" t="s">
        <v>103</v>
      </c>
      <c r="S44" t="s">
        <v>57</v>
      </c>
      <c r="T44" t="s">
        <v>8</v>
      </c>
      <c r="U44">
        <v>19229</v>
      </c>
      <c r="W44" s="188" t="s">
        <v>26</v>
      </c>
      <c r="X44" s="188" t="s">
        <v>71</v>
      </c>
      <c r="Y44" s="188" t="s">
        <v>147</v>
      </c>
      <c r="Z44" s="188">
        <v>16673</v>
      </c>
      <c r="AB44" s="188" t="s">
        <v>394</v>
      </c>
      <c r="AC44" s="188" t="s">
        <v>71</v>
      </c>
      <c r="AD44" s="188" t="s">
        <v>148</v>
      </c>
      <c r="AE44" s="188">
        <v>23107</v>
      </c>
      <c r="AG44" s="188" t="s">
        <v>103</v>
      </c>
      <c r="AH44" s="188" t="s">
        <v>57</v>
      </c>
      <c r="AI44" s="188" t="s">
        <v>8</v>
      </c>
      <c r="AJ44" s="188">
        <v>19229</v>
      </c>
      <c r="AL44" s="189" t="s">
        <v>588</v>
      </c>
      <c r="AM44" s="189" t="s">
        <v>344</v>
      </c>
      <c r="AN44" s="189" t="s">
        <v>147</v>
      </c>
      <c r="AO44" s="189">
        <v>22986</v>
      </c>
      <c r="AQ44" s="189" t="s">
        <v>37</v>
      </c>
      <c r="AR44" s="189" t="s">
        <v>80</v>
      </c>
      <c r="AS44" s="189" t="s">
        <v>148</v>
      </c>
      <c r="AT44" s="189">
        <v>16406</v>
      </c>
      <c r="AV44" s="189" t="s">
        <v>710</v>
      </c>
      <c r="AW44" s="189" t="s">
        <v>69</v>
      </c>
      <c r="AX44" s="189" t="s">
        <v>8</v>
      </c>
      <c r="AY44" s="189">
        <v>27993</v>
      </c>
    </row>
    <row r="45" spans="1:51" x14ac:dyDescent="0.2">
      <c r="A45">
        <v>43</v>
      </c>
      <c r="H45" t="s">
        <v>564</v>
      </c>
      <c r="I45" t="s">
        <v>341</v>
      </c>
      <c r="J45" t="s">
        <v>147</v>
      </c>
      <c r="K45">
        <v>27316</v>
      </c>
      <c r="M45" t="s">
        <v>391</v>
      </c>
      <c r="N45" t="s">
        <v>68</v>
      </c>
      <c r="O45" t="s">
        <v>148</v>
      </c>
      <c r="P45">
        <v>23123</v>
      </c>
      <c r="R45" t="s">
        <v>570</v>
      </c>
      <c r="S45" t="s">
        <v>78</v>
      </c>
      <c r="T45" t="s">
        <v>8</v>
      </c>
      <c r="U45">
        <v>23004</v>
      </c>
      <c r="W45" s="188" t="s">
        <v>357</v>
      </c>
      <c r="X45" s="188" t="s">
        <v>62</v>
      </c>
      <c r="Y45" s="188" t="s">
        <v>147</v>
      </c>
      <c r="Z45" s="188">
        <v>24333</v>
      </c>
      <c r="AB45" s="188" t="s">
        <v>366</v>
      </c>
      <c r="AC45" s="188" t="s">
        <v>52</v>
      </c>
      <c r="AD45" s="188" t="s">
        <v>148</v>
      </c>
      <c r="AE45" s="188">
        <v>25333</v>
      </c>
      <c r="AG45" s="188" t="s">
        <v>570</v>
      </c>
      <c r="AH45" s="188" t="s">
        <v>78</v>
      </c>
      <c r="AI45" s="188" t="s">
        <v>8</v>
      </c>
      <c r="AJ45" s="188">
        <v>23004</v>
      </c>
      <c r="AL45" s="189" t="s">
        <v>453</v>
      </c>
      <c r="AM45" s="189" t="s">
        <v>74</v>
      </c>
      <c r="AN45" s="189" t="s">
        <v>147</v>
      </c>
      <c r="AO45" s="189">
        <v>22980</v>
      </c>
      <c r="AQ45" s="189" t="s">
        <v>348</v>
      </c>
      <c r="AR45" s="189" t="s">
        <v>77</v>
      </c>
      <c r="AS45" s="189" t="s">
        <v>148</v>
      </c>
      <c r="AT45" s="189">
        <v>19278</v>
      </c>
      <c r="AV45" s="189" t="s">
        <v>570</v>
      </c>
      <c r="AW45" s="189" t="s">
        <v>78</v>
      </c>
      <c r="AX45" s="189" t="s">
        <v>8</v>
      </c>
      <c r="AY45" s="189">
        <v>23004</v>
      </c>
    </row>
    <row r="46" spans="1:51" x14ac:dyDescent="0.2">
      <c r="A46">
        <v>44</v>
      </c>
      <c r="H46" t="s">
        <v>588</v>
      </c>
      <c r="I46" t="s">
        <v>344</v>
      </c>
      <c r="J46" t="s">
        <v>147</v>
      </c>
      <c r="K46">
        <v>22986</v>
      </c>
      <c r="M46" t="s">
        <v>384</v>
      </c>
      <c r="N46" t="s">
        <v>65</v>
      </c>
      <c r="O46" t="s">
        <v>148</v>
      </c>
      <c r="P46">
        <v>24706</v>
      </c>
      <c r="R46" t="s">
        <v>390</v>
      </c>
      <c r="S46" t="s">
        <v>115</v>
      </c>
      <c r="T46" t="s">
        <v>8</v>
      </c>
      <c r="U46">
        <v>23056</v>
      </c>
      <c r="W46" s="188" t="s">
        <v>564</v>
      </c>
      <c r="X46" s="188" t="s">
        <v>341</v>
      </c>
      <c r="Y46" s="188" t="s">
        <v>147</v>
      </c>
      <c r="Z46" s="188">
        <v>27316</v>
      </c>
      <c r="AB46" s="188" t="s">
        <v>391</v>
      </c>
      <c r="AC46" s="188" t="s">
        <v>68</v>
      </c>
      <c r="AD46" s="188" t="s">
        <v>148</v>
      </c>
      <c r="AE46" s="188">
        <v>23123</v>
      </c>
      <c r="AG46" s="188" t="s">
        <v>390</v>
      </c>
      <c r="AH46" s="188" t="s">
        <v>115</v>
      </c>
      <c r="AI46" s="188" t="s">
        <v>8</v>
      </c>
      <c r="AJ46" s="188">
        <v>23056</v>
      </c>
      <c r="AL46" s="189" t="s">
        <v>26</v>
      </c>
      <c r="AM46" s="189" t="s">
        <v>71</v>
      </c>
      <c r="AN46" s="189" t="s">
        <v>147</v>
      </c>
      <c r="AO46" s="189">
        <v>16673</v>
      </c>
      <c r="AQ46" s="189" t="s">
        <v>327</v>
      </c>
      <c r="AR46" s="189" t="s">
        <v>72</v>
      </c>
      <c r="AS46" s="189" t="s">
        <v>148</v>
      </c>
      <c r="AT46" s="189">
        <v>23794</v>
      </c>
      <c r="AV46" s="189" t="s">
        <v>390</v>
      </c>
      <c r="AW46" s="189" t="s">
        <v>115</v>
      </c>
      <c r="AX46" s="189" t="s">
        <v>8</v>
      </c>
      <c r="AY46" s="189">
        <v>23056</v>
      </c>
    </row>
    <row r="47" spans="1:51" x14ac:dyDescent="0.2">
      <c r="A47">
        <v>45</v>
      </c>
      <c r="H47" t="s">
        <v>357</v>
      </c>
      <c r="I47" t="s">
        <v>62</v>
      </c>
      <c r="J47" t="s">
        <v>147</v>
      </c>
      <c r="K47">
        <v>24333</v>
      </c>
      <c r="M47" t="s">
        <v>9</v>
      </c>
      <c r="N47" t="s">
        <v>79</v>
      </c>
      <c r="O47" t="s">
        <v>148</v>
      </c>
      <c r="P47">
        <v>18244</v>
      </c>
      <c r="R47" t="s">
        <v>726</v>
      </c>
      <c r="S47" t="s">
        <v>58</v>
      </c>
      <c r="T47" t="s">
        <v>8</v>
      </c>
      <c r="U47">
        <v>23837</v>
      </c>
      <c r="W47" s="188" t="s">
        <v>322</v>
      </c>
      <c r="X47" s="188" t="s">
        <v>52</v>
      </c>
      <c r="Y47" s="188" t="s">
        <v>147</v>
      </c>
      <c r="Z47" s="188">
        <v>24172</v>
      </c>
      <c r="AB47" s="188" t="s">
        <v>340</v>
      </c>
      <c r="AC47" s="188" t="s">
        <v>81</v>
      </c>
      <c r="AD47" s="188" t="s">
        <v>148</v>
      </c>
      <c r="AE47" s="188">
        <v>22985</v>
      </c>
      <c r="AG47" s="188" t="s">
        <v>726</v>
      </c>
      <c r="AH47" s="188" t="s">
        <v>58</v>
      </c>
      <c r="AI47" s="188" t="s">
        <v>8</v>
      </c>
      <c r="AJ47" s="188">
        <v>23837</v>
      </c>
      <c r="AL47" s="189" t="s">
        <v>499</v>
      </c>
      <c r="AM47" s="189" t="s">
        <v>78</v>
      </c>
      <c r="AN47" s="189" t="s">
        <v>147</v>
      </c>
      <c r="AO47" s="189">
        <v>25885</v>
      </c>
      <c r="AQ47" s="189" t="s">
        <v>512</v>
      </c>
      <c r="AR47" s="189" t="s">
        <v>56</v>
      </c>
      <c r="AS47" s="189" t="s">
        <v>148</v>
      </c>
      <c r="AT47" s="189">
        <v>26403</v>
      </c>
      <c r="AV47" s="189" t="s">
        <v>126</v>
      </c>
      <c r="AW47" s="189" t="s">
        <v>56</v>
      </c>
      <c r="AX47" s="189" t="s">
        <v>8</v>
      </c>
      <c r="AY47" s="189">
        <v>22795</v>
      </c>
    </row>
    <row r="48" spans="1:51" x14ac:dyDescent="0.2">
      <c r="A48">
        <v>46</v>
      </c>
      <c r="H48" t="s">
        <v>499</v>
      </c>
      <c r="I48" t="s">
        <v>78</v>
      </c>
      <c r="J48" t="s">
        <v>147</v>
      </c>
      <c r="K48">
        <v>25885</v>
      </c>
      <c r="M48" t="s">
        <v>340</v>
      </c>
      <c r="N48" t="s">
        <v>81</v>
      </c>
      <c r="O48" t="s">
        <v>148</v>
      </c>
      <c r="P48">
        <v>22985</v>
      </c>
      <c r="R48" t="s">
        <v>452</v>
      </c>
      <c r="S48" t="s">
        <v>74</v>
      </c>
      <c r="T48" t="s">
        <v>8</v>
      </c>
      <c r="U48">
        <v>23104</v>
      </c>
      <c r="W48" s="188" t="s">
        <v>499</v>
      </c>
      <c r="X48" s="188" t="s">
        <v>78</v>
      </c>
      <c r="Y48" s="188" t="s">
        <v>147</v>
      </c>
      <c r="Z48" s="188">
        <v>25885</v>
      </c>
      <c r="AB48" s="188" t="s">
        <v>9</v>
      </c>
      <c r="AC48" s="188" t="s">
        <v>79</v>
      </c>
      <c r="AD48" s="188" t="s">
        <v>148</v>
      </c>
      <c r="AE48" s="188">
        <v>18244</v>
      </c>
      <c r="AG48" s="188" t="s">
        <v>452</v>
      </c>
      <c r="AH48" s="188" t="s">
        <v>74</v>
      </c>
      <c r="AI48" s="188" t="s">
        <v>8</v>
      </c>
      <c r="AJ48" s="188">
        <v>23104</v>
      </c>
      <c r="AL48" s="189" t="s">
        <v>357</v>
      </c>
      <c r="AM48" s="189" t="s">
        <v>62</v>
      </c>
      <c r="AN48" s="189" t="s">
        <v>147</v>
      </c>
      <c r="AO48" s="189">
        <v>24333</v>
      </c>
      <c r="AQ48" s="189" t="s">
        <v>340</v>
      </c>
      <c r="AR48" s="189" t="s">
        <v>81</v>
      </c>
      <c r="AS48" s="189" t="s">
        <v>148</v>
      </c>
      <c r="AT48" s="189">
        <v>22985</v>
      </c>
      <c r="AV48" s="189" t="s">
        <v>726</v>
      </c>
      <c r="AW48" s="189" t="s">
        <v>58</v>
      </c>
      <c r="AX48" s="189" t="s">
        <v>8</v>
      </c>
      <c r="AY48" s="189">
        <v>23837</v>
      </c>
    </row>
    <row r="49" spans="1:51" x14ac:dyDescent="0.2">
      <c r="A49">
        <v>47</v>
      </c>
      <c r="H49" t="s">
        <v>322</v>
      </c>
      <c r="I49" t="s">
        <v>52</v>
      </c>
      <c r="J49" t="s">
        <v>147</v>
      </c>
      <c r="K49">
        <v>24172</v>
      </c>
      <c r="M49" t="s">
        <v>327</v>
      </c>
      <c r="N49" t="s">
        <v>72</v>
      </c>
      <c r="O49" t="s">
        <v>148</v>
      </c>
      <c r="P49">
        <v>23794</v>
      </c>
      <c r="R49" t="s">
        <v>126</v>
      </c>
      <c r="S49" t="s">
        <v>56</v>
      </c>
      <c r="T49" t="s">
        <v>8</v>
      </c>
      <c r="U49">
        <v>22795</v>
      </c>
      <c r="W49" s="188" t="s">
        <v>588</v>
      </c>
      <c r="X49" s="188" t="s">
        <v>344</v>
      </c>
      <c r="Y49" s="188" t="s">
        <v>147</v>
      </c>
      <c r="Z49" s="188">
        <v>22986</v>
      </c>
      <c r="AB49" s="188" t="s">
        <v>107</v>
      </c>
      <c r="AC49" s="188" t="s">
        <v>59</v>
      </c>
      <c r="AD49" s="188" t="s">
        <v>148</v>
      </c>
      <c r="AE49" s="188">
        <v>19201</v>
      </c>
      <c r="AG49" s="188" t="s">
        <v>126</v>
      </c>
      <c r="AH49" s="188" t="s">
        <v>56</v>
      </c>
      <c r="AI49" s="188" t="s">
        <v>8</v>
      </c>
      <c r="AJ49" s="188">
        <v>22795</v>
      </c>
      <c r="AL49" s="189" t="s">
        <v>454</v>
      </c>
      <c r="AM49" s="189" t="s">
        <v>75</v>
      </c>
      <c r="AN49" s="189" t="s">
        <v>147</v>
      </c>
      <c r="AO49" s="189">
        <v>24346</v>
      </c>
      <c r="AQ49" s="189" t="s">
        <v>528</v>
      </c>
      <c r="AR49" s="189" t="s">
        <v>64</v>
      </c>
      <c r="AS49" s="189" t="s">
        <v>148</v>
      </c>
      <c r="AT49" s="189">
        <v>27077</v>
      </c>
      <c r="AV49" s="189" t="s">
        <v>452</v>
      </c>
      <c r="AW49" s="189" t="s">
        <v>74</v>
      </c>
      <c r="AX49" s="189" t="s">
        <v>8</v>
      </c>
      <c r="AY49" s="189">
        <v>23104</v>
      </c>
    </row>
    <row r="50" spans="1:51" x14ac:dyDescent="0.2">
      <c r="A50">
        <v>48</v>
      </c>
      <c r="H50" t="s">
        <v>454</v>
      </c>
      <c r="I50" t="s">
        <v>75</v>
      </c>
      <c r="J50" t="s">
        <v>147</v>
      </c>
      <c r="K50">
        <v>24346</v>
      </c>
      <c r="M50" t="s">
        <v>528</v>
      </c>
      <c r="N50" t="s">
        <v>64</v>
      </c>
      <c r="O50" t="s">
        <v>148</v>
      </c>
      <c r="P50">
        <v>27077</v>
      </c>
      <c r="R50" t="s">
        <v>709</v>
      </c>
      <c r="S50" t="s">
        <v>70</v>
      </c>
      <c r="T50" t="s">
        <v>8</v>
      </c>
      <c r="U50">
        <v>28403</v>
      </c>
      <c r="W50" s="188" t="s">
        <v>519</v>
      </c>
      <c r="X50" s="188" t="s">
        <v>59</v>
      </c>
      <c r="Y50" s="188" t="s">
        <v>147</v>
      </c>
      <c r="Z50" s="188">
        <v>27102</v>
      </c>
      <c r="AB50" s="188" t="s">
        <v>528</v>
      </c>
      <c r="AC50" s="188" t="s">
        <v>64</v>
      </c>
      <c r="AD50" s="188" t="s">
        <v>148</v>
      </c>
      <c r="AE50" s="188">
        <v>27077</v>
      </c>
      <c r="AG50" s="188" t="s">
        <v>709</v>
      </c>
      <c r="AH50" s="188" t="s">
        <v>70</v>
      </c>
      <c r="AI50" s="188" t="s">
        <v>8</v>
      </c>
      <c r="AJ50" s="188">
        <v>28403</v>
      </c>
      <c r="AL50" s="189" t="s">
        <v>322</v>
      </c>
      <c r="AM50" s="189" t="s">
        <v>52</v>
      </c>
      <c r="AN50" s="189" t="s">
        <v>147</v>
      </c>
      <c r="AO50" s="189">
        <v>24172</v>
      </c>
      <c r="AQ50" s="189" t="s">
        <v>378</v>
      </c>
      <c r="AR50" s="189" t="s">
        <v>63</v>
      </c>
      <c r="AS50" s="189" t="s">
        <v>148</v>
      </c>
      <c r="AT50" s="189">
        <v>23020</v>
      </c>
      <c r="AV50" s="189" t="s">
        <v>716</v>
      </c>
      <c r="AW50" s="189" t="s">
        <v>61</v>
      </c>
      <c r="AX50" s="189" t="s">
        <v>8</v>
      </c>
      <c r="AY50" s="189">
        <v>28079</v>
      </c>
    </row>
    <row r="51" spans="1:51" x14ac:dyDescent="0.2">
      <c r="A51">
        <v>49</v>
      </c>
      <c r="H51" t="s">
        <v>332</v>
      </c>
      <c r="I51" t="s">
        <v>53</v>
      </c>
      <c r="J51" t="s">
        <v>147</v>
      </c>
      <c r="K51">
        <v>20094</v>
      </c>
      <c r="M51" t="s">
        <v>378</v>
      </c>
      <c r="N51" t="s">
        <v>63</v>
      </c>
      <c r="O51" t="s">
        <v>148</v>
      </c>
      <c r="P51">
        <v>23020</v>
      </c>
      <c r="R51" t="s">
        <v>379</v>
      </c>
      <c r="S51" t="s">
        <v>63</v>
      </c>
      <c r="T51" t="s">
        <v>8</v>
      </c>
      <c r="U51">
        <v>25282</v>
      </c>
      <c r="W51" s="188" t="s">
        <v>454</v>
      </c>
      <c r="X51" s="188" t="s">
        <v>75</v>
      </c>
      <c r="Y51" s="188" t="s">
        <v>147</v>
      </c>
      <c r="Z51" s="188">
        <v>24346</v>
      </c>
      <c r="AB51" s="188" t="s">
        <v>378</v>
      </c>
      <c r="AC51" s="188" t="s">
        <v>63</v>
      </c>
      <c r="AD51" s="188" t="s">
        <v>148</v>
      </c>
      <c r="AE51" s="188">
        <v>23020</v>
      </c>
      <c r="AG51" s="188" t="s">
        <v>379</v>
      </c>
      <c r="AH51" s="188" t="s">
        <v>63</v>
      </c>
      <c r="AI51" s="188" t="s">
        <v>8</v>
      </c>
      <c r="AJ51" s="188">
        <v>25282</v>
      </c>
      <c r="AL51" s="189" t="s">
        <v>332</v>
      </c>
      <c r="AM51" s="189" t="s">
        <v>53</v>
      </c>
      <c r="AN51" s="189" t="s">
        <v>147</v>
      </c>
      <c r="AO51" s="189">
        <v>20094</v>
      </c>
      <c r="AQ51" s="189" t="s">
        <v>384</v>
      </c>
      <c r="AR51" s="189" t="s">
        <v>65</v>
      </c>
      <c r="AS51" s="189" t="s">
        <v>148</v>
      </c>
      <c r="AT51" s="189">
        <v>24706</v>
      </c>
      <c r="AV51" s="189" t="s">
        <v>709</v>
      </c>
      <c r="AW51" s="189" t="s">
        <v>70</v>
      </c>
      <c r="AX51" s="189" t="s">
        <v>8</v>
      </c>
      <c r="AY51" s="189">
        <v>28403</v>
      </c>
    </row>
    <row r="52" spans="1:51" x14ac:dyDescent="0.2">
      <c r="A52">
        <v>50</v>
      </c>
      <c r="H52" t="s">
        <v>407</v>
      </c>
      <c r="I52" t="s">
        <v>68</v>
      </c>
      <c r="J52" t="s">
        <v>147</v>
      </c>
      <c r="K52">
        <v>25360</v>
      </c>
      <c r="M52" t="s">
        <v>512</v>
      </c>
      <c r="N52" t="s">
        <v>56</v>
      </c>
      <c r="O52" t="s">
        <v>148</v>
      </c>
      <c r="P52">
        <v>26403</v>
      </c>
      <c r="R52" t="s">
        <v>716</v>
      </c>
      <c r="S52" t="s">
        <v>61</v>
      </c>
      <c r="T52" t="s">
        <v>8</v>
      </c>
      <c r="U52">
        <v>28079</v>
      </c>
      <c r="W52" s="188" t="s">
        <v>527</v>
      </c>
      <c r="X52" s="188" t="s">
        <v>64</v>
      </c>
      <c r="Y52" s="188" t="s">
        <v>147</v>
      </c>
      <c r="Z52" s="188">
        <v>27520</v>
      </c>
      <c r="AB52" s="188" t="s">
        <v>327</v>
      </c>
      <c r="AC52" s="188" t="s">
        <v>72</v>
      </c>
      <c r="AD52" s="188" t="s">
        <v>148</v>
      </c>
      <c r="AE52" s="188">
        <v>23794</v>
      </c>
      <c r="AG52" s="188" t="s">
        <v>716</v>
      </c>
      <c r="AH52" s="188" t="s">
        <v>61</v>
      </c>
      <c r="AI52" s="188" t="s">
        <v>8</v>
      </c>
      <c r="AJ52" s="188">
        <v>28079</v>
      </c>
      <c r="AL52" s="189" t="s">
        <v>407</v>
      </c>
      <c r="AM52" s="189" t="s">
        <v>68</v>
      </c>
      <c r="AN52" s="189" t="s">
        <v>147</v>
      </c>
      <c r="AO52" s="189">
        <v>25360</v>
      </c>
      <c r="AQ52" s="189" t="s">
        <v>432</v>
      </c>
      <c r="AR52" s="189" t="s">
        <v>67</v>
      </c>
      <c r="AS52" s="189" t="s">
        <v>148</v>
      </c>
      <c r="AT52" s="189">
        <v>23019</v>
      </c>
      <c r="AV52" s="189" t="s">
        <v>379</v>
      </c>
      <c r="AW52" s="189" t="s">
        <v>63</v>
      </c>
      <c r="AX52" s="189" t="s">
        <v>8</v>
      </c>
      <c r="AY52" s="189">
        <v>25282</v>
      </c>
    </row>
    <row r="53" spans="1:51" x14ac:dyDescent="0.2">
      <c r="A53">
        <v>51</v>
      </c>
      <c r="H53" t="s">
        <v>519</v>
      </c>
      <c r="I53" t="s">
        <v>59</v>
      </c>
      <c r="J53" t="s">
        <v>147</v>
      </c>
      <c r="K53">
        <v>27102</v>
      </c>
      <c r="M53" t="s">
        <v>107</v>
      </c>
      <c r="N53" t="s">
        <v>59</v>
      </c>
      <c r="O53" t="s">
        <v>148</v>
      </c>
      <c r="P53">
        <v>19201</v>
      </c>
      <c r="W53" s="188" t="s">
        <v>332</v>
      </c>
      <c r="X53" s="188" t="s">
        <v>53</v>
      </c>
      <c r="Y53" s="188" t="s">
        <v>147</v>
      </c>
      <c r="Z53" s="188">
        <v>20094</v>
      </c>
      <c r="AB53" s="188" t="s">
        <v>512</v>
      </c>
      <c r="AC53" s="188" t="s">
        <v>56</v>
      </c>
      <c r="AD53" s="188" t="s">
        <v>148</v>
      </c>
      <c r="AE53" s="188">
        <v>26403</v>
      </c>
      <c r="AL53" s="189" t="s">
        <v>385</v>
      </c>
      <c r="AM53" s="189" t="s">
        <v>76</v>
      </c>
      <c r="AN53" s="189" t="s">
        <v>147</v>
      </c>
      <c r="AO53" s="189">
        <v>22908</v>
      </c>
      <c r="AQ53" s="189" t="s">
        <v>9</v>
      </c>
      <c r="AR53" s="189" t="s">
        <v>79</v>
      </c>
      <c r="AS53" s="189" t="s">
        <v>148</v>
      </c>
      <c r="AT53" s="189">
        <v>18244</v>
      </c>
    </row>
    <row r="54" spans="1:51" x14ac:dyDescent="0.2">
      <c r="A54">
        <v>52</v>
      </c>
      <c r="H54" t="s">
        <v>527</v>
      </c>
      <c r="I54" t="s">
        <v>64</v>
      </c>
      <c r="J54" t="s">
        <v>147</v>
      </c>
      <c r="K54">
        <v>27520</v>
      </c>
      <c r="M54" t="s">
        <v>96</v>
      </c>
      <c r="N54" t="s">
        <v>344</v>
      </c>
      <c r="O54" t="s">
        <v>148</v>
      </c>
      <c r="P54">
        <v>18598</v>
      </c>
      <c r="W54" s="188" t="s">
        <v>407</v>
      </c>
      <c r="X54" s="188" t="s">
        <v>68</v>
      </c>
      <c r="Y54" s="188" t="s">
        <v>147</v>
      </c>
      <c r="Z54" s="188">
        <v>25360</v>
      </c>
      <c r="AB54" s="188" t="s">
        <v>325</v>
      </c>
      <c r="AC54" s="188" t="s">
        <v>55</v>
      </c>
      <c r="AD54" s="188" t="s">
        <v>148</v>
      </c>
      <c r="AE54" s="188">
        <v>23748</v>
      </c>
      <c r="AL54" s="189" t="s">
        <v>656</v>
      </c>
      <c r="AM54" s="189" t="s">
        <v>81</v>
      </c>
      <c r="AN54" s="189" t="s">
        <v>147</v>
      </c>
      <c r="AO54" s="189">
        <v>24343</v>
      </c>
      <c r="AQ54" s="189" t="s">
        <v>107</v>
      </c>
      <c r="AR54" s="189" t="s">
        <v>59</v>
      </c>
      <c r="AS54" s="189" t="s">
        <v>148</v>
      </c>
      <c r="AT54" s="189">
        <v>19201</v>
      </c>
    </row>
    <row r="55" spans="1:51" x14ac:dyDescent="0.2">
      <c r="A55">
        <v>53</v>
      </c>
      <c r="H55" t="s">
        <v>412</v>
      </c>
      <c r="I55" t="s">
        <v>54</v>
      </c>
      <c r="J55" t="s">
        <v>147</v>
      </c>
      <c r="K55">
        <v>18256</v>
      </c>
      <c r="M55" t="s">
        <v>325</v>
      </c>
      <c r="N55" t="s">
        <v>55</v>
      </c>
      <c r="O55" t="s">
        <v>148</v>
      </c>
      <c r="P55">
        <v>23748</v>
      </c>
      <c r="W55" s="188" t="s">
        <v>412</v>
      </c>
      <c r="X55" s="188" t="s">
        <v>54</v>
      </c>
      <c r="Y55" s="188" t="s">
        <v>147</v>
      </c>
      <c r="Z55" s="188">
        <v>18256</v>
      </c>
      <c r="AB55" s="188" t="s">
        <v>96</v>
      </c>
      <c r="AC55" s="188" t="s">
        <v>344</v>
      </c>
      <c r="AD55" s="188" t="s">
        <v>148</v>
      </c>
      <c r="AE55" s="188">
        <v>18598</v>
      </c>
      <c r="AL55" s="189" t="s">
        <v>662</v>
      </c>
      <c r="AM55" s="189" t="s">
        <v>115</v>
      </c>
      <c r="AN55" s="189" t="s">
        <v>147</v>
      </c>
      <c r="AO55" s="189">
        <v>28108</v>
      </c>
      <c r="AQ55" s="189" t="s">
        <v>96</v>
      </c>
      <c r="AR55" s="189" t="s">
        <v>344</v>
      </c>
      <c r="AS55" s="189" t="s">
        <v>148</v>
      </c>
      <c r="AT55" s="189">
        <v>18598</v>
      </c>
    </row>
    <row r="56" spans="1:51" x14ac:dyDescent="0.2">
      <c r="A56">
        <v>54</v>
      </c>
      <c r="H56" t="s">
        <v>401</v>
      </c>
      <c r="I56" t="s">
        <v>81</v>
      </c>
      <c r="J56" t="s">
        <v>147</v>
      </c>
      <c r="K56">
        <v>25323</v>
      </c>
      <c r="M56" t="s">
        <v>432</v>
      </c>
      <c r="N56" t="s">
        <v>67</v>
      </c>
      <c r="O56" t="s">
        <v>148</v>
      </c>
      <c r="P56">
        <v>23019</v>
      </c>
      <c r="W56" s="188" t="s">
        <v>401</v>
      </c>
      <c r="X56" s="188" t="s">
        <v>81</v>
      </c>
      <c r="Y56" s="188" t="s">
        <v>147</v>
      </c>
      <c r="Z56" s="188">
        <v>25323</v>
      </c>
      <c r="AB56" s="188" t="s">
        <v>363</v>
      </c>
      <c r="AC56" s="188" t="s">
        <v>78</v>
      </c>
      <c r="AD56" s="188" t="s">
        <v>148</v>
      </c>
      <c r="AE56" s="188">
        <v>24687</v>
      </c>
      <c r="AL56" s="189" t="s">
        <v>655</v>
      </c>
      <c r="AM56" s="189" t="s">
        <v>341</v>
      </c>
      <c r="AN56" s="189" t="s">
        <v>147</v>
      </c>
      <c r="AO56" s="189">
        <v>24362</v>
      </c>
      <c r="AQ56" s="189" t="s">
        <v>572</v>
      </c>
      <c r="AR56" s="189" t="s">
        <v>63</v>
      </c>
      <c r="AS56" s="189" t="s">
        <v>148</v>
      </c>
      <c r="AT56" s="189">
        <v>26024</v>
      </c>
    </row>
    <row r="57" spans="1:51" x14ac:dyDescent="0.2">
      <c r="A57">
        <v>55</v>
      </c>
      <c r="H57" t="s">
        <v>656</v>
      </c>
      <c r="I57" t="s">
        <v>81</v>
      </c>
      <c r="J57" t="s">
        <v>147</v>
      </c>
      <c r="K57">
        <v>24343</v>
      </c>
      <c r="M57" t="s">
        <v>363</v>
      </c>
      <c r="N57" t="s">
        <v>78</v>
      </c>
      <c r="O57" t="s">
        <v>148</v>
      </c>
      <c r="P57">
        <v>24687</v>
      </c>
      <c r="W57" s="188" t="s">
        <v>655</v>
      </c>
      <c r="X57" s="188" t="s">
        <v>341</v>
      </c>
      <c r="Y57" s="188" t="s">
        <v>147</v>
      </c>
      <c r="Z57" s="188">
        <v>24362</v>
      </c>
      <c r="AB57" s="188" t="s">
        <v>432</v>
      </c>
      <c r="AC57" s="188" t="s">
        <v>67</v>
      </c>
      <c r="AD57" s="188" t="s">
        <v>148</v>
      </c>
      <c r="AE57" s="188">
        <v>23019</v>
      </c>
      <c r="AL57" s="189" t="s">
        <v>401</v>
      </c>
      <c r="AM57" s="189" t="s">
        <v>81</v>
      </c>
      <c r="AN57" s="189" t="s">
        <v>147</v>
      </c>
      <c r="AO57" s="189">
        <v>25323</v>
      </c>
      <c r="AQ57" s="189" t="s">
        <v>363</v>
      </c>
      <c r="AR57" s="189" t="s">
        <v>78</v>
      </c>
      <c r="AS57" s="189" t="s">
        <v>148</v>
      </c>
      <c r="AT57" s="189">
        <v>24687</v>
      </c>
    </row>
    <row r="58" spans="1:51" x14ac:dyDescent="0.2">
      <c r="A58">
        <v>56</v>
      </c>
      <c r="H58" t="s">
        <v>655</v>
      </c>
      <c r="I58" t="s">
        <v>341</v>
      </c>
      <c r="J58" t="s">
        <v>147</v>
      </c>
      <c r="K58">
        <v>24362</v>
      </c>
      <c r="M58" t="s">
        <v>572</v>
      </c>
      <c r="N58" t="s">
        <v>63</v>
      </c>
      <c r="O58" t="s">
        <v>148</v>
      </c>
      <c r="P58">
        <v>26024</v>
      </c>
      <c r="W58" s="188" t="s">
        <v>656</v>
      </c>
      <c r="X58" s="188" t="s">
        <v>81</v>
      </c>
      <c r="Y58" s="188" t="s">
        <v>147</v>
      </c>
      <c r="Z58" s="188">
        <v>24343</v>
      </c>
      <c r="AB58" s="188" t="s">
        <v>572</v>
      </c>
      <c r="AC58" s="188" t="s">
        <v>63</v>
      </c>
      <c r="AD58" s="188" t="s">
        <v>148</v>
      </c>
      <c r="AE58" s="188">
        <v>26024</v>
      </c>
      <c r="AL58" s="189" t="s">
        <v>412</v>
      </c>
      <c r="AM58" s="189" t="s">
        <v>54</v>
      </c>
      <c r="AN58" s="189" t="s">
        <v>147</v>
      </c>
      <c r="AO58" s="189">
        <v>18256</v>
      </c>
      <c r="AQ58" s="189" t="s">
        <v>135</v>
      </c>
      <c r="AR58" s="189" t="s">
        <v>54</v>
      </c>
      <c r="AS58" s="189" t="s">
        <v>148</v>
      </c>
      <c r="AT58" s="189">
        <v>19794</v>
      </c>
    </row>
    <row r="59" spans="1:51" x14ac:dyDescent="0.2">
      <c r="A59">
        <v>57</v>
      </c>
      <c r="H59" t="s">
        <v>385</v>
      </c>
      <c r="I59" t="s">
        <v>76</v>
      </c>
      <c r="J59" t="s">
        <v>147</v>
      </c>
      <c r="K59">
        <v>22908</v>
      </c>
      <c r="M59" t="s">
        <v>459</v>
      </c>
      <c r="N59" t="s">
        <v>80</v>
      </c>
      <c r="O59" t="s">
        <v>148</v>
      </c>
      <c r="P59">
        <v>23179</v>
      </c>
      <c r="W59" s="188" t="s">
        <v>662</v>
      </c>
      <c r="X59" s="188" t="s">
        <v>115</v>
      </c>
      <c r="Y59" s="188" t="s">
        <v>147</v>
      </c>
      <c r="Z59" s="188">
        <v>28108</v>
      </c>
      <c r="AB59" s="188" t="s">
        <v>459</v>
      </c>
      <c r="AC59" s="188" t="s">
        <v>80</v>
      </c>
      <c r="AD59" s="188" t="s">
        <v>148</v>
      </c>
      <c r="AE59" s="188">
        <v>23179</v>
      </c>
      <c r="AL59" s="189" t="s">
        <v>527</v>
      </c>
      <c r="AM59" s="189" t="s">
        <v>64</v>
      </c>
      <c r="AN59" s="189" t="s">
        <v>147</v>
      </c>
      <c r="AO59" s="189">
        <v>27520</v>
      </c>
      <c r="AQ59" s="189" t="s">
        <v>436</v>
      </c>
      <c r="AR59" s="189" t="s">
        <v>75</v>
      </c>
      <c r="AS59" s="189" t="s">
        <v>148</v>
      </c>
      <c r="AT59" s="189">
        <v>24357</v>
      </c>
    </row>
    <row r="60" spans="1:51" x14ac:dyDescent="0.2">
      <c r="A60">
        <v>58</v>
      </c>
      <c r="H60" t="s">
        <v>662</v>
      </c>
      <c r="I60" t="s">
        <v>115</v>
      </c>
      <c r="J60" t="s">
        <v>147</v>
      </c>
      <c r="K60">
        <v>28108</v>
      </c>
      <c r="M60" t="s">
        <v>678</v>
      </c>
      <c r="N60" t="s">
        <v>59</v>
      </c>
      <c r="O60" t="s">
        <v>148</v>
      </c>
      <c r="P60">
        <v>27339</v>
      </c>
      <c r="W60" s="188" t="s">
        <v>385</v>
      </c>
      <c r="X60" s="188" t="s">
        <v>76</v>
      </c>
      <c r="Y60" s="188" t="s">
        <v>147</v>
      </c>
      <c r="Z60" s="188">
        <v>22908</v>
      </c>
      <c r="AB60" s="188" t="s">
        <v>678</v>
      </c>
      <c r="AC60" s="188" t="s">
        <v>59</v>
      </c>
      <c r="AD60" s="188" t="s">
        <v>148</v>
      </c>
      <c r="AE60" s="188">
        <v>27339</v>
      </c>
      <c r="AL60" s="189" t="s">
        <v>446</v>
      </c>
      <c r="AM60" s="189" t="s">
        <v>63</v>
      </c>
      <c r="AN60" s="189" t="s">
        <v>147</v>
      </c>
      <c r="AO60" s="189">
        <v>23118</v>
      </c>
      <c r="AQ60" s="189" t="s">
        <v>459</v>
      </c>
      <c r="AR60" s="189" t="s">
        <v>80</v>
      </c>
      <c r="AS60" s="189" t="s">
        <v>148</v>
      </c>
      <c r="AT60" s="189">
        <v>23179</v>
      </c>
    </row>
    <row r="61" spans="1:51" x14ac:dyDescent="0.2">
      <c r="A61">
        <v>59</v>
      </c>
      <c r="H61" t="s">
        <v>446</v>
      </c>
      <c r="I61" t="s">
        <v>63</v>
      </c>
      <c r="J61" t="s">
        <v>147</v>
      </c>
      <c r="K61">
        <v>23118</v>
      </c>
      <c r="M61" t="s">
        <v>704</v>
      </c>
      <c r="N61" t="s">
        <v>341</v>
      </c>
      <c r="O61" t="s">
        <v>148</v>
      </c>
      <c r="P61">
        <v>25418</v>
      </c>
      <c r="W61" s="188" t="s">
        <v>446</v>
      </c>
      <c r="X61" s="188" t="s">
        <v>63</v>
      </c>
      <c r="Y61" s="188" t="s">
        <v>147</v>
      </c>
      <c r="Z61" s="188">
        <v>23118</v>
      </c>
      <c r="AB61" s="188" t="s">
        <v>48</v>
      </c>
      <c r="AC61" s="188" t="s">
        <v>722</v>
      </c>
      <c r="AD61" s="188" t="s">
        <v>148</v>
      </c>
      <c r="AE61" s="188">
        <v>13981</v>
      </c>
      <c r="AL61" s="189" t="s">
        <v>416</v>
      </c>
      <c r="AM61" s="189" t="s">
        <v>55</v>
      </c>
      <c r="AN61" s="189" t="s">
        <v>147</v>
      </c>
      <c r="AO61" s="189">
        <v>18406</v>
      </c>
      <c r="AQ61" s="189" t="s">
        <v>583</v>
      </c>
      <c r="AR61" s="189" t="s">
        <v>67</v>
      </c>
      <c r="AS61" s="189" t="s">
        <v>148</v>
      </c>
      <c r="AT61" s="189">
        <v>22913</v>
      </c>
    </row>
    <row r="62" spans="1:51" x14ac:dyDescent="0.2">
      <c r="A62">
        <v>60</v>
      </c>
      <c r="H62" t="s">
        <v>665</v>
      </c>
      <c r="I62" t="s">
        <v>61</v>
      </c>
      <c r="J62" t="s">
        <v>147</v>
      </c>
      <c r="K62">
        <v>27320</v>
      </c>
      <c r="M62" t="s">
        <v>48</v>
      </c>
      <c r="N62" t="s">
        <v>722</v>
      </c>
      <c r="O62" t="s">
        <v>148</v>
      </c>
      <c r="P62">
        <v>13981</v>
      </c>
      <c r="W62" s="188" t="s">
        <v>665</v>
      </c>
      <c r="X62" s="188" t="s">
        <v>61</v>
      </c>
      <c r="Y62" s="188" t="s">
        <v>147</v>
      </c>
      <c r="Z62" s="188">
        <v>27320</v>
      </c>
      <c r="AB62" s="188" t="s">
        <v>704</v>
      </c>
      <c r="AC62" s="188" t="s">
        <v>341</v>
      </c>
      <c r="AD62" s="188" t="s">
        <v>148</v>
      </c>
      <c r="AE62" s="188">
        <v>25418</v>
      </c>
      <c r="AL62" s="189" t="s">
        <v>519</v>
      </c>
      <c r="AM62" s="189" t="s">
        <v>59</v>
      </c>
      <c r="AN62" s="189" t="s">
        <v>147</v>
      </c>
      <c r="AO62" s="189">
        <v>27102</v>
      </c>
      <c r="AQ62" s="189" t="s">
        <v>678</v>
      </c>
      <c r="AR62" s="189" t="s">
        <v>59</v>
      </c>
      <c r="AS62" s="189" t="s">
        <v>148</v>
      </c>
      <c r="AT62" s="189">
        <v>27339</v>
      </c>
    </row>
    <row r="63" spans="1:51" x14ac:dyDescent="0.2">
      <c r="A63">
        <v>61</v>
      </c>
      <c r="H63" t="s">
        <v>416</v>
      </c>
      <c r="I63" t="s">
        <v>55</v>
      </c>
      <c r="J63" t="s">
        <v>147</v>
      </c>
      <c r="K63">
        <v>18406</v>
      </c>
      <c r="M63" t="s">
        <v>347</v>
      </c>
      <c r="N63" t="s">
        <v>115</v>
      </c>
      <c r="O63" t="s">
        <v>148</v>
      </c>
      <c r="P63">
        <v>24177</v>
      </c>
      <c r="W63" s="188" t="s">
        <v>416</v>
      </c>
      <c r="X63" s="188" t="s">
        <v>55</v>
      </c>
      <c r="Y63" s="188" t="s">
        <v>147</v>
      </c>
      <c r="Z63" s="188">
        <v>18406</v>
      </c>
      <c r="AB63" s="188" t="s">
        <v>677</v>
      </c>
      <c r="AC63" s="188" t="s">
        <v>59</v>
      </c>
      <c r="AD63" s="188" t="s">
        <v>148</v>
      </c>
      <c r="AE63" s="188">
        <v>27331</v>
      </c>
      <c r="AL63" s="189" t="s">
        <v>665</v>
      </c>
      <c r="AM63" s="189" t="s">
        <v>61</v>
      </c>
      <c r="AN63" s="189" t="s">
        <v>147</v>
      </c>
      <c r="AO63" s="189">
        <v>27320</v>
      </c>
      <c r="AQ63" s="189" t="s">
        <v>347</v>
      </c>
      <c r="AR63" s="189" t="s">
        <v>115</v>
      </c>
      <c r="AS63" s="189" t="s">
        <v>148</v>
      </c>
      <c r="AT63" s="189">
        <v>24177</v>
      </c>
    </row>
    <row r="64" spans="1:51" x14ac:dyDescent="0.2">
      <c r="A64">
        <v>62</v>
      </c>
      <c r="H64" t="s">
        <v>609</v>
      </c>
      <c r="I64" t="s">
        <v>67</v>
      </c>
      <c r="J64" t="s">
        <v>147</v>
      </c>
      <c r="K64">
        <v>25654</v>
      </c>
      <c r="M64" t="s">
        <v>677</v>
      </c>
      <c r="N64" t="s">
        <v>59</v>
      </c>
      <c r="O64" t="s">
        <v>148</v>
      </c>
      <c r="P64">
        <v>27331</v>
      </c>
      <c r="W64" s="188" t="s">
        <v>609</v>
      </c>
      <c r="X64" s="188" t="s">
        <v>67</v>
      </c>
      <c r="Y64" s="188" t="s">
        <v>147</v>
      </c>
      <c r="Z64" s="188">
        <v>25654</v>
      </c>
      <c r="AB64" s="188" t="s">
        <v>436</v>
      </c>
      <c r="AC64" s="188" t="s">
        <v>75</v>
      </c>
      <c r="AD64" s="188" t="s">
        <v>148</v>
      </c>
      <c r="AE64" s="188">
        <v>24357</v>
      </c>
      <c r="AL64" s="189" t="s">
        <v>609</v>
      </c>
      <c r="AM64" s="189" t="s">
        <v>67</v>
      </c>
      <c r="AN64" s="189" t="s">
        <v>147</v>
      </c>
      <c r="AO64" s="189">
        <v>25654</v>
      </c>
      <c r="AQ64" s="189" t="s">
        <v>704</v>
      </c>
      <c r="AR64" s="189" t="s">
        <v>341</v>
      </c>
      <c r="AS64" s="189" t="s">
        <v>148</v>
      </c>
      <c r="AT64" s="189">
        <v>25418</v>
      </c>
    </row>
    <row r="65" spans="1:46" x14ac:dyDescent="0.2">
      <c r="A65">
        <v>63</v>
      </c>
      <c r="H65" t="s">
        <v>638</v>
      </c>
      <c r="I65" t="s">
        <v>68</v>
      </c>
      <c r="J65" t="s">
        <v>147</v>
      </c>
      <c r="K65">
        <v>26355</v>
      </c>
      <c r="M65" t="s">
        <v>583</v>
      </c>
      <c r="N65" t="s">
        <v>67</v>
      </c>
      <c r="O65" t="s">
        <v>148</v>
      </c>
      <c r="P65">
        <v>22913</v>
      </c>
      <c r="W65" s="188" t="s">
        <v>587</v>
      </c>
      <c r="X65" s="188" t="s">
        <v>63</v>
      </c>
      <c r="Y65" s="188" t="s">
        <v>147</v>
      </c>
      <c r="Z65" s="188">
        <v>25823</v>
      </c>
      <c r="AB65" s="188" t="s">
        <v>347</v>
      </c>
      <c r="AC65" s="188" t="s">
        <v>115</v>
      </c>
      <c r="AD65" s="188" t="s">
        <v>148</v>
      </c>
      <c r="AE65" s="188">
        <v>24177</v>
      </c>
      <c r="AL65" s="189" t="s">
        <v>566</v>
      </c>
      <c r="AM65" s="189" t="s">
        <v>70</v>
      </c>
      <c r="AN65" s="189" t="s">
        <v>147</v>
      </c>
      <c r="AO65" s="189">
        <v>25984</v>
      </c>
      <c r="AQ65" s="189" t="s">
        <v>691</v>
      </c>
      <c r="AR65" s="189" t="s">
        <v>70</v>
      </c>
      <c r="AS65" s="189" t="s">
        <v>148</v>
      </c>
      <c r="AT65" s="189">
        <v>28135</v>
      </c>
    </row>
    <row r="66" spans="1:46" x14ac:dyDescent="0.2">
      <c r="A66">
        <v>64</v>
      </c>
      <c r="H66" t="s">
        <v>521</v>
      </c>
      <c r="I66" t="s">
        <v>60</v>
      </c>
      <c r="J66" t="s">
        <v>147</v>
      </c>
      <c r="K66">
        <v>24344</v>
      </c>
      <c r="M66" t="s">
        <v>543</v>
      </c>
      <c r="N66" t="s">
        <v>115</v>
      </c>
      <c r="O66" t="s">
        <v>148</v>
      </c>
      <c r="P66">
        <v>27224</v>
      </c>
      <c r="W66" s="188" t="s">
        <v>521</v>
      </c>
      <c r="X66" s="188" t="s">
        <v>60</v>
      </c>
      <c r="Y66" s="188" t="s">
        <v>147</v>
      </c>
      <c r="Z66" s="188">
        <v>24344</v>
      </c>
      <c r="AB66" s="188" t="s">
        <v>135</v>
      </c>
      <c r="AC66" s="188" t="s">
        <v>54</v>
      </c>
      <c r="AD66" s="188" t="s">
        <v>148</v>
      </c>
      <c r="AE66" s="188">
        <v>19794</v>
      </c>
      <c r="AL66" s="189" t="s">
        <v>638</v>
      </c>
      <c r="AM66" s="189" t="s">
        <v>68</v>
      </c>
      <c r="AN66" s="189" t="s">
        <v>147</v>
      </c>
      <c r="AO66" s="189">
        <v>26355</v>
      </c>
      <c r="AQ66" s="189" t="s">
        <v>325</v>
      </c>
      <c r="AR66" s="189" t="s">
        <v>55</v>
      </c>
      <c r="AS66" s="189" t="s">
        <v>148</v>
      </c>
      <c r="AT66" s="189">
        <v>23748</v>
      </c>
    </row>
    <row r="67" spans="1:46" x14ac:dyDescent="0.2">
      <c r="A67">
        <v>65</v>
      </c>
      <c r="H67" t="s">
        <v>658</v>
      </c>
      <c r="I67" t="s">
        <v>79</v>
      </c>
      <c r="J67" t="s">
        <v>147</v>
      </c>
      <c r="K67">
        <v>28401</v>
      </c>
      <c r="M67" t="s">
        <v>691</v>
      </c>
      <c r="N67" t="s">
        <v>70</v>
      </c>
      <c r="O67" t="s">
        <v>148</v>
      </c>
      <c r="P67">
        <v>28135</v>
      </c>
      <c r="W67" s="188" t="s">
        <v>131</v>
      </c>
      <c r="X67" s="188" t="s">
        <v>58</v>
      </c>
      <c r="Y67" s="188" t="s">
        <v>147</v>
      </c>
      <c r="Z67" s="188">
        <v>16423</v>
      </c>
      <c r="AB67" s="188" t="s">
        <v>543</v>
      </c>
      <c r="AC67" s="188" t="s">
        <v>115</v>
      </c>
      <c r="AD67" s="188" t="s">
        <v>148</v>
      </c>
      <c r="AE67" s="188">
        <v>27224</v>
      </c>
      <c r="AL67" s="189" t="s">
        <v>131</v>
      </c>
      <c r="AM67" s="189" t="s">
        <v>58</v>
      </c>
      <c r="AN67" s="189" t="s">
        <v>147</v>
      </c>
      <c r="AO67" s="189">
        <v>16423</v>
      </c>
      <c r="AQ67" s="189" t="s">
        <v>48</v>
      </c>
      <c r="AR67" s="189" t="s">
        <v>722</v>
      </c>
      <c r="AS67" s="189" t="s">
        <v>148</v>
      </c>
      <c r="AT67" s="189">
        <v>13981</v>
      </c>
    </row>
    <row r="68" spans="1:46" x14ac:dyDescent="0.2">
      <c r="A68">
        <v>66</v>
      </c>
      <c r="H68" t="s">
        <v>566</v>
      </c>
      <c r="I68" t="s">
        <v>70</v>
      </c>
      <c r="J68" t="s">
        <v>147</v>
      </c>
      <c r="K68">
        <v>25984</v>
      </c>
      <c r="M68" t="s">
        <v>389</v>
      </c>
      <c r="N68" t="s">
        <v>115</v>
      </c>
      <c r="O68" t="s">
        <v>148</v>
      </c>
      <c r="P68">
        <v>25337</v>
      </c>
      <c r="W68" s="188" t="s">
        <v>638</v>
      </c>
      <c r="X68" s="188" t="s">
        <v>68</v>
      </c>
      <c r="Y68" s="188" t="s">
        <v>147</v>
      </c>
      <c r="Z68" s="188">
        <v>26355</v>
      </c>
      <c r="AB68" s="188" t="s">
        <v>389</v>
      </c>
      <c r="AC68" s="188" t="s">
        <v>115</v>
      </c>
      <c r="AD68" s="188" t="s">
        <v>148</v>
      </c>
      <c r="AE68" s="188">
        <v>25337</v>
      </c>
      <c r="AL68" s="189" t="s">
        <v>521</v>
      </c>
      <c r="AM68" s="189" t="s">
        <v>60</v>
      </c>
      <c r="AN68" s="189" t="s">
        <v>147</v>
      </c>
      <c r="AO68" s="189">
        <v>24344</v>
      </c>
      <c r="AQ68" s="189" t="s">
        <v>543</v>
      </c>
      <c r="AR68" s="189" t="s">
        <v>115</v>
      </c>
      <c r="AS68" s="189" t="s">
        <v>148</v>
      </c>
      <c r="AT68" s="189">
        <v>27224</v>
      </c>
    </row>
    <row r="69" spans="1:46" x14ac:dyDescent="0.2">
      <c r="A69">
        <v>67</v>
      </c>
      <c r="H69" t="s">
        <v>131</v>
      </c>
      <c r="I69" t="s">
        <v>58</v>
      </c>
      <c r="J69" t="s">
        <v>147</v>
      </c>
      <c r="K69">
        <v>16423</v>
      </c>
      <c r="M69" t="s">
        <v>525</v>
      </c>
      <c r="N69" t="s">
        <v>62</v>
      </c>
      <c r="O69" t="s">
        <v>148</v>
      </c>
      <c r="P69">
        <v>27446</v>
      </c>
      <c r="W69" s="188" t="s">
        <v>658</v>
      </c>
      <c r="X69" s="188" t="s">
        <v>79</v>
      </c>
      <c r="Y69" s="188" t="s">
        <v>147</v>
      </c>
      <c r="Z69" s="188">
        <v>28401</v>
      </c>
      <c r="AB69" s="188" t="s">
        <v>583</v>
      </c>
      <c r="AC69" s="188" t="s">
        <v>67</v>
      </c>
      <c r="AD69" s="188" t="s">
        <v>148</v>
      </c>
      <c r="AE69" s="188">
        <v>22913</v>
      </c>
      <c r="AL69" s="189" t="s">
        <v>658</v>
      </c>
      <c r="AM69" s="189" t="s">
        <v>79</v>
      </c>
      <c r="AN69" s="189" t="s">
        <v>147</v>
      </c>
      <c r="AO69" s="189">
        <v>28401</v>
      </c>
      <c r="AQ69" s="189" t="s">
        <v>677</v>
      </c>
      <c r="AR69" s="189" t="s">
        <v>59</v>
      </c>
      <c r="AS69" s="189" t="s">
        <v>148</v>
      </c>
      <c r="AT69" s="189">
        <v>27331</v>
      </c>
    </row>
    <row r="70" spans="1:46" x14ac:dyDescent="0.2">
      <c r="A70">
        <v>68</v>
      </c>
      <c r="H70" t="s">
        <v>587</v>
      </c>
      <c r="I70" t="s">
        <v>63</v>
      </c>
      <c r="J70" t="s">
        <v>147</v>
      </c>
      <c r="K70">
        <v>25823</v>
      </c>
      <c r="M70" t="s">
        <v>135</v>
      </c>
      <c r="N70" t="s">
        <v>54</v>
      </c>
      <c r="O70" t="s">
        <v>148</v>
      </c>
      <c r="P70">
        <v>19794</v>
      </c>
      <c r="W70" s="188" t="s">
        <v>566</v>
      </c>
      <c r="X70" s="188" t="s">
        <v>70</v>
      </c>
      <c r="Y70" s="188" t="s">
        <v>147</v>
      </c>
      <c r="Z70" s="188">
        <v>25984</v>
      </c>
      <c r="AB70" s="188" t="s">
        <v>525</v>
      </c>
      <c r="AC70" s="188" t="s">
        <v>62</v>
      </c>
      <c r="AD70" s="188" t="s">
        <v>148</v>
      </c>
      <c r="AE70" s="188">
        <v>27446</v>
      </c>
      <c r="AL70" s="189" t="s">
        <v>661</v>
      </c>
      <c r="AM70" s="189" t="s">
        <v>71</v>
      </c>
      <c r="AN70" s="189" t="s">
        <v>147</v>
      </c>
      <c r="AO70" s="189">
        <v>28084</v>
      </c>
      <c r="AQ70" s="189" t="s">
        <v>525</v>
      </c>
      <c r="AR70" s="189" t="s">
        <v>62</v>
      </c>
      <c r="AS70" s="189" t="s">
        <v>148</v>
      </c>
      <c r="AT70" s="189">
        <v>27446</v>
      </c>
    </row>
    <row r="71" spans="1:46" x14ac:dyDescent="0.2">
      <c r="A71">
        <v>69</v>
      </c>
      <c r="H71" t="s">
        <v>442</v>
      </c>
      <c r="I71" t="s">
        <v>55</v>
      </c>
      <c r="J71" t="s">
        <v>147</v>
      </c>
      <c r="K71">
        <v>26191</v>
      </c>
      <c r="M71" t="s">
        <v>436</v>
      </c>
      <c r="N71" t="s">
        <v>75</v>
      </c>
      <c r="O71" t="s">
        <v>148</v>
      </c>
      <c r="P71">
        <v>24357</v>
      </c>
      <c r="W71" s="188" t="s">
        <v>442</v>
      </c>
      <c r="X71" s="188" t="s">
        <v>55</v>
      </c>
      <c r="Y71" s="188" t="s">
        <v>147</v>
      </c>
      <c r="Z71" s="188">
        <v>26191</v>
      </c>
      <c r="AB71" s="188" t="s">
        <v>669</v>
      </c>
      <c r="AC71" s="188" t="s">
        <v>53</v>
      </c>
      <c r="AD71" s="188" t="s">
        <v>148</v>
      </c>
      <c r="AE71" s="188">
        <v>25419</v>
      </c>
      <c r="AL71" s="189" t="s">
        <v>587</v>
      </c>
      <c r="AM71" s="189" t="s">
        <v>63</v>
      </c>
      <c r="AN71" s="189" t="s">
        <v>147</v>
      </c>
      <c r="AO71" s="189">
        <v>25823</v>
      </c>
      <c r="AQ71" s="189" t="s">
        <v>389</v>
      </c>
      <c r="AR71" s="189" t="s">
        <v>115</v>
      </c>
      <c r="AS71" s="189" t="s">
        <v>148</v>
      </c>
      <c r="AT71" s="189">
        <v>25337</v>
      </c>
    </row>
    <row r="72" spans="1:46" x14ac:dyDescent="0.2">
      <c r="A72">
        <v>70</v>
      </c>
      <c r="H72" t="s">
        <v>661</v>
      </c>
      <c r="I72" t="s">
        <v>71</v>
      </c>
      <c r="J72" t="s">
        <v>147</v>
      </c>
      <c r="K72">
        <v>28084</v>
      </c>
      <c r="M72" t="s">
        <v>411</v>
      </c>
      <c r="N72" t="s">
        <v>58</v>
      </c>
      <c r="O72" t="s">
        <v>148</v>
      </c>
      <c r="P72">
        <v>25335</v>
      </c>
      <c r="W72" s="188" t="s">
        <v>661</v>
      </c>
      <c r="X72" s="188" t="s">
        <v>71</v>
      </c>
      <c r="Y72" s="188" t="s">
        <v>147</v>
      </c>
      <c r="Z72" s="188">
        <v>28084</v>
      </c>
      <c r="AB72" s="188" t="s">
        <v>691</v>
      </c>
      <c r="AC72" s="188" t="s">
        <v>70</v>
      </c>
      <c r="AD72" s="188" t="s">
        <v>148</v>
      </c>
      <c r="AE72" s="188">
        <v>28135</v>
      </c>
      <c r="AL72" s="189" t="s">
        <v>442</v>
      </c>
      <c r="AM72" s="189" t="s">
        <v>55</v>
      </c>
      <c r="AN72" s="189" t="s">
        <v>147</v>
      </c>
      <c r="AO72" s="189">
        <v>26191</v>
      </c>
      <c r="AQ72" s="189" t="s">
        <v>669</v>
      </c>
      <c r="AR72" s="189" t="s">
        <v>53</v>
      </c>
      <c r="AS72" s="189" t="s">
        <v>148</v>
      </c>
      <c r="AT72" s="189">
        <v>25419</v>
      </c>
    </row>
    <row r="73" spans="1:46" x14ac:dyDescent="0.2">
      <c r="A73">
        <v>71</v>
      </c>
      <c r="H73" t="s">
        <v>450</v>
      </c>
      <c r="I73" t="s">
        <v>70</v>
      </c>
      <c r="J73" t="s">
        <v>147</v>
      </c>
      <c r="K73">
        <v>25987</v>
      </c>
      <c r="M73" t="s">
        <v>695</v>
      </c>
      <c r="N73" t="s">
        <v>75</v>
      </c>
      <c r="O73" t="s">
        <v>148</v>
      </c>
      <c r="P73">
        <v>28127</v>
      </c>
      <c r="W73" s="188" t="s">
        <v>533</v>
      </c>
      <c r="X73" s="188" t="s">
        <v>344</v>
      </c>
      <c r="Y73" s="188" t="s">
        <v>147</v>
      </c>
      <c r="Z73" s="188">
        <v>27285</v>
      </c>
      <c r="AB73" s="188" t="s">
        <v>411</v>
      </c>
      <c r="AC73" s="188" t="s">
        <v>58</v>
      </c>
      <c r="AD73" s="188" t="s">
        <v>148</v>
      </c>
      <c r="AE73" s="188">
        <v>25335</v>
      </c>
      <c r="AL73" s="189" t="s">
        <v>450</v>
      </c>
      <c r="AM73" s="189" t="s">
        <v>70</v>
      </c>
      <c r="AN73" s="189" t="s">
        <v>147</v>
      </c>
      <c r="AO73" s="189">
        <v>25987</v>
      </c>
      <c r="AQ73" s="189" t="s">
        <v>695</v>
      </c>
      <c r="AR73" s="189" t="s">
        <v>75</v>
      </c>
      <c r="AS73" s="189" t="s">
        <v>148</v>
      </c>
      <c r="AT73" s="189">
        <v>28127</v>
      </c>
    </row>
    <row r="74" spans="1:46" x14ac:dyDescent="0.2">
      <c r="A74">
        <v>72</v>
      </c>
      <c r="H74" t="s">
        <v>399</v>
      </c>
      <c r="I74" t="s">
        <v>80</v>
      </c>
      <c r="J74" t="s">
        <v>147</v>
      </c>
      <c r="K74">
        <v>23679</v>
      </c>
      <c r="M74" t="s">
        <v>669</v>
      </c>
      <c r="N74" t="s">
        <v>53</v>
      </c>
      <c r="O74" t="s">
        <v>148</v>
      </c>
      <c r="P74">
        <v>25419</v>
      </c>
      <c r="W74" s="188" t="s">
        <v>450</v>
      </c>
      <c r="X74" s="188" t="s">
        <v>70</v>
      </c>
      <c r="Y74" s="188" t="s">
        <v>147</v>
      </c>
      <c r="Z74" s="188">
        <v>25987</v>
      </c>
      <c r="AB74" s="188" t="s">
        <v>690</v>
      </c>
      <c r="AC74" s="188" t="s">
        <v>70</v>
      </c>
      <c r="AD74" s="188" t="s">
        <v>148</v>
      </c>
      <c r="AE74" s="188">
        <v>26038</v>
      </c>
      <c r="AL74" s="189" t="s">
        <v>399</v>
      </c>
      <c r="AM74" s="189" t="s">
        <v>80</v>
      </c>
      <c r="AN74" s="189" t="s">
        <v>147</v>
      </c>
      <c r="AO74" s="189">
        <v>23679</v>
      </c>
      <c r="AQ74" s="189" t="s">
        <v>411</v>
      </c>
      <c r="AR74" s="189" t="s">
        <v>58</v>
      </c>
      <c r="AS74" s="189" t="s">
        <v>148</v>
      </c>
      <c r="AT74" s="189">
        <v>25335</v>
      </c>
    </row>
    <row r="75" spans="1:46" x14ac:dyDescent="0.2">
      <c r="A75">
        <v>73</v>
      </c>
      <c r="H75" t="s">
        <v>439</v>
      </c>
      <c r="I75" t="s">
        <v>52</v>
      </c>
      <c r="J75" t="s">
        <v>147</v>
      </c>
      <c r="K75">
        <v>25388</v>
      </c>
      <c r="M75" t="s">
        <v>690</v>
      </c>
      <c r="N75" t="s">
        <v>70</v>
      </c>
      <c r="O75" t="s">
        <v>148</v>
      </c>
      <c r="P75">
        <v>26038</v>
      </c>
      <c r="W75" s="188" t="s">
        <v>399</v>
      </c>
      <c r="X75" s="188" t="s">
        <v>80</v>
      </c>
      <c r="Y75" s="188" t="s">
        <v>147</v>
      </c>
      <c r="Z75" s="188">
        <v>23679</v>
      </c>
      <c r="AB75" s="188" t="s">
        <v>547</v>
      </c>
      <c r="AC75" s="188" t="s">
        <v>72</v>
      </c>
      <c r="AD75" s="188" t="s">
        <v>148</v>
      </c>
      <c r="AE75" s="188">
        <v>22989</v>
      </c>
      <c r="AL75" s="189" t="s">
        <v>439</v>
      </c>
      <c r="AM75" s="189" t="s">
        <v>52</v>
      </c>
      <c r="AN75" s="189" t="s">
        <v>147</v>
      </c>
      <c r="AO75" s="189">
        <v>25388</v>
      </c>
      <c r="AQ75" s="189" t="s">
        <v>547</v>
      </c>
      <c r="AR75" s="189" t="s">
        <v>72</v>
      </c>
      <c r="AS75" s="189" t="s">
        <v>148</v>
      </c>
      <c r="AT75" s="189">
        <v>22989</v>
      </c>
    </row>
    <row r="76" spans="1:46" x14ac:dyDescent="0.2">
      <c r="A76">
        <v>74</v>
      </c>
      <c r="H76" t="s">
        <v>624</v>
      </c>
      <c r="I76" t="s">
        <v>60</v>
      </c>
      <c r="J76" t="s">
        <v>147</v>
      </c>
      <c r="K76">
        <v>24205</v>
      </c>
      <c r="M76" t="s">
        <v>547</v>
      </c>
      <c r="N76" t="s">
        <v>72</v>
      </c>
      <c r="O76" t="s">
        <v>148</v>
      </c>
      <c r="P76">
        <v>22989</v>
      </c>
      <c r="W76" s="188" t="s">
        <v>664</v>
      </c>
      <c r="X76" s="188" t="s">
        <v>65</v>
      </c>
      <c r="Y76" s="188" t="s">
        <v>147</v>
      </c>
      <c r="Z76" s="188">
        <v>23079</v>
      </c>
      <c r="AB76" s="188" t="s">
        <v>695</v>
      </c>
      <c r="AC76" s="188" t="s">
        <v>75</v>
      </c>
      <c r="AD76" s="188" t="s">
        <v>148</v>
      </c>
      <c r="AE76" s="188">
        <v>28127</v>
      </c>
      <c r="AL76" s="189" t="s">
        <v>663</v>
      </c>
      <c r="AM76" s="189" t="s">
        <v>67</v>
      </c>
      <c r="AN76" s="189" t="s">
        <v>147</v>
      </c>
      <c r="AO76" s="189">
        <v>28107</v>
      </c>
      <c r="AQ76" s="189" t="s">
        <v>690</v>
      </c>
      <c r="AR76" s="189" t="s">
        <v>70</v>
      </c>
      <c r="AS76" s="189" t="s">
        <v>148</v>
      </c>
      <c r="AT76" s="189">
        <v>26038</v>
      </c>
    </row>
    <row r="77" spans="1:46" x14ac:dyDescent="0.2">
      <c r="A77">
        <v>75</v>
      </c>
      <c r="H77" t="s">
        <v>663</v>
      </c>
      <c r="I77" t="s">
        <v>67</v>
      </c>
      <c r="J77" t="s">
        <v>147</v>
      </c>
      <c r="K77">
        <v>28107</v>
      </c>
      <c r="M77" t="s">
        <v>698</v>
      </c>
      <c r="N77" t="s">
        <v>77</v>
      </c>
      <c r="O77" t="s">
        <v>148</v>
      </c>
      <c r="P77">
        <v>26039</v>
      </c>
      <c r="W77" s="188" t="s">
        <v>439</v>
      </c>
      <c r="X77" s="188" t="s">
        <v>52</v>
      </c>
      <c r="Y77" s="188" t="s">
        <v>147</v>
      </c>
      <c r="Z77" s="188">
        <v>25388</v>
      </c>
      <c r="AB77" s="188" t="s">
        <v>698</v>
      </c>
      <c r="AC77" s="188" t="s">
        <v>77</v>
      </c>
      <c r="AD77" s="188" t="s">
        <v>148</v>
      </c>
      <c r="AE77" s="188">
        <v>26039</v>
      </c>
      <c r="AL77" s="189" t="s">
        <v>624</v>
      </c>
      <c r="AM77" s="189" t="s">
        <v>60</v>
      </c>
      <c r="AN77" s="189" t="s">
        <v>147</v>
      </c>
      <c r="AO77" s="189">
        <v>24205</v>
      </c>
      <c r="AQ77" s="189" t="s">
        <v>361</v>
      </c>
      <c r="AR77" s="189" t="s">
        <v>81</v>
      </c>
      <c r="AS77" s="189" t="s">
        <v>148</v>
      </c>
      <c r="AT77" s="189">
        <v>17258</v>
      </c>
    </row>
    <row r="78" spans="1:46" x14ac:dyDescent="0.2">
      <c r="A78">
        <v>76</v>
      </c>
      <c r="H78" t="s">
        <v>533</v>
      </c>
      <c r="I78" t="s">
        <v>344</v>
      </c>
      <c r="J78" t="s">
        <v>147</v>
      </c>
      <c r="K78">
        <v>27285</v>
      </c>
      <c r="M78" t="s">
        <v>310</v>
      </c>
      <c r="N78" t="s">
        <v>71</v>
      </c>
      <c r="O78" t="s">
        <v>148</v>
      </c>
      <c r="P78">
        <v>19590</v>
      </c>
      <c r="W78" s="188" t="s">
        <v>624</v>
      </c>
      <c r="X78" s="188" t="s">
        <v>60</v>
      </c>
      <c r="Y78" s="188" t="s">
        <v>147</v>
      </c>
      <c r="Z78" s="188">
        <v>24205</v>
      </c>
      <c r="AB78" s="188" t="s">
        <v>444</v>
      </c>
      <c r="AC78" s="188" t="s">
        <v>60</v>
      </c>
      <c r="AD78" s="188" t="s">
        <v>148</v>
      </c>
      <c r="AE78" s="188">
        <v>26398</v>
      </c>
      <c r="AL78" s="189" t="s">
        <v>664</v>
      </c>
      <c r="AM78" s="189" t="s">
        <v>65</v>
      </c>
      <c r="AN78" s="189" t="s">
        <v>147</v>
      </c>
      <c r="AO78" s="189">
        <v>23079</v>
      </c>
      <c r="AQ78" s="189" t="s">
        <v>698</v>
      </c>
      <c r="AR78" s="189" t="s">
        <v>77</v>
      </c>
      <c r="AS78" s="189" t="s">
        <v>148</v>
      </c>
      <c r="AT78" s="189">
        <v>26039</v>
      </c>
    </row>
    <row r="79" spans="1:46" x14ac:dyDescent="0.2">
      <c r="A79">
        <v>77</v>
      </c>
      <c r="H79" t="s">
        <v>664</v>
      </c>
      <c r="I79" t="s">
        <v>65</v>
      </c>
      <c r="J79" t="s">
        <v>147</v>
      </c>
      <c r="K79">
        <v>23079</v>
      </c>
      <c r="M79" t="s">
        <v>361</v>
      </c>
      <c r="N79" t="s">
        <v>81</v>
      </c>
      <c r="O79" t="s">
        <v>148</v>
      </c>
      <c r="P79">
        <v>17258</v>
      </c>
      <c r="W79" s="188" t="s">
        <v>663</v>
      </c>
      <c r="X79" s="188" t="s">
        <v>67</v>
      </c>
      <c r="Y79" s="188" t="s">
        <v>147</v>
      </c>
      <c r="Z79" s="188">
        <v>28107</v>
      </c>
      <c r="AB79" s="188" t="s">
        <v>310</v>
      </c>
      <c r="AC79" s="188" t="s">
        <v>71</v>
      </c>
      <c r="AD79" s="188" t="s">
        <v>148</v>
      </c>
      <c r="AE79" s="188">
        <v>19590</v>
      </c>
      <c r="AL79" s="189" t="s">
        <v>533</v>
      </c>
      <c r="AM79" s="189" t="s">
        <v>344</v>
      </c>
      <c r="AN79" s="189" t="s">
        <v>147</v>
      </c>
      <c r="AO79" s="189">
        <v>27285</v>
      </c>
      <c r="AQ79" s="189" t="s">
        <v>310</v>
      </c>
      <c r="AR79" s="189" t="s">
        <v>71</v>
      </c>
      <c r="AS79" s="189" t="s">
        <v>148</v>
      </c>
      <c r="AT79" s="189">
        <v>19590</v>
      </c>
    </row>
    <row r="80" spans="1:46" x14ac:dyDescent="0.2">
      <c r="A80">
        <v>78</v>
      </c>
      <c r="H80" t="s">
        <v>455</v>
      </c>
      <c r="I80" t="s">
        <v>75</v>
      </c>
      <c r="J80" t="s">
        <v>147</v>
      </c>
      <c r="K80">
        <v>25977</v>
      </c>
      <c r="M80" t="s">
        <v>444</v>
      </c>
      <c r="N80" t="s">
        <v>60</v>
      </c>
      <c r="O80" t="s">
        <v>148</v>
      </c>
      <c r="P80">
        <v>26398</v>
      </c>
      <c r="W80" s="188" t="s">
        <v>455</v>
      </c>
      <c r="X80" s="188" t="s">
        <v>75</v>
      </c>
      <c r="Y80" s="188" t="s">
        <v>147</v>
      </c>
      <c r="Z80" s="188">
        <v>25977</v>
      </c>
      <c r="AB80" s="188" t="s">
        <v>361</v>
      </c>
      <c r="AC80" s="188" t="s">
        <v>81</v>
      </c>
      <c r="AD80" s="188" t="s">
        <v>148</v>
      </c>
      <c r="AE80" s="188">
        <v>17258</v>
      </c>
      <c r="AL80" s="189" t="s">
        <v>397</v>
      </c>
      <c r="AM80" s="189" t="s">
        <v>78</v>
      </c>
      <c r="AN80" s="189" t="s">
        <v>147</v>
      </c>
      <c r="AO80" s="189">
        <v>23152</v>
      </c>
      <c r="AQ80" s="189" t="s">
        <v>444</v>
      </c>
      <c r="AR80" s="189" t="s">
        <v>60</v>
      </c>
      <c r="AS80" s="189" t="s">
        <v>148</v>
      </c>
      <c r="AT80" s="189">
        <v>26398</v>
      </c>
    </row>
    <row r="81" spans="1:46" x14ac:dyDescent="0.2">
      <c r="A81">
        <v>79</v>
      </c>
      <c r="H81" t="s">
        <v>395</v>
      </c>
      <c r="I81" t="s">
        <v>73</v>
      </c>
      <c r="J81" t="s">
        <v>147</v>
      </c>
      <c r="K81">
        <v>24360</v>
      </c>
      <c r="M81" t="s">
        <v>137</v>
      </c>
      <c r="N81" t="s">
        <v>74</v>
      </c>
      <c r="O81" t="s">
        <v>148</v>
      </c>
      <c r="P81">
        <v>19810</v>
      </c>
      <c r="W81" s="188" t="s">
        <v>395</v>
      </c>
      <c r="X81" s="188" t="s">
        <v>73</v>
      </c>
      <c r="Y81" s="188" t="s">
        <v>147</v>
      </c>
      <c r="Z81" s="188">
        <v>24360</v>
      </c>
      <c r="AB81" s="188" t="s">
        <v>451</v>
      </c>
      <c r="AC81" s="188" t="s">
        <v>70</v>
      </c>
      <c r="AD81" s="188" t="s">
        <v>148</v>
      </c>
      <c r="AE81" s="188">
        <v>26314</v>
      </c>
      <c r="AL81" s="189" t="s">
        <v>455</v>
      </c>
      <c r="AM81" s="189" t="s">
        <v>75</v>
      </c>
      <c r="AN81" s="189" t="s">
        <v>147</v>
      </c>
      <c r="AO81" s="189">
        <v>25977</v>
      </c>
      <c r="AQ81" s="189" t="s">
        <v>137</v>
      </c>
      <c r="AR81" s="189" t="s">
        <v>74</v>
      </c>
      <c r="AS81" s="189" t="s">
        <v>148</v>
      </c>
      <c r="AT81" s="189">
        <v>19810</v>
      </c>
    </row>
    <row r="82" spans="1:46" x14ac:dyDescent="0.2">
      <c r="A82">
        <v>80</v>
      </c>
      <c r="H82" t="s">
        <v>456</v>
      </c>
      <c r="I82" t="s">
        <v>76</v>
      </c>
      <c r="J82" t="s">
        <v>147</v>
      </c>
      <c r="K82">
        <v>22930</v>
      </c>
      <c r="M82" t="s">
        <v>451</v>
      </c>
      <c r="N82" t="s">
        <v>70</v>
      </c>
      <c r="O82" t="s">
        <v>148</v>
      </c>
      <c r="P82">
        <v>26314</v>
      </c>
      <c r="W82" s="188" t="s">
        <v>456</v>
      </c>
      <c r="X82" s="188" t="s">
        <v>76</v>
      </c>
      <c r="Y82" s="188" t="s">
        <v>147</v>
      </c>
      <c r="Z82" s="188">
        <v>22930</v>
      </c>
      <c r="AB82" s="188" t="s">
        <v>31</v>
      </c>
      <c r="AC82" s="188" t="s">
        <v>78</v>
      </c>
      <c r="AD82" s="188" t="s">
        <v>148</v>
      </c>
      <c r="AE82" s="188">
        <v>16433</v>
      </c>
      <c r="AL82" s="189" t="s">
        <v>456</v>
      </c>
      <c r="AM82" s="189" t="s">
        <v>76</v>
      </c>
      <c r="AN82" s="189" t="s">
        <v>147</v>
      </c>
      <c r="AO82" s="189">
        <v>22930</v>
      </c>
      <c r="AQ82" s="189" t="s">
        <v>31</v>
      </c>
      <c r="AR82" s="189" t="s">
        <v>78</v>
      </c>
      <c r="AS82" s="189" t="s">
        <v>148</v>
      </c>
      <c r="AT82" s="189">
        <v>16433</v>
      </c>
    </row>
    <row r="83" spans="1:46" x14ac:dyDescent="0.2">
      <c r="A83">
        <v>81</v>
      </c>
      <c r="H83" t="s">
        <v>38</v>
      </c>
      <c r="I83" t="s">
        <v>52</v>
      </c>
      <c r="J83" t="s">
        <v>147</v>
      </c>
      <c r="K83">
        <v>16447</v>
      </c>
      <c r="M83" t="s">
        <v>31</v>
      </c>
      <c r="N83" t="s">
        <v>78</v>
      </c>
      <c r="O83" t="s">
        <v>148</v>
      </c>
      <c r="P83">
        <v>16433</v>
      </c>
      <c r="W83" s="188" t="s">
        <v>38</v>
      </c>
      <c r="X83" s="188" t="s">
        <v>52</v>
      </c>
      <c r="Y83" s="188" t="s">
        <v>147</v>
      </c>
      <c r="Z83" s="188">
        <v>16447</v>
      </c>
      <c r="AB83" s="188" t="s">
        <v>137</v>
      </c>
      <c r="AC83" s="188" t="s">
        <v>74</v>
      </c>
      <c r="AD83" s="188" t="s">
        <v>148</v>
      </c>
      <c r="AE83" s="188">
        <v>19810</v>
      </c>
      <c r="AL83" s="189" t="s">
        <v>554</v>
      </c>
      <c r="AM83" s="189" t="s">
        <v>77</v>
      </c>
      <c r="AN83" s="189" t="s">
        <v>147</v>
      </c>
      <c r="AO83" s="189">
        <v>27165</v>
      </c>
      <c r="AQ83" s="189" t="s">
        <v>451</v>
      </c>
      <c r="AR83" s="189" t="s">
        <v>70</v>
      </c>
      <c r="AS83" s="189" t="s">
        <v>148</v>
      </c>
      <c r="AT83" s="189">
        <v>26314</v>
      </c>
    </row>
    <row r="84" spans="1:46" x14ac:dyDescent="0.2">
      <c r="A84">
        <v>82</v>
      </c>
      <c r="H84" t="s">
        <v>397</v>
      </c>
      <c r="I84" t="s">
        <v>78</v>
      </c>
      <c r="J84" t="s">
        <v>147</v>
      </c>
      <c r="K84">
        <v>23152</v>
      </c>
      <c r="M84" t="s">
        <v>580</v>
      </c>
      <c r="N84" t="s">
        <v>115</v>
      </c>
      <c r="O84" t="s">
        <v>148</v>
      </c>
      <c r="P84">
        <v>27288</v>
      </c>
      <c r="W84" s="188" t="s">
        <v>397</v>
      </c>
      <c r="X84" s="188" t="s">
        <v>78</v>
      </c>
      <c r="Y84" s="188" t="s">
        <v>147</v>
      </c>
      <c r="Z84" s="188">
        <v>23152</v>
      </c>
      <c r="AB84" s="188" t="s">
        <v>580</v>
      </c>
      <c r="AC84" s="188" t="s">
        <v>115</v>
      </c>
      <c r="AD84" s="188" t="s">
        <v>148</v>
      </c>
      <c r="AE84" s="188">
        <v>27288</v>
      </c>
      <c r="AL84" s="189" t="s">
        <v>38</v>
      </c>
      <c r="AM84" s="189" t="s">
        <v>52</v>
      </c>
      <c r="AN84" s="189" t="s">
        <v>147</v>
      </c>
      <c r="AO84" s="189">
        <v>16447</v>
      </c>
      <c r="AQ84" s="189" t="s">
        <v>419</v>
      </c>
      <c r="AR84" s="189" t="s">
        <v>76</v>
      </c>
      <c r="AS84" s="189" t="s">
        <v>148</v>
      </c>
      <c r="AT84" s="189">
        <v>24354</v>
      </c>
    </row>
    <row r="85" spans="1:46" x14ac:dyDescent="0.2">
      <c r="A85">
        <v>83</v>
      </c>
      <c r="H85" t="s">
        <v>554</v>
      </c>
      <c r="I85" t="s">
        <v>77</v>
      </c>
      <c r="J85" t="s">
        <v>147</v>
      </c>
      <c r="K85">
        <v>27165</v>
      </c>
      <c r="M85" t="s">
        <v>529</v>
      </c>
      <c r="N85" t="s">
        <v>64</v>
      </c>
      <c r="O85" t="s">
        <v>148</v>
      </c>
      <c r="P85">
        <v>27122</v>
      </c>
      <c r="W85" s="188" t="s">
        <v>554</v>
      </c>
      <c r="X85" s="188" t="s">
        <v>77</v>
      </c>
      <c r="Y85" s="188" t="s">
        <v>147</v>
      </c>
      <c r="Z85" s="188">
        <v>27165</v>
      </c>
      <c r="AB85" s="188" t="s">
        <v>529</v>
      </c>
      <c r="AC85" s="188" t="s">
        <v>64</v>
      </c>
      <c r="AD85" s="188" t="s">
        <v>148</v>
      </c>
      <c r="AE85" s="188">
        <v>27122</v>
      </c>
      <c r="AL85" s="189" t="s">
        <v>666</v>
      </c>
      <c r="AM85" s="189" t="s">
        <v>54</v>
      </c>
      <c r="AN85" s="189" t="s">
        <v>147</v>
      </c>
      <c r="AO85" s="189">
        <v>24367</v>
      </c>
      <c r="AQ85" s="189" t="s">
        <v>699</v>
      </c>
      <c r="AR85" s="189" t="s">
        <v>79</v>
      </c>
      <c r="AS85" s="189" t="s">
        <v>148</v>
      </c>
      <c r="AT85" s="189">
        <v>28138</v>
      </c>
    </row>
    <row r="86" spans="1:46" x14ac:dyDescent="0.2">
      <c r="A86">
        <v>84</v>
      </c>
      <c r="H86" t="s">
        <v>666</v>
      </c>
      <c r="I86" t="s">
        <v>54</v>
      </c>
      <c r="J86" t="s">
        <v>147</v>
      </c>
      <c r="K86">
        <v>24367</v>
      </c>
      <c r="M86" t="s">
        <v>43</v>
      </c>
      <c r="N86" t="s">
        <v>74</v>
      </c>
      <c r="O86" t="s">
        <v>148</v>
      </c>
      <c r="P86">
        <v>18706</v>
      </c>
      <c r="W86" s="188" t="s">
        <v>666</v>
      </c>
      <c r="X86" s="188" t="s">
        <v>54</v>
      </c>
      <c r="Y86" s="188" t="s">
        <v>147</v>
      </c>
      <c r="Z86" s="188">
        <v>24367</v>
      </c>
      <c r="AB86" s="188" t="s">
        <v>43</v>
      </c>
      <c r="AC86" s="188" t="s">
        <v>74</v>
      </c>
      <c r="AD86" s="188" t="s">
        <v>148</v>
      </c>
      <c r="AE86" s="188">
        <v>18706</v>
      </c>
      <c r="AL86" s="189" t="s">
        <v>395</v>
      </c>
      <c r="AM86" s="189" t="s">
        <v>73</v>
      </c>
      <c r="AN86" s="189" t="s">
        <v>147</v>
      </c>
      <c r="AO86" s="189">
        <v>24360</v>
      </c>
      <c r="AQ86" s="189" t="s">
        <v>337</v>
      </c>
      <c r="AR86" s="189" t="s">
        <v>70</v>
      </c>
      <c r="AS86" s="189" t="s">
        <v>148</v>
      </c>
      <c r="AT86" s="189">
        <v>23770</v>
      </c>
    </row>
    <row r="87" spans="1:46" x14ac:dyDescent="0.2">
      <c r="A87">
        <v>85</v>
      </c>
      <c r="H87" t="s">
        <v>557</v>
      </c>
      <c r="I87" t="s">
        <v>79</v>
      </c>
      <c r="J87" t="s">
        <v>147</v>
      </c>
      <c r="K87">
        <v>27310</v>
      </c>
      <c r="M87" t="s">
        <v>434</v>
      </c>
      <c r="N87" t="s">
        <v>55</v>
      </c>
      <c r="O87" t="s">
        <v>148</v>
      </c>
      <c r="P87">
        <v>26019</v>
      </c>
      <c r="W87" s="188" t="s">
        <v>557</v>
      </c>
      <c r="X87" s="188" t="s">
        <v>79</v>
      </c>
      <c r="Y87" s="188" t="s">
        <v>147</v>
      </c>
      <c r="Z87" s="188">
        <v>27310</v>
      </c>
      <c r="AB87" s="188" t="s">
        <v>694</v>
      </c>
      <c r="AC87" s="188" t="s">
        <v>74</v>
      </c>
      <c r="AD87" s="188" t="s">
        <v>148</v>
      </c>
      <c r="AE87" s="188">
        <v>27994</v>
      </c>
      <c r="AL87" s="189" t="s">
        <v>517</v>
      </c>
      <c r="AM87" s="189" t="s">
        <v>58</v>
      </c>
      <c r="AN87" s="189" t="s">
        <v>147</v>
      </c>
      <c r="AO87" s="189">
        <v>26212</v>
      </c>
      <c r="AQ87" s="189" t="s">
        <v>433</v>
      </c>
      <c r="AR87" s="189" t="s">
        <v>56</v>
      </c>
      <c r="AS87" s="189" t="s">
        <v>148</v>
      </c>
      <c r="AT87" s="189">
        <v>26136</v>
      </c>
    </row>
    <row r="88" spans="1:46" x14ac:dyDescent="0.2">
      <c r="A88">
        <v>86</v>
      </c>
      <c r="H88" t="s">
        <v>134</v>
      </c>
      <c r="I88" t="s">
        <v>68</v>
      </c>
      <c r="J88" t="s">
        <v>147</v>
      </c>
      <c r="K88">
        <v>19302</v>
      </c>
      <c r="M88" t="s">
        <v>694</v>
      </c>
      <c r="N88" t="s">
        <v>74</v>
      </c>
      <c r="O88" t="s">
        <v>148</v>
      </c>
      <c r="P88">
        <v>27994</v>
      </c>
      <c r="W88" s="188" t="s">
        <v>134</v>
      </c>
      <c r="X88" s="188" t="s">
        <v>68</v>
      </c>
      <c r="Y88" s="188" t="s">
        <v>147</v>
      </c>
      <c r="Z88" s="188">
        <v>19302</v>
      </c>
      <c r="AB88" s="188" t="s">
        <v>434</v>
      </c>
      <c r="AC88" s="188" t="s">
        <v>55</v>
      </c>
      <c r="AD88" s="188" t="s">
        <v>148</v>
      </c>
      <c r="AE88" s="188">
        <v>26019</v>
      </c>
      <c r="AL88" s="189" t="s">
        <v>557</v>
      </c>
      <c r="AM88" s="189" t="s">
        <v>79</v>
      </c>
      <c r="AN88" s="189" t="s">
        <v>147</v>
      </c>
      <c r="AO88" s="189">
        <v>27310</v>
      </c>
      <c r="AQ88" s="189" t="s">
        <v>580</v>
      </c>
      <c r="AR88" s="189" t="s">
        <v>115</v>
      </c>
      <c r="AS88" s="189" t="s">
        <v>148</v>
      </c>
      <c r="AT88" s="189">
        <v>27288</v>
      </c>
    </row>
    <row r="89" spans="1:46" x14ac:dyDescent="0.2">
      <c r="A89">
        <v>87</v>
      </c>
      <c r="H89" t="s">
        <v>549</v>
      </c>
      <c r="I89" t="s">
        <v>73</v>
      </c>
      <c r="J89" t="s">
        <v>147</v>
      </c>
      <c r="K89">
        <v>23682</v>
      </c>
      <c r="M89" t="s">
        <v>582</v>
      </c>
      <c r="N89" t="s">
        <v>68</v>
      </c>
      <c r="O89" t="s">
        <v>148</v>
      </c>
      <c r="P89">
        <v>26215</v>
      </c>
      <c r="W89" s="188" t="s">
        <v>409</v>
      </c>
      <c r="X89" s="188" t="s">
        <v>61</v>
      </c>
      <c r="Y89" s="188" t="s">
        <v>147</v>
      </c>
      <c r="Z89" s="188">
        <v>25876</v>
      </c>
      <c r="AB89" s="188" t="s">
        <v>582</v>
      </c>
      <c r="AC89" s="188" t="s">
        <v>68</v>
      </c>
      <c r="AD89" s="188" t="s">
        <v>148</v>
      </c>
      <c r="AE89" s="188">
        <v>26215</v>
      </c>
      <c r="AL89" s="189" t="s">
        <v>134</v>
      </c>
      <c r="AM89" s="189" t="s">
        <v>68</v>
      </c>
      <c r="AN89" s="189" t="s">
        <v>147</v>
      </c>
      <c r="AO89" s="189">
        <v>19302</v>
      </c>
      <c r="AQ89" s="189" t="s">
        <v>541</v>
      </c>
      <c r="AR89" s="189" t="s">
        <v>69</v>
      </c>
      <c r="AS89" s="189" t="s">
        <v>148</v>
      </c>
      <c r="AT89" s="189">
        <v>27449</v>
      </c>
    </row>
    <row r="90" spans="1:46" x14ac:dyDescent="0.2">
      <c r="A90">
        <v>88</v>
      </c>
      <c r="H90" t="s">
        <v>409</v>
      </c>
      <c r="I90" t="s">
        <v>61</v>
      </c>
      <c r="J90" t="s">
        <v>147</v>
      </c>
      <c r="K90">
        <v>25876</v>
      </c>
      <c r="M90" t="s">
        <v>526</v>
      </c>
      <c r="N90" t="s">
        <v>63</v>
      </c>
      <c r="O90" t="s">
        <v>148</v>
      </c>
      <c r="P90">
        <v>27144</v>
      </c>
      <c r="W90" s="188" t="s">
        <v>549</v>
      </c>
      <c r="X90" s="188" t="s">
        <v>73</v>
      </c>
      <c r="Y90" s="188" t="s">
        <v>147</v>
      </c>
      <c r="Z90" s="188">
        <v>23682</v>
      </c>
      <c r="AB90" s="188" t="s">
        <v>419</v>
      </c>
      <c r="AC90" s="188" t="s">
        <v>76</v>
      </c>
      <c r="AD90" s="188" t="s">
        <v>148</v>
      </c>
      <c r="AE90" s="188">
        <v>24354</v>
      </c>
      <c r="AL90" s="189" t="s">
        <v>549</v>
      </c>
      <c r="AM90" s="189" t="s">
        <v>73</v>
      </c>
      <c r="AN90" s="189" t="s">
        <v>147</v>
      </c>
      <c r="AO90" s="189">
        <v>23682</v>
      </c>
      <c r="AQ90" s="189" t="s">
        <v>694</v>
      </c>
      <c r="AR90" s="189" t="s">
        <v>74</v>
      </c>
      <c r="AS90" s="189" t="s">
        <v>148</v>
      </c>
      <c r="AT90" s="189">
        <v>27994</v>
      </c>
    </row>
    <row r="91" spans="1:46" x14ac:dyDescent="0.2">
      <c r="A91">
        <v>89</v>
      </c>
      <c r="H91" t="s">
        <v>517</v>
      </c>
      <c r="I91" t="s">
        <v>58</v>
      </c>
      <c r="J91" t="s">
        <v>147</v>
      </c>
      <c r="K91">
        <v>26212</v>
      </c>
      <c r="M91" t="s">
        <v>419</v>
      </c>
      <c r="N91" t="s">
        <v>76</v>
      </c>
      <c r="O91" t="s">
        <v>148</v>
      </c>
      <c r="P91">
        <v>24354</v>
      </c>
      <c r="W91" s="188" t="s">
        <v>659</v>
      </c>
      <c r="X91" s="188" t="s">
        <v>77</v>
      </c>
      <c r="Y91" s="188" t="s">
        <v>147</v>
      </c>
      <c r="Z91" s="188">
        <v>28297</v>
      </c>
      <c r="AB91" s="188" t="s">
        <v>337</v>
      </c>
      <c r="AC91" s="188" t="s">
        <v>70</v>
      </c>
      <c r="AD91" s="188" t="s">
        <v>148</v>
      </c>
      <c r="AE91" s="188">
        <v>23770</v>
      </c>
      <c r="AL91" s="189" t="s">
        <v>409</v>
      </c>
      <c r="AM91" s="189" t="s">
        <v>61</v>
      </c>
      <c r="AN91" s="189" t="s">
        <v>147</v>
      </c>
      <c r="AO91" s="189">
        <v>25876</v>
      </c>
      <c r="AQ91" s="189" t="s">
        <v>43</v>
      </c>
      <c r="AR91" s="189" t="s">
        <v>74</v>
      </c>
      <c r="AS91" s="189" t="s">
        <v>148</v>
      </c>
      <c r="AT91" s="189">
        <v>18706</v>
      </c>
    </row>
    <row r="92" spans="1:46" x14ac:dyDescent="0.2">
      <c r="A92">
        <v>90</v>
      </c>
      <c r="H92" t="s">
        <v>659</v>
      </c>
      <c r="I92" t="s">
        <v>77</v>
      </c>
      <c r="J92" t="s">
        <v>147</v>
      </c>
      <c r="K92">
        <v>28297</v>
      </c>
      <c r="M92" t="s">
        <v>541</v>
      </c>
      <c r="N92" t="s">
        <v>69</v>
      </c>
      <c r="O92" t="s">
        <v>148</v>
      </c>
      <c r="P92">
        <v>27449</v>
      </c>
      <c r="W92" s="188" t="s">
        <v>517</v>
      </c>
      <c r="X92" s="188" t="s">
        <v>58</v>
      </c>
      <c r="Y92" s="188" t="s">
        <v>147</v>
      </c>
      <c r="Z92" s="188">
        <v>26212</v>
      </c>
      <c r="AB92" s="188" t="s">
        <v>699</v>
      </c>
      <c r="AC92" s="188" t="s">
        <v>79</v>
      </c>
      <c r="AD92" s="188" t="s">
        <v>148</v>
      </c>
      <c r="AE92" s="188">
        <v>28138</v>
      </c>
      <c r="AL92" s="189" t="s">
        <v>659</v>
      </c>
      <c r="AM92" s="189" t="s">
        <v>77</v>
      </c>
      <c r="AN92" s="189" t="s">
        <v>147</v>
      </c>
      <c r="AO92" s="189">
        <v>28297</v>
      </c>
      <c r="AQ92" s="189" t="s">
        <v>529</v>
      </c>
      <c r="AR92" s="189" t="s">
        <v>64</v>
      </c>
      <c r="AS92" s="189" t="s">
        <v>148</v>
      </c>
      <c r="AT92" s="189">
        <v>27122</v>
      </c>
    </row>
    <row r="93" spans="1:46" x14ac:dyDescent="0.2">
      <c r="A93">
        <v>91</v>
      </c>
      <c r="M93" t="s">
        <v>699</v>
      </c>
      <c r="N93" t="s">
        <v>79</v>
      </c>
      <c r="O93" t="s">
        <v>148</v>
      </c>
      <c r="P93">
        <v>28138</v>
      </c>
      <c r="AB93" s="188" t="s">
        <v>433</v>
      </c>
      <c r="AC93" s="188" t="s">
        <v>56</v>
      </c>
      <c r="AD93" s="188" t="s">
        <v>148</v>
      </c>
      <c r="AE93" s="188">
        <v>26136</v>
      </c>
      <c r="AQ93" s="189" t="s">
        <v>434</v>
      </c>
      <c r="AR93" s="189" t="s">
        <v>55</v>
      </c>
      <c r="AS93" s="189" t="s">
        <v>148</v>
      </c>
      <c r="AT93" s="189">
        <v>26019</v>
      </c>
    </row>
    <row r="94" spans="1:46" x14ac:dyDescent="0.2">
      <c r="A94">
        <v>92</v>
      </c>
      <c r="M94" t="s">
        <v>631</v>
      </c>
      <c r="N94" t="s">
        <v>64</v>
      </c>
      <c r="O94" t="s">
        <v>148</v>
      </c>
      <c r="P94">
        <v>25361</v>
      </c>
      <c r="AB94" s="188" t="s">
        <v>526</v>
      </c>
      <c r="AC94" s="188" t="s">
        <v>63</v>
      </c>
      <c r="AD94" s="188" t="s">
        <v>148</v>
      </c>
      <c r="AE94" s="188">
        <v>27144</v>
      </c>
      <c r="AQ94" s="189" t="s">
        <v>526</v>
      </c>
      <c r="AR94" s="189" t="s">
        <v>63</v>
      </c>
      <c r="AS94" s="189" t="s">
        <v>148</v>
      </c>
      <c r="AT94" s="189">
        <v>27144</v>
      </c>
    </row>
    <row r="95" spans="1:46" x14ac:dyDescent="0.2">
      <c r="A95">
        <v>93</v>
      </c>
      <c r="M95" t="s">
        <v>445</v>
      </c>
      <c r="N95" t="s">
        <v>61</v>
      </c>
      <c r="O95" t="s">
        <v>148</v>
      </c>
      <c r="P95">
        <v>23092</v>
      </c>
      <c r="AB95" s="188" t="s">
        <v>541</v>
      </c>
      <c r="AC95" s="188" t="s">
        <v>69</v>
      </c>
      <c r="AD95" s="188" t="s">
        <v>148</v>
      </c>
      <c r="AE95" s="188">
        <v>27449</v>
      </c>
      <c r="AQ95" s="189" t="s">
        <v>582</v>
      </c>
      <c r="AR95" s="189" t="s">
        <v>68</v>
      </c>
      <c r="AS95" s="189" t="s">
        <v>148</v>
      </c>
      <c r="AT95" s="189">
        <v>26215</v>
      </c>
    </row>
    <row r="96" spans="1:46" x14ac:dyDescent="0.2">
      <c r="A96">
        <v>94</v>
      </c>
      <c r="M96" t="s">
        <v>423</v>
      </c>
      <c r="N96" t="s">
        <v>53</v>
      </c>
      <c r="O96" t="s">
        <v>148</v>
      </c>
      <c r="P96">
        <v>18864</v>
      </c>
      <c r="AB96" s="188" t="s">
        <v>631</v>
      </c>
      <c r="AC96" s="188" t="s">
        <v>64</v>
      </c>
      <c r="AD96" s="188" t="s">
        <v>148</v>
      </c>
      <c r="AE96" s="188">
        <v>25361</v>
      </c>
      <c r="AQ96" s="189" t="s">
        <v>631</v>
      </c>
      <c r="AR96" s="189" t="s">
        <v>64</v>
      </c>
      <c r="AS96" s="189" t="s">
        <v>148</v>
      </c>
      <c r="AT96" s="189">
        <v>25361</v>
      </c>
    </row>
    <row r="97" spans="1:46" x14ac:dyDescent="0.2">
      <c r="A97">
        <v>95</v>
      </c>
      <c r="M97" t="s">
        <v>433</v>
      </c>
      <c r="N97" t="s">
        <v>56</v>
      </c>
      <c r="O97" t="s">
        <v>148</v>
      </c>
      <c r="P97">
        <v>26136</v>
      </c>
      <c r="AB97" s="188" t="s">
        <v>445</v>
      </c>
      <c r="AC97" s="188" t="s">
        <v>61</v>
      </c>
      <c r="AD97" s="188" t="s">
        <v>148</v>
      </c>
      <c r="AE97" s="188">
        <v>23092</v>
      </c>
      <c r="AQ97" s="189" t="s">
        <v>445</v>
      </c>
      <c r="AR97" s="189" t="s">
        <v>61</v>
      </c>
      <c r="AS97" s="189" t="s">
        <v>148</v>
      </c>
      <c r="AT97" s="189">
        <v>23092</v>
      </c>
    </row>
    <row r="98" spans="1:46" x14ac:dyDescent="0.2">
      <c r="A98">
        <v>96</v>
      </c>
      <c r="M98" t="s">
        <v>337</v>
      </c>
      <c r="N98" t="s">
        <v>70</v>
      </c>
      <c r="O98" t="s">
        <v>148</v>
      </c>
      <c r="P98">
        <v>23770</v>
      </c>
      <c r="AB98" s="188" t="s">
        <v>423</v>
      </c>
      <c r="AC98" s="188" t="s">
        <v>53</v>
      </c>
      <c r="AD98" s="188" t="s">
        <v>148</v>
      </c>
      <c r="AE98" s="188">
        <v>18864</v>
      </c>
      <c r="AQ98" s="189" t="s">
        <v>423</v>
      </c>
      <c r="AR98" s="189" t="s">
        <v>53</v>
      </c>
      <c r="AS98" s="189" t="s">
        <v>148</v>
      </c>
      <c r="AT98" s="189">
        <v>18864</v>
      </c>
    </row>
    <row r="99" spans="1:46" x14ac:dyDescent="0.2">
      <c r="A99">
        <v>97</v>
      </c>
      <c r="M99" t="s">
        <v>312</v>
      </c>
      <c r="N99" t="s">
        <v>72</v>
      </c>
      <c r="O99" t="s">
        <v>148</v>
      </c>
      <c r="P99">
        <v>16489</v>
      </c>
      <c r="AB99" s="188" t="s">
        <v>312</v>
      </c>
      <c r="AC99" s="188" t="s">
        <v>72</v>
      </c>
      <c r="AD99" s="188" t="s">
        <v>148</v>
      </c>
      <c r="AE99" s="188">
        <v>16489</v>
      </c>
      <c r="AQ99" s="189" t="s">
        <v>312</v>
      </c>
      <c r="AR99" s="189" t="s">
        <v>72</v>
      </c>
      <c r="AS99" s="189" t="s">
        <v>148</v>
      </c>
      <c r="AT99" s="189">
        <v>16489</v>
      </c>
    </row>
    <row r="100" spans="1:46" x14ac:dyDescent="0.2">
      <c r="A100">
        <v>98</v>
      </c>
      <c r="M100" t="s">
        <v>670</v>
      </c>
      <c r="N100" t="s">
        <v>54</v>
      </c>
      <c r="O100" t="s">
        <v>148</v>
      </c>
      <c r="P100">
        <v>27463</v>
      </c>
      <c r="AB100" s="188" t="s">
        <v>670</v>
      </c>
      <c r="AC100" s="188" t="s">
        <v>54</v>
      </c>
      <c r="AD100" s="188" t="s">
        <v>148</v>
      </c>
      <c r="AE100" s="188">
        <v>27463</v>
      </c>
      <c r="AQ100" s="189" t="s">
        <v>670</v>
      </c>
      <c r="AR100" s="189" t="s">
        <v>54</v>
      </c>
      <c r="AS100" s="189" t="s">
        <v>148</v>
      </c>
      <c r="AT100" s="189">
        <v>27463</v>
      </c>
    </row>
    <row r="101" spans="1:46" x14ac:dyDescent="0.2">
      <c r="A101">
        <v>99</v>
      </c>
      <c r="M101" t="s">
        <v>365</v>
      </c>
      <c r="N101" t="s">
        <v>60</v>
      </c>
      <c r="O101" t="s">
        <v>148</v>
      </c>
      <c r="P101">
        <v>18520</v>
      </c>
      <c r="AB101" s="188" t="s">
        <v>462</v>
      </c>
      <c r="AC101" s="188" t="s">
        <v>72</v>
      </c>
      <c r="AD101" s="188" t="s">
        <v>148</v>
      </c>
      <c r="AE101" s="188">
        <v>25304</v>
      </c>
      <c r="AQ101" s="189" t="s">
        <v>365</v>
      </c>
      <c r="AR101" s="189" t="s">
        <v>60</v>
      </c>
      <c r="AS101" s="189" t="s">
        <v>148</v>
      </c>
      <c r="AT101" s="189">
        <v>18520</v>
      </c>
    </row>
    <row r="102" spans="1:46" x14ac:dyDescent="0.2">
      <c r="A102">
        <v>100</v>
      </c>
      <c r="M102" t="s">
        <v>462</v>
      </c>
      <c r="N102" t="s">
        <v>72</v>
      </c>
      <c r="O102" t="s">
        <v>148</v>
      </c>
      <c r="P102">
        <v>25304</v>
      </c>
      <c r="AB102" s="188" t="s">
        <v>365</v>
      </c>
      <c r="AC102" s="188" t="s">
        <v>60</v>
      </c>
      <c r="AD102" s="188" t="s">
        <v>148</v>
      </c>
      <c r="AE102" s="188">
        <v>18520</v>
      </c>
      <c r="AQ102" s="189" t="s">
        <v>534</v>
      </c>
      <c r="AR102" s="189" t="s">
        <v>344</v>
      </c>
      <c r="AS102" s="189" t="s">
        <v>148</v>
      </c>
      <c r="AT102" s="189">
        <v>26034</v>
      </c>
    </row>
    <row r="103" spans="1:46" x14ac:dyDescent="0.2">
      <c r="A103">
        <v>101</v>
      </c>
      <c r="M103" t="s">
        <v>534</v>
      </c>
      <c r="N103" t="s">
        <v>344</v>
      </c>
      <c r="O103" t="s">
        <v>148</v>
      </c>
      <c r="P103">
        <v>26034</v>
      </c>
      <c r="AB103" s="188" t="s">
        <v>604</v>
      </c>
      <c r="AC103" s="188" t="s">
        <v>52</v>
      </c>
      <c r="AD103" s="188" t="s">
        <v>148</v>
      </c>
      <c r="AE103" s="188">
        <v>17066</v>
      </c>
      <c r="AQ103" s="189" t="s">
        <v>462</v>
      </c>
      <c r="AR103" s="189" t="s">
        <v>72</v>
      </c>
      <c r="AS103" s="189" t="s">
        <v>148</v>
      </c>
      <c r="AT103" s="189">
        <v>25304</v>
      </c>
    </row>
    <row r="104" spans="1:46" x14ac:dyDescent="0.2">
      <c r="A104">
        <v>102</v>
      </c>
      <c r="M104" t="s">
        <v>671</v>
      </c>
      <c r="N104" t="s">
        <v>54</v>
      </c>
      <c r="O104" t="s">
        <v>148</v>
      </c>
      <c r="P104">
        <v>27337</v>
      </c>
      <c r="AB104" s="188" t="s">
        <v>534</v>
      </c>
      <c r="AC104" s="188" t="s">
        <v>344</v>
      </c>
      <c r="AD104" s="188" t="s">
        <v>148</v>
      </c>
      <c r="AE104" s="188">
        <v>26034</v>
      </c>
      <c r="AQ104" s="189" t="s">
        <v>671</v>
      </c>
      <c r="AR104" s="189" t="s">
        <v>54</v>
      </c>
      <c r="AS104" s="189" t="s">
        <v>148</v>
      </c>
      <c r="AT104" s="189">
        <v>27337</v>
      </c>
    </row>
    <row r="105" spans="1:46" x14ac:dyDescent="0.2">
      <c r="A105">
        <v>103</v>
      </c>
      <c r="M105" t="s">
        <v>701</v>
      </c>
      <c r="N105" t="s">
        <v>80</v>
      </c>
      <c r="O105" t="s">
        <v>148</v>
      </c>
      <c r="P105">
        <v>28130</v>
      </c>
      <c r="AB105" s="188" t="s">
        <v>671</v>
      </c>
      <c r="AC105" s="188" t="s">
        <v>54</v>
      </c>
      <c r="AD105" s="188" t="s">
        <v>148</v>
      </c>
      <c r="AE105" s="188">
        <v>27337</v>
      </c>
      <c r="AQ105" s="189" t="s">
        <v>701</v>
      </c>
      <c r="AR105" s="189" t="s">
        <v>80</v>
      </c>
      <c r="AS105" s="189" t="s">
        <v>148</v>
      </c>
      <c r="AT105" s="189">
        <v>28130</v>
      </c>
    </row>
    <row r="106" spans="1:46" x14ac:dyDescent="0.2">
      <c r="A106">
        <v>104</v>
      </c>
      <c r="M106" t="s">
        <v>604</v>
      </c>
      <c r="N106" t="s">
        <v>52</v>
      </c>
      <c r="O106" t="s">
        <v>148</v>
      </c>
      <c r="P106">
        <v>17066</v>
      </c>
      <c r="AB106" s="188" t="s">
        <v>701</v>
      </c>
      <c r="AC106" s="188" t="s">
        <v>80</v>
      </c>
      <c r="AD106" s="188" t="s">
        <v>148</v>
      </c>
      <c r="AE106" s="188">
        <v>28130</v>
      </c>
      <c r="AQ106" s="189" t="s">
        <v>604</v>
      </c>
      <c r="AR106" s="189" t="s">
        <v>52</v>
      </c>
      <c r="AS106" s="189" t="s">
        <v>148</v>
      </c>
      <c r="AT106" s="189">
        <v>17066</v>
      </c>
    </row>
    <row r="107" spans="1:46" x14ac:dyDescent="0.2">
      <c r="A107">
        <v>105</v>
      </c>
      <c r="M107" t="s">
        <v>144</v>
      </c>
      <c r="N107" t="s">
        <v>65</v>
      </c>
      <c r="O107" t="s">
        <v>148</v>
      </c>
      <c r="P107">
        <v>19747</v>
      </c>
      <c r="AB107" s="188" t="s">
        <v>144</v>
      </c>
      <c r="AC107" s="188" t="s">
        <v>65</v>
      </c>
      <c r="AD107" s="188" t="s">
        <v>148</v>
      </c>
      <c r="AE107" s="188">
        <v>19747</v>
      </c>
      <c r="AQ107" s="189" t="s">
        <v>561</v>
      </c>
      <c r="AR107" s="189" t="s">
        <v>81</v>
      </c>
      <c r="AS107" s="189" t="s">
        <v>148</v>
      </c>
      <c r="AT107" s="189">
        <v>27059</v>
      </c>
    </row>
    <row r="108" spans="1:46" x14ac:dyDescent="0.2">
      <c r="A108">
        <v>106</v>
      </c>
      <c r="M108" t="s">
        <v>524</v>
      </c>
      <c r="N108" t="s">
        <v>61</v>
      </c>
      <c r="O108" t="s">
        <v>148</v>
      </c>
      <c r="P108">
        <v>27211</v>
      </c>
      <c r="AB108" s="188" t="s">
        <v>524</v>
      </c>
      <c r="AC108" s="188" t="s">
        <v>61</v>
      </c>
      <c r="AD108" s="188" t="s">
        <v>148</v>
      </c>
      <c r="AE108" s="188">
        <v>27211</v>
      </c>
      <c r="AQ108" s="189" t="s">
        <v>144</v>
      </c>
      <c r="AR108" s="189" t="s">
        <v>65</v>
      </c>
      <c r="AS108" s="189" t="s">
        <v>148</v>
      </c>
      <c r="AT108" s="189">
        <v>19747</v>
      </c>
    </row>
    <row r="109" spans="1:46" x14ac:dyDescent="0.2">
      <c r="A109">
        <v>107</v>
      </c>
      <c r="M109" t="s">
        <v>49</v>
      </c>
      <c r="N109" t="s">
        <v>79</v>
      </c>
      <c r="O109" t="s">
        <v>148</v>
      </c>
      <c r="P109">
        <v>17268</v>
      </c>
      <c r="AB109" s="188" t="s">
        <v>49</v>
      </c>
      <c r="AC109" s="188" t="s">
        <v>79</v>
      </c>
      <c r="AD109" s="188" t="s">
        <v>148</v>
      </c>
      <c r="AE109" s="188">
        <v>17268</v>
      </c>
      <c r="AQ109" s="189" t="s">
        <v>546</v>
      </c>
      <c r="AR109" s="189" t="s">
        <v>72</v>
      </c>
      <c r="AS109" s="189" t="s">
        <v>148</v>
      </c>
      <c r="AT109" s="189">
        <v>27487</v>
      </c>
    </row>
    <row r="110" spans="1:46" x14ac:dyDescent="0.2">
      <c r="A110">
        <v>108</v>
      </c>
      <c r="M110" t="s">
        <v>496</v>
      </c>
      <c r="N110" t="s">
        <v>73</v>
      </c>
      <c r="O110" t="s">
        <v>148</v>
      </c>
      <c r="P110">
        <v>26409</v>
      </c>
      <c r="AB110" s="188" t="s">
        <v>496</v>
      </c>
      <c r="AC110" s="188" t="s">
        <v>73</v>
      </c>
      <c r="AD110" s="188" t="s">
        <v>148</v>
      </c>
      <c r="AE110" s="188">
        <v>26409</v>
      </c>
      <c r="AQ110" s="189" t="s">
        <v>49</v>
      </c>
      <c r="AR110" s="189" t="s">
        <v>79</v>
      </c>
      <c r="AS110" s="189" t="s">
        <v>148</v>
      </c>
      <c r="AT110" s="189">
        <v>17268</v>
      </c>
    </row>
    <row r="111" spans="1:46" x14ac:dyDescent="0.2">
      <c r="A111">
        <v>109</v>
      </c>
      <c r="M111" t="s">
        <v>145</v>
      </c>
      <c r="N111" t="s">
        <v>341</v>
      </c>
      <c r="O111" t="s">
        <v>148</v>
      </c>
      <c r="P111">
        <v>20113</v>
      </c>
      <c r="AB111" s="188" t="s">
        <v>145</v>
      </c>
      <c r="AC111" s="188" t="s">
        <v>341</v>
      </c>
      <c r="AD111" s="188" t="s">
        <v>148</v>
      </c>
      <c r="AE111" s="188">
        <v>20113</v>
      </c>
      <c r="AQ111" s="189" t="s">
        <v>688</v>
      </c>
      <c r="AR111" s="189" t="s">
        <v>68</v>
      </c>
      <c r="AS111" s="189" t="s">
        <v>148</v>
      </c>
      <c r="AT111" s="189">
        <v>28133</v>
      </c>
    </row>
    <row r="112" spans="1:46" x14ac:dyDescent="0.2">
      <c r="A112">
        <v>110</v>
      </c>
      <c r="M112" t="s">
        <v>406</v>
      </c>
      <c r="N112" t="s">
        <v>55</v>
      </c>
      <c r="O112" t="s">
        <v>148</v>
      </c>
      <c r="P112">
        <v>22845</v>
      </c>
      <c r="AB112" s="188" t="s">
        <v>406</v>
      </c>
      <c r="AC112" s="188" t="s">
        <v>55</v>
      </c>
      <c r="AD112" s="188" t="s">
        <v>148</v>
      </c>
      <c r="AE112" s="188">
        <v>22845</v>
      </c>
      <c r="AQ112" s="189" t="s">
        <v>145</v>
      </c>
      <c r="AR112" s="189" t="s">
        <v>341</v>
      </c>
      <c r="AS112" s="189" t="s">
        <v>148</v>
      </c>
      <c r="AT112" s="189">
        <v>20113</v>
      </c>
    </row>
    <row r="113" spans="1:46" x14ac:dyDescent="0.2">
      <c r="A113">
        <v>111</v>
      </c>
      <c r="M113" t="s">
        <v>561</v>
      </c>
      <c r="N113" t="s">
        <v>81</v>
      </c>
      <c r="O113" t="s">
        <v>148</v>
      </c>
      <c r="P113">
        <v>27059</v>
      </c>
      <c r="AB113" s="188" t="s">
        <v>674</v>
      </c>
      <c r="AC113" s="188" t="s">
        <v>57</v>
      </c>
      <c r="AD113" s="188" t="s">
        <v>148</v>
      </c>
      <c r="AE113" s="188">
        <v>28132</v>
      </c>
      <c r="AQ113" s="189" t="s">
        <v>496</v>
      </c>
      <c r="AR113" s="189" t="s">
        <v>73</v>
      </c>
      <c r="AS113" s="189" t="s">
        <v>148</v>
      </c>
      <c r="AT113" s="189">
        <v>26409</v>
      </c>
    </row>
    <row r="114" spans="1:46" x14ac:dyDescent="0.2">
      <c r="A114">
        <v>112</v>
      </c>
      <c r="M114" t="s">
        <v>688</v>
      </c>
      <c r="N114" t="s">
        <v>68</v>
      </c>
      <c r="O114" t="s">
        <v>148</v>
      </c>
      <c r="P114">
        <v>28133</v>
      </c>
      <c r="AB114" s="188" t="s">
        <v>561</v>
      </c>
      <c r="AC114" s="188" t="s">
        <v>81</v>
      </c>
      <c r="AD114" s="188" t="s">
        <v>148</v>
      </c>
      <c r="AE114" s="188">
        <v>27059</v>
      </c>
      <c r="AQ114" s="189" t="s">
        <v>524</v>
      </c>
      <c r="AR114" s="189" t="s">
        <v>61</v>
      </c>
      <c r="AS114" s="189" t="s">
        <v>148</v>
      </c>
      <c r="AT114" s="189">
        <v>27211</v>
      </c>
    </row>
    <row r="115" spans="1:46" x14ac:dyDescent="0.2">
      <c r="A115">
        <v>113</v>
      </c>
      <c r="M115" t="s">
        <v>674</v>
      </c>
      <c r="N115" t="s">
        <v>57</v>
      </c>
      <c r="O115" t="s">
        <v>148</v>
      </c>
      <c r="P115">
        <v>28132</v>
      </c>
      <c r="AB115" s="188" t="s">
        <v>688</v>
      </c>
      <c r="AC115" s="188" t="s">
        <v>68</v>
      </c>
      <c r="AD115" s="188" t="s">
        <v>148</v>
      </c>
      <c r="AE115" s="188">
        <v>28133</v>
      </c>
      <c r="AQ115" s="189" t="s">
        <v>406</v>
      </c>
      <c r="AR115" s="189" t="s">
        <v>55</v>
      </c>
      <c r="AS115" s="189" t="s">
        <v>148</v>
      </c>
      <c r="AT115" s="189">
        <v>22845</v>
      </c>
    </row>
    <row r="116" spans="1:46" x14ac:dyDescent="0.2">
      <c r="A116">
        <v>114</v>
      </c>
      <c r="M116" t="s">
        <v>546</v>
      </c>
      <c r="N116" t="s">
        <v>72</v>
      </c>
      <c r="O116" t="s">
        <v>148</v>
      </c>
      <c r="P116">
        <v>27487</v>
      </c>
      <c r="AB116" s="188" t="s">
        <v>319</v>
      </c>
      <c r="AC116" s="188" t="s">
        <v>53</v>
      </c>
      <c r="AD116" s="188" t="s">
        <v>148</v>
      </c>
      <c r="AE116" s="188">
        <v>23101</v>
      </c>
      <c r="AQ116" s="189" t="s">
        <v>319</v>
      </c>
      <c r="AR116" s="189" t="s">
        <v>53</v>
      </c>
      <c r="AS116" s="189" t="s">
        <v>148</v>
      </c>
      <c r="AT116" s="189">
        <v>23101</v>
      </c>
    </row>
    <row r="117" spans="1:46" x14ac:dyDescent="0.2">
      <c r="A117">
        <v>115</v>
      </c>
      <c r="M117" t="s">
        <v>319</v>
      </c>
      <c r="N117" t="s">
        <v>53</v>
      </c>
      <c r="O117" t="s">
        <v>148</v>
      </c>
      <c r="P117">
        <v>23101</v>
      </c>
      <c r="AB117" s="188" t="s">
        <v>546</v>
      </c>
      <c r="AC117" s="188" t="s">
        <v>72</v>
      </c>
      <c r="AD117" s="188" t="s">
        <v>148</v>
      </c>
      <c r="AE117" s="188">
        <v>27487</v>
      </c>
      <c r="AQ117" s="189" t="s">
        <v>674</v>
      </c>
      <c r="AR117" s="189" t="s">
        <v>57</v>
      </c>
      <c r="AS117" s="189" t="s">
        <v>148</v>
      </c>
      <c r="AT117" s="189">
        <v>28132</v>
      </c>
    </row>
    <row r="118" spans="1:46" x14ac:dyDescent="0.2">
      <c r="A118">
        <v>116</v>
      </c>
      <c r="M118" t="s">
        <v>565</v>
      </c>
      <c r="N118" t="s">
        <v>341</v>
      </c>
      <c r="O118" t="s">
        <v>148</v>
      </c>
      <c r="P118">
        <v>27454</v>
      </c>
      <c r="AB118" s="188" t="s">
        <v>565</v>
      </c>
      <c r="AC118" s="188" t="s">
        <v>341</v>
      </c>
      <c r="AD118" s="188" t="s">
        <v>148</v>
      </c>
      <c r="AE118" s="188">
        <v>27454</v>
      </c>
      <c r="AQ118" s="189" t="s">
        <v>565</v>
      </c>
      <c r="AR118" s="189" t="s">
        <v>341</v>
      </c>
      <c r="AS118" s="189" t="s">
        <v>148</v>
      </c>
      <c r="AT118" s="189">
        <v>27454</v>
      </c>
    </row>
    <row r="119" spans="1:46" x14ac:dyDescent="0.2">
      <c r="A119">
        <v>117</v>
      </c>
      <c r="M119" t="s">
        <v>556</v>
      </c>
      <c r="N119" t="s">
        <v>78</v>
      </c>
      <c r="O119" t="s">
        <v>148</v>
      </c>
      <c r="P119">
        <v>26022</v>
      </c>
      <c r="AB119" s="188" t="s">
        <v>556</v>
      </c>
      <c r="AC119" s="188" t="s">
        <v>78</v>
      </c>
      <c r="AD119" s="188" t="s">
        <v>148</v>
      </c>
      <c r="AE119" s="188">
        <v>26022</v>
      </c>
      <c r="AQ119" s="189" t="s">
        <v>418</v>
      </c>
      <c r="AR119" s="189" t="s">
        <v>57</v>
      </c>
      <c r="AS119" s="189" t="s">
        <v>148</v>
      </c>
      <c r="AT119" s="189">
        <v>16081</v>
      </c>
    </row>
    <row r="120" spans="1:46" x14ac:dyDescent="0.2">
      <c r="A120">
        <v>118</v>
      </c>
      <c r="M120" t="s">
        <v>418</v>
      </c>
      <c r="N120" t="s">
        <v>57</v>
      </c>
      <c r="O120" t="s">
        <v>148</v>
      </c>
      <c r="P120">
        <v>16081</v>
      </c>
      <c r="AB120" s="188" t="s">
        <v>418</v>
      </c>
      <c r="AC120" s="188" t="s">
        <v>57</v>
      </c>
      <c r="AD120" s="188" t="s">
        <v>148</v>
      </c>
      <c r="AE120" s="188">
        <v>16081</v>
      </c>
      <c r="AQ120" s="189" t="s">
        <v>556</v>
      </c>
      <c r="AR120" s="189" t="s">
        <v>78</v>
      </c>
      <c r="AS120" s="189" t="s">
        <v>148</v>
      </c>
      <c r="AT120" s="189">
        <v>26022</v>
      </c>
    </row>
    <row r="121" spans="1:46" x14ac:dyDescent="0.2">
      <c r="A121">
        <v>119</v>
      </c>
      <c r="M121" t="s">
        <v>586</v>
      </c>
      <c r="N121" t="s">
        <v>59</v>
      </c>
      <c r="O121" t="s">
        <v>148</v>
      </c>
      <c r="P121">
        <v>24371</v>
      </c>
      <c r="AB121" s="188" t="s">
        <v>586</v>
      </c>
      <c r="AC121" s="188" t="s">
        <v>59</v>
      </c>
      <c r="AD121" s="188" t="s">
        <v>148</v>
      </c>
      <c r="AE121" s="188">
        <v>24371</v>
      </c>
      <c r="AQ121" s="189" t="s">
        <v>586</v>
      </c>
      <c r="AR121" s="189" t="s">
        <v>59</v>
      </c>
      <c r="AS121" s="189" t="s">
        <v>148</v>
      </c>
      <c r="AT121" s="189">
        <v>24371</v>
      </c>
    </row>
    <row r="122" spans="1:46" x14ac:dyDescent="0.2">
      <c r="A122">
        <v>120</v>
      </c>
      <c r="M122" t="s">
        <v>441</v>
      </c>
      <c r="N122" t="s">
        <v>54</v>
      </c>
      <c r="O122" t="s">
        <v>148</v>
      </c>
      <c r="P122">
        <v>26011</v>
      </c>
      <c r="AB122" s="188" t="s">
        <v>441</v>
      </c>
      <c r="AC122" s="188" t="s">
        <v>54</v>
      </c>
      <c r="AD122" s="188" t="s">
        <v>148</v>
      </c>
      <c r="AE122" s="188">
        <v>26011</v>
      </c>
      <c r="AQ122" s="189" t="s">
        <v>685</v>
      </c>
      <c r="AR122" s="189" t="s">
        <v>67</v>
      </c>
      <c r="AS122" s="189" t="s">
        <v>148</v>
      </c>
      <c r="AT122" s="189">
        <v>28424</v>
      </c>
    </row>
    <row r="123" spans="1:46" x14ac:dyDescent="0.2">
      <c r="A123">
        <v>121</v>
      </c>
      <c r="M123" t="s">
        <v>141</v>
      </c>
      <c r="N123" t="s">
        <v>70</v>
      </c>
      <c r="O123" t="s">
        <v>148</v>
      </c>
      <c r="P123">
        <v>20126</v>
      </c>
      <c r="AB123" s="188" t="s">
        <v>141</v>
      </c>
      <c r="AC123" s="188" t="s">
        <v>70</v>
      </c>
      <c r="AD123" s="188" t="s">
        <v>148</v>
      </c>
      <c r="AE123" s="188">
        <v>20126</v>
      </c>
      <c r="AQ123" s="189" t="s">
        <v>441</v>
      </c>
      <c r="AR123" s="189" t="s">
        <v>54</v>
      </c>
      <c r="AS123" s="189" t="s">
        <v>148</v>
      </c>
      <c r="AT123" s="189">
        <v>26011</v>
      </c>
    </row>
    <row r="124" spans="1:46" x14ac:dyDescent="0.2">
      <c r="A124">
        <v>122</v>
      </c>
      <c r="M124" t="s">
        <v>375</v>
      </c>
      <c r="N124" t="s">
        <v>61</v>
      </c>
      <c r="O124" t="s">
        <v>148</v>
      </c>
      <c r="P124">
        <v>23080</v>
      </c>
      <c r="AB124" s="188" t="s">
        <v>375</v>
      </c>
      <c r="AC124" s="188" t="s">
        <v>61</v>
      </c>
      <c r="AD124" s="188" t="s">
        <v>148</v>
      </c>
      <c r="AE124" s="188">
        <v>23080</v>
      </c>
      <c r="AQ124" s="189" t="s">
        <v>141</v>
      </c>
      <c r="AR124" s="189" t="s">
        <v>70</v>
      </c>
      <c r="AS124" s="189" t="s">
        <v>148</v>
      </c>
      <c r="AT124" s="189">
        <v>20126</v>
      </c>
    </row>
    <row r="125" spans="1:46" x14ac:dyDescent="0.2">
      <c r="A125">
        <v>123</v>
      </c>
      <c r="M125" t="s">
        <v>536</v>
      </c>
      <c r="N125" t="s">
        <v>67</v>
      </c>
      <c r="O125" t="s">
        <v>148</v>
      </c>
      <c r="P125">
        <v>27076</v>
      </c>
      <c r="AB125" s="188" t="s">
        <v>536</v>
      </c>
      <c r="AC125" s="188" t="s">
        <v>67</v>
      </c>
      <c r="AD125" s="188" t="s">
        <v>148</v>
      </c>
      <c r="AE125" s="188">
        <v>27076</v>
      </c>
      <c r="AQ125" s="189" t="s">
        <v>536</v>
      </c>
      <c r="AR125" s="189" t="s">
        <v>67</v>
      </c>
      <c r="AS125" s="189" t="s">
        <v>148</v>
      </c>
      <c r="AT125" s="189">
        <v>27076</v>
      </c>
    </row>
    <row r="126" spans="1:46" x14ac:dyDescent="0.2">
      <c r="A126">
        <v>124</v>
      </c>
      <c r="M126" t="s">
        <v>562</v>
      </c>
      <c r="N126" t="s">
        <v>81</v>
      </c>
      <c r="O126" t="s">
        <v>148</v>
      </c>
      <c r="P126">
        <v>27315</v>
      </c>
      <c r="AB126" s="188" t="s">
        <v>562</v>
      </c>
      <c r="AC126" s="188" t="s">
        <v>81</v>
      </c>
      <c r="AD126" s="188" t="s">
        <v>148</v>
      </c>
      <c r="AE126" s="188">
        <v>27315</v>
      </c>
      <c r="AQ126" s="189" t="s">
        <v>375</v>
      </c>
      <c r="AR126" s="189" t="s">
        <v>61</v>
      </c>
      <c r="AS126" s="189" t="s">
        <v>148</v>
      </c>
      <c r="AT126" s="189">
        <v>23080</v>
      </c>
    </row>
    <row r="127" spans="1:46" x14ac:dyDescent="0.2">
      <c r="A127">
        <v>125</v>
      </c>
      <c r="M127" t="s">
        <v>685</v>
      </c>
      <c r="N127" t="s">
        <v>67</v>
      </c>
      <c r="O127" t="s">
        <v>148</v>
      </c>
      <c r="P127">
        <v>28424</v>
      </c>
      <c r="AB127" s="188" t="s">
        <v>685</v>
      </c>
      <c r="AC127" s="188" t="s">
        <v>67</v>
      </c>
      <c r="AD127" s="188" t="s">
        <v>148</v>
      </c>
      <c r="AE127" s="188">
        <v>28424</v>
      </c>
      <c r="AQ127" s="189" t="s">
        <v>562</v>
      </c>
      <c r="AR127" s="189" t="s">
        <v>81</v>
      </c>
      <c r="AS127" s="189" t="s">
        <v>148</v>
      </c>
      <c r="AT127" s="189">
        <v>27315</v>
      </c>
    </row>
    <row r="128" spans="1:46" x14ac:dyDescent="0.2">
      <c r="A128">
        <v>126</v>
      </c>
      <c r="M128" t="s">
        <v>449</v>
      </c>
      <c r="N128" t="s">
        <v>69</v>
      </c>
      <c r="O128" t="s">
        <v>148</v>
      </c>
      <c r="P128">
        <v>23135</v>
      </c>
      <c r="AB128" s="188" t="s">
        <v>449</v>
      </c>
      <c r="AC128" s="188" t="s">
        <v>69</v>
      </c>
      <c r="AD128" s="188" t="s">
        <v>148</v>
      </c>
      <c r="AE128" s="188">
        <v>23135</v>
      </c>
      <c r="AQ128" s="189" t="s">
        <v>449</v>
      </c>
      <c r="AR128" s="189" t="s">
        <v>69</v>
      </c>
      <c r="AS128" s="189" t="s">
        <v>148</v>
      </c>
      <c r="AT128" s="189">
        <v>23135</v>
      </c>
    </row>
    <row r="129" spans="1:46" x14ac:dyDescent="0.2">
      <c r="A129">
        <v>127</v>
      </c>
      <c r="M129" t="s">
        <v>672</v>
      </c>
      <c r="N129" t="s">
        <v>55</v>
      </c>
      <c r="O129" t="s">
        <v>148</v>
      </c>
      <c r="P129">
        <v>28126</v>
      </c>
      <c r="AB129" s="188" t="s">
        <v>672</v>
      </c>
      <c r="AC129" s="188" t="s">
        <v>55</v>
      </c>
      <c r="AD129" s="188" t="s">
        <v>148</v>
      </c>
      <c r="AE129" s="188">
        <v>28126</v>
      </c>
      <c r="AQ129" s="189" t="s">
        <v>672</v>
      </c>
      <c r="AR129" s="189" t="s">
        <v>55</v>
      </c>
      <c r="AS129" s="189" t="s">
        <v>148</v>
      </c>
      <c r="AT129" s="189">
        <v>28126</v>
      </c>
    </row>
    <row r="130" spans="1:46" x14ac:dyDescent="0.2">
      <c r="A130">
        <v>128</v>
      </c>
      <c r="M130" t="s">
        <v>615</v>
      </c>
      <c r="N130" t="s">
        <v>341</v>
      </c>
      <c r="O130" t="s">
        <v>148</v>
      </c>
      <c r="P130">
        <v>22905</v>
      </c>
      <c r="AB130" s="188" t="s">
        <v>682</v>
      </c>
      <c r="AC130" s="188" t="s">
        <v>65</v>
      </c>
      <c r="AD130" s="188" t="s">
        <v>148</v>
      </c>
      <c r="AE130" s="188">
        <v>27093</v>
      </c>
      <c r="AQ130" s="189" t="s">
        <v>615</v>
      </c>
      <c r="AR130" s="189" t="s">
        <v>341</v>
      </c>
      <c r="AS130" s="189" t="s">
        <v>148</v>
      </c>
      <c r="AT130" s="189">
        <v>22905</v>
      </c>
    </row>
    <row r="131" spans="1:46" x14ac:dyDescent="0.2">
      <c r="A131">
        <v>129</v>
      </c>
      <c r="M131" t="s">
        <v>682</v>
      </c>
      <c r="N131" t="s">
        <v>65</v>
      </c>
      <c r="O131" t="s">
        <v>148</v>
      </c>
      <c r="P131">
        <v>27093</v>
      </c>
      <c r="AB131" s="188" t="s">
        <v>615</v>
      </c>
      <c r="AC131" s="188" t="s">
        <v>341</v>
      </c>
      <c r="AD131" s="188" t="s">
        <v>148</v>
      </c>
      <c r="AE131" s="188">
        <v>22905</v>
      </c>
      <c r="AQ131" s="189" t="s">
        <v>644</v>
      </c>
      <c r="AR131" s="189" t="s">
        <v>76</v>
      </c>
      <c r="AS131" s="189" t="s">
        <v>148</v>
      </c>
      <c r="AT131" s="189">
        <v>18226</v>
      </c>
    </row>
    <row r="132" spans="1:46" x14ac:dyDescent="0.2">
      <c r="A132">
        <v>130</v>
      </c>
      <c r="M132" t="s">
        <v>644</v>
      </c>
      <c r="N132" t="s">
        <v>76</v>
      </c>
      <c r="O132" t="s">
        <v>148</v>
      </c>
      <c r="P132">
        <v>18226</v>
      </c>
      <c r="AB132" s="188" t="s">
        <v>696</v>
      </c>
      <c r="AC132" s="188" t="s">
        <v>75</v>
      </c>
      <c r="AD132" s="188" t="s">
        <v>148</v>
      </c>
      <c r="AE132" s="188">
        <v>16556</v>
      </c>
      <c r="AQ132" s="189" t="s">
        <v>682</v>
      </c>
      <c r="AR132" s="189" t="s">
        <v>65</v>
      </c>
      <c r="AS132" s="189" t="s">
        <v>148</v>
      </c>
      <c r="AT132" s="189">
        <v>27093</v>
      </c>
    </row>
    <row r="133" spans="1:46" x14ac:dyDescent="0.2">
      <c r="A133">
        <v>131</v>
      </c>
      <c r="M133" t="s">
        <v>696</v>
      </c>
      <c r="N133" t="s">
        <v>75</v>
      </c>
      <c r="O133" t="s">
        <v>148</v>
      </c>
      <c r="P133">
        <v>16556</v>
      </c>
      <c r="AB133" s="188" t="s">
        <v>693</v>
      </c>
      <c r="AC133" s="188" t="s">
        <v>73</v>
      </c>
      <c r="AD133" s="188" t="s">
        <v>148</v>
      </c>
      <c r="AE133" s="188">
        <v>28129</v>
      </c>
      <c r="AQ133" s="189" t="s">
        <v>382</v>
      </c>
      <c r="AR133" s="189" t="s">
        <v>64</v>
      </c>
      <c r="AS133" s="189" t="s">
        <v>148</v>
      </c>
      <c r="AT133" s="189">
        <v>25332</v>
      </c>
    </row>
    <row r="134" spans="1:46" x14ac:dyDescent="0.2">
      <c r="A134">
        <v>132</v>
      </c>
      <c r="M134" t="s">
        <v>693</v>
      </c>
      <c r="N134" t="s">
        <v>73</v>
      </c>
      <c r="O134" t="s">
        <v>148</v>
      </c>
      <c r="P134">
        <v>28129</v>
      </c>
      <c r="AB134" s="188" t="s">
        <v>382</v>
      </c>
      <c r="AC134" s="188" t="s">
        <v>64</v>
      </c>
      <c r="AD134" s="188" t="s">
        <v>148</v>
      </c>
      <c r="AE134" s="188">
        <v>25332</v>
      </c>
      <c r="AQ134" s="189" t="s">
        <v>693</v>
      </c>
      <c r="AR134" s="189" t="s">
        <v>73</v>
      </c>
      <c r="AS134" s="189" t="s">
        <v>148</v>
      </c>
      <c r="AT134" s="189">
        <v>28129</v>
      </c>
    </row>
    <row r="135" spans="1:46" x14ac:dyDescent="0.2">
      <c r="A135">
        <v>133</v>
      </c>
      <c r="M135" t="s">
        <v>382</v>
      </c>
      <c r="N135" t="s">
        <v>64</v>
      </c>
      <c r="O135" t="s">
        <v>148</v>
      </c>
      <c r="P135">
        <v>25332</v>
      </c>
      <c r="AB135" s="188" t="s">
        <v>644</v>
      </c>
      <c r="AC135" s="188" t="s">
        <v>76</v>
      </c>
      <c r="AD135" s="188" t="s">
        <v>148</v>
      </c>
      <c r="AE135" s="188">
        <v>18226</v>
      </c>
      <c r="AQ135" s="189" t="s">
        <v>696</v>
      </c>
      <c r="AR135" s="189" t="s">
        <v>75</v>
      </c>
      <c r="AS135" s="189" t="s">
        <v>148</v>
      </c>
      <c r="AT135" s="189">
        <v>16556</v>
      </c>
    </row>
    <row r="136" spans="1:46" x14ac:dyDescent="0.2">
      <c r="A136">
        <v>134</v>
      </c>
      <c r="M136" t="s">
        <v>360</v>
      </c>
      <c r="N136" t="s">
        <v>62</v>
      </c>
      <c r="O136" t="s">
        <v>148</v>
      </c>
      <c r="P136">
        <v>18585</v>
      </c>
      <c r="AB136" s="188" t="s">
        <v>360</v>
      </c>
      <c r="AC136" s="188" t="s">
        <v>62</v>
      </c>
      <c r="AD136" s="188" t="s">
        <v>148</v>
      </c>
      <c r="AE136" s="188">
        <v>18585</v>
      </c>
      <c r="AQ136" s="189" t="s">
        <v>360</v>
      </c>
      <c r="AR136" s="189" t="s">
        <v>62</v>
      </c>
      <c r="AS136" s="189" t="s">
        <v>148</v>
      </c>
      <c r="AT136" s="189">
        <v>18585</v>
      </c>
    </row>
    <row r="137" spans="1:46" x14ac:dyDescent="0.2">
      <c r="A137">
        <v>135</v>
      </c>
      <c r="M137" t="s">
        <v>723</v>
      </c>
      <c r="N137" t="s">
        <v>70</v>
      </c>
      <c r="O137" t="s">
        <v>148</v>
      </c>
      <c r="P137">
        <v>28067</v>
      </c>
      <c r="AB137" s="188" t="s">
        <v>723</v>
      </c>
      <c r="AC137" s="188" t="s">
        <v>70</v>
      </c>
      <c r="AD137" s="188" t="s">
        <v>148</v>
      </c>
      <c r="AE137" s="188">
        <v>28067</v>
      </c>
      <c r="AQ137" s="189" t="s">
        <v>723</v>
      </c>
      <c r="AR137" s="189" t="s">
        <v>70</v>
      </c>
      <c r="AS137" s="189" t="s">
        <v>148</v>
      </c>
      <c r="AT137" s="189">
        <v>28067</v>
      </c>
    </row>
    <row r="138" spans="1:46" x14ac:dyDescent="0.2">
      <c r="A138">
        <v>136</v>
      </c>
    </row>
    <row r="139" spans="1:46" x14ac:dyDescent="0.2">
      <c r="A139">
        <v>137</v>
      </c>
    </row>
    <row r="140" spans="1:46" x14ac:dyDescent="0.2">
      <c r="A140">
        <v>138</v>
      </c>
    </row>
    <row r="141" spans="1:46" x14ac:dyDescent="0.2">
      <c r="A141">
        <v>139</v>
      </c>
    </row>
    <row r="142" spans="1:46" x14ac:dyDescent="0.2">
      <c r="A142">
        <v>140</v>
      </c>
    </row>
    <row r="143" spans="1:46" x14ac:dyDescent="0.2">
      <c r="A143">
        <v>141</v>
      </c>
    </row>
    <row r="144" spans="1:46" x14ac:dyDescent="0.2">
      <c r="A144">
        <v>142</v>
      </c>
    </row>
    <row r="145" spans="1:1" x14ac:dyDescent="0.2">
      <c r="A145">
        <v>143</v>
      </c>
    </row>
    <row r="146" spans="1:1" x14ac:dyDescent="0.2">
      <c r="A146">
        <v>144</v>
      </c>
    </row>
    <row r="147" spans="1:1" x14ac:dyDescent="0.2">
      <c r="A147">
        <v>145</v>
      </c>
    </row>
    <row r="148" spans="1:1" x14ac:dyDescent="0.2">
      <c r="A148">
        <v>146</v>
      </c>
    </row>
    <row r="149" spans="1:1" x14ac:dyDescent="0.2">
      <c r="A149">
        <v>147</v>
      </c>
    </row>
    <row r="150" spans="1:1" x14ac:dyDescent="0.2">
      <c r="A150">
        <v>148</v>
      </c>
    </row>
    <row r="151" spans="1:1" x14ac:dyDescent="0.2">
      <c r="A151">
        <v>149</v>
      </c>
    </row>
    <row r="152" spans="1:1" x14ac:dyDescent="0.2">
      <c r="A152">
        <v>150</v>
      </c>
    </row>
    <row r="153" spans="1:1" x14ac:dyDescent="0.2">
      <c r="A153">
        <v>151</v>
      </c>
    </row>
    <row r="154" spans="1:1" x14ac:dyDescent="0.2">
      <c r="A154">
        <v>152</v>
      </c>
    </row>
    <row r="155" spans="1:1" x14ac:dyDescent="0.2">
      <c r="A155">
        <v>153</v>
      </c>
    </row>
    <row r="156" spans="1:1" x14ac:dyDescent="0.2">
      <c r="A156">
        <v>154</v>
      </c>
    </row>
    <row r="157" spans="1:1" x14ac:dyDescent="0.2">
      <c r="A157">
        <v>155</v>
      </c>
    </row>
    <row r="158" spans="1:1" x14ac:dyDescent="0.2">
      <c r="A158">
        <v>156</v>
      </c>
    </row>
    <row r="159" spans="1:1" x14ac:dyDescent="0.2">
      <c r="A159">
        <v>157</v>
      </c>
    </row>
    <row r="160" spans="1:1" x14ac:dyDescent="0.2">
      <c r="A160">
        <v>158</v>
      </c>
    </row>
    <row r="161" spans="1:1" x14ac:dyDescent="0.2">
      <c r="A161">
        <v>159</v>
      </c>
    </row>
    <row r="162" spans="1:1" x14ac:dyDescent="0.2">
      <c r="A162">
        <v>160</v>
      </c>
    </row>
    <row r="163" spans="1:1" x14ac:dyDescent="0.2">
      <c r="A163">
        <v>161</v>
      </c>
    </row>
    <row r="164" spans="1:1" x14ac:dyDescent="0.2">
      <c r="A164">
        <v>162</v>
      </c>
    </row>
    <row r="165" spans="1:1" x14ac:dyDescent="0.2">
      <c r="A165">
        <v>163</v>
      </c>
    </row>
    <row r="166" spans="1:1" x14ac:dyDescent="0.2">
      <c r="A166">
        <v>164</v>
      </c>
    </row>
    <row r="167" spans="1:1" x14ac:dyDescent="0.2">
      <c r="A167">
        <v>165</v>
      </c>
    </row>
    <row r="168" spans="1:1" x14ac:dyDescent="0.2">
      <c r="A168">
        <v>166</v>
      </c>
    </row>
    <row r="169" spans="1:1" x14ac:dyDescent="0.2">
      <c r="A169">
        <v>167</v>
      </c>
    </row>
    <row r="170" spans="1:1" x14ac:dyDescent="0.2">
      <c r="A170">
        <v>168</v>
      </c>
    </row>
    <row r="171" spans="1:1" x14ac:dyDescent="0.2">
      <c r="A171">
        <v>169</v>
      </c>
    </row>
    <row r="172" spans="1:1" x14ac:dyDescent="0.2">
      <c r="A172">
        <v>170</v>
      </c>
    </row>
    <row r="173" spans="1:1" x14ac:dyDescent="0.2">
      <c r="A173">
        <v>171</v>
      </c>
    </row>
    <row r="174" spans="1:1" x14ac:dyDescent="0.2">
      <c r="A174">
        <v>172</v>
      </c>
    </row>
    <row r="175" spans="1:1" x14ac:dyDescent="0.2">
      <c r="A175">
        <v>173</v>
      </c>
    </row>
    <row r="176" spans="1:1" x14ac:dyDescent="0.2">
      <c r="A176">
        <v>174</v>
      </c>
    </row>
    <row r="177" spans="1:1" x14ac:dyDescent="0.2">
      <c r="A177">
        <v>175</v>
      </c>
    </row>
    <row r="178" spans="1:1" x14ac:dyDescent="0.2">
      <c r="A178">
        <v>176</v>
      </c>
    </row>
    <row r="179" spans="1:1" x14ac:dyDescent="0.2">
      <c r="A179">
        <v>177</v>
      </c>
    </row>
    <row r="180" spans="1:1" x14ac:dyDescent="0.2">
      <c r="A180">
        <v>178</v>
      </c>
    </row>
    <row r="181" spans="1:1" x14ac:dyDescent="0.2">
      <c r="A181">
        <v>179</v>
      </c>
    </row>
    <row r="182" spans="1:1" x14ac:dyDescent="0.2">
      <c r="A182">
        <v>180</v>
      </c>
    </row>
    <row r="183" spans="1:1" x14ac:dyDescent="0.2">
      <c r="A183">
        <v>181</v>
      </c>
    </row>
    <row r="184" spans="1:1" x14ac:dyDescent="0.2">
      <c r="A184">
        <v>182</v>
      </c>
    </row>
    <row r="185" spans="1:1" x14ac:dyDescent="0.2">
      <c r="A185">
        <v>183</v>
      </c>
    </row>
    <row r="186" spans="1:1" x14ac:dyDescent="0.2">
      <c r="A186">
        <v>184</v>
      </c>
    </row>
    <row r="187" spans="1:1" x14ac:dyDescent="0.2">
      <c r="A187">
        <v>185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"/>
  <dimension ref="A1:O76"/>
  <sheetViews>
    <sheetView showGridLines="0" topLeftCell="A26" zoomScale="85" zoomScaleNormal="85" workbookViewId="0">
      <selection activeCell="J23" sqref="J23"/>
    </sheetView>
  </sheetViews>
  <sheetFormatPr defaultColWidth="9.140625" defaultRowHeight="15" x14ac:dyDescent="0.25"/>
  <cols>
    <col min="1" max="1" width="9.140625" style="9" bestFit="1" customWidth="1"/>
    <col min="2" max="2" width="27.5703125" style="9" bestFit="1" customWidth="1"/>
    <col min="3" max="3" width="6.5703125" style="10" bestFit="1" customWidth="1"/>
    <col min="4" max="4" width="7" style="10" bestFit="1" customWidth="1"/>
    <col min="5" max="5" width="8" style="10" bestFit="1" customWidth="1"/>
    <col min="6" max="6" width="7.5703125" style="10" bestFit="1" customWidth="1"/>
    <col min="7" max="8" width="8.42578125" style="10" bestFit="1" customWidth="1"/>
    <col min="9" max="9" width="6.85546875" style="10" bestFit="1" customWidth="1"/>
    <col min="10" max="10" width="8.5703125" style="10" bestFit="1" customWidth="1"/>
    <col min="11" max="12" width="8.85546875" style="9" bestFit="1" customWidth="1"/>
    <col min="13" max="13" width="6.85546875" style="9" bestFit="1" customWidth="1"/>
    <col min="14" max="14" width="10" style="9" bestFit="1" customWidth="1"/>
    <col min="15" max="15" width="8.42578125" style="9" bestFit="1" customWidth="1"/>
    <col min="16" max="16384" width="9.140625" style="9"/>
  </cols>
  <sheetData>
    <row r="1" spans="1:15" s="7" customFormat="1" x14ac:dyDescent="0.25">
      <c r="A1" s="5" t="s">
        <v>287</v>
      </c>
      <c r="B1" s="6" t="s">
        <v>252</v>
      </c>
      <c r="C1" s="6" t="s">
        <v>51</v>
      </c>
      <c r="D1" s="6" t="s">
        <v>87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2</v>
      </c>
      <c r="J1" s="5" t="s">
        <v>93</v>
      </c>
      <c r="K1" s="5" t="s">
        <v>94</v>
      </c>
      <c r="L1" s="5" t="s">
        <v>95</v>
      </c>
      <c r="M1" s="6" t="s">
        <v>82</v>
      </c>
      <c r="N1" s="5" t="s">
        <v>249</v>
      </c>
      <c r="O1" s="5" t="s">
        <v>232</v>
      </c>
    </row>
    <row r="2" spans="1:15" x14ac:dyDescent="0.25">
      <c r="A2" s="8">
        <v>1</v>
      </c>
      <c r="B2" s="9" t="str">
        <f>ARI!A$2</f>
        <v>Jacoby Brissett</v>
      </c>
      <c r="C2" s="9" t="s">
        <v>52</v>
      </c>
      <c r="D2" s="9">
        <f>ARI!C$2</f>
        <v>14</v>
      </c>
      <c r="E2" s="10">
        <f>ARI!D$2</f>
        <v>482.18800000000005</v>
      </c>
      <c r="F2" s="10">
        <f>ARI!E$2</f>
        <v>309.56469600000003</v>
      </c>
      <c r="G2" s="10">
        <f>ARI!F$2</f>
        <v>3231.8554262400003</v>
      </c>
      <c r="H2" s="10">
        <f>ARI!G$2</f>
        <v>21.979093416000001</v>
      </c>
      <c r="I2" s="10">
        <f>ARI!H$2</f>
        <v>7.9524469492371814</v>
      </c>
      <c r="J2" s="10">
        <f>ARI!I$2</f>
        <v>44.117365599999999</v>
      </c>
      <c r="K2" s="10">
        <f>ARI!J$2</f>
        <v>208.64678278208768</v>
      </c>
      <c r="L2" s="10">
        <f>ARI!K$2</f>
        <v>1.1095870803243719</v>
      </c>
      <c r="M2" s="10">
        <f t="shared" ref="M2:M36" si="0">(G2/25)+(H2*4)+(I2*-1.5)+(K2/10)+(L2*6)</f>
        <v>232.78412104989923</v>
      </c>
      <c r="N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311.67500095651786</v>
      </c>
      <c r="O2" s="12">
        <v>18.908176323604344</v>
      </c>
    </row>
    <row r="3" spans="1:15" x14ac:dyDescent="0.25">
      <c r="A3" s="8">
        <f>IF(TableQBMaster[[#This Row],[Player]]&lt;&gt;0,A2+1,A2)</f>
        <v>2</v>
      </c>
      <c r="B3" s="9" t="str">
        <f>ARI!A$3</f>
        <v>Gardner Minshew</v>
      </c>
      <c r="C3" s="9" t="s">
        <v>52</v>
      </c>
      <c r="D3" s="9">
        <f>ARI!C$3</f>
        <v>14</v>
      </c>
      <c r="E3" s="10">
        <f>ARI!D$3</f>
        <v>11.345600000000003</v>
      </c>
      <c r="F3" s="10">
        <f>ARI!E$3</f>
        <v>7.0106146735531736</v>
      </c>
      <c r="G3" s="10">
        <f>ARI!F$3</f>
        <v>75.434213887432151</v>
      </c>
      <c r="H3" s="10">
        <f>ARI!G$3</f>
        <v>0.45568995378095628</v>
      </c>
      <c r="I3" s="10">
        <f>ARI!H$3</f>
        <v>0.30633120000000008</v>
      </c>
      <c r="J3" s="10">
        <f>ARI!I$3</f>
        <v>1.3104167999999998</v>
      </c>
      <c r="K3" s="10">
        <f>ARI!J$3</f>
        <v>4.6448437069306934</v>
      </c>
      <c r="L3" s="10">
        <f>ARI!K$3</f>
        <v>1.9656251999999996E-2</v>
      </c>
      <c r="M3" s="10">
        <f t="shared" si="0"/>
        <v>4.9630534533141812</v>
      </c>
      <c r="N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6.7286604282314109</v>
      </c>
      <c r="O3" s="12">
        <v>0</v>
      </c>
    </row>
    <row r="4" spans="1:15" x14ac:dyDescent="0.25">
      <c r="A4" s="8">
        <f>IF(TableQBMaster[[#This Row],[Player]]&lt;&gt;0,A3+1,A3)</f>
        <v>3</v>
      </c>
      <c r="B4" s="9" t="str">
        <f>ARI!A$4</f>
        <v>Carson Beck</v>
      </c>
      <c r="C4" s="9" t="s">
        <v>52</v>
      </c>
      <c r="D4" s="9">
        <f>ARI!C$3</f>
        <v>14</v>
      </c>
      <c r="E4" s="10">
        <f>ARI!D$4</f>
        <v>73.746400000000008</v>
      </c>
      <c r="F4" s="10">
        <f>ARI!E$4</f>
        <v>45.870260800000004</v>
      </c>
      <c r="G4" s="10">
        <f>ARI!F$4</f>
        <v>469.25276798400006</v>
      </c>
      <c r="H4" s="10">
        <f>ARI!G$4</f>
        <v>0</v>
      </c>
      <c r="I4" s="10">
        <f>ARI!H$4</f>
        <v>1.9951710568781751</v>
      </c>
      <c r="J4" s="10">
        <f>ARI!I$4</f>
        <v>1.7472223999999998</v>
      </c>
      <c r="K4" s="10">
        <f>ARI!J$4</f>
        <v>5.5127879172413792</v>
      </c>
      <c r="L4" s="10">
        <f>ARI!K$4</f>
        <v>4.0166032183908039E-2</v>
      </c>
      <c r="M4" s="10">
        <f t="shared" ref="M4" si="1">(G4/25)+(H4*4)+(I4*-1.5)+(K4/10)+(L4*6)</f>
        <v>16.569629118870324</v>
      </c>
      <c r="N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22.154240727309414</v>
      </c>
      <c r="O4" s="12">
        <v>0</v>
      </c>
    </row>
    <row r="5" spans="1:15" x14ac:dyDescent="0.25">
      <c r="A5" s="8">
        <f>IF(TableQBMaster[[#This Row],[Player]]&lt;&gt;0,A4+1,A4)</f>
        <v>4</v>
      </c>
      <c r="B5" s="9" t="str">
        <f>ATL!A$2</f>
        <v>Tua Tagovailoa</v>
      </c>
      <c r="C5" s="9" t="s">
        <v>53</v>
      </c>
      <c r="D5" s="9">
        <f>ATL!C$2</f>
        <v>11</v>
      </c>
      <c r="E5" s="10">
        <f>ATL!D$2</f>
        <v>521.31780000000003</v>
      </c>
      <c r="F5" s="10">
        <f>ATL!E$2</f>
        <v>348.04812762756814</v>
      </c>
      <c r="G5" s="10">
        <f>ATL!F$2</f>
        <v>3842.4513290083519</v>
      </c>
      <c r="H5" s="10">
        <f>ATL!G$2</f>
        <v>20.698284366937415</v>
      </c>
      <c r="I5" s="10">
        <f>ATL!H$2</f>
        <v>12.815002775919732</v>
      </c>
      <c r="J5" s="10">
        <f>ATL!I$2</f>
        <v>12.039519520000001</v>
      </c>
      <c r="K5" s="10">
        <f>ATL!J$2</f>
        <v>32.117807809089577</v>
      </c>
      <c r="L5" s="10">
        <f>ATL!K$2</f>
        <v>0.18059279280000001</v>
      </c>
      <c r="M5" s="10">
        <f t="shared" si="0"/>
        <v>221.56402400191308</v>
      </c>
      <c r="N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304.17290688650468</v>
      </c>
      <c r="O5" s="12">
        <v>4.1586617123562934</v>
      </c>
    </row>
    <row r="6" spans="1:15" x14ac:dyDescent="0.25">
      <c r="A6" s="8">
        <f>IF(TableQBMaster[[#This Row],[Player]]&lt;&gt;0,A5+1,A5)</f>
        <v>5</v>
      </c>
      <c r="B6" s="9" t="str">
        <f>ATL!A$3</f>
        <v>Michael Penix</v>
      </c>
      <c r="C6" s="9" t="s">
        <v>53</v>
      </c>
      <c r="D6" s="9">
        <f>ATL!C$3</f>
        <v>11</v>
      </c>
      <c r="E6" s="10">
        <f>ATL!D$3</f>
        <v>57.924199999999999</v>
      </c>
      <c r="F6" s="10">
        <f>ATL!E$3</f>
        <v>34.758412400683376</v>
      </c>
      <c r="G6" s="10">
        <f>ATL!F$3</f>
        <v>410.14926632806385</v>
      </c>
      <c r="H6" s="10">
        <f>ATL!G$3</f>
        <v>1.9369641366742598</v>
      </c>
      <c r="I6" s="10">
        <f>ATL!H$3</f>
        <v>1.0238992984054669</v>
      </c>
      <c r="J6" s="10">
        <f>ATL!I$3</f>
        <v>17.1993136</v>
      </c>
      <c r="K6" s="10">
        <f>ATL!J$3</f>
        <v>60.240657920054332</v>
      </c>
      <c r="L6" s="10">
        <f>ATL!K$3</f>
        <v>0.90791590080624651</v>
      </c>
      <c r="M6" s="10">
        <f t="shared" si="0"/>
        <v>34.089539449054307</v>
      </c>
      <c r="N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41.951258611673893</v>
      </c>
      <c r="O6" s="12">
        <v>0</v>
      </c>
    </row>
    <row r="7" spans="1:15" x14ac:dyDescent="0.25">
      <c r="A7" s="8">
        <f>IF(TableQBMaster[[#This Row],[Player]]&lt;&gt;0,A6+1,A6)</f>
        <v>6</v>
      </c>
      <c r="B7" s="9" t="str">
        <f>BAL!A$2</f>
        <v>Lamar Jackson</v>
      </c>
      <c r="C7" s="9" t="s">
        <v>54</v>
      </c>
      <c r="D7" s="9">
        <f>BAL!C$2</f>
        <v>13</v>
      </c>
      <c r="E7" s="10">
        <f>BAL!D$2</f>
        <v>455.57439999999997</v>
      </c>
      <c r="F7" s="10">
        <f>BAL!E$2</f>
        <v>294.66200484712675</v>
      </c>
      <c r="G7" s="10">
        <f>BAL!F$2</f>
        <v>3653.8088601043719</v>
      </c>
      <c r="H7" s="10">
        <f>BAL!G$2</f>
        <v>27.509901520511995</v>
      </c>
      <c r="I7" s="10">
        <f>BAL!H$2</f>
        <v>8.6775547780125564</v>
      </c>
      <c r="J7" s="10">
        <f>BAL!I$2</f>
        <v>127.95454966421661</v>
      </c>
      <c r="K7" s="10">
        <f>BAL!J$2</f>
        <v>723.43585354761888</v>
      </c>
      <c r="L7" s="10">
        <f>BAL!K$2</f>
        <v>3.5060651957753577</v>
      </c>
      <c r="M7" s="10">
        <f t="shared" si="0"/>
        <v>336.55560484861803</v>
      </c>
      <c r="N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425.38038576336101</v>
      </c>
      <c r="O7" s="12">
        <v>14.529245789940152</v>
      </c>
    </row>
    <row r="8" spans="1:15" x14ac:dyDescent="0.25">
      <c r="A8" s="8">
        <f>IF(TableQBMaster[[#This Row],[Player]]&lt;&gt;0,A7+1,A7)</f>
        <v>7</v>
      </c>
      <c r="B8" s="9" t="str">
        <f>BAL!A$3</f>
        <v>Tyler Huntley</v>
      </c>
      <c r="C8" s="9" t="s">
        <v>54</v>
      </c>
      <c r="D8" s="9">
        <f>BAL!C$3</f>
        <v>13</v>
      </c>
      <c r="E8" s="10">
        <f>BAL!D$3</f>
        <v>23.977599999999999</v>
      </c>
      <c r="F8" s="10">
        <f>BAL!E$3</f>
        <v>17.184053790823391</v>
      </c>
      <c r="G8" s="10">
        <f>BAL!F$3</f>
        <v>177.33943512129741</v>
      </c>
      <c r="H8" s="10">
        <f>BAL!G$3</f>
        <v>1.0091095563597374</v>
      </c>
      <c r="I8" s="10">
        <f>BAL!H$3</f>
        <v>0.34172605995621669</v>
      </c>
      <c r="J8" s="10">
        <f>BAL!I$3</f>
        <v>4.5397286451340211</v>
      </c>
      <c r="K8" s="10">
        <f>BAL!J$3</f>
        <v>24.394805576599303</v>
      </c>
      <c r="L8" s="10">
        <f>BAL!K$3</f>
        <v>0.14966138390551717</v>
      </c>
      <c r="M8" s="10">
        <f t="shared" si="0"/>
        <v>13.954875401449554</v>
      </c>
      <c r="N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17.862362923229476</v>
      </c>
      <c r="O8" s="12">
        <v>0</v>
      </c>
    </row>
    <row r="9" spans="1:15" x14ac:dyDescent="0.25">
      <c r="A9" s="8">
        <f>IF(TableQBMaster[[#This Row],[Player]]&lt;&gt;0,A8+1,A8)</f>
        <v>8</v>
      </c>
      <c r="B9" s="9" t="str">
        <f>BUF!A$2</f>
        <v>Josh Allen</v>
      </c>
      <c r="C9" s="9" t="s">
        <v>55</v>
      </c>
      <c r="D9" s="9">
        <f>BUF!C$2</f>
        <v>7</v>
      </c>
      <c r="E9" s="10">
        <f>BUF!D$2</f>
        <v>515.96819999999991</v>
      </c>
      <c r="F9" s="10">
        <f>BUF!E$2</f>
        <v>346.46237053878565</v>
      </c>
      <c r="G9" s="10">
        <f>BUF!F$2</f>
        <v>4001.6403797229746</v>
      </c>
      <c r="H9" s="10">
        <f>BUF!G$2</f>
        <v>27.370527272564068</v>
      </c>
      <c r="I9" s="10">
        <f>BUF!H$2</f>
        <v>11.143251191832489</v>
      </c>
      <c r="J9" s="10">
        <f>BUF!I$2</f>
        <v>105.7124432</v>
      </c>
      <c r="K9" s="10">
        <f>BUF!J$2</f>
        <v>538.18209884132466</v>
      </c>
      <c r="L9" s="10">
        <f>BUF!K$2</f>
        <v>11.659311123198451</v>
      </c>
      <c r="M9" s="10">
        <f t="shared" si="0"/>
        <v>376.60692411474963</v>
      </c>
      <c r="N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471.56584130967269</v>
      </c>
      <c r="O9" s="12">
        <v>23.688618937110689</v>
      </c>
    </row>
    <row r="10" spans="1:15" x14ac:dyDescent="0.25">
      <c r="A10" s="8">
        <f>IF(TableQBMaster[[#This Row],[Player]]&lt;&gt;0,A9+1,A9)</f>
        <v>9</v>
      </c>
      <c r="B10" s="9" t="str">
        <f>BUF!A$3</f>
        <v>Kyle Allen</v>
      </c>
      <c r="C10" s="9" t="s">
        <v>55</v>
      </c>
      <c r="D10" s="9">
        <f>BUF!C$3</f>
        <v>7</v>
      </c>
      <c r="E10" s="10">
        <f>BUF!D$3</f>
        <v>5.2118000000000038</v>
      </c>
      <c r="F10" s="10">
        <f>BUF!E$3</f>
        <v>2.9969649568986068</v>
      </c>
      <c r="G10" s="10">
        <f>BUF!F$3</f>
        <v>32.091403457636829</v>
      </c>
      <c r="H10" s="10">
        <f>BUF!G$3</f>
        <v>0.20080707720150515</v>
      </c>
      <c r="I10" s="10">
        <f>BUF!H$3</f>
        <v>0.10300981092537037</v>
      </c>
      <c r="J10" s="10">
        <f>BUF!I$3</f>
        <v>0</v>
      </c>
      <c r="K10" s="10">
        <f>BUF!J$3</f>
        <v>0</v>
      </c>
      <c r="L10" s="10">
        <f>BUF!K$3</f>
        <v>0</v>
      </c>
      <c r="M10" s="10">
        <f t="shared" si="0"/>
        <v>1.9323697307234384</v>
      </c>
      <c r="N1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2.685185286278994</v>
      </c>
      <c r="O10" s="12">
        <v>0</v>
      </c>
    </row>
    <row r="11" spans="1:15" x14ac:dyDescent="0.25">
      <c r="A11" s="8">
        <f>IF(TableQBMaster[[#This Row],[Player]]&lt;&gt;0,A10+1,A10)</f>
        <v>10</v>
      </c>
      <c r="B11" s="9" t="str">
        <f>CAR!A$2</f>
        <v>Bryce Young</v>
      </c>
      <c r="C11" s="9" t="s">
        <v>56</v>
      </c>
      <c r="D11" s="9">
        <f>CAR!C$2</f>
        <v>5</v>
      </c>
      <c r="E11" s="10">
        <f>CAR!D$2</f>
        <v>521.97749999999996</v>
      </c>
      <c r="F11" s="10">
        <f>CAR!E$2</f>
        <v>333.02164499999998</v>
      </c>
      <c r="G11" s="10">
        <f>CAR!F$2</f>
        <v>3466.0202038358811</v>
      </c>
      <c r="H11" s="10">
        <f>CAR!G$2</f>
        <v>23.311515150000002</v>
      </c>
      <c r="I11" s="10">
        <f>CAR!H$2</f>
        <v>12.028447647849639</v>
      </c>
      <c r="J11" s="10">
        <f>CAR!I$2</f>
        <v>52.240418999999989</v>
      </c>
      <c r="K11" s="10">
        <f>CAR!J$2</f>
        <v>245.52996929999995</v>
      </c>
      <c r="L11" s="10">
        <f>CAR!K$2</f>
        <v>2.1940975979999995</v>
      </c>
      <c r="M11" s="10">
        <f t="shared" si="0"/>
        <v>251.56177979966077</v>
      </c>
      <c r="N1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337.50119842358561</v>
      </c>
      <c r="O11" s="12">
        <v>0</v>
      </c>
    </row>
    <row r="12" spans="1:15" x14ac:dyDescent="0.25">
      <c r="A12" s="8">
        <f>IF(TableQBMaster[[#This Row],[Player]]&lt;&gt;0,A11+1,A11)</f>
        <v>11</v>
      </c>
      <c r="B12" s="9" t="str">
        <f>CAR!A$3</f>
        <v>Kenny Pickett</v>
      </c>
      <c r="C12" s="9" t="s">
        <v>56</v>
      </c>
      <c r="D12" s="9">
        <f>CAR!C$3</f>
        <v>5</v>
      </c>
      <c r="E12" s="10">
        <f>CAR!D$3</f>
        <v>27.472500000000004</v>
      </c>
      <c r="F12" s="10">
        <f>CAR!E$3</f>
        <v>16.860489385117869</v>
      </c>
      <c r="G12" s="10">
        <f>CAR!F$3</f>
        <v>170.12233789583931</v>
      </c>
      <c r="H12" s="10">
        <f>CAR!G$3</f>
        <v>1.0116293631070721</v>
      </c>
      <c r="I12" s="10">
        <f>CAR!H$3</f>
        <v>0.54097131496733908</v>
      </c>
      <c r="J12" s="10">
        <f>CAR!I$3</f>
        <v>0.86347799999999986</v>
      </c>
      <c r="K12" s="10">
        <f>CAR!J$3</f>
        <v>3.0739816799999997</v>
      </c>
      <c r="L12" s="10">
        <f>CAR!K$3</f>
        <v>2.1586949999999997E-2</v>
      </c>
      <c r="M12" s="10">
        <f t="shared" si="0"/>
        <v>10.476873863810852</v>
      </c>
      <c r="N1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14.456667186020452</v>
      </c>
      <c r="O12" s="12">
        <v>0</v>
      </c>
    </row>
    <row r="13" spans="1:15" x14ac:dyDescent="0.25">
      <c r="A13" s="8">
        <f>IF(TableQBMaster[[#This Row],[Player]]&lt;&gt;0,A12+1,A12)</f>
        <v>11</v>
      </c>
      <c r="B13" s="9">
        <f>CAR!A$4</f>
        <v>0</v>
      </c>
      <c r="C13" s="9" t="s">
        <v>56</v>
      </c>
      <c r="D13" s="9">
        <f>CAR!C$4</f>
        <v>5</v>
      </c>
      <c r="E13" s="10">
        <f>CAR!D$4</f>
        <v>0</v>
      </c>
      <c r="F13" s="10">
        <f>CAR!E$4</f>
        <v>0</v>
      </c>
      <c r="G13" s="10">
        <f>CAR!F$4</f>
        <v>0</v>
      </c>
      <c r="H13" s="10">
        <f>CAR!G$4</f>
        <v>0</v>
      </c>
      <c r="I13" s="10">
        <f>CAR!H$4</f>
        <v>0</v>
      </c>
      <c r="J13" s="10">
        <f>CAR!I$4</f>
        <v>0</v>
      </c>
      <c r="K13" s="10">
        <f>CAR!J$4</f>
        <v>0</v>
      </c>
      <c r="L13" s="10">
        <f>CAR!K$4</f>
        <v>0</v>
      </c>
      <c r="M13" s="10">
        <f t="shared" ref="M13" si="2">(G13/25)+(H13*4)+(I13*-1.5)+(K13/10)+(L13*6)</f>
        <v>0</v>
      </c>
      <c r="N1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13" s="12">
        <v>1</v>
      </c>
    </row>
    <row r="14" spans="1:15" x14ac:dyDescent="0.25">
      <c r="A14" s="8">
        <f>IF(TableQBMaster[[#This Row],[Player]]&lt;&gt;0,A13+1,A13)</f>
        <v>12</v>
      </c>
      <c r="B14" s="9" t="str">
        <f>CHI!A$2</f>
        <v>Caleb Williams</v>
      </c>
      <c r="C14" s="9" t="s">
        <v>57</v>
      </c>
      <c r="D14" s="9">
        <f>CHI!C$2</f>
        <v>10</v>
      </c>
      <c r="E14" s="10">
        <f>CHI!D$2</f>
        <v>563.9351200000001</v>
      </c>
      <c r="F14" s="10">
        <f>CHI!E$2</f>
        <v>342.87255296000006</v>
      </c>
      <c r="G14" s="10">
        <f>CHI!F$2</f>
        <v>4087.0408312832005</v>
      </c>
      <c r="H14" s="10">
        <f>CHI!G$2</f>
        <v>27.587748593545736</v>
      </c>
      <c r="I14" s="10">
        <f>CHI!H$2</f>
        <v>8.1560842475057171</v>
      </c>
      <c r="J14" s="10">
        <f>CHI!I$2</f>
        <v>67.718607599999984</v>
      </c>
      <c r="K14" s="10">
        <f>CHI!J$2</f>
        <v>346.77774832403907</v>
      </c>
      <c r="L14" s="10">
        <f>CHI!K$2</f>
        <v>2.7764629115999995</v>
      </c>
      <c r="M14" s="10">
        <f t="shared" si="0"/>
        <v>312.93505355625626</v>
      </c>
      <c r="N1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406.47584816310064</v>
      </c>
      <c r="O14" s="12">
        <v>0</v>
      </c>
    </row>
    <row r="15" spans="1:15" x14ac:dyDescent="0.25">
      <c r="A15" s="8">
        <f>IF(TableQBMaster[[#This Row],[Player]]&lt;&gt;0,A14+1,A14)</f>
        <v>13</v>
      </c>
      <c r="B15" s="9" t="str">
        <f>CHI!A$3</f>
        <v>Tyson Bagent</v>
      </c>
      <c r="C15" s="9" t="s">
        <v>57</v>
      </c>
      <c r="D15" s="9">
        <f>CHI!C$3</f>
        <v>10</v>
      </c>
      <c r="E15" s="10">
        <f>CHI!D$3</f>
        <v>11.508880000000001</v>
      </c>
      <c r="F15" s="10">
        <f>CHI!E$3</f>
        <v>8.1782271917050551</v>
      </c>
      <c r="G15" s="10">
        <f>CHI!F$3</f>
        <v>95.603475871032089</v>
      </c>
      <c r="H15" s="10">
        <f>CHI!G$3</f>
        <v>0.62706265788300575</v>
      </c>
      <c r="I15" s="10">
        <f>CHI!H$3</f>
        <v>0.32455243020126479</v>
      </c>
      <c r="J15" s="10">
        <f>CHI!I$3</f>
        <v>4.6702487999999995</v>
      </c>
      <c r="K15" s="10">
        <f>CHI!J$3</f>
        <v>16.836392996892446</v>
      </c>
      <c r="L15" s="10">
        <f>CHI!K$3</f>
        <v>9.4240575771843665E-2</v>
      </c>
      <c r="M15" s="10">
        <f t="shared" si="0"/>
        <v>8.0946437753917149</v>
      </c>
      <c r="N1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10.328868025428866</v>
      </c>
      <c r="O15" s="12">
        <v>0</v>
      </c>
    </row>
    <row r="16" spans="1:15" x14ac:dyDescent="0.25">
      <c r="A16" s="8">
        <f>IF(TableQBMaster[[#This Row],[Player]]&lt;&gt;0,A15+1,A15)</f>
        <v>14</v>
      </c>
      <c r="B16" s="9" t="str">
        <f>CIN!A$2</f>
        <v>Joe Burrow</v>
      </c>
      <c r="C16" s="9" t="s">
        <v>58</v>
      </c>
      <c r="D16" s="9">
        <f>CIN!C$2</f>
        <v>6</v>
      </c>
      <c r="E16" s="10">
        <f>CIN!D$2</f>
        <v>613.34375</v>
      </c>
      <c r="F16" s="10">
        <f>CIN!E$2</f>
        <v>419.80440510814873</v>
      </c>
      <c r="G16" s="10">
        <f>CIN!F$2</f>
        <v>4542.2836632701692</v>
      </c>
      <c r="H16" s="10">
        <f>CIN!G$2</f>
        <v>36.103178839300789</v>
      </c>
      <c r="I16" s="10">
        <f>CIN!H$2</f>
        <v>11.04144846541895</v>
      </c>
      <c r="J16" s="10">
        <f>CIN!I$2</f>
        <v>37.203494999999997</v>
      </c>
      <c r="K16" s="10">
        <f>CIN!J$2</f>
        <v>131.04229460580694</v>
      </c>
      <c r="L16" s="10">
        <f>CIN!K$2</f>
        <v>1.078901355</v>
      </c>
      <c r="M16" s="10">
        <f t="shared" si="0"/>
        <v>329.11952678046219</v>
      </c>
      <c r="N1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448.82704920258811</v>
      </c>
      <c r="O16" s="12">
        <v>11.000501619200461</v>
      </c>
    </row>
    <row r="17" spans="1:15" x14ac:dyDescent="0.25">
      <c r="A17" s="8">
        <f>IF(TableQBMaster[[#This Row],[Player]]&lt;&gt;0,A16+1,A16)</f>
        <v>15</v>
      </c>
      <c r="B17" s="9" t="str">
        <f>CIN!A$3</f>
        <v>Joe Flacco</v>
      </c>
      <c r="C17" s="9" t="s">
        <v>58</v>
      </c>
      <c r="D17" s="9">
        <f>CIN!C$3</f>
        <v>6</v>
      </c>
      <c r="E17" s="10">
        <f>CIN!D$3</f>
        <v>32.281250000000028</v>
      </c>
      <c r="F17" s="10">
        <f>CIN!E$3</f>
        <v>20.024899480003217</v>
      </c>
      <c r="G17" s="10">
        <f>CIN!F$3</f>
        <v>205.50888872940564</v>
      </c>
      <c r="H17" s="10">
        <f>CIN!G$3</f>
        <v>1.481842561520238</v>
      </c>
      <c r="I17" s="10">
        <f>CIN!H$3</f>
        <v>0.71555202875062751</v>
      </c>
      <c r="J17" s="10">
        <f>CIN!I$3</f>
        <v>0</v>
      </c>
      <c r="K17" s="10">
        <f>CIN!J$3</f>
        <v>0</v>
      </c>
      <c r="L17" s="10">
        <f>CIN!K$3</f>
        <v>0</v>
      </c>
      <c r="M17" s="10">
        <f t="shared" si="0"/>
        <v>13.074397752131235</v>
      </c>
      <c r="N1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18.398348837547346</v>
      </c>
      <c r="O17" s="12">
        <v>0</v>
      </c>
    </row>
    <row r="18" spans="1:15" x14ac:dyDescent="0.25">
      <c r="A18" s="8">
        <f>IF(TableQBMaster[[#This Row],[Player]]&lt;&gt;0,A17+1,A17)</f>
        <v>16</v>
      </c>
      <c r="B18" s="9" t="str">
        <f>CLE!A$2</f>
        <v>Shedeur Sanders</v>
      </c>
      <c r="C18" s="9" t="s">
        <v>59</v>
      </c>
      <c r="D18" s="9">
        <f>CLE!C$2</f>
        <v>11</v>
      </c>
      <c r="E18" s="10">
        <f>CLE!D$2</f>
        <v>252.45</v>
      </c>
      <c r="F18" s="10">
        <f>CLE!E$2</f>
        <v>149.45039999999997</v>
      </c>
      <c r="G18" s="10">
        <f>CLE!F$2</f>
        <v>1652.9214239999999</v>
      </c>
      <c r="H18" s="10">
        <f>CLE!G$2</f>
        <v>8.9670239999999986</v>
      </c>
      <c r="I18" s="10">
        <f>CLE!H$2</f>
        <v>8.9204641658318629</v>
      </c>
      <c r="J18" s="10">
        <f>CLE!I$2</f>
        <v>31.297476000000003</v>
      </c>
      <c r="K18" s="10">
        <f>CLE!J$2</f>
        <v>216.26555916000004</v>
      </c>
      <c r="L18" s="10">
        <f>CLE!K$2</f>
        <v>1.4664492175644104</v>
      </c>
      <c r="M18" s="10">
        <f t="shared" si="0"/>
        <v>119.02950793263865</v>
      </c>
      <c r="N1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156.36882801555461</v>
      </c>
      <c r="O18" s="12">
        <v>0</v>
      </c>
    </row>
    <row r="19" spans="1:15" x14ac:dyDescent="0.25">
      <c r="A19" s="8">
        <f>IF(TableQBMaster[[#This Row],[Player]]&lt;&gt;0,A18+1,A18)</f>
        <v>17</v>
      </c>
      <c r="B19" s="9" t="str">
        <f>CLE!A$3</f>
        <v>Deshaun Watson</v>
      </c>
      <c r="C19" s="9" t="s">
        <v>59</v>
      </c>
      <c r="D19" s="9">
        <f>CLE!C$3</f>
        <v>11</v>
      </c>
      <c r="E19" s="10">
        <f>CLE!D$3</f>
        <v>242.35199999999998</v>
      </c>
      <c r="F19" s="10">
        <f>CLE!E$3</f>
        <v>147.35001599999998</v>
      </c>
      <c r="G19" s="10">
        <f>CLE!F$3</f>
        <v>1611.9485293795922</v>
      </c>
      <c r="H19" s="10">
        <f>CLE!G$3</f>
        <v>9.1357009919999985</v>
      </c>
      <c r="I19" s="10">
        <f>CLE!H$3</f>
        <v>6.0999914062062128</v>
      </c>
      <c r="J19" s="10">
        <f>CLE!I$3</f>
        <v>32.811870000000006</v>
      </c>
      <c r="K19" s="10">
        <f>CLE!J$3</f>
        <v>145.09293616257241</v>
      </c>
      <c r="L19" s="10">
        <f>CLE!K$3</f>
        <v>0.95389752307357867</v>
      </c>
      <c r="M19" s="10">
        <f t="shared" si="0"/>
        <v>112.10343678857308</v>
      </c>
      <c r="N1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148.1598360756762</v>
      </c>
      <c r="O19" s="12">
        <v>0</v>
      </c>
    </row>
    <row r="20" spans="1:15" x14ac:dyDescent="0.25">
      <c r="A20" s="8">
        <f>IF(TableQBMaster[[#This Row],[Player]]&lt;&gt;0,A19+1,A19)</f>
        <v>18</v>
      </c>
      <c r="B20" s="9" t="str">
        <f>CLE!A$4</f>
        <v>Taylen Green</v>
      </c>
      <c r="C20" s="9" t="s">
        <v>59</v>
      </c>
      <c r="D20" s="9">
        <f>CLE!C$4</f>
        <v>11</v>
      </c>
      <c r="E20" s="10">
        <f>CLE!D$4</f>
        <v>10.097999999999999</v>
      </c>
      <c r="F20" s="10">
        <f>CLE!E$4</f>
        <v>5.7154679999999987</v>
      </c>
      <c r="G20" s="10">
        <f>CLE!F$4</f>
        <v>63.041612039999983</v>
      </c>
      <c r="H20" s="10">
        <f>CLE!G$4</f>
        <v>0.3029198039999999</v>
      </c>
      <c r="I20" s="10">
        <f>CLE!H$4</f>
        <v>0.32313599999999998</v>
      </c>
      <c r="J20" s="10">
        <f>CLE!I$4</f>
        <v>0</v>
      </c>
      <c r="K20" s="10">
        <f>CLE!J$4</f>
        <v>0</v>
      </c>
      <c r="L20" s="10">
        <f>CLE!K$4</f>
        <v>0</v>
      </c>
      <c r="M20" s="10">
        <f t="shared" ref="M20" si="3">(G20/25)+(H20*4)+(I20*-1.5)+(K20/10)+(L20*6)</f>
        <v>3.2486396975999989</v>
      </c>
      <c r="N2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4.5875941055999991</v>
      </c>
      <c r="O20" s="12">
        <v>1</v>
      </c>
    </row>
    <row r="21" spans="1:15" x14ac:dyDescent="0.25">
      <c r="A21" s="8">
        <f>IF(TableQBMaster[[#This Row],[Player]]&lt;&gt;0,A20+1,A20)</f>
        <v>19</v>
      </c>
      <c r="B21" s="9" t="str">
        <f>DAL!A$2</f>
        <v>Dak Prescott</v>
      </c>
      <c r="C21" s="9" t="s">
        <v>60</v>
      </c>
      <c r="D21" s="9">
        <f>DAL!C$2</f>
        <v>14</v>
      </c>
      <c r="E21" s="10">
        <f>DAL!D$2</f>
        <v>602.76369999999997</v>
      </c>
      <c r="F21" s="10">
        <f>DAL!E$2</f>
        <v>405.58246881758657</v>
      </c>
      <c r="G21" s="10">
        <f>DAL!F$2</f>
        <v>4542.5236507569689</v>
      </c>
      <c r="H21" s="10">
        <f>DAL!G$2</f>
        <v>31.229850098954167</v>
      </c>
      <c r="I21" s="10">
        <f>DAL!H$2</f>
        <v>12.267773740200933</v>
      </c>
      <c r="J21" s="10">
        <f>DAL!I$2</f>
        <v>46.131584100000005</v>
      </c>
      <c r="K21" s="10">
        <f>DAL!J$2</f>
        <v>168.88968348237614</v>
      </c>
      <c r="L21" s="10">
        <f>DAL!K$2</f>
        <v>1.6670136111378264</v>
      </c>
      <c r="M21" s="10">
        <f t="shared" si="0"/>
        <v>315.10973583085854</v>
      </c>
      <c r="N2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424.26156978062608</v>
      </c>
      <c r="O21" s="12">
        <v>14.963176810803908</v>
      </c>
    </row>
    <row r="22" spans="1:15" x14ac:dyDescent="0.25">
      <c r="A22" s="8">
        <f>IF(TableQBMaster[[#This Row],[Player]]&lt;&gt;0,A21+1,A21)</f>
        <v>20</v>
      </c>
      <c r="B22" s="9" t="str">
        <f>DAL!A$3</f>
        <v>Sam Howell</v>
      </c>
      <c r="C22" s="9" t="s">
        <v>60</v>
      </c>
      <c r="D22" s="9">
        <f>DAL!C$3</f>
        <v>14</v>
      </c>
      <c r="E22" s="10">
        <f>DAL!D$3</f>
        <v>12.30130000000001</v>
      </c>
      <c r="F22" s="10">
        <f>DAL!E$3</f>
        <v>7.0581743298761186</v>
      </c>
      <c r="G22" s="10">
        <f>DAL!F$3</f>
        <v>75.577273295894912</v>
      </c>
      <c r="H22" s="10">
        <f>DAL!G$3</f>
        <v>0.48056544124672268</v>
      </c>
      <c r="I22" s="10">
        <f>DAL!H$3</f>
        <v>0.29251809467191825</v>
      </c>
      <c r="J22" s="10">
        <f>DAL!I$3</f>
        <v>1.2934089000000002</v>
      </c>
      <c r="K22" s="10">
        <f>DAL!J$3</f>
        <v>7.1856050000000007</v>
      </c>
      <c r="L22" s="10">
        <f>DAL!K$3</f>
        <v>9.5808066666666677E-2</v>
      </c>
      <c r="M22" s="10">
        <f t="shared" si="0"/>
        <v>5.7999844548148101</v>
      </c>
      <c r="N2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7.6131918176318258</v>
      </c>
      <c r="O22" s="12">
        <v>0</v>
      </c>
    </row>
    <row r="23" spans="1:15" x14ac:dyDescent="0.25">
      <c r="A23" s="8">
        <f>IF(TableQBMaster[[#This Row],[Player]]&lt;&gt;0,A22+1,A22)</f>
        <v>21</v>
      </c>
      <c r="B23" s="9" t="str">
        <f>DEN!A$2</f>
        <v>Bo Nix</v>
      </c>
      <c r="C23" s="9" t="s">
        <v>61</v>
      </c>
      <c r="D23" s="9">
        <f>DEN!C$2</f>
        <v>10</v>
      </c>
      <c r="E23" s="10">
        <f>DEN!D$2</f>
        <v>570.67164000000014</v>
      </c>
      <c r="F23" s="10">
        <f>DEN!E$2</f>
        <v>369.92991785531984</v>
      </c>
      <c r="G23" s="10">
        <f>DEN!F$2</f>
        <v>3913.8585309092841</v>
      </c>
      <c r="H23" s="10">
        <f>DEN!G$2</f>
        <v>26.265024167727706</v>
      </c>
      <c r="I23" s="10">
        <f>DEN!H$2</f>
        <v>11.445045289519861</v>
      </c>
      <c r="J23" s="10">
        <f>DEN!I$2</f>
        <v>81.722009879999987</v>
      </c>
      <c r="K23" s="10">
        <f>DEN!J$2</f>
        <v>353.06822370358316</v>
      </c>
      <c r="L23" s="10">
        <f>DEN!K$2</f>
        <v>4.273902009493125</v>
      </c>
      <c r="M23" s="10">
        <f t="shared" si="0"/>
        <v>305.39710440031951</v>
      </c>
      <c r="N2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400.64266716606681</v>
      </c>
      <c r="O23" s="12">
        <v>0</v>
      </c>
    </row>
    <row r="24" spans="1:15" x14ac:dyDescent="0.25">
      <c r="A24" s="8">
        <f>IF(TableQBMaster[[#This Row],[Player]]&lt;&gt;0,A23+1,A23)</f>
        <v>22</v>
      </c>
      <c r="B24" s="9" t="str">
        <f>DEN!A$3</f>
        <v>Jarrett Stidham</v>
      </c>
      <c r="C24" s="9" t="s">
        <v>61</v>
      </c>
      <c r="D24" s="9">
        <f>DEN!C$3</f>
        <v>10</v>
      </c>
      <c r="E24" s="10">
        <f>DEN!D$3</f>
        <v>11.646360000000001</v>
      </c>
      <c r="F24" s="10">
        <f>DEN!E$3</f>
        <v>6.9001058890030844</v>
      </c>
      <c r="G24" s="10">
        <f>DEN!F$3</f>
        <v>74.156161370332313</v>
      </c>
      <c r="H24" s="10">
        <f>DEN!G$3</f>
        <v>0.47612160328879771</v>
      </c>
      <c r="I24" s="10">
        <f>DEN!H$3</f>
        <v>0.34445669064748208</v>
      </c>
      <c r="J24" s="10">
        <f>DEN!I$3</f>
        <v>0</v>
      </c>
      <c r="K24" s="10">
        <f>DEN!J$3</f>
        <v>0</v>
      </c>
      <c r="L24" s="10">
        <f>DEN!K$3</f>
        <v>0</v>
      </c>
      <c r="M24" s="10">
        <f t="shared" si="0"/>
        <v>4.35404783199726</v>
      </c>
      <c r="N2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6.1685299727989049</v>
      </c>
      <c r="O24" s="12">
        <v>0</v>
      </c>
    </row>
    <row r="25" spans="1:15" x14ac:dyDescent="0.25">
      <c r="A25" s="8">
        <f>IF(TableQBMaster[[#This Row],[Player]]&lt;&gt;0,A24+1,A24)</f>
        <v>23</v>
      </c>
      <c r="B25" s="9" t="str">
        <f>DET!A$2</f>
        <v>Jared Goff</v>
      </c>
      <c r="C25" s="9" t="s">
        <v>62</v>
      </c>
      <c r="D25" s="9">
        <f>DET!C$2</f>
        <v>6</v>
      </c>
      <c r="E25" s="10">
        <f>DET!D$2</f>
        <v>585.41279999999995</v>
      </c>
      <c r="F25" s="10">
        <f>DET!E$2</f>
        <v>402.75215997183261</v>
      </c>
      <c r="G25" s="10">
        <f>DET!F$2</f>
        <v>4642.5269653189362</v>
      </c>
      <c r="H25" s="10">
        <f>DET!G$2</f>
        <v>32.220172797746606</v>
      </c>
      <c r="I25" s="10">
        <f>DET!H$2</f>
        <v>10.980004422275686</v>
      </c>
      <c r="J25" s="10">
        <f>DET!I$2</f>
        <v>19.431596800000001</v>
      </c>
      <c r="K25" s="10">
        <f>DET!J$2</f>
        <v>38.992333759437948</v>
      </c>
      <c r="L25" s="10">
        <f>DET!K$2</f>
        <v>0.49196251214456382</v>
      </c>
      <c r="M25" s="10">
        <f t="shared" si="0"/>
        <v>304.96277161914162</v>
      </c>
      <c r="N2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415.16833542295586</v>
      </c>
      <c r="O25" s="12">
        <v>0</v>
      </c>
    </row>
    <row r="26" spans="1:15" x14ac:dyDescent="0.25">
      <c r="A26" s="8">
        <f>IF(TableQBMaster[[#This Row],[Player]]&lt;&gt;0,A25+1,A25)</f>
        <v>24</v>
      </c>
      <c r="B26" s="9" t="str">
        <f>DET!A$3</f>
        <v>Teddy Bridgewater</v>
      </c>
      <c r="C26" s="9" t="s">
        <v>62</v>
      </c>
      <c r="D26" s="9">
        <f>DET!C$3</f>
        <v>6</v>
      </c>
      <c r="E26" s="10">
        <f>DET!D$3</f>
        <v>11.947200000000009</v>
      </c>
      <c r="F26" s="10">
        <f>DET!E$3</f>
        <v>7.6796676764691911</v>
      </c>
      <c r="G26" s="10">
        <f>DET!F$3</f>
        <v>80.713307279691193</v>
      </c>
      <c r="H26" s="10">
        <f>DET!G$3</f>
        <v>0.40270053095657998</v>
      </c>
      <c r="I26" s="10">
        <f>DET!H$3</f>
        <v>0.19770591678185043</v>
      </c>
      <c r="J26" s="10">
        <f>DET!I$3</f>
        <v>2.2081360000000001</v>
      </c>
      <c r="K26" s="10">
        <f>DET!J$3</f>
        <v>7.8353212903225806</v>
      </c>
      <c r="L26" s="10">
        <f>DET!K$3</f>
        <v>7.1230193548387097E-2</v>
      </c>
      <c r="M26" s="10">
        <f t="shared" si="0"/>
        <v>5.7536888301637727</v>
      </c>
      <c r="N2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7.4259096181147779</v>
      </c>
      <c r="O26" s="12">
        <v>0</v>
      </c>
    </row>
    <row r="27" spans="1:15" x14ac:dyDescent="0.25">
      <c r="A27" s="8">
        <f>IF(TableQBMaster[[#This Row],[Player]]&lt;&gt;0,A26+1,A26)</f>
        <v>25</v>
      </c>
      <c r="B27" s="9" t="str">
        <f>GB!A$2</f>
        <v>Jordan Love</v>
      </c>
      <c r="C27" s="9" t="s">
        <v>63</v>
      </c>
      <c r="D27" s="9">
        <f>GB!C$2</f>
        <v>11</v>
      </c>
      <c r="E27" s="10">
        <f>GB!D$2</f>
        <v>524.46636000000001</v>
      </c>
      <c r="F27" s="10">
        <f>GB!E$2</f>
        <v>340.93206060728272</v>
      </c>
      <c r="G27" s="10">
        <f>GB!F$2</f>
        <v>4036.6355975902275</v>
      </c>
      <c r="H27" s="10">
        <f>GB!G$2</f>
        <v>27.274564848582617</v>
      </c>
      <c r="I27" s="10">
        <f>GB!H$2</f>
        <v>10.353645370885355</v>
      </c>
      <c r="J27" s="10">
        <f>GB!I$2</f>
        <v>44.803071600000003</v>
      </c>
      <c r="K27" s="10">
        <f>GB!J$2</f>
        <v>192.6377548323905</v>
      </c>
      <c r="L27" s="10">
        <f>GB!K$2</f>
        <v>1.1200767900000002</v>
      </c>
      <c r="M27" s="10">
        <f t="shared" si="0"/>
        <v>281.01745146485064</v>
      </c>
      <c r="N2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374.83660990818674</v>
      </c>
      <c r="O27" s="12">
        <v>16.118099546479993</v>
      </c>
    </row>
    <row r="28" spans="1:15" x14ac:dyDescent="0.25">
      <c r="A28" s="8">
        <f>IF(TableQBMaster[[#This Row],[Player]]&lt;&gt;0,A27+1,A27)</f>
        <v>26</v>
      </c>
      <c r="B28" s="9" t="str">
        <f>GB!A$3</f>
        <v>Tyrod Taylor</v>
      </c>
      <c r="C28" s="9" t="s">
        <v>63</v>
      </c>
      <c r="D28" s="9">
        <f>GB!C$3</f>
        <v>11</v>
      </c>
      <c r="E28" s="10">
        <f>GB!D$3</f>
        <v>5.2976400000000048</v>
      </c>
      <c r="F28" s="10">
        <f>GB!E$3</f>
        <v>3.1190413527540626</v>
      </c>
      <c r="G28" s="10">
        <f>GB!F$3</f>
        <v>32.004419264467913</v>
      </c>
      <c r="H28" s="10">
        <f>GB!G$3</f>
        <v>0.21601701880685328</v>
      </c>
      <c r="I28" s="10">
        <f>GB!H$3</f>
        <v>8.1991861152966194E-2</v>
      </c>
      <c r="J28" s="10">
        <f>GB!I$3</f>
        <v>0</v>
      </c>
      <c r="K28" s="10">
        <f>GB!J$3</f>
        <v>0</v>
      </c>
      <c r="L28" s="10">
        <f>GB!K$3</f>
        <v>0</v>
      </c>
      <c r="M28" s="10">
        <f t="shared" si="0"/>
        <v>2.0212570540766803</v>
      </c>
      <c r="N2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2.8061911575422762</v>
      </c>
      <c r="O28" s="12">
        <v>0</v>
      </c>
    </row>
    <row r="29" spans="1:15" x14ac:dyDescent="0.25">
      <c r="A29" s="8">
        <f>IF(TableQBMaster[[#This Row],[Player]]&lt;&gt;0,A28+1,A28)</f>
        <v>27</v>
      </c>
      <c r="B29" s="9" t="str">
        <f>HOU!A$3</f>
        <v>Davis Mills</v>
      </c>
      <c r="C29" s="9" t="s">
        <v>64</v>
      </c>
      <c r="D29" s="9">
        <f>HOU!C$3</f>
        <v>8</v>
      </c>
      <c r="E29" s="10">
        <f>HOU!D$3</f>
        <v>5.8457699999999999</v>
      </c>
      <c r="F29" s="10">
        <f>HOU!E$3</f>
        <v>3.3520408239830131</v>
      </c>
      <c r="G29" s="10">
        <f>HOU!F$3</f>
        <v>34.323580975413506</v>
      </c>
      <c r="H29" s="10">
        <f>HOU!G$3</f>
        <v>0.20095651005811357</v>
      </c>
      <c r="I29" s="10">
        <f>HOU!H$3</f>
        <v>0.10661931873044257</v>
      </c>
      <c r="J29" s="10">
        <f>HOU!I$3</f>
        <v>2.1874727000000003</v>
      </c>
      <c r="K29" s="10">
        <f>HOU!J$3</f>
        <v>9.4107618162823758</v>
      </c>
      <c r="L29" s="10">
        <f>HOU!K$3</f>
        <v>8.7056715161086554E-2</v>
      </c>
      <c r="M29" s="10">
        <f t="shared" si="0"/>
        <v>3.4802567737480876</v>
      </c>
      <c r="N2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4.2706835356278372</v>
      </c>
      <c r="O29" s="12">
        <v>0</v>
      </c>
    </row>
    <row r="30" spans="1:15" x14ac:dyDescent="0.25">
      <c r="A30" s="8">
        <f>IF(TableQBMaster[[#This Row],[Player]]&lt;&gt;0,A29+1,A29)</f>
        <v>28</v>
      </c>
      <c r="B30" s="9" t="str">
        <f>HOU!A$2</f>
        <v>C.J. Stroud</v>
      </c>
      <c r="C30" s="9" t="s">
        <v>64</v>
      </c>
      <c r="D30" s="9">
        <f>HOU!C$2</f>
        <v>8</v>
      </c>
      <c r="E30" s="10">
        <f>HOU!D$2</f>
        <v>578.73122999999998</v>
      </c>
      <c r="F30" s="10">
        <f>HOU!E$2</f>
        <v>370.89967563996294</v>
      </c>
      <c r="G30" s="10">
        <f>HOU!F$2</f>
        <v>4147.9956605545549</v>
      </c>
      <c r="H30" s="10">
        <f>HOU!G$2</f>
        <v>24.479378592237556</v>
      </c>
      <c r="I30" s="10">
        <f>HOU!H$2</f>
        <v>12.140101997351696</v>
      </c>
      <c r="J30" s="10">
        <f>HOU!I$2</f>
        <v>53.374333880000009</v>
      </c>
      <c r="K30" s="10">
        <f>HOU!J$2</f>
        <v>225.1106944470877</v>
      </c>
      <c r="L30" s="10">
        <f>HOU!K$2</f>
        <v>1.0674866776000003</v>
      </c>
      <c r="M30" s="10">
        <f t="shared" si="0"/>
        <v>274.54317730541362</v>
      </c>
      <c r="N3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366.66195305256093</v>
      </c>
      <c r="O30" s="12">
        <v>0</v>
      </c>
    </row>
    <row r="31" spans="1:15" x14ac:dyDescent="0.25">
      <c r="A31" s="8">
        <f>IF(TableQBMaster[[#This Row],[Player]]&lt;&gt;0,A30+1,A30)</f>
        <v>28</v>
      </c>
      <c r="B31" s="9">
        <f>HOU!A$4</f>
        <v>0</v>
      </c>
      <c r="C31" s="9" t="s">
        <v>64</v>
      </c>
      <c r="D31" s="9">
        <f>HOU!C$4</f>
        <v>8</v>
      </c>
      <c r="E31" s="10">
        <f>HOU!D$4</f>
        <v>0</v>
      </c>
      <c r="F31" s="10">
        <f>HOU!E$4</f>
        <v>0</v>
      </c>
      <c r="G31" s="10">
        <f>HOU!F$4</f>
        <v>0</v>
      </c>
      <c r="H31" s="10">
        <f>HOU!G$4</f>
        <v>0</v>
      </c>
      <c r="I31" s="10">
        <f>HOU!H$4</f>
        <v>0</v>
      </c>
      <c r="J31" s="10">
        <f>HOU!I$4</f>
        <v>0</v>
      </c>
      <c r="K31" s="10">
        <f>HOU!J$4</f>
        <v>0</v>
      </c>
      <c r="L31" s="10">
        <f>HOU!K$4</f>
        <v>0</v>
      </c>
      <c r="M31" s="10">
        <f t="shared" si="0"/>
        <v>0</v>
      </c>
      <c r="N3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31" s="12">
        <v>0</v>
      </c>
    </row>
    <row r="32" spans="1:15" x14ac:dyDescent="0.25">
      <c r="A32" s="8">
        <f>IF(TableQBMaster[[#This Row],[Player]]&lt;&gt;0,A31+1,A31)</f>
        <v>29</v>
      </c>
      <c r="B32" s="9" t="str">
        <f>IND!A$2</f>
        <v>Daniel Jones</v>
      </c>
      <c r="C32" s="9" t="s">
        <v>65</v>
      </c>
      <c r="D32" s="9">
        <f>IND!C$2</f>
        <v>13</v>
      </c>
      <c r="E32" s="10">
        <f>IND!D$2</f>
        <v>479.952</v>
      </c>
      <c r="F32" s="10">
        <f>IND!E$2</f>
        <v>318.89592338176658</v>
      </c>
      <c r="G32" s="10">
        <f>IND!F$2</f>
        <v>3479.1545240950736</v>
      </c>
      <c r="H32" s="10">
        <f>IND!G$2</f>
        <v>21.366026866578363</v>
      </c>
      <c r="I32" s="10">
        <f>IND!H$2</f>
        <v>10.651129947513136</v>
      </c>
      <c r="J32" s="10">
        <f>IND!I$2</f>
        <v>72.413768000000005</v>
      </c>
      <c r="K32" s="10">
        <f>IND!J$2</f>
        <v>284.72435575494887</v>
      </c>
      <c r="L32" s="10">
        <f>IND!K$2</f>
        <v>5.0689637600000008</v>
      </c>
      <c r="M32" s="10">
        <f t="shared" si="0"/>
        <v>267.53981164434163</v>
      </c>
      <c r="N3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347.48702268943157</v>
      </c>
      <c r="O32" s="12">
        <v>0</v>
      </c>
    </row>
    <row r="33" spans="1:15" x14ac:dyDescent="0.25">
      <c r="A33" s="8">
        <f>IF(TableQBMaster[[#This Row],[Player]]&lt;&gt;0,A32+1,A32)</f>
        <v>30</v>
      </c>
      <c r="B33" s="9" t="str">
        <f>IND!A$3</f>
        <v>Anthony Richardson</v>
      </c>
      <c r="C33" s="9" t="s">
        <v>65</v>
      </c>
      <c r="D33" s="9">
        <f>IND!C$3</f>
        <v>13</v>
      </c>
      <c r="E33" s="10">
        <f>IND!D$3</f>
        <v>26.664000000000001</v>
      </c>
      <c r="F33" s="10">
        <f>IND!E$3</f>
        <v>14.66897010976982</v>
      </c>
      <c r="G33" s="10">
        <f>IND!F$3</f>
        <v>196.27082006872021</v>
      </c>
      <c r="H33" s="10">
        <f>IND!G$3</f>
        <v>0.79212438592757028</v>
      </c>
      <c r="I33" s="10">
        <f>IND!H$3</f>
        <v>0.38917262140055342</v>
      </c>
      <c r="J33" s="10">
        <f>IND!I$3</f>
        <v>23.359279999999998</v>
      </c>
      <c r="K33" s="10">
        <f>IND!J$3</f>
        <v>119.13232799999999</v>
      </c>
      <c r="L33" s="10">
        <f>IND!K$3</f>
        <v>1.4249160799999998</v>
      </c>
      <c r="M33" s="10">
        <f t="shared" si="0"/>
        <v>30.898300694358259</v>
      </c>
      <c r="N3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34.144032787890652</v>
      </c>
      <c r="O33" s="12">
        <v>0</v>
      </c>
    </row>
    <row r="34" spans="1:15" x14ac:dyDescent="0.25">
      <c r="A34" s="8">
        <f>IF(TableQBMaster[[#This Row],[Player]]&lt;&gt;0,A33+1,A33)</f>
        <v>31</v>
      </c>
      <c r="B34" s="9" t="str">
        <f>JAX!A$2</f>
        <v>Trevor Lawrence</v>
      </c>
      <c r="C34" s="9" t="s">
        <v>83</v>
      </c>
      <c r="D34" s="9">
        <f>JAX!C$2</f>
        <v>7</v>
      </c>
      <c r="E34" s="10">
        <f>JAX!D$2</f>
        <v>565.38405</v>
      </c>
      <c r="F34" s="10">
        <f>JAX!E$2</f>
        <v>348.84195884999997</v>
      </c>
      <c r="G34" s="10">
        <f>JAX!F$2</f>
        <v>4018.6593659519995</v>
      </c>
      <c r="H34" s="10">
        <f>JAX!G$2</f>
        <v>26.17068504618894</v>
      </c>
      <c r="I34" s="10">
        <f>JAX!H$2</f>
        <v>13.253447540661002</v>
      </c>
      <c r="J34" s="10">
        <f>JAX!I$2</f>
        <v>74.940732299999993</v>
      </c>
      <c r="K34" s="10">
        <f>JAX!J$2</f>
        <v>337.36719955313924</v>
      </c>
      <c r="L34" s="10">
        <f>JAX!K$2</f>
        <v>6.0402230233800003</v>
      </c>
      <c r="M34" s="10">
        <f t="shared" si="0"/>
        <v>315.52700160743814</v>
      </c>
      <c r="N3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409.37929135514651</v>
      </c>
      <c r="O34" s="12">
        <v>6.07799409151934</v>
      </c>
    </row>
    <row r="35" spans="1:15" x14ac:dyDescent="0.25">
      <c r="A35" s="8">
        <f>IF(TableQBMaster[[#This Row],[Player]]&lt;&gt;0,A34+1,A34)</f>
        <v>32</v>
      </c>
      <c r="B35" s="9" t="str">
        <f>JAX!A$3</f>
        <v>Nick Mullens</v>
      </c>
      <c r="C35" s="9" t="s">
        <v>83</v>
      </c>
      <c r="D35" s="9">
        <f>JAX!C$3</f>
        <v>7</v>
      </c>
      <c r="E35" s="10">
        <f>JAX!D$3</f>
        <v>5.7109500000000057</v>
      </c>
      <c r="F35" s="10">
        <f>JAX!E$3</f>
        <v>3.9862431000000038</v>
      </c>
      <c r="G35" s="10">
        <f>JAX!F$3</f>
        <v>42.453489015000045</v>
      </c>
      <c r="H35" s="10">
        <f>JAX!G$3</f>
        <v>0.23598103231579806</v>
      </c>
      <c r="I35" s="10">
        <f>JAX!H$3</f>
        <v>0.17418006440389402</v>
      </c>
      <c r="J35" s="10">
        <f>JAX!I$3</f>
        <v>0</v>
      </c>
      <c r="K35" s="10">
        <f>JAX!J$3</f>
        <v>0</v>
      </c>
      <c r="L35" s="10">
        <f>JAX!K$3</f>
        <v>0</v>
      </c>
      <c r="M35" s="10">
        <f t="shared" si="0"/>
        <v>2.3807935932573527</v>
      </c>
      <c r="N3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3.3384700000908967</v>
      </c>
      <c r="O35" s="12">
        <v>0</v>
      </c>
    </row>
    <row r="36" spans="1:15" x14ac:dyDescent="0.25">
      <c r="A36" s="8">
        <f>IF(TableQBMaster[[#This Row],[Player]]&lt;&gt;0,A35+1,A35)</f>
        <v>33</v>
      </c>
      <c r="B36" s="9" t="str">
        <f>KC!A$2</f>
        <v>Patrick Mahomes</v>
      </c>
      <c r="C36" s="9" t="s">
        <v>67</v>
      </c>
      <c r="D36" s="9">
        <f>KC!C$2</f>
        <v>5</v>
      </c>
      <c r="E36" s="10">
        <f>KC!D$2</f>
        <v>567.55374999999992</v>
      </c>
      <c r="F36" s="10">
        <f>KC!E$2</f>
        <v>369.37652327206109</v>
      </c>
      <c r="G36" s="10">
        <f>KC!F$2</f>
        <v>4051.9940332102506</v>
      </c>
      <c r="H36" s="10">
        <f>KC!G$2</f>
        <v>30.288874908309012</v>
      </c>
      <c r="I36" s="10">
        <f>KC!H$2</f>
        <v>12.108582487817603</v>
      </c>
      <c r="J36" s="10">
        <f>KC!I$2</f>
        <v>56.256655000000009</v>
      </c>
      <c r="K36" s="10">
        <f>KC!J$2</f>
        <v>327.35795325263115</v>
      </c>
      <c r="L36" s="10">
        <f>KC!K$2</f>
        <v>2.6440627850000005</v>
      </c>
      <c r="M36" s="10">
        <f t="shared" si="0"/>
        <v>313.67255926518277</v>
      </c>
      <c r="N3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417.24225265291568</v>
      </c>
      <c r="O36" s="12">
        <v>24</v>
      </c>
    </row>
    <row r="37" spans="1:15" x14ac:dyDescent="0.25">
      <c r="A37" s="8">
        <f>IF(TableQBMaster[[#This Row],[Player]]&lt;&gt;0,A36+1,A36)</f>
        <v>34</v>
      </c>
      <c r="B37" s="9" t="str">
        <f>KC!A$3</f>
        <v>Justin Fields</v>
      </c>
      <c r="C37" s="9" t="s">
        <v>67</v>
      </c>
      <c r="D37" s="9">
        <f>KC!C$3</f>
        <v>5</v>
      </c>
      <c r="E37" s="10">
        <f>KC!D$3</f>
        <v>29.87125</v>
      </c>
      <c r="F37" s="10">
        <f>KC!E$3</f>
        <v>18.916116027884559</v>
      </c>
      <c r="G37" s="10">
        <f>KC!F$3</f>
        <v>187.64787099661481</v>
      </c>
      <c r="H37" s="10">
        <f>KC!G$3</f>
        <v>1.1605429784513495</v>
      </c>
      <c r="I37" s="10">
        <f>KC!H$3</f>
        <v>0.46715527487029007</v>
      </c>
      <c r="J37" s="10">
        <f>KC!I$3</f>
        <v>6.4911525000000001</v>
      </c>
      <c r="K37" s="10">
        <f>KC!J$3</f>
        <v>32.823096448834477</v>
      </c>
      <c r="L37" s="10">
        <f>KC!K$3</f>
        <v>0.25551597218149824</v>
      </c>
      <c r="M37" s="10">
        <f t="shared" ref="M37:M71" si="4">(G37/25)+(H37*4)+(I37*-1.5)+(K37/10)+(L37*6)</f>
        <v>16.262759319336993</v>
      </c>
      <c r="N3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20.709034516463291</v>
      </c>
      <c r="O37" s="12">
        <v>0</v>
      </c>
    </row>
    <row r="38" spans="1:15" x14ac:dyDescent="0.25">
      <c r="A38" s="8">
        <f>IF(TableQBMaster[[#This Row],[Player]]&lt;&gt;0,A37+1,A37)</f>
        <v>35</v>
      </c>
      <c r="B38" s="9" t="str">
        <f>LAC!A$2</f>
        <v>Justin Herbert</v>
      </c>
      <c r="C38" s="9" t="s">
        <v>68</v>
      </c>
      <c r="D38" s="9">
        <f>LAC!C$2</f>
        <v>7</v>
      </c>
      <c r="E38" s="10">
        <f>LAC!D$2</f>
        <v>531.69115999999997</v>
      </c>
      <c r="F38" s="10">
        <f>LAC!E$2</f>
        <v>352.22829470099089</v>
      </c>
      <c r="G38" s="10">
        <f>LAC!F$2</f>
        <v>4029.1470687418719</v>
      </c>
      <c r="H38" s="10">
        <f>LAC!G$2</f>
        <v>26.430355388976508</v>
      </c>
      <c r="I38" s="10">
        <f>LAC!H$2</f>
        <v>10.075406373377627</v>
      </c>
      <c r="J38" s="10">
        <f>LAC!I$2</f>
        <v>71.8862144</v>
      </c>
      <c r="K38" s="10">
        <f>LAC!J$2</f>
        <v>384.4700904988764</v>
      </c>
      <c r="L38" s="10">
        <f>LAC!K$2</f>
        <v>2.0128140031999999</v>
      </c>
      <c r="M38" s="10">
        <f t="shared" si="4"/>
        <v>302.29808781460207</v>
      </c>
      <c r="N3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395.41933124934303</v>
      </c>
      <c r="O38" s="12">
        <v>12.05655843904823</v>
      </c>
    </row>
    <row r="39" spans="1:15" x14ac:dyDescent="0.25">
      <c r="A39" s="8">
        <f>IF(TableQBMaster[[#This Row],[Player]]&lt;&gt;0,A38+1,A38)</f>
        <v>36</v>
      </c>
      <c r="B39" s="9" t="str">
        <f>LAC!A$3</f>
        <v>Trey Lance</v>
      </c>
      <c r="C39" s="9" t="s">
        <v>68</v>
      </c>
      <c r="D39" s="9">
        <f>LAC!C$3</f>
        <v>7</v>
      </c>
      <c r="E39" s="10">
        <f>LAC!D$3</f>
        <v>10.850840000000002</v>
      </c>
      <c r="F39" s="10">
        <f>LAC!E$3</f>
        <v>6.333093047158405</v>
      </c>
      <c r="G39" s="10">
        <f>LAC!F$3</f>
        <v>62.536189383313193</v>
      </c>
      <c r="H39" s="10">
        <f>LAC!G$3</f>
        <v>0.34020166868198309</v>
      </c>
      <c r="I39" s="10">
        <f>LAC!H$3</f>
        <v>0.17197522370012097</v>
      </c>
      <c r="J39" s="10">
        <f>LAC!I$3</f>
        <v>2.2464442</v>
      </c>
      <c r="K39" s="10">
        <f>LAC!J$3</f>
        <v>11.257870663898693</v>
      </c>
      <c r="L39" s="10">
        <f>LAC!K$3</f>
        <v>7.1886214399999995E-2</v>
      </c>
      <c r="M39" s="10">
        <f t="shared" si="4"/>
        <v>5.1613957673001476</v>
      </c>
      <c r="N3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6.5610960212300142</v>
      </c>
      <c r="O39" s="12">
        <v>0</v>
      </c>
    </row>
    <row r="40" spans="1:15" x14ac:dyDescent="0.25">
      <c r="A40" s="8">
        <f>IF(TableQBMaster[[#This Row],[Player]]&lt;&gt;0,A39+1,A39)</f>
        <v>37</v>
      </c>
      <c r="B40" s="9" t="str">
        <f>LAR!A$2</f>
        <v>Matthew Stafford</v>
      </c>
      <c r="C40" s="9" t="s">
        <v>69</v>
      </c>
      <c r="D40" s="9">
        <f>LAR!C$2</f>
        <v>11</v>
      </c>
      <c r="E40" s="10">
        <f>LAR!D$2</f>
        <v>571.03200000000004</v>
      </c>
      <c r="F40" s="10">
        <f>LAR!E$2</f>
        <v>371.74183200000004</v>
      </c>
      <c r="G40" s="10">
        <f>LAR!F$2</f>
        <v>4323.3575061600004</v>
      </c>
      <c r="H40" s="10">
        <f>LAR!G$2</f>
        <v>34.571990376000002</v>
      </c>
      <c r="I40" s="10">
        <f>LAR!H$2</f>
        <v>9.7587304586020061</v>
      </c>
      <c r="J40" s="10">
        <f>LAR!I$2</f>
        <v>24.427479999999996</v>
      </c>
      <c r="K40" s="10">
        <f>LAR!J$2</f>
        <v>31.922274999999996</v>
      </c>
      <c r="L40" s="10">
        <f>LAR!K$2</f>
        <v>0.6014341666666666</v>
      </c>
      <c r="M40" s="10">
        <f t="shared" si="4"/>
        <v>303.38499856249706</v>
      </c>
      <c r="N4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414.58252774379804</v>
      </c>
      <c r="O40" s="12">
        <v>1.8629292270178726</v>
      </c>
    </row>
    <row r="41" spans="1:15" x14ac:dyDescent="0.25">
      <c r="A41" s="8">
        <f>IF(TableQBMaster[[#This Row],[Player]]&lt;&gt;0,A40+1,A40)</f>
        <v>38</v>
      </c>
      <c r="B41" s="9" t="str">
        <f>LAR!A$3</f>
        <v>Ty Simpson</v>
      </c>
      <c r="C41" s="9" t="s">
        <v>69</v>
      </c>
      <c r="D41" s="9">
        <f>LAR!C$3</f>
        <v>11</v>
      </c>
      <c r="E41" s="10">
        <f>LAR!D$3</f>
        <v>5.7680000000000007</v>
      </c>
      <c r="F41" s="10">
        <f>LAR!E$3</f>
        <v>3.4781040000000001</v>
      </c>
      <c r="G41" s="10">
        <f>LAR!F$3</f>
        <v>37.339305721133357</v>
      </c>
      <c r="H41" s="10">
        <f>LAR!G$3</f>
        <v>0.24346728000000004</v>
      </c>
      <c r="I41" s="10">
        <f>LAR!H$3</f>
        <v>0.13281394959316628</v>
      </c>
      <c r="J41" s="10">
        <f>LAR!I$3</f>
        <v>0</v>
      </c>
      <c r="K41" s="10">
        <f>LAR!J$3</f>
        <v>0</v>
      </c>
      <c r="L41" s="10">
        <f>LAR!K$3</f>
        <v>0</v>
      </c>
      <c r="M41" s="10">
        <f t="shared" si="4"/>
        <v>2.2682204244555848</v>
      </c>
      <c r="N4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3.1693723592521681</v>
      </c>
      <c r="O41" s="12">
        <v>0</v>
      </c>
    </row>
    <row r="42" spans="1:15" x14ac:dyDescent="0.25">
      <c r="A42" s="8">
        <f>IF(TableQBMaster[[#This Row],[Player]]&lt;&gt;0,A41+1,A41)</f>
        <v>39</v>
      </c>
      <c r="B42" s="9" t="str">
        <f>LV!A$2</f>
        <v>Kirk Cousins</v>
      </c>
      <c r="C42" s="9" t="s">
        <v>115</v>
      </c>
      <c r="D42" s="9">
        <f>LV!C$2</f>
        <v>13</v>
      </c>
      <c r="E42" s="10">
        <f>LV!D$2</f>
        <v>361.01520000000005</v>
      </c>
      <c r="F42" s="10">
        <f>LV!E$2</f>
        <v>231.41074320000004</v>
      </c>
      <c r="G42" s="10">
        <f>LV!F$2</f>
        <v>2420.5563738720007</v>
      </c>
      <c r="H42" s="10">
        <f>LV!G$2</f>
        <v>13.421823105600003</v>
      </c>
      <c r="I42" s="10">
        <f>LV!H$2</f>
        <v>9.2329876300190143</v>
      </c>
      <c r="J42" s="10">
        <f>LV!I$2</f>
        <v>2.2177007999999994</v>
      </c>
      <c r="K42" s="10">
        <f>LV!J$2</f>
        <v>3.4338593032258053</v>
      </c>
      <c r="L42" s="10">
        <f>LV!K$2</f>
        <v>2.3846245161290313E-2</v>
      </c>
      <c r="M42" s="10">
        <f t="shared" si="4"/>
        <v>137.14652933354182</v>
      </c>
      <c r="N4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191.74774367975132</v>
      </c>
      <c r="O42" s="12">
        <v>0</v>
      </c>
    </row>
    <row r="43" spans="1:15" x14ac:dyDescent="0.25">
      <c r="A43" s="8">
        <f>IF(TableQBMaster[[#This Row],[Player]]&lt;&gt;0,A42+1,A42)</f>
        <v>40</v>
      </c>
      <c r="B43" s="9" t="str">
        <f>LV!A$3</f>
        <v>Fernando Mendoza</v>
      </c>
      <c r="C43" s="9" t="s">
        <v>115</v>
      </c>
      <c r="D43" s="9">
        <f>LV!C$3</f>
        <v>13</v>
      </c>
      <c r="E43" s="10">
        <f>LV!D$3</f>
        <v>194.39279999999999</v>
      </c>
      <c r="F43" s="10">
        <f>LV!E$3</f>
        <v>121.4572833129313</v>
      </c>
      <c r="G43" s="10">
        <f>LV!F$3</f>
        <v>1332.3863979428563</v>
      </c>
      <c r="H43" s="10">
        <f>LV!G$3</f>
        <v>7.6518088487146718</v>
      </c>
      <c r="I43" s="10">
        <f>LV!H$3</f>
        <v>4.7474164219327459</v>
      </c>
      <c r="J43" s="10">
        <f>LV!I$3</f>
        <v>38.587993919999988</v>
      </c>
      <c r="K43" s="10">
        <f>LV!J$3</f>
        <v>176.02969565291352</v>
      </c>
      <c r="L43" s="10">
        <f>LV!K$3</f>
        <v>1.6783488461494951</v>
      </c>
      <c r="M43" s="10">
        <f t="shared" si="4"/>
        <v>104.45462932186214</v>
      </c>
      <c r="N4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134.27768356155099</v>
      </c>
      <c r="O43" s="12">
        <v>0</v>
      </c>
    </row>
    <row r="44" spans="1:15" x14ac:dyDescent="0.25">
      <c r="A44" s="8">
        <f>IF(TableQBMaster[[#This Row],[Player]]&lt;&gt;0,A43+1,A43)</f>
        <v>41</v>
      </c>
      <c r="B44" s="9" t="str">
        <f>MIA!A$2</f>
        <v>Malik Willis</v>
      </c>
      <c r="C44" s="9" t="s">
        <v>70</v>
      </c>
      <c r="D44" s="9">
        <f>MIA!C$2</f>
        <v>6</v>
      </c>
      <c r="E44" s="10">
        <f>MIA!D$2</f>
        <v>487.42209000000003</v>
      </c>
      <c r="F44" s="10">
        <f>MIA!E$2</f>
        <v>321.86930607687435</v>
      </c>
      <c r="G44" s="10">
        <f>MIA!F$2</f>
        <v>3469.7511195087054</v>
      </c>
      <c r="H44" s="10">
        <f>MIA!G$2</f>
        <v>18.024681140304963</v>
      </c>
      <c r="I44" s="10">
        <f>MIA!H$2</f>
        <v>10.257034655343029</v>
      </c>
      <c r="J44" s="10">
        <f>MIA!I$2</f>
        <v>109.2995619288657</v>
      </c>
      <c r="K44" s="10">
        <f>MIA!J$2</f>
        <v>598.9615993701841</v>
      </c>
      <c r="L44" s="10">
        <f>MIA!K$2</f>
        <v>4.6998811629412245</v>
      </c>
      <c r="M44" s="10">
        <f t="shared" si="4"/>
        <v>283.59866427321924</v>
      </c>
      <c r="N4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356.96347448918812</v>
      </c>
      <c r="O44" s="12">
        <v>0.7572092175449775</v>
      </c>
    </row>
    <row r="45" spans="1:15" x14ac:dyDescent="0.25">
      <c r="A45" s="8">
        <f>IF(TableQBMaster[[#This Row],[Player]]&lt;&gt;0,A44+1,A44)</f>
        <v>42</v>
      </c>
      <c r="B45" s="9" t="str">
        <f>MIA!A$3</f>
        <v>Quinn Ewers</v>
      </c>
      <c r="C45" s="9" t="s">
        <v>70</v>
      </c>
      <c r="D45" s="9">
        <f>MIA!C$3</f>
        <v>6</v>
      </c>
      <c r="E45" s="10">
        <f>MIA!D$3</f>
        <v>15.074910000000013</v>
      </c>
      <c r="F45" s="10">
        <f>MIA!E$3</f>
        <v>8.6753177213731139</v>
      </c>
      <c r="G45" s="10">
        <f>MIA!F$3</f>
        <v>85.104866846670248</v>
      </c>
      <c r="H45" s="10">
        <f>MIA!G$3</f>
        <v>0.40773993290453636</v>
      </c>
      <c r="I45" s="10">
        <f>MIA!H$3</f>
        <v>0.2853933774923359</v>
      </c>
      <c r="J45" s="10">
        <f>MIA!I$3</f>
        <v>1.2599934743934682</v>
      </c>
      <c r="K45" s="10">
        <f>MIA!J$3</f>
        <v>4.1327785960105752</v>
      </c>
      <c r="L45" s="10">
        <f>MIA!K$3</f>
        <v>5.0399738975738732E-2</v>
      </c>
      <c r="M45" s="10">
        <f t="shared" si="4"/>
        <v>5.322740632701942</v>
      </c>
      <c r="N4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7.1484489593944947</v>
      </c>
      <c r="O45" s="12">
        <v>0</v>
      </c>
    </row>
    <row r="46" spans="1:15" x14ac:dyDescent="0.25">
      <c r="A46" s="8">
        <f>IF(TableQBMaster[[#This Row],[Player]]&lt;&gt;0,A45+1,A45)</f>
        <v>43</v>
      </c>
      <c r="B46" s="9" t="str">
        <f>MIN!A$2</f>
        <v>Kyler Murray</v>
      </c>
      <c r="C46" s="9" t="s">
        <v>71</v>
      </c>
      <c r="D46" s="9">
        <f>MIN!C$2</f>
        <v>6</v>
      </c>
      <c r="E46" s="10">
        <f>MIN!D$2</f>
        <v>513.69920000000002</v>
      </c>
      <c r="F46" s="10">
        <f>MIN!E$2</f>
        <v>349.842312690303</v>
      </c>
      <c r="G46" s="10">
        <f>MIN!F$2</f>
        <v>3673.3442832481815</v>
      </c>
      <c r="H46" s="10">
        <f>MIN!G$2</f>
        <v>22.739750324869696</v>
      </c>
      <c r="I46" s="10">
        <f>MIN!H$2</f>
        <v>10.218902894788569</v>
      </c>
      <c r="J46" s="10">
        <f>MIN!I$2</f>
        <v>77.734775999999982</v>
      </c>
      <c r="K46" s="10">
        <f>MIN!J$2</f>
        <v>466.85013550489185</v>
      </c>
      <c r="L46" s="10">
        <f>MIN!K$2</f>
        <v>3.7312692479999994</v>
      </c>
      <c r="M46" s="10">
        <f t="shared" si="4"/>
        <v>291.63704732571239</v>
      </c>
      <c r="N4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377.21023069187635</v>
      </c>
      <c r="O46" s="12">
        <v>0</v>
      </c>
    </row>
    <row r="47" spans="1:15" x14ac:dyDescent="0.25">
      <c r="A47" s="8">
        <f>IF(TableQBMaster[[#This Row],[Player]]&lt;&gt;0,A46+1,A46)</f>
        <v>44</v>
      </c>
      <c r="B47" s="9" t="str">
        <f>MIN!A$3</f>
        <v>J.J. McCarthy</v>
      </c>
      <c r="C47" s="9" t="s">
        <v>71</v>
      </c>
      <c r="D47" s="9">
        <f>MIN!C$3</f>
        <v>6</v>
      </c>
      <c r="E47" s="10">
        <f>MIN!D$3</f>
        <v>27.036799999999999</v>
      </c>
      <c r="F47" s="10">
        <f>MIN!E$3</f>
        <v>16.463851816721146</v>
      </c>
      <c r="G47" s="10">
        <f>MIN!F$3</f>
        <v>195.28242185162608</v>
      </c>
      <c r="H47" s="10">
        <f>MIN!G$3</f>
        <v>1.1923814504958721</v>
      </c>
      <c r="I47" s="10">
        <f>MIN!H$3</f>
        <v>0.71153415701700917</v>
      </c>
      <c r="J47" s="10">
        <f>MIN!I$3</f>
        <v>2.2209935999999999</v>
      </c>
      <c r="K47" s="10">
        <f>MIN!J$3</f>
        <v>10.391375895047979</v>
      </c>
      <c r="L47" s="10">
        <f>MIN!K$3</f>
        <v>0.11993365439999999</v>
      </c>
      <c r="M47" s="10">
        <f t="shared" si="4"/>
        <v>13.272260956427813</v>
      </c>
      <c r="N4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17.659176117600179</v>
      </c>
      <c r="O47" s="12">
        <v>0</v>
      </c>
    </row>
    <row r="48" spans="1:15" x14ac:dyDescent="0.25">
      <c r="A48" s="8">
        <f>IF(TableQBMaster[[#This Row],[Player]]&lt;&gt;0,A47+1,A47)</f>
        <v>45</v>
      </c>
      <c r="B48" s="9" t="str">
        <f>NE!A$2</f>
        <v>Drake Maye</v>
      </c>
      <c r="C48" s="9" t="s">
        <v>72</v>
      </c>
      <c r="D48" s="9">
        <f>NE!C$2</f>
        <v>11</v>
      </c>
      <c r="E48" s="10">
        <f>NE!D$2</f>
        <v>545.37979999999993</v>
      </c>
      <c r="F48" s="10">
        <f>NE!E$2</f>
        <v>383.40199939999991</v>
      </c>
      <c r="G48" s="10">
        <f>NE!F$2</f>
        <v>4412.9570130939992</v>
      </c>
      <c r="H48" s="10">
        <f>NE!G$2</f>
        <v>29.905355953199994</v>
      </c>
      <c r="I48" s="10">
        <f>NE!H$2</f>
        <v>11.850977386295915</v>
      </c>
      <c r="J48" s="10">
        <f>NE!I$2</f>
        <v>86.66193899999999</v>
      </c>
      <c r="K48" s="10">
        <f>NE!J$2</f>
        <v>416.84392658999991</v>
      </c>
      <c r="L48" s="10">
        <f>NE!K$2</f>
        <v>3.6398014379999997</v>
      </c>
      <c r="M48" s="10">
        <f t="shared" si="4"/>
        <v>341.886439544116</v>
      </c>
      <c r="N4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445.96284008366393</v>
      </c>
      <c r="O48" s="12">
        <v>0</v>
      </c>
    </row>
    <row r="49" spans="1:15" x14ac:dyDescent="0.25">
      <c r="A49" s="8">
        <f>IF(TableQBMaster[[#This Row],[Player]]&lt;&gt;0,A48+1,A48)</f>
        <v>46</v>
      </c>
      <c r="B49" s="9" t="str">
        <f>NE!A$3</f>
        <v>Tommy DeVito</v>
      </c>
      <c r="C49" s="9" t="s">
        <v>72</v>
      </c>
      <c r="D49" s="9">
        <f>NE!C$3</f>
        <v>11</v>
      </c>
      <c r="E49" s="10">
        <f>NE!D$3</f>
        <v>11.1302</v>
      </c>
      <c r="F49" s="10">
        <f>NE!E$3</f>
        <v>6.5722465132139813</v>
      </c>
      <c r="G49" s="10">
        <f>NE!F$3</f>
        <v>66.854512395566928</v>
      </c>
      <c r="H49" s="10">
        <f>NE!G$3</f>
        <v>0.44034051638533678</v>
      </c>
      <c r="I49" s="10">
        <f>NE!H$3</f>
        <v>0.16580187553282183</v>
      </c>
      <c r="J49" s="10">
        <f>NE!I$3</f>
        <v>0</v>
      </c>
      <c r="K49" s="10">
        <f>NE!J$3</f>
        <v>0</v>
      </c>
      <c r="L49" s="10">
        <f>NE!K$3</f>
        <v>0</v>
      </c>
      <c r="M49" s="10">
        <f t="shared" si="4"/>
        <v>4.1868397480647905</v>
      </c>
      <c r="N4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5.8076463699232752</v>
      </c>
      <c r="O49" s="12">
        <v>0</v>
      </c>
    </row>
    <row r="50" spans="1:15" x14ac:dyDescent="0.25">
      <c r="A50" s="8">
        <f>IF(TableQBMaster[[#This Row],[Player]]&lt;&gt;0,A49+1,A49)</f>
        <v>47</v>
      </c>
      <c r="B50" s="9" t="str">
        <f>NO!A$2</f>
        <v>Tyler Shough</v>
      </c>
      <c r="C50" s="9" t="s">
        <v>73</v>
      </c>
      <c r="D50" s="9">
        <f>NO!C$2</f>
        <v>8</v>
      </c>
      <c r="E50" s="10">
        <f>NO!D$2</f>
        <v>502.59967999999998</v>
      </c>
      <c r="F50" s="10">
        <f>NO!E$2</f>
        <v>333.12133515137799</v>
      </c>
      <c r="G50" s="10">
        <f>NO!F$2</f>
        <v>3631.02255315002</v>
      </c>
      <c r="H50" s="10">
        <f>NO!G$2</f>
        <v>21.986008119990949</v>
      </c>
      <c r="I50" s="10">
        <f>NO!H$2</f>
        <v>9.9773578308792974</v>
      </c>
      <c r="J50" s="10">
        <f>NO!I$2</f>
        <v>75.848048639999988</v>
      </c>
      <c r="K50" s="10">
        <f>NO!J$2</f>
        <v>312.49396039679993</v>
      </c>
      <c r="L50" s="10">
        <f>NO!K$2</f>
        <v>4.019946577919999</v>
      </c>
      <c r="M50" s="10">
        <f t="shared" si="4"/>
        <v>273.58797336684563</v>
      </c>
      <c r="N5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355.86080203740499</v>
      </c>
      <c r="O50" s="12">
        <v>0</v>
      </c>
    </row>
    <row r="51" spans="1:15" x14ac:dyDescent="0.25">
      <c r="A51" s="8">
        <f>IF(TableQBMaster[[#This Row],[Player]]&lt;&gt;0,A50+1,A50)</f>
        <v>48</v>
      </c>
      <c r="B51" s="9" t="str">
        <f>NO!A$3</f>
        <v>Spencer Rattler</v>
      </c>
      <c r="C51" s="9" t="s">
        <v>73</v>
      </c>
      <c r="D51" s="9">
        <f>NO!C$3</f>
        <v>8</v>
      </c>
      <c r="E51" s="10">
        <f>NO!D$3</f>
        <v>15.544319999999999</v>
      </c>
      <c r="F51" s="10">
        <f>NO!E$3</f>
        <v>10.141974475776411</v>
      </c>
      <c r="G51" s="10">
        <f>NO!F$3</f>
        <v>100.20270782067095</v>
      </c>
      <c r="H51" s="10">
        <f>NO!G$3</f>
        <v>0.55780859616770262</v>
      </c>
      <c r="I51" s="10">
        <f>NO!H$3</f>
        <v>0.28627229779075014</v>
      </c>
      <c r="J51" s="10">
        <f>NO!I$3</f>
        <v>2.4786943999999997</v>
      </c>
      <c r="K51" s="10">
        <f>NO!J$3</f>
        <v>13.694383562086616</v>
      </c>
      <c r="L51" s="10">
        <f>NO!K$3</f>
        <v>8.8831029417462279E-2</v>
      </c>
      <c r="M51" s="10">
        <f t="shared" si="4"/>
        <v>7.7123587835249587</v>
      </c>
      <c r="N5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9.985309572333378</v>
      </c>
      <c r="O51" s="12">
        <v>0</v>
      </c>
    </row>
    <row r="52" spans="1:15" x14ac:dyDescent="0.25">
      <c r="A52" s="8">
        <f>IF(TableQBMaster[[#This Row],[Player]]&lt;&gt;0,A51+1,A51)</f>
        <v>49</v>
      </c>
      <c r="B52" s="9" t="str">
        <f>NO!A$4</f>
        <v>Zach Wilson</v>
      </c>
      <c r="C52" s="9" t="s">
        <v>73</v>
      </c>
      <c r="D52" s="9">
        <f>NO!C$4</f>
        <v>8</v>
      </c>
      <c r="E52" s="10">
        <f>NO!D$4</f>
        <v>0</v>
      </c>
      <c r="F52" s="10">
        <f>NO!E$4</f>
        <v>0</v>
      </c>
      <c r="G52" s="10">
        <f>NO!F$4</f>
        <v>0</v>
      </c>
      <c r="H52" s="10">
        <f>NO!G$4</f>
        <v>0</v>
      </c>
      <c r="I52" s="10">
        <f>NO!H$4</f>
        <v>0</v>
      </c>
      <c r="J52" s="10">
        <f>NO!I$4</f>
        <v>0</v>
      </c>
      <c r="K52" s="10">
        <f>NO!J$4</f>
        <v>0</v>
      </c>
      <c r="L52" s="10">
        <f>NO!K$4</f>
        <v>0</v>
      </c>
      <c r="M52" s="10">
        <f t="shared" si="4"/>
        <v>0</v>
      </c>
      <c r="N5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2" s="12">
        <v>0</v>
      </c>
    </row>
    <row r="53" spans="1:15" x14ac:dyDescent="0.25">
      <c r="A53" s="8">
        <f>IF(TableQBMaster[[#This Row],[Player]]&lt;&gt;0,A52+1,A52)</f>
        <v>50</v>
      </c>
      <c r="B53" s="9" t="str">
        <f>NYG!A$2</f>
        <v>Jaxson Dart</v>
      </c>
      <c r="C53" s="9" t="s">
        <v>74</v>
      </c>
      <c r="D53" s="9">
        <f>NYG!C$2</f>
        <v>8</v>
      </c>
      <c r="E53" s="10">
        <f>NYG!D$2</f>
        <v>479.28354999999999</v>
      </c>
      <c r="F53" s="10">
        <f>NYG!E$2</f>
        <v>308.94051789906553</v>
      </c>
      <c r="G53" s="10">
        <f>NYG!F$2</f>
        <v>3355.0940243838513</v>
      </c>
      <c r="H53" s="10">
        <f>NYG!G$2</f>
        <v>22.243717288732718</v>
      </c>
      <c r="I53" s="10">
        <f>NYG!H$2</f>
        <v>8.4071869948781188</v>
      </c>
      <c r="J53" s="10">
        <f>NYG!I$2</f>
        <v>98.681278359999993</v>
      </c>
      <c r="K53" s="10">
        <f>NYG!J$2</f>
        <v>556.56240995039991</v>
      </c>
      <c r="L53" s="10">
        <f>NYG!K$2</f>
        <v>7.6971397120799994</v>
      </c>
      <c r="M53" s="10">
        <f t="shared" si="4"/>
        <v>312.40692890548775</v>
      </c>
      <c r="N5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391.99200877029875</v>
      </c>
      <c r="O53" s="12">
        <v>2.2131778336992549</v>
      </c>
    </row>
    <row r="54" spans="1:15" x14ac:dyDescent="0.25">
      <c r="A54" s="8">
        <f>IF(TableQBMaster[[#This Row],[Player]]&lt;&gt;0,A53+1,A53)</f>
        <v>51</v>
      </c>
      <c r="B54" s="9" t="str">
        <f>NYG!A$3</f>
        <v>Jameis Winston</v>
      </c>
      <c r="C54" s="9" t="s">
        <v>74</v>
      </c>
      <c r="D54" s="9">
        <f>NYG!C$3</f>
        <v>8</v>
      </c>
      <c r="E54" s="10">
        <f>NYG!D$3</f>
        <v>25.225450000000002</v>
      </c>
      <c r="F54" s="10">
        <f>NYG!E$3</f>
        <v>15.102118201712543</v>
      </c>
      <c r="G54" s="10">
        <f>NYG!F$3</f>
        <v>195.20212031197826</v>
      </c>
      <c r="H54" s="10">
        <f>NYG!G$3</f>
        <v>1.1852820803320134</v>
      </c>
      <c r="I54" s="10">
        <f>NYG!H$3</f>
        <v>0.81946913371177799</v>
      </c>
      <c r="J54" s="10">
        <f>NYG!I$3</f>
        <v>0.48852117999999994</v>
      </c>
      <c r="K54" s="10">
        <f>NYG!J$3</f>
        <v>1.3471341630303031</v>
      </c>
      <c r="L54" s="10">
        <f>NYG!K$3</f>
        <v>1.4803672121212122E-2</v>
      </c>
      <c r="M54" s="10">
        <f t="shared" si="4"/>
        <v>11.543544882269819</v>
      </c>
      <c r="N5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15.834055429960992</v>
      </c>
      <c r="O54" s="12">
        <v>0</v>
      </c>
    </row>
    <row r="55" spans="1:15" x14ac:dyDescent="0.25">
      <c r="A55" s="8">
        <f>IF(TableQBMaster[[#This Row],[Player]]&lt;&gt;0,A54+1,A54)</f>
        <v>51</v>
      </c>
      <c r="B55" s="9">
        <f>NYG!A$4</f>
        <v>0</v>
      </c>
      <c r="C55" s="9" t="s">
        <v>74</v>
      </c>
      <c r="D55" s="9">
        <f>NYG!C$4</f>
        <v>8</v>
      </c>
      <c r="E55" s="10">
        <f>NYG!D$4</f>
        <v>0</v>
      </c>
      <c r="F55" s="10">
        <f>NYG!E$4</f>
        <v>0</v>
      </c>
      <c r="G55" s="10">
        <f>NYG!F$4</f>
        <v>0</v>
      </c>
      <c r="H55" s="10">
        <f>NYG!G$4</f>
        <v>0</v>
      </c>
      <c r="I55" s="10">
        <f>NYG!H$4</f>
        <v>0</v>
      </c>
      <c r="J55" s="10">
        <f>NYG!I$4</f>
        <v>0</v>
      </c>
      <c r="K55" s="10">
        <f>NYG!J$4</f>
        <v>0</v>
      </c>
      <c r="L55" s="10">
        <f>NYG!K$4</f>
        <v>0</v>
      </c>
      <c r="M55" s="10">
        <f t="shared" ref="M55" si="5">(G55/25)+(H55*4)+(I55*-1.5)+(K55/10)+(L55*6)</f>
        <v>0</v>
      </c>
      <c r="N5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5" s="12">
        <v>1</v>
      </c>
    </row>
    <row r="56" spans="1:15" x14ac:dyDescent="0.25">
      <c r="A56" s="8">
        <f>IF(TableQBMaster[[#This Row],[Player]]&lt;&gt;0,A55+1,A55)</f>
        <v>52</v>
      </c>
      <c r="B56" s="9" t="str">
        <f>NYJ!A$2</f>
        <v>Geno Smith</v>
      </c>
      <c r="C56" s="9" t="s">
        <v>75</v>
      </c>
      <c r="D56" s="9">
        <f>NYJ!C$2</f>
        <v>13</v>
      </c>
      <c r="E56" s="10">
        <f>NYJ!D$2</f>
        <v>516.07799999999997</v>
      </c>
      <c r="F56" s="10">
        <f>NYJ!E$2</f>
        <v>353.25066783130609</v>
      </c>
      <c r="G56" s="10">
        <f>NYJ!F$2</f>
        <v>3634.3919552186435</v>
      </c>
      <c r="H56" s="10">
        <f>NYJ!G$2</f>
        <v>20.135288066384447</v>
      </c>
      <c r="I56" s="10">
        <f>NYJ!H$2</f>
        <v>15.203887356812446</v>
      </c>
      <c r="J56" s="10">
        <f>NYJ!I$2</f>
        <v>41.544983200000004</v>
      </c>
      <c r="K56" s="10">
        <f>NYJ!J$2</f>
        <v>140.9459324385553</v>
      </c>
      <c r="L56" s="10">
        <f>NYJ!K$2</f>
        <v>0.74780969760000005</v>
      </c>
      <c r="M56" s="10">
        <f t="shared" si="4"/>
        <v>221.69245086852041</v>
      </c>
      <c r="N5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304.89003746282606</v>
      </c>
      <c r="O56" s="12">
        <v>0</v>
      </c>
    </row>
    <row r="57" spans="1:15" x14ac:dyDescent="0.25">
      <c r="A57" s="8">
        <f>IF(TableQBMaster[[#This Row],[Player]]&lt;&gt;0,A56+1,A56)</f>
        <v>53</v>
      </c>
      <c r="B57" s="9" t="str">
        <f>NYJ!A$3</f>
        <v>Brady Cook</v>
      </c>
      <c r="C57" s="9" t="s">
        <v>75</v>
      </c>
      <c r="D57" s="9">
        <f>NYJ!C$3</f>
        <v>13</v>
      </c>
      <c r="E57" s="10">
        <f>NYJ!D$3</f>
        <v>34.405199999999994</v>
      </c>
      <c r="F57" s="10">
        <f>NYJ!E$3</f>
        <v>20.023826399999994</v>
      </c>
      <c r="G57" s="10">
        <f>NYJ!F$3</f>
        <v>202.64112316799992</v>
      </c>
      <c r="H57" s="10">
        <f>NYJ!G$3</f>
        <v>1.0612627991999997</v>
      </c>
      <c r="I57" s="10">
        <f>NYJ!H$3</f>
        <v>1.0321559999999999</v>
      </c>
      <c r="J57" s="10">
        <f>NYJ!I$3</f>
        <v>2.1196420000000002</v>
      </c>
      <c r="K57" s="10">
        <f>NYJ!J$3</f>
        <v>6.1893546400000004</v>
      </c>
      <c r="L57" s="10">
        <f>NYJ!K$3</f>
        <v>5.5110692000000003E-2</v>
      </c>
      <c r="M57" s="10">
        <f t="shared" si="4"/>
        <v>11.752061739519995</v>
      </c>
      <c r="N5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16.393047977919995</v>
      </c>
      <c r="O57" s="12">
        <v>0</v>
      </c>
    </row>
    <row r="58" spans="1:15" x14ac:dyDescent="0.25">
      <c r="A58" s="8">
        <f>IF(TableQBMaster[[#This Row],[Player]]&lt;&gt;0,A57+1,A57)</f>
        <v>54</v>
      </c>
      <c r="B58" s="9" t="str">
        <f>NYJ!A$4</f>
        <v>Cade Klubnik</v>
      </c>
      <c r="C58" s="9" t="s">
        <v>75</v>
      </c>
      <c r="D58" s="9">
        <f>NYJ!C$4</f>
        <v>13</v>
      </c>
      <c r="E58" s="10">
        <f>NYJ!D$4</f>
        <v>22.936799999999998</v>
      </c>
      <c r="F58" s="10">
        <f>NYJ!E$4</f>
        <v>13.06515688321605</v>
      </c>
      <c r="G58" s="10">
        <f>NYJ!F$4</f>
        <v>134.9552857438139</v>
      </c>
      <c r="H58" s="10">
        <f>NYJ!G$4</f>
        <v>0.75777909922653086</v>
      </c>
      <c r="I58" s="10">
        <f>NYJ!H$4</f>
        <v>0.63595480044499142</v>
      </c>
      <c r="J58" s="10">
        <f>NYJ!I$4</f>
        <v>2.1196420000000002</v>
      </c>
      <c r="K58" s="10">
        <f>NYJ!J$4</f>
        <v>8.1921298918918932</v>
      </c>
      <c r="L58" s="10">
        <f>NYJ!K$4</f>
        <v>5.7287621621621633E-2</v>
      </c>
      <c r="M58" s="10">
        <f t="shared" ref="M58" si="6">(G58/25)+(H58*4)+(I58*-1.5)+(K58/10)+(L58*6)</f>
        <v>8.6383343449101115</v>
      </c>
      <c r="N5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11.778385631907273</v>
      </c>
      <c r="O58" s="12">
        <v>1</v>
      </c>
    </row>
    <row r="59" spans="1:15" x14ac:dyDescent="0.25">
      <c r="A59" s="8">
        <f>IF(TableQBMaster[[#This Row],[Player]]&lt;&gt;0,A58+1,A58)</f>
        <v>55</v>
      </c>
      <c r="B59" s="9" t="str">
        <f>PHI!A$2</f>
        <v>Jalen Hurts</v>
      </c>
      <c r="C59" s="9" t="s">
        <v>76</v>
      </c>
      <c r="D59" s="9">
        <f>PHI!C$2</f>
        <v>10</v>
      </c>
      <c r="E59" s="10">
        <f>PHI!D$2</f>
        <v>480.31367999999998</v>
      </c>
      <c r="F59" s="10">
        <f>PHI!E$2</f>
        <v>315.3586330461053</v>
      </c>
      <c r="G59" s="10">
        <f>PHI!F$2</f>
        <v>3538.3238627773017</v>
      </c>
      <c r="H59" s="10">
        <f>PHI!G$2</f>
        <v>24.913332010642318</v>
      </c>
      <c r="I59" s="10">
        <f>PHI!H$2</f>
        <v>8.0550783346701191</v>
      </c>
      <c r="J59" s="10">
        <f>PHI!I$2</f>
        <v>108.73328928000001</v>
      </c>
      <c r="K59" s="10">
        <f>PHI!J$2</f>
        <v>444.46017109093691</v>
      </c>
      <c r="L59" s="10">
        <f>PHI!K$2</f>
        <v>8.8073964316800009</v>
      </c>
      <c r="M59" s="10">
        <f t="shared" si="4"/>
        <v>326.39406075082985</v>
      </c>
      <c r="N5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411.78412724406013</v>
      </c>
      <c r="O59" s="12">
        <v>10.245470930481673</v>
      </c>
    </row>
    <row r="60" spans="1:15" x14ac:dyDescent="0.25">
      <c r="A60" s="8">
        <f>IF(TableQBMaster[[#This Row],[Player]]&lt;&gt;0,A59+1,A59)</f>
        <v>56</v>
      </c>
      <c r="B60" s="9" t="str">
        <f>PHI!A$3</f>
        <v>Tanner McKee</v>
      </c>
      <c r="C60" s="9" t="s">
        <v>76</v>
      </c>
      <c r="D60" s="9">
        <f>PHI!C$3</f>
        <v>10</v>
      </c>
      <c r="E60" s="10">
        <f>PHI!D$3</f>
        <v>4.90116</v>
      </c>
      <c r="F60" s="10">
        <f>PHI!E$3</f>
        <v>3.1024342800000002</v>
      </c>
      <c r="G60" s="10">
        <f>PHI!F$3</f>
        <v>32.983774976842106</v>
      </c>
      <c r="H60" s="10">
        <f>PHI!G$3</f>
        <v>0.19235092536000001</v>
      </c>
      <c r="I60" s="10">
        <f>PHI!H$3</f>
        <v>0.11067135483870967</v>
      </c>
      <c r="J60" s="10">
        <f>PHI!I$3</f>
        <v>0</v>
      </c>
      <c r="K60" s="10">
        <f>PHI!J$3</f>
        <v>0</v>
      </c>
      <c r="L60" s="10">
        <f>PHI!K$3</f>
        <v>0</v>
      </c>
      <c r="M60" s="10">
        <f t="shared" si="4"/>
        <v>1.9227476682556197</v>
      </c>
      <c r="N6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2.6730286243949752</v>
      </c>
      <c r="O60" s="12">
        <v>0</v>
      </c>
    </row>
    <row r="61" spans="1:15" x14ac:dyDescent="0.25">
      <c r="A61" s="8">
        <f>IF(TableQBMaster[[#This Row],[Player]]&lt;&gt;0,A60+1,A60)</f>
        <v>57</v>
      </c>
      <c r="B61" s="9" t="str">
        <f>PIT!A$2</f>
        <v>Aaron Rodgers</v>
      </c>
      <c r="C61" s="9" t="s">
        <v>77</v>
      </c>
      <c r="D61" s="9">
        <f>PIT!C$2</f>
        <v>9</v>
      </c>
      <c r="E61" s="10">
        <f>PIT!D$2</f>
        <v>550.62</v>
      </c>
      <c r="F61" s="10">
        <f>PIT!E$2</f>
        <v>353.45392324136321</v>
      </c>
      <c r="G61" s="10">
        <f>PIT!F$2</f>
        <v>3666.8336314867825</v>
      </c>
      <c r="H61" s="10">
        <f>PIT!G$2</f>
        <v>23.103741815921587</v>
      </c>
      <c r="I61" s="10">
        <f>PIT!H$2</f>
        <v>9.89020019921462</v>
      </c>
      <c r="J61" s="10">
        <f>PIT!I$2</f>
        <v>20.083139999999997</v>
      </c>
      <c r="K61" s="10">
        <f>PIT!J$2</f>
        <v>65.069373599999992</v>
      </c>
      <c r="L61" s="10">
        <f>PIT!K$2</f>
        <v>0.67320386565188584</v>
      </c>
      <c r="M61" s="10">
        <f t="shared" si="4"/>
        <v>234.79917277824703</v>
      </c>
      <c r="N6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321.29714883383383</v>
      </c>
      <c r="O61" s="12">
        <v>0</v>
      </c>
    </row>
    <row r="62" spans="1:15" x14ac:dyDescent="0.25">
      <c r="A62" s="8">
        <f>IF(TableQBMaster[[#This Row],[Player]]&lt;&gt;0,A61+1,A61)</f>
        <v>58</v>
      </c>
      <c r="B62" s="9" t="str">
        <f>PIT!A$3</f>
        <v>Will Howard</v>
      </c>
      <c r="C62" s="9" t="s">
        <v>77</v>
      </c>
      <c r="D62" s="9">
        <f>PIT!C$3</f>
        <v>9</v>
      </c>
      <c r="E62" s="10">
        <f>PIT!D$3</f>
        <v>28.980000000000004</v>
      </c>
      <c r="F62" s="10">
        <f>PIT!E$3</f>
        <v>18.460260000000002</v>
      </c>
      <c r="G62" s="10">
        <f>PIT!F$3</f>
        <v>199.74001320000002</v>
      </c>
      <c r="H62" s="10">
        <f>PIT!G$3</f>
        <v>0.9599335200000001</v>
      </c>
      <c r="I62" s="10">
        <f>PIT!H$3</f>
        <v>0.86940000000000006</v>
      </c>
      <c r="J62" s="10">
        <f>PIT!I$3</f>
        <v>0</v>
      </c>
      <c r="K62" s="10">
        <f>PIT!J$3</f>
        <v>0</v>
      </c>
      <c r="L62" s="10">
        <f>PIT!K$3</f>
        <v>0</v>
      </c>
      <c r="M62" s="10">
        <f t="shared" si="4"/>
        <v>10.525234608</v>
      </c>
      <c r="N6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14.725827648000003</v>
      </c>
      <c r="O62" s="12">
        <v>0</v>
      </c>
    </row>
    <row r="63" spans="1:15" x14ac:dyDescent="0.25">
      <c r="A63" s="8">
        <f>IF(TableQBMaster[[#This Row],[Player]]&lt;&gt;0,A62+1,A62)</f>
        <v>59</v>
      </c>
      <c r="B63" s="9" t="str">
        <f>PIT!A$4</f>
        <v>Drew Allar</v>
      </c>
      <c r="C63" s="9" t="s">
        <v>77</v>
      </c>
      <c r="D63" s="9">
        <f>PIT!C$4</f>
        <v>9</v>
      </c>
      <c r="E63" s="10">
        <f>PIT!D$4</f>
        <v>0</v>
      </c>
      <c r="F63" s="10">
        <f>PIT!E$4</f>
        <v>0</v>
      </c>
      <c r="G63" s="10">
        <f>PIT!F$4</f>
        <v>0</v>
      </c>
      <c r="H63" s="10">
        <f>PIT!G$4</f>
        <v>0</v>
      </c>
      <c r="I63" s="10">
        <f>PIT!H$4</f>
        <v>0</v>
      </c>
      <c r="J63" s="10">
        <f>PIT!I$4</f>
        <v>0</v>
      </c>
      <c r="K63" s="10">
        <f>PIT!J$4</f>
        <v>0</v>
      </c>
      <c r="L63" s="10">
        <f>PIT!K$4</f>
        <v>0</v>
      </c>
      <c r="M63" s="10">
        <f t="shared" si="4"/>
        <v>0</v>
      </c>
      <c r="N6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3" s="12">
        <v>0</v>
      </c>
    </row>
    <row r="64" spans="1:15" x14ac:dyDescent="0.25">
      <c r="A64" s="8">
        <f>IF(TableQBMaster[[#This Row],[Player]]&lt;&gt;0,A63+1,A63)</f>
        <v>60</v>
      </c>
      <c r="B64" s="9" t="str">
        <f>SEA!A$2</f>
        <v>Sam Darnold</v>
      </c>
      <c r="C64" s="9" t="s">
        <v>78</v>
      </c>
      <c r="D64" s="9">
        <f>SEA!C$2</f>
        <v>11</v>
      </c>
      <c r="E64" s="10">
        <f>SEA!D$2</f>
        <v>504.72744</v>
      </c>
      <c r="F64" s="10">
        <f>SEA!E$2</f>
        <v>335.64374760000004</v>
      </c>
      <c r="G64" s="10">
        <f>SEA!F$2</f>
        <v>4135.1309704320001</v>
      </c>
      <c r="H64" s="10">
        <f>SEA!G$2</f>
        <v>26.515856060400004</v>
      </c>
      <c r="I64" s="10">
        <f>SEA!H$2</f>
        <v>13.01233198593386</v>
      </c>
      <c r="J64" s="10">
        <f>SEA!I$2</f>
        <v>34.843159255474909</v>
      </c>
      <c r="K64" s="10">
        <f>SEA!J$2</f>
        <v>110.34912719016842</v>
      </c>
      <c r="L64" s="10">
        <f>SEA!K$2</f>
        <v>0.86122797089993575</v>
      </c>
      <c r="M64" s="10">
        <f t="shared" si="4"/>
        <v>268.15244562439563</v>
      </c>
      <c r="N6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361.25469849816261</v>
      </c>
      <c r="O64" s="12">
        <v>12.340934137474003</v>
      </c>
    </row>
    <row r="65" spans="1:15" x14ac:dyDescent="0.25">
      <c r="A65" s="8">
        <f>IF(TableQBMaster[[#This Row],[Player]]&lt;&gt;0,A64+1,A64)</f>
        <v>61</v>
      </c>
      <c r="B65" s="9" t="str">
        <f>SEA!A$3</f>
        <v>Jalen Milroe</v>
      </c>
      <c r="C65" s="9" t="s">
        <v>78</v>
      </c>
      <c r="D65" s="9">
        <f>SEA!C$3</f>
        <v>11</v>
      </c>
      <c r="E65" s="10">
        <f>SEA!D$3</f>
        <v>10.300560000000001</v>
      </c>
      <c r="F65" s="10">
        <f>SEA!E$3</f>
        <v>5.7477124800000006</v>
      </c>
      <c r="G65" s="10">
        <f>SEA!F$3</f>
        <v>64.834196774399999</v>
      </c>
      <c r="H65" s="10">
        <f>SEA!G$3</f>
        <v>0.33336732384000006</v>
      </c>
      <c r="I65" s="10">
        <f>SEA!H$3</f>
        <v>0.28841568000000001</v>
      </c>
      <c r="J65" s="10">
        <f>SEA!I$3</f>
        <v>0</v>
      </c>
      <c r="K65" s="10">
        <f>SEA!J$3</f>
        <v>0</v>
      </c>
      <c r="L65" s="10">
        <f>SEA!K$3</f>
        <v>0</v>
      </c>
      <c r="M65" s="10">
        <f t="shared" si="4"/>
        <v>3.4942136463360001</v>
      </c>
      <c r="N6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4.8799273820160005</v>
      </c>
      <c r="O65" s="12">
        <v>0</v>
      </c>
    </row>
    <row r="66" spans="1:15" x14ac:dyDescent="0.25">
      <c r="A66" s="8">
        <f>IF(TableQBMaster[[#This Row],[Player]]&lt;&gt;0,A65+1,A65)</f>
        <v>62</v>
      </c>
      <c r="B66" s="9" t="str">
        <f>SF!A$2</f>
        <v>Brock Purdy</v>
      </c>
      <c r="C66" s="9" t="s">
        <v>79</v>
      </c>
      <c r="D66" s="9">
        <f>SF!C$2</f>
        <v>8</v>
      </c>
      <c r="E66" s="10">
        <f>SF!D$2</f>
        <v>536.83616000000006</v>
      </c>
      <c r="F66" s="10">
        <f>SF!E$2</f>
        <v>361.29073568000007</v>
      </c>
      <c r="G66" s="10">
        <f>SF!F$2</f>
        <v>4295.7468472352011</v>
      </c>
      <c r="H66" s="10">
        <f>SF!G$2</f>
        <v>29.625840325760006</v>
      </c>
      <c r="I66" s="10">
        <f>SF!H$2</f>
        <v>15.441805867686105</v>
      </c>
      <c r="J66" s="10">
        <f>SF!I$2</f>
        <v>64.131889919999992</v>
      </c>
      <c r="K66" s="10">
        <f>SF!J$2</f>
        <v>275.80616229242338</v>
      </c>
      <c r="L66" s="10">
        <f>SF!K$2</f>
        <v>3.9495945227970899</v>
      </c>
      <c r="M66" s="10">
        <f t="shared" si="4"/>
        <v>318.44870975694374</v>
      </c>
      <c r="N6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421.55036691030688</v>
      </c>
      <c r="O66" s="12">
        <v>0</v>
      </c>
    </row>
    <row r="67" spans="1:15" x14ac:dyDescent="0.25">
      <c r="A67" s="8">
        <f>IF(TableQBMaster[[#This Row],[Player]]&lt;&gt;0,A66+1,A66)</f>
        <v>63</v>
      </c>
      <c r="B67" s="9" t="str">
        <f>SF!A$3</f>
        <v>Mac Jones</v>
      </c>
      <c r="C67" s="9" t="s">
        <v>79</v>
      </c>
      <c r="D67" s="9">
        <f>SF!C$3</f>
        <v>8</v>
      </c>
      <c r="E67" s="10">
        <f>SF!D$3</f>
        <v>10.95584</v>
      </c>
      <c r="F67" s="10">
        <f>SF!E$3</f>
        <v>7.4130051613116148</v>
      </c>
      <c r="G67" s="10">
        <f>SF!F$3</f>
        <v>83.358543801178257</v>
      </c>
      <c r="H67" s="10">
        <f>SF!G$3</f>
        <v>0.52503852269914342</v>
      </c>
      <c r="I67" s="10">
        <f>SF!H$3</f>
        <v>0.35255685925045799</v>
      </c>
      <c r="J67" s="10">
        <f>SF!I$3</f>
        <v>0</v>
      </c>
      <c r="K67" s="10">
        <f>SF!J$3</f>
        <v>0</v>
      </c>
      <c r="L67" s="10">
        <f>SF!K$3</f>
        <v>0</v>
      </c>
      <c r="M67" s="10">
        <f t="shared" si="4"/>
        <v>4.9056605539680174</v>
      </c>
      <c r="N6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6.8733165451226945</v>
      </c>
      <c r="O67" s="12">
        <v>0</v>
      </c>
    </row>
    <row r="68" spans="1:15" x14ac:dyDescent="0.25">
      <c r="A68" s="8">
        <f>IF(TableQBMaster[[#This Row],[Player]]&lt;&gt;0,A67+1,A67)</f>
        <v>63</v>
      </c>
      <c r="B68" s="9">
        <f>SF!A$4</f>
        <v>0</v>
      </c>
      <c r="C68" s="9" t="s">
        <v>79</v>
      </c>
      <c r="D68" s="9">
        <f>SF!C$3</f>
        <v>8</v>
      </c>
      <c r="E68" s="10">
        <f>SF!D$4</f>
        <v>0</v>
      </c>
      <c r="F68" s="10">
        <f>SF!E$4</f>
        <v>0</v>
      </c>
      <c r="G68" s="10">
        <f>SF!F$4</f>
        <v>0</v>
      </c>
      <c r="H68" s="10">
        <f>SF!G$4</f>
        <v>0</v>
      </c>
      <c r="I68" s="10">
        <f>SF!H$4</f>
        <v>0</v>
      </c>
      <c r="J68" s="10">
        <f>SF!I$4</f>
        <v>0</v>
      </c>
      <c r="K68" s="10">
        <f>SF!J$4</f>
        <v>0</v>
      </c>
      <c r="L68" s="10">
        <f>SF!K$4</f>
        <v>0</v>
      </c>
      <c r="M68" s="10">
        <f t="shared" ref="M68" si="7">(G68/25)+(H68*4)+(I68*-1.5)+(K68/10)+(L68*6)</f>
        <v>0</v>
      </c>
      <c r="N6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8" s="12">
        <v>1</v>
      </c>
    </row>
    <row r="69" spans="1:15" x14ac:dyDescent="0.25">
      <c r="A69" s="8">
        <f>IF(TableQBMaster[[#This Row],[Player]]&lt;&gt;0,A68+1,A68)</f>
        <v>64</v>
      </c>
      <c r="B69" s="9" t="str">
        <f>TB!A$2</f>
        <v>Baker Mayfield</v>
      </c>
      <c r="C69" s="9" t="s">
        <v>80</v>
      </c>
      <c r="D69" s="9">
        <f>TB!C$2</f>
        <v>10</v>
      </c>
      <c r="E69" s="10">
        <f>TB!D$2</f>
        <v>551.82917999999995</v>
      </c>
      <c r="F69" s="10">
        <f>TB!E$2</f>
        <v>360.41861641973418</v>
      </c>
      <c r="G69" s="10">
        <f>TB!F$2</f>
        <v>3995.2922074491207</v>
      </c>
      <c r="H69" s="10">
        <f>TB!G$2</f>
        <v>26.954512554729995</v>
      </c>
      <c r="I69" s="10">
        <f>TB!H$2</f>
        <v>12.917319135767858</v>
      </c>
      <c r="J69" s="10">
        <f>TB!I$2</f>
        <v>53.873975119999997</v>
      </c>
      <c r="K69" s="10">
        <f>TB!J$2</f>
        <v>328.63124823199996</v>
      </c>
      <c r="L69" s="10">
        <f>TB!K$2</f>
        <v>1.1614593432239577</v>
      </c>
      <c r="M69" s="10">
        <f t="shared" si="4"/>
        <v>288.08564069577676</v>
      </c>
      <c r="N6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384.49518701509407</v>
      </c>
      <c r="O69" s="12">
        <v>10.125962691548789</v>
      </c>
    </row>
    <row r="70" spans="1:15" x14ac:dyDescent="0.25">
      <c r="A70" s="8">
        <f>IF(TableQBMaster[[#This Row],[Player]]&lt;&gt;0,A69+1,A69)</f>
        <v>65</v>
      </c>
      <c r="B70" s="9" t="str">
        <f>TB!A$3</f>
        <v>Jake Browning</v>
      </c>
      <c r="C70" s="9" t="s">
        <v>80</v>
      </c>
      <c r="D70" s="9">
        <f>TB!C$3</f>
        <v>10</v>
      </c>
      <c r="E70" s="10">
        <f>TB!D$3</f>
        <v>11.26182</v>
      </c>
      <c r="F70" s="10">
        <f>TB!E$3</f>
        <v>7.6300990723948559</v>
      </c>
      <c r="G70" s="10">
        <f>TB!F$3</f>
        <v>80.421244223041768</v>
      </c>
      <c r="H70" s="10">
        <f>TB!G$3</f>
        <v>0.50938136026486158</v>
      </c>
      <c r="I70" s="10">
        <f>TB!H$3</f>
        <v>0.37749982650384617</v>
      </c>
      <c r="J70" s="10">
        <f>TB!I$3</f>
        <v>0</v>
      </c>
      <c r="K70" s="10">
        <f>TB!J$3</f>
        <v>0</v>
      </c>
      <c r="L70" s="10">
        <f>TB!K$3</f>
        <v>0</v>
      </c>
      <c r="M70" s="10">
        <f t="shared" si="4"/>
        <v>4.688125470225347</v>
      </c>
      <c r="N7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6.6586480112464796</v>
      </c>
      <c r="O70" s="12">
        <v>0</v>
      </c>
    </row>
    <row r="71" spans="1:15" x14ac:dyDescent="0.25">
      <c r="A71" s="8">
        <f>IF(TableQBMaster[[#This Row],[Player]]&lt;&gt;0,A70+1,A70)</f>
        <v>66</v>
      </c>
      <c r="B71" s="9" t="str">
        <f>TEN!A$2</f>
        <v>Cam Ward</v>
      </c>
      <c r="C71" s="9" t="s">
        <v>81</v>
      </c>
      <c r="D71" s="9">
        <f>TEN!C$2</f>
        <v>9</v>
      </c>
      <c r="E71" s="10">
        <f>TEN!D$2</f>
        <v>549.23904000000005</v>
      </c>
      <c r="F71" s="10">
        <f>TEN!E$2</f>
        <v>348.21755136000002</v>
      </c>
      <c r="G71" s="10">
        <f>TEN!F$2</f>
        <v>3774.6782567424002</v>
      </c>
      <c r="H71" s="10">
        <f>TEN!G$2</f>
        <v>22.982358389760002</v>
      </c>
      <c r="I71" s="10">
        <f>TEN!H$2</f>
        <v>9.1409335663914177</v>
      </c>
      <c r="J71" s="10">
        <f>TEN!I$2</f>
        <v>50.439110399999997</v>
      </c>
      <c r="K71" s="10">
        <f>TEN!J$2</f>
        <v>212.48358773351441</v>
      </c>
      <c r="L71" s="10">
        <f>TEN!K$2</f>
        <v>2.6228337407999995</v>
      </c>
      <c r="M71" s="10">
        <f t="shared" si="4"/>
        <v>266.1905246973003</v>
      </c>
      <c r="N7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351.54746339601598</v>
      </c>
      <c r="O71" s="12">
        <v>4.8245524484709676</v>
      </c>
    </row>
    <row r="72" spans="1:15" x14ac:dyDescent="0.25">
      <c r="A72" s="8">
        <f>IF(TableQBMaster[[#This Row],[Player]]&lt;&gt;0,A71+1,A71)</f>
        <v>67</v>
      </c>
      <c r="B72" s="9" t="str">
        <f>TEN!A$3</f>
        <v>Mitchell Trubisky</v>
      </c>
      <c r="C72" s="9" t="s">
        <v>81</v>
      </c>
      <c r="D72" s="9">
        <f>TEN!C$3</f>
        <v>9</v>
      </c>
      <c r="E72" s="10">
        <f>TEN!D$3</f>
        <v>11.208960000000003</v>
      </c>
      <c r="F72" s="10">
        <f>TEN!E$3</f>
        <v>7.2528564705882372</v>
      </c>
      <c r="G72" s="10">
        <f>TEN!F$3</f>
        <v>75.792350117647075</v>
      </c>
      <c r="H72" s="10">
        <f>TEN!G$3</f>
        <v>0.37714853647058832</v>
      </c>
      <c r="I72" s="10">
        <f>TEN!H$3</f>
        <v>0.32967529411764712</v>
      </c>
      <c r="J72" s="10">
        <f>TEN!I$3</f>
        <v>2.1930047999999998</v>
      </c>
      <c r="K72" s="10">
        <f>TEN!J$3</f>
        <v>8.2237679999999997</v>
      </c>
      <c r="L72" s="10">
        <f>TEN!K$3</f>
        <v>6.09168E-2</v>
      </c>
      <c r="M72" s="10">
        <f t="shared" ref="M72:M75" si="8">(G72/25)+(H72*4)+(I72*-1.5)+(K72/10)+(L72*6)</f>
        <v>5.2336528094117662</v>
      </c>
      <c r="N7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6.8780731764705898</v>
      </c>
      <c r="O72" s="12">
        <v>0</v>
      </c>
    </row>
    <row r="73" spans="1:15" x14ac:dyDescent="0.25">
      <c r="A73" s="8">
        <f>IF(TableQBMaster[[#This Row],[Player]]&lt;&gt;0,A72+1,A72)</f>
        <v>67</v>
      </c>
      <c r="B73" s="9">
        <f>TEN!A$4</f>
        <v>0</v>
      </c>
      <c r="C73" s="9" t="s">
        <v>81</v>
      </c>
      <c r="D73" s="9">
        <f>TEN!C$4</f>
        <v>9</v>
      </c>
      <c r="E73" s="10">
        <f>TEN!D$4</f>
        <v>0</v>
      </c>
      <c r="F73" s="10">
        <f>TEN!E$4</f>
        <v>0</v>
      </c>
      <c r="G73" s="10">
        <f>TEN!F$4</f>
        <v>0</v>
      </c>
      <c r="H73" s="10">
        <f>TEN!G$4</f>
        <v>0</v>
      </c>
      <c r="I73" s="10">
        <f>TEN!H$4</f>
        <v>0</v>
      </c>
      <c r="J73" s="10">
        <f>TEN!I$4</f>
        <v>0</v>
      </c>
      <c r="K73" s="10">
        <f>TEN!J$4</f>
        <v>0</v>
      </c>
      <c r="L73" s="10">
        <f>TEN!K$4</f>
        <v>0</v>
      </c>
      <c r="M73" s="10">
        <f t="shared" si="8"/>
        <v>0</v>
      </c>
      <c r="N7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3" s="12">
        <v>0</v>
      </c>
    </row>
    <row r="74" spans="1:15" x14ac:dyDescent="0.25">
      <c r="A74" s="8">
        <f>IF(TableQBMaster[[#This Row],[Player]]&lt;&gt;0,A73+1,A73)</f>
        <v>68</v>
      </c>
      <c r="B74" s="9" t="str">
        <f>WSH!A$2</f>
        <v>Jayden Daniels</v>
      </c>
      <c r="C74" s="9" t="s">
        <v>84</v>
      </c>
      <c r="D74" s="9">
        <f>WSH!C$2</f>
        <v>7</v>
      </c>
      <c r="E74" s="10">
        <f>WSH!D$2</f>
        <v>482.58289999999994</v>
      </c>
      <c r="F74" s="10">
        <f>WSH!E$2</f>
        <v>319.10744445753329</v>
      </c>
      <c r="G74" s="10">
        <f>WSH!F$2</f>
        <v>3518.5626973932303</v>
      </c>
      <c r="H74" s="10">
        <f>WSH!G$2</f>
        <v>22.337521112027332</v>
      </c>
      <c r="I74" s="10">
        <f>WSH!H$2</f>
        <v>9.1155950210989563</v>
      </c>
      <c r="J74" s="10">
        <f>WSH!I$2</f>
        <v>129.95258640000006</v>
      </c>
      <c r="K74" s="10">
        <f>WSH!J$2</f>
        <v>734.23211316000038</v>
      </c>
      <c r="L74" s="10">
        <f>WSH!K$2</f>
        <v>4.808245696800002</v>
      </c>
      <c r="M74" s="10">
        <f t="shared" si="8"/>
        <v>318.69188530899015</v>
      </c>
      <c r="N7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399.83546948934764</v>
      </c>
      <c r="O74" s="12">
        <v>0</v>
      </c>
    </row>
    <row r="75" spans="1:15" x14ac:dyDescent="0.25">
      <c r="A75" s="8">
        <f>IF(TableQBMaster[[#This Row],[Player]]&lt;&gt;0,A74+1,A74)</f>
        <v>69</v>
      </c>
      <c r="B75" s="9" t="str">
        <f>WSH!A$3</f>
        <v>Marcus Mariota</v>
      </c>
      <c r="C75" s="9" t="s">
        <v>84</v>
      </c>
      <c r="D75" s="9">
        <f>WSH!C$3</f>
        <v>7</v>
      </c>
      <c r="E75" s="10">
        <f>WSH!D$3</f>
        <v>25.399100000000001</v>
      </c>
      <c r="F75" s="10">
        <f>WSH!E$3</f>
        <v>16.507009111068687</v>
      </c>
      <c r="G75" s="10">
        <f>WSH!F$3</f>
        <v>191.81144587061812</v>
      </c>
      <c r="H75" s="10">
        <f>WSH!G$3</f>
        <v>1.2503162322118277</v>
      </c>
      <c r="I75" s="10">
        <f>WSH!H$3</f>
        <v>0.62814216439281578</v>
      </c>
      <c r="J75" s="10">
        <f>WSH!I$3</f>
        <v>4.9981764000000011</v>
      </c>
      <c r="K75" s="10">
        <f>WSH!J$3</f>
        <v>31.521258817216651</v>
      </c>
      <c r="L75" s="10">
        <f>WSH!K$3</f>
        <v>0.12310190559540891</v>
      </c>
      <c r="M75" s="10">
        <f t="shared" si="8"/>
        <v>15.622246832376929</v>
      </c>
      <c r="N7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20.087651290103864</v>
      </c>
      <c r="O75" s="12">
        <v>0</v>
      </c>
    </row>
    <row r="76" spans="1:15" x14ac:dyDescent="0.25">
      <c r="A76" s="8">
        <f>IF(TableQBMaster[[#This Row],[Player]]&lt;&gt;0,A75+1,A75)</f>
        <v>69</v>
      </c>
      <c r="B76" s="9">
        <f>WSH!A$4</f>
        <v>0</v>
      </c>
      <c r="C76" s="9" t="s">
        <v>84</v>
      </c>
      <c r="D76" s="9">
        <f>WSH!C$4</f>
        <v>7</v>
      </c>
      <c r="E76" s="10">
        <f>WSH!D$4</f>
        <v>0</v>
      </c>
      <c r="F76" s="10">
        <f>WSH!E$4</f>
        <v>0</v>
      </c>
      <c r="G76" s="10">
        <f>WSH!F$4</f>
        <v>0</v>
      </c>
      <c r="H76" s="10">
        <f>WSH!G$4</f>
        <v>0</v>
      </c>
      <c r="I76" s="10">
        <f>WSH!H$4</f>
        <v>0</v>
      </c>
      <c r="J76" s="10">
        <f>WSH!I$4</f>
        <v>0</v>
      </c>
      <c r="K76" s="10">
        <f>WSH!J$4</f>
        <v>0</v>
      </c>
      <c r="L76" s="10">
        <f>WSH!K$4</f>
        <v>0</v>
      </c>
      <c r="M76" s="10">
        <f t="shared" ref="M76" si="9">(G76/25)+(H76*4)+(I76*-1.5)+(K76/10)+(L76*6)</f>
        <v>0</v>
      </c>
      <c r="N7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6" s="12">
        <v>1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"/>
  <dimension ref="A1:P161"/>
  <sheetViews>
    <sheetView showGridLines="0" zoomScale="85" zoomScaleNormal="85" workbookViewId="0"/>
  </sheetViews>
  <sheetFormatPr defaultColWidth="9.140625" defaultRowHeight="15" x14ac:dyDescent="0.25"/>
  <cols>
    <col min="1" max="1" width="9" style="2" bestFit="1" customWidth="1"/>
    <col min="2" max="2" width="22.140625" style="2" bestFit="1" customWidth="1"/>
    <col min="3" max="3" width="6.5703125" style="2" bestFit="1" customWidth="1"/>
    <col min="4" max="4" width="7" style="3" bestFit="1" customWidth="1"/>
    <col min="5" max="5" width="8.5703125" style="3" bestFit="1" customWidth="1"/>
    <col min="6" max="7" width="8.85546875" style="3" bestFit="1" customWidth="1"/>
    <col min="8" max="8" width="7.140625" style="3" bestFit="1" customWidth="1"/>
    <col min="9" max="9" width="7" style="3" bestFit="1" customWidth="1"/>
    <col min="10" max="10" width="8.42578125" style="3" bestFit="1" customWidth="1"/>
    <col min="11" max="11" width="8.42578125" style="2" bestFit="1" customWidth="1"/>
    <col min="12" max="12" width="6.85546875" style="2" bestFit="1" customWidth="1"/>
    <col min="13" max="13" width="8.140625" style="2" bestFit="1" customWidth="1"/>
    <col min="14" max="14" width="7" style="2" bestFit="1" customWidth="1"/>
    <col min="15" max="15" width="10" style="2" bestFit="1" customWidth="1"/>
    <col min="16" max="16" width="8.42578125" style="2" bestFit="1" customWidth="1"/>
    <col min="17" max="16384" width="9.140625" style="2"/>
  </cols>
  <sheetData>
    <row r="1" spans="1:16" s="15" customFormat="1" x14ac:dyDescent="0.25">
      <c r="A1" s="6" t="s">
        <v>288</v>
      </c>
      <c r="B1" s="6" t="s">
        <v>252</v>
      </c>
      <c r="C1" s="6" t="s">
        <v>51</v>
      </c>
      <c r="D1" s="6" t="s">
        <v>87</v>
      </c>
      <c r="E1" s="5" t="s">
        <v>93</v>
      </c>
      <c r="F1" s="5" t="s">
        <v>94</v>
      </c>
      <c r="G1" s="5" t="s">
        <v>95</v>
      </c>
      <c r="H1" s="5" t="s">
        <v>3</v>
      </c>
      <c r="I1" s="5" t="s">
        <v>4</v>
      </c>
      <c r="J1" s="5" t="s">
        <v>100</v>
      </c>
      <c r="K1" s="5" t="s">
        <v>101</v>
      </c>
      <c r="L1" s="6" t="s">
        <v>82</v>
      </c>
      <c r="M1" s="6" t="s">
        <v>85</v>
      </c>
      <c r="N1" s="6" t="s">
        <v>86</v>
      </c>
      <c r="O1" s="6" t="s">
        <v>249</v>
      </c>
      <c r="P1" s="6" t="s">
        <v>232</v>
      </c>
    </row>
    <row r="2" spans="1:16" x14ac:dyDescent="0.25">
      <c r="A2" s="2">
        <v>1</v>
      </c>
      <c r="B2" s="2" t="str">
        <f>ARI!A6</f>
        <v>Jeremiyah Love</v>
      </c>
      <c r="C2" s="2" t="s">
        <v>52</v>
      </c>
      <c r="D2" s="2">
        <f>ARI!C6</f>
        <v>14</v>
      </c>
      <c r="E2" s="3">
        <f>ARI!I6</f>
        <v>225.39168960000001</v>
      </c>
      <c r="F2" s="3">
        <f>ARI!J6</f>
        <v>1007.3544595648907</v>
      </c>
      <c r="G2" s="3">
        <f>ARI!K6</f>
        <v>6.0855756192000001</v>
      </c>
      <c r="H2" s="3">
        <f>ARI!L6</f>
        <v>67.823996800000003</v>
      </c>
      <c r="I2" s="3">
        <f>ARI!M6</f>
        <v>52.631135339598316</v>
      </c>
      <c r="J2" s="3">
        <f>ARI!N6</f>
        <v>394.73351504698735</v>
      </c>
      <c r="K2" s="3">
        <f>ARI!O6</f>
        <v>1.9473520075651376</v>
      </c>
      <c r="L2" s="3">
        <f t="shared" ref="L2" si="0">(F2/10)+(G2*6)+(J2/10)+(K2*6)</f>
        <v>188.40636322177863</v>
      </c>
      <c r="M2" s="3">
        <f t="shared" ref="M2" si="1">L2+(I2*0.5)</f>
        <v>214.72193089157778</v>
      </c>
      <c r="N2" s="3">
        <f t="shared" ref="N2" si="2">L2+I2</f>
        <v>241.03749856137694</v>
      </c>
      <c r="O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214.72193089157778</v>
      </c>
      <c r="P2" s="14">
        <v>21.355435170779902</v>
      </c>
    </row>
    <row r="3" spans="1:16" x14ac:dyDescent="0.25">
      <c r="A3" s="2">
        <f>IF(TableRBMaster[[#This Row],[Player]]&lt;&gt;0,A2+1,A2)</f>
        <v>2</v>
      </c>
      <c r="B3" s="2" t="str">
        <f>ARI!A7</f>
        <v>Tyler Allgeier</v>
      </c>
      <c r="C3" s="2" t="s">
        <v>52</v>
      </c>
      <c r="D3" s="2">
        <f>ARI!C7</f>
        <v>14</v>
      </c>
      <c r="E3" s="3">
        <f>ARI!I7</f>
        <v>109.63820559999999</v>
      </c>
      <c r="F3" s="3">
        <f>ARI!J7</f>
        <v>451.43669207096968</v>
      </c>
      <c r="G3" s="3">
        <f>ARI!K7</f>
        <v>2.9602315511999997</v>
      </c>
      <c r="H3" s="3">
        <f>ARI!L7</f>
        <v>16.678032000000002</v>
      </c>
      <c r="I3" s="3">
        <f>ARI!M7</f>
        <v>13.025542992000002</v>
      </c>
      <c r="J3" s="3">
        <f>ARI!N7</f>
        <v>84.666029448000018</v>
      </c>
      <c r="K3" s="3">
        <f>ARI!O7</f>
        <v>0.39076628976000005</v>
      </c>
      <c r="L3" s="3">
        <f t="shared" ref="L3:L11" si="3">(F3/10)+(G3*6)+(J3/10)+(K3*6)</f>
        <v>73.716259197656967</v>
      </c>
      <c r="M3" s="3">
        <f t="shared" ref="M3:M11" si="4">L3+(I3*0.5)</f>
        <v>80.229030693656966</v>
      </c>
      <c r="N3" s="3">
        <f t="shared" ref="N3:N11" si="5">L3+I3</f>
        <v>86.741802189656966</v>
      </c>
      <c r="O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80.229030693656966</v>
      </c>
      <c r="P3" s="14">
        <v>13.809396324367668</v>
      </c>
    </row>
    <row r="4" spans="1:16" x14ac:dyDescent="0.25">
      <c r="A4" s="2">
        <f>IF(TableRBMaster[[#This Row],[Player]]&lt;&gt;0,A3+1,A3)</f>
        <v>3</v>
      </c>
      <c r="B4" s="2" t="str">
        <f>ARI!A8</f>
        <v>Trey Benson</v>
      </c>
      <c r="C4" s="2" t="s">
        <v>52</v>
      </c>
      <c r="D4" s="2">
        <f>ARI!C8</f>
        <v>14</v>
      </c>
      <c r="E4" s="3">
        <f>ARI!I8</f>
        <v>45.864587999999991</v>
      </c>
      <c r="F4" s="3">
        <f>ARI!J8</f>
        <v>203.63877071999997</v>
      </c>
      <c r="G4" s="3">
        <f>ARI!K8</f>
        <v>1.0548855239999997</v>
      </c>
      <c r="H4" s="3">
        <f>ARI!L8</f>
        <v>8.3390160000000009</v>
      </c>
      <c r="I4" s="3">
        <f>ARI!M8</f>
        <v>6.1946976000000005</v>
      </c>
      <c r="J4" s="3">
        <f>ARI!N8</f>
        <v>42.247837632000007</v>
      </c>
      <c r="K4" s="3">
        <f>ARI!O8</f>
        <v>0.23825760000000004</v>
      </c>
      <c r="L4" s="3">
        <f t="shared" si="3"/>
        <v>32.347519579199997</v>
      </c>
      <c r="M4" s="3">
        <f t="shared" si="4"/>
        <v>35.444868379199995</v>
      </c>
      <c r="N4" s="3">
        <f t="shared" si="5"/>
        <v>38.542217179199994</v>
      </c>
      <c r="O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35.444868379199995</v>
      </c>
      <c r="P4" s="14">
        <v>0</v>
      </c>
    </row>
    <row r="5" spans="1:16" x14ac:dyDescent="0.25">
      <c r="A5" s="2">
        <f>IF(TableRBMaster[[#This Row],[Player]]&lt;&gt;0,A4+1,A4)</f>
        <v>4</v>
      </c>
      <c r="B5" s="2" t="str">
        <f>ARI!A9</f>
        <v>James Conner</v>
      </c>
      <c r="C5" s="2" t="s">
        <v>52</v>
      </c>
      <c r="D5" s="2">
        <f>ARI!C9</f>
        <v>14</v>
      </c>
      <c r="E5" s="3">
        <f>ARI!I9</f>
        <v>8.7361119999999985</v>
      </c>
      <c r="F5" s="3">
        <f>ARI!J9</f>
        <v>33.273701584484463</v>
      </c>
      <c r="G5" s="3">
        <f>ARI!K9</f>
        <v>0.1954207190461914</v>
      </c>
      <c r="H5" s="3">
        <f>ARI!L9</f>
        <v>8.8949504000000008</v>
      </c>
      <c r="I5" s="3">
        <f>ARI!M9</f>
        <v>6.6712128000000011</v>
      </c>
      <c r="J5" s="3">
        <f>ARI!N9</f>
        <v>43.362883200000006</v>
      </c>
      <c r="K5" s="3">
        <f>ARI!O9</f>
        <v>0.26684851200000004</v>
      </c>
      <c r="L5" s="3">
        <f t="shared" si="3"/>
        <v>10.437273864725595</v>
      </c>
      <c r="M5" s="3">
        <f t="shared" si="4"/>
        <v>13.772880264725597</v>
      </c>
      <c r="N5" s="3">
        <f t="shared" si="5"/>
        <v>17.108486664725596</v>
      </c>
      <c r="O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13.772880264725597</v>
      </c>
      <c r="P5" s="14">
        <v>0</v>
      </c>
    </row>
    <row r="6" spans="1:16" x14ac:dyDescent="0.25">
      <c r="A6" s="2">
        <f>IF(TableRBMaster[[#This Row],[Player]]&lt;&gt;0,A5+1,A5)</f>
        <v>4</v>
      </c>
      <c r="B6" s="2">
        <f>ARI!A10</f>
        <v>0</v>
      </c>
      <c r="C6" s="2" t="s">
        <v>52</v>
      </c>
      <c r="D6" s="2">
        <f>ARI!C10</f>
        <v>14</v>
      </c>
      <c r="E6" s="3">
        <f>ARI!I10</f>
        <v>0</v>
      </c>
      <c r="F6" s="3">
        <f>ARI!J10</f>
        <v>0</v>
      </c>
      <c r="G6" s="3">
        <f>ARI!K10</f>
        <v>0</v>
      </c>
      <c r="H6" s="3">
        <f>ARI!L10</f>
        <v>0</v>
      </c>
      <c r="I6" s="3">
        <f>ARI!M10</f>
        <v>0</v>
      </c>
      <c r="J6" s="3">
        <f>ARI!N10</f>
        <v>0</v>
      </c>
      <c r="K6" s="3">
        <f>ARI!O10</f>
        <v>0</v>
      </c>
      <c r="L6" s="18">
        <f>(F6/10)+(G6*6)+(J6/10)+(K6*6)</f>
        <v>0</v>
      </c>
      <c r="M6" s="18">
        <f>L6+(I6*0.5)</f>
        <v>0</v>
      </c>
      <c r="N6" s="18">
        <f>L6+I6</f>
        <v>0</v>
      </c>
      <c r="O6" s="19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" s="14">
        <v>0</v>
      </c>
    </row>
    <row r="7" spans="1:16" x14ac:dyDescent="0.25">
      <c r="A7" s="2">
        <f>IF(TableRBMaster[[#This Row],[Player]]&lt;&gt;0,A6+1,A6)</f>
        <v>5</v>
      </c>
      <c r="B7" s="2" t="str">
        <f>ATL!A$6</f>
        <v>Bijan Robinson</v>
      </c>
      <c r="C7" s="2" t="s">
        <v>53</v>
      </c>
      <c r="D7" s="2">
        <f>ATL!C$6</f>
        <v>11</v>
      </c>
      <c r="E7" s="3">
        <f>ATL!I$6</f>
        <v>264.86942944000003</v>
      </c>
      <c r="F7" s="3">
        <f>ATL!J$6</f>
        <v>1287.2654270784003</v>
      </c>
      <c r="G7" s="3">
        <f>ATL!K$6</f>
        <v>10.065038318720001</v>
      </c>
      <c r="H7" s="3">
        <f>ATL!L$6</f>
        <v>102.17828880000003</v>
      </c>
      <c r="I7" s="3">
        <f>ATL!M$6</f>
        <v>76.394583552176854</v>
      </c>
      <c r="J7" s="3">
        <f>ATL!N$6</f>
        <v>737.62506684720006</v>
      </c>
      <c r="K7" s="3">
        <f>ATL!O$6</f>
        <v>3.6379056015915796</v>
      </c>
      <c r="L7" s="3">
        <f t="shared" si="3"/>
        <v>284.70671291442949</v>
      </c>
      <c r="M7" s="3">
        <f t="shared" si="4"/>
        <v>322.90400469051792</v>
      </c>
      <c r="N7" s="3">
        <f t="shared" si="5"/>
        <v>361.10129646660636</v>
      </c>
      <c r="O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322.90400469051792</v>
      </c>
      <c r="P7" s="14">
        <v>29.621674125076801</v>
      </c>
    </row>
    <row r="8" spans="1:16" x14ac:dyDescent="0.25">
      <c r="A8" s="2">
        <f>IF(TableRBMaster[[#This Row],[Player]]&lt;&gt;0,A7+1,A7)</f>
        <v>6</v>
      </c>
      <c r="B8" s="2" t="str">
        <f>ATL!A$7</f>
        <v>Brian Robinson</v>
      </c>
      <c r="C8" s="2" t="s">
        <v>53</v>
      </c>
      <c r="D8" s="2">
        <f>ATL!C$8</f>
        <v>11</v>
      </c>
      <c r="E8" s="3">
        <f>ATL!I$7</f>
        <v>110.50558988000002</v>
      </c>
      <c r="F8" s="3">
        <f>ATL!J$7</f>
        <v>471.85886878760004</v>
      </c>
      <c r="G8" s="3">
        <f>ATL!K$7</f>
        <v>4.5307291850800011</v>
      </c>
      <c r="H8" s="3">
        <f>ATL!L$7</f>
        <v>10.785486040000002</v>
      </c>
      <c r="I8" s="3">
        <f>ATL!M$7</f>
        <v>8.0891145300000016</v>
      </c>
      <c r="J8" s="3">
        <f>ATL!N$7</f>
        <v>54.636638549268255</v>
      </c>
      <c r="K8" s="3">
        <f>ATL!O$7</f>
        <v>0.24267343590000004</v>
      </c>
      <c r="L8" s="3">
        <f t="shared" si="3"/>
        <v>81.289966459566827</v>
      </c>
      <c r="M8" s="3">
        <f t="shared" si="4"/>
        <v>85.334523724566822</v>
      </c>
      <c r="N8" s="3">
        <f t="shared" si="5"/>
        <v>89.37908098956683</v>
      </c>
      <c r="O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85.334523724566836</v>
      </c>
      <c r="P8" s="14">
        <v>0</v>
      </c>
    </row>
    <row r="9" spans="1:16" x14ac:dyDescent="0.25">
      <c r="A9" s="2">
        <f>IF(TableRBMaster[[#This Row],[Player]]&lt;&gt;0,A8+1,A8)</f>
        <v>7</v>
      </c>
      <c r="B9" s="2" t="str">
        <f>ATL!A$8</f>
        <v>Tyler Goodson</v>
      </c>
      <c r="C9" s="2" t="s">
        <v>53</v>
      </c>
      <c r="D9" s="2">
        <f>ATL!C$7</f>
        <v>11</v>
      </c>
      <c r="E9" s="3">
        <f>ATL!I$8</f>
        <v>23.219073360000003</v>
      </c>
      <c r="F9" s="3">
        <f>ATL!J$8</f>
        <v>84.981808497600014</v>
      </c>
      <c r="G9" s="3">
        <f>ATL!K$8</f>
        <v>0.69657220080000004</v>
      </c>
      <c r="H9" s="3">
        <f>ATL!L$8</f>
        <v>2.8382858000000009</v>
      </c>
      <c r="I9" s="3">
        <f>ATL!M$8</f>
        <v>2.0151829180000007</v>
      </c>
      <c r="J9" s="3">
        <f>ATL!N$8</f>
        <v>12.171005983571636</v>
      </c>
      <c r="K9" s="3">
        <f>ATL!O$8</f>
        <v>6.0455487540000019E-2</v>
      </c>
      <c r="L9" s="3">
        <f t="shared" si="3"/>
        <v>14.257447578157164</v>
      </c>
      <c r="M9" s="3">
        <f t="shared" si="4"/>
        <v>15.265039037157164</v>
      </c>
      <c r="N9" s="3">
        <f t="shared" si="5"/>
        <v>16.272630496157163</v>
      </c>
      <c r="O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15.265039037157166</v>
      </c>
      <c r="P9" s="14">
        <v>0</v>
      </c>
    </row>
    <row r="10" spans="1:16" x14ac:dyDescent="0.25">
      <c r="A10" s="2">
        <f>IF(TableRBMaster[[#This Row],[Player]]&lt;&gt;0,A9+1,A9)</f>
        <v>7</v>
      </c>
      <c r="B10" s="2">
        <f>ATL!A$9</f>
        <v>0</v>
      </c>
      <c r="C10" s="2" t="s">
        <v>53</v>
      </c>
      <c r="D10" s="2">
        <f>ATL!C$9</f>
        <v>11</v>
      </c>
      <c r="E10" s="3">
        <f>ATL!I$9</f>
        <v>0</v>
      </c>
      <c r="F10" s="3">
        <f>ATL!J$9</f>
        <v>0</v>
      </c>
      <c r="G10" s="3">
        <f>ATL!K$9</f>
        <v>0</v>
      </c>
      <c r="H10" s="3">
        <f>ATL!L$9</f>
        <v>0</v>
      </c>
      <c r="I10" s="3">
        <f>ATL!M$9</f>
        <v>0</v>
      </c>
      <c r="J10" s="3">
        <f>ATL!N$9</f>
        <v>0</v>
      </c>
      <c r="K10" s="3">
        <f>ATL!O$9</f>
        <v>0</v>
      </c>
      <c r="L10" s="3">
        <f t="shared" si="3"/>
        <v>0</v>
      </c>
      <c r="M10" s="3">
        <f t="shared" si="4"/>
        <v>0</v>
      </c>
      <c r="N10" s="3">
        <f t="shared" si="5"/>
        <v>0</v>
      </c>
      <c r="O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" s="14">
        <v>0</v>
      </c>
    </row>
    <row r="11" spans="1:16" x14ac:dyDescent="0.25">
      <c r="A11" s="2">
        <f>IF(TableRBMaster[[#This Row],[Player]]&lt;&gt;0,A10+1,A10)</f>
        <v>7</v>
      </c>
      <c r="B11" s="2">
        <f>ATL!A$10</f>
        <v>0</v>
      </c>
      <c r="C11" s="2" t="s">
        <v>53</v>
      </c>
      <c r="D11" s="2">
        <f>ATL!C$10</f>
        <v>11</v>
      </c>
      <c r="E11" s="3">
        <f>ATL!I$10</f>
        <v>0</v>
      </c>
      <c r="F11" s="3">
        <f>ATL!J$10</f>
        <v>0</v>
      </c>
      <c r="G11" s="3">
        <f>ATL!K$10</f>
        <v>0</v>
      </c>
      <c r="H11" s="3">
        <f>ATL!L$10</f>
        <v>0</v>
      </c>
      <c r="I11" s="3">
        <f>ATL!M$10</f>
        <v>0</v>
      </c>
      <c r="J11" s="3">
        <f>ATL!N$10</f>
        <v>0</v>
      </c>
      <c r="K11" s="3">
        <f>ATL!O$10</f>
        <v>0</v>
      </c>
      <c r="L11" s="3">
        <f t="shared" si="3"/>
        <v>0</v>
      </c>
      <c r="M11" s="3">
        <f t="shared" si="4"/>
        <v>0</v>
      </c>
      <c r="N11" s="3">
        <f t="shared" si="5"/>
        <v>0</v>
      </c>
      <c r="O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" s="14">
        <v>0</v>
      </c>
    </row>
    <row r="12" spans="1:16" x14ac:dyDescent="0.25">
      <c r="A12" s="2">
        <f>IF(TableRBMaster[[#This Row],[Player]]&lt;&gt;0,A11+1,A11)</f>
        <v>8</v>
      </c>
      <c r="B12" s="2" t="str">
        <f>BAL!A$6</f>
        <v>Derrick Henry</v>
      </c>
      <c r="C12" s="2" t="s">
        <v>54</v>
      </c>
      <c r="D12" s="2">
        <f>BAL!C$6</f>
        <v>13</v>
      </c>
      <c r="E12" s="3">
        <f>BAL!I$6</f>
        <v>281.9247546543528</v>
      </c>
      <c r="F12" s="3">
        <f>BAL!J$6</f>
        <v>1413.2204856259643</v>
      </c>
      <c r="G12" s="3">
        <f>BAL!K$6</f>
        <v>11.113038933805319</v>
      </c>
      <c r="H12" s="3">
        <f>BAL!L$6</f>
        <v>25.847852799999995</v>
      </c>
      <c r="I12" s="3">
        <f>BAL!M$6</f>
        <v>18.452265156863994</v>
      </c>
      <c r="J12" s="3">
        <f>BAL!N$6</f>
        <v>177.21666981521065</v>
      </c>
      <c r="K12" s="3">
        <f>BAL!O$6</f>
        <v>0.97797005331379172</v>
      </c>
      <c r="L12" s="3">
        <f t="shared" ref="L12:L16" si="6">(F12/10)+(G12*6)+(J12/10)+(K12*6)</f>
        <v>231.58976946683214</v>
      </c>
      <c r="M12" s="3">
        <f t="shared" ref="M12:M16" si="7">L12+(I12*0.5)</f>
        <v>240.81590204526412</v>
      </c>
      <c r="N12" s="3">
        <f t="shared" ref="N12:N16" si="8">L12+I12</f>
        <v>250.04203462369614</v>
      </c>
      <c r="O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240.81590204526415</v>
      </c>
      <c r="P12" s="14">
        <v>31.804706892865251</v>
      </c>
    </row>
    <row r="13" spans="1:16" x14ac:dyDescent="0.25">
      <c r="A13" s="2">
        <f>IF(TableRBMaster[[#This Row],[Player]]&lt;&gt;0,A12+1,A12)</f>
        <v>9</v>
      </c>
      <c r="B13" s="2" t="str">
        <f>BAL!A$7</f>
        <v>Justice Hill</v>
      </c>
      <c r="C13" s="2" t="s">
        <v>54</v>
      </c>
      <c r="D13" s="2">
        <f>BAL!C$8</f>
        <v>13</v>
      </c>
      <c r="E13" s="3">
        <f>BAL!I$7</f>
        <v>39.288948859551994</v>
      </c>
      <c r="F13" s="3">
        <f>BAL!J$7</f>
        <v>189.68282377937382</v>
      </c>
      <c r="G13" s="3">
        <f>BAL!K$7</f>
        <v>1.4480090584472696</v>
      </c>
      <c r="H13" s="3">
        <f>BAL!L$7</f>
        <v>47.936017919999991</v>
      </c>
      <c r="I13" s="3">
        <f>BAL!M$7</f>
        <v>38.38817232966062</v>
      </c>
      <c r="J13" s="3">
        <f>BAL!N$7</f>
        <v>328.26147760575321</v>
      </c>
      <c r="K13" s="3">
        <f>BAL!O$7</f>
        <v>2.1497376504609949</v>
      </c>
      <c r="L13" s="3">
        <f t="shared" si="6"/>
        <v>73.380910391962288</v>
      </c>
      <c r="M13" s="3">
        <f t="shared" si="7"/>
        <v>92.574996556792598</v>
      </c>
      <c r="N13" s="3">
        <f t="shared" si="8"/>
        <v>111.76908272162291</v>
      </c>
      <c r="O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92.574996556792598</v>
      </c>
      <c r="P13" s="14">
        <v>6.63008926973718</v>
      </c>
    </row>
    <row r="14" spans="1:16" x14ac:dyDescent="0.25">
      <c r="A14" s="2">
        <f>IF(TableRBMaster[[#This Row],[Player]]&lt;&gt;0,A13+1,A13)</f>
        <v>10</v>
      </c>
      <c r="B14" s="2" t="str">
        <f>BAL!A$8</f>
        <v>Rasheen Ali</v>
      </c>
      <c r="C14" s="2" t="s">
        <v>54</v>
      </c>
      <c r="D14" s="2">
        <f>BAL!C$7</f>
        <v>13</v>
      </c>
      <c r="E14" s="3">
        <f>BAL!I$8</f>
        <v>41.668722506974092</v>
      </c>
      <c r="F14" s="3">
        <f>BAL!J$8</f>
        <v>157.28214157398611</v>
      </c>
      <c r="G14" s="3">
        <f>BAL!K$8</f>
        <v>1.0486274298979903</v>
      </c>
      <c r="H14" s="3">
        <f>BAL!L$8</f>
        <v>2.3498047999999998</v>
      </c>
      <c r="I14" s="3">
        <f>BAL!M$8</f>
        <v>1.7623536</v>
      </c>
      <c r="J14" s="3">
        <f>BAL!N$8</f>
        <v>14.977866079500521</v>
      </c>
      <c r="K14" s="3">
        <f>BAL!O$8</f>
        <v>0.105741216</v>
      </c>
      <c r="L14" s="3">
        <f t="shared" si="6"/>
        <v>24.152212640736604</v>
      </c>
      <c r="M14" s="3">
        <f t="shared" si="7"/>
        <v>25.033389440736602</v>
      </c>
      <c r="N14" s="3">
        <f t="shared" si="8"/>
        <v>25.914566240736605</v>
      </c>
      <c r="O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25.033389440736602</v>
      </c>
      <c r="P14" s="14">
        <v>0</v>
      </c>
    </row>
    <row r="15" spans="1:16" x14ac:dyDescent="0.25">
      <c r="A15" s="2">
        <f>IF(TableRBMaster[[#This Row],[Player]]&lt;&gt;0,A14+1,A14)</f>
        <v>11</v>
      </c>
      <c r="B15" s="2" t="str">
        <f>BAL!A$9</f>
        <v>Adam Randall</v>
      </c>
      <c r="C15" s="2" t="s">
        <v>54</v>
      </c>
      <c r="D15" s="2">
        <f>BAL!C$9</f>
        <v>13</v>
      </c>
      <c r="E15" s="3">
        <f>BAL!I$9</f>
        <v>21.237269653811889</v>
      </c>
      <c r="F15" s="3">
        <f>BAL!J$9</f>
        <v>88.703411982478883</v>
      </c>
      <c r="G15" s="3">
        <f>BAL!K$9</f>
        <v>0.46426317935038602</v>
      </c>
      <c r="H15" s="3">
        <f>BAL!L$9</f>
        <v>5.1695705599999995</v>
      </c>
      <c r="I15" s="3">
        <f>BAL!M$9</f>
        <v>3.8771779199999994</v>
      </c>
      <c r="J15" s="3">
        <f>BAL!N$9</f>
        <v>29.424141265580108</v>
      </c>
      <c r="K15" s="3">
        <f>BAL!O$9</f>
        <v>0.15896429471999998</v>
      </c>
      <c r="L15" s="3">
        <f t="shared" si="6"/>
        <v>15.552120169228214</v>
      </c>
      <c r="M15" s="3">
        <f t="shared" si="7"/>
        <v>17.490709129228215</v>
      </c>
      <c r="N15" s="3">
        <f t="shared" si="8"/>
        <v>19.429298089228212</v>
      </c>
      <c r="O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17.490709129228215</v>
      </c>
      <c r="P15" s="14">
        <v>0</v>
      </c>
    </row>
    <row r="16" spans="1:16" x14ac:dyDescent="0.25">
      <c r="A16" s="2">
        <f>IF(TableRBMaster[[#This Row],[Player]]&lt;&gt;0,A15+1,A15)</f>
        <v>11</v>
      </c>
      <c r="B16" s="2">
        <f>BAL!A$10</f>
        <v>0</v>
      </c>
      <c r="C16" s="2" t="s">
        <v>54</v>
      </c>
      <c r="D16" s="2">
        <f>BAL!C$10</f>
        <v>13</v>
      </c>
      <c r="E16" s="3">
        <f>BAL!I$10</f>
        <v>0</v>
      </c>
      <c r="F16" s="3">
        <f>BAL!J$10</f>
        <v>0</v>
      </c>
      <c r="G16" s="3">
        <f>BAL!K$10</f>
        <v>0</v>
      </c>
      <c r="H16" s="3">
        <f>BAL!L$10</f>
        <v>0</v>
      </c>
      <c r="I16" s="3">
        <f>BAL!M$10</f>
        <v>0</v>
      </c>
      <c r="J16" s="3">
        <f>BAL!N$10</f>
        <v>0</v>
      </c>
      <c r="K16" s="3">
        <f>BAL!O$10</f>
        <v>0</v>
      </c>
      <c r="L16" s="3">
        <f t="shared" si="6"/>
        <v>0</v>
      </c>
      <c r="M16" s="3">
        <f t="shared" si="7"/>
        <v>0</v>
      </c>
      <c r="N16" s="3">
        <f t="shared" si="8"/>
        <v>0</v>
      </c>
      <c r="O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" s="14">
        <v>0</v>
      </c>
    </row>
    <row r="17" spans="1:16" x14ac:dyDescent="0.25">
      <c r="A17" s="2">
        <f>IF(TableRBMaster[[#This Row],[Player]]&lt;&gt;0,A16+1,A16)</f>
        <v>12</v>
      </c>
      <c r="B17" s="2" t="str">
        <f>BUF!A$6</f>
        <v>James Cook</v>
      </c>
      <c r="C17" s="2" t="s">
        <v>55</v>
      </c>
      <c r="D17" s="2">
        <f>BUF!C$6</f>
        <v>7</v>
      </c>
      <c r="E17" s="3">
        <f>BUF!I$6</f>
        <v>275.25126719999997</v>
      </c>
      <c r="F17" s="3">
        <f>BUF!J$6</f>
        <v>1356.9887472959997</v>
      </c>
      <c r="G17" s="3">
        <f>BUF!K$6</f>
        <v>9.9643321198835419</v>
      </c>
      <c r="H17" s="3">
        <f>BUF!L$6</f>
        <v>45.968075999999989</v>
      </c>
      <c r="I17" s="3">
        <f>BUF!M$6</f>
        <v>34.768849644722884</v>
      </c>
      <c r="J17" s="3">
        <f>BUF!N$6</f>
        <v>281.62768212225535</v>
      </c>
      <c r="K17" s="3">
        <f>BUF!O$6</f>
        <v>1.9945345104578305</v>
      </c>
      <c r="L17" s="3">
        <f t="shared" ref="L17:L21" si="9">(F17/10)+(G17*6)+(J17/10)+(K17*6)</f>
        <v>235.61484272387372</v>
      </c>
      <c r="M17" s="3">
        <f t="shared" ref="M17:M21" si="10">L17+(I17*0.5)</f>
        <v>252.99926754623516</v>
      </c>
      <c r="N17" s="3">
        <f t="shared" ref="N17:N21" si="11">L17+I17</f>
        <v>270.3836923685966</v>
      </c>
      <c r="O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252.99926754623516</v>
      </c>
      <c r="P17" s="14">
        <v>10.879633166263982</v>
      </c>
    </row>
    <row r="18" spans="1:16" x14ac:dyDescent="0.25">
      <c r="A18" s="2">
        <f>IF(TableRBMaster[[#This Row],[Player]]&lt;&gt;0,A17+1,A17)</f>
        <v>13</v>
      </c>
      <c r="B18" s="2" t="str">
        <f>BUF!A$7</f>
        <v>Ty Johnson</v>
      </c>
      <c r="C18" s="2" t="s">
        <v>55</v>
      </c>
      <c r="D18" s="2">
        <f>BUF!C$8</f>
        <v>7</v>
      </c>
      <c r="E18" s="3">
        <f>BUF!I$7</f>
        <v>58.341301199999997</v>
      </c>
      <c r="F18" s="3">
        <f>BUF!J$7</f>
        <v>244.64132636834495</v>
      </c>
      <c r="G18" s="3">
        <f>BUF!K$7</f>
        <v>2.0585638140148612</v>
      </c>
      <c r="H18" s="3">
        <f>BUF!L$7</f>
        <v>28.091601999999988</v>
      </c>
      <c r="I18" s="3">
        <f>BUF!M$7</f>
        <v>22.330148199333323</v>
      </c>
      <c r="J18" s="3">
        <f>BUF!N$7</f>
        <v>195.16549526217324</v>
      </c>
      <c r="K18" s="3">
        <f>BUF!O$7</f>
        <v>1.4610977278333328</v>
      </c>
      <c r="L18" s="3">
        <f t="shared" si="9"/>
        <v>65.098651414140988</v>
      </c>
      <c r="M18" s="3">
        <f t="shared" si="10"/>
        <v>76.263725513807657</v>
      </c>
      <c r="N18" s="3">
        <f t="shared" si="11"/>
        <v>87.428799613474311</v>
      </c>
      <c r="O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76.263725513807657</v>
      </c>
      <c r="P18" s="14">
        <v>0.6085987694078856</v>
      </c>
    </row>
    <row r="19" spans="1:16" x14ac:dyDescent="0.25">
      <c r="A19" s="2">
        <f>IF(TableRBMaster[[#This Row],[Player]]&lt;&gt;0,A18+1,A18)</f>
        <v>14</v>
      </c>
      <c r="B19" s="2" t="str">
        <f>BUF!A$8</f>
        <v>Ray Davis</v>
      </c>
      <c r="C19" s="2" t="s">
        <v>55</v>
      </c>
      <c r="D19" s="2">
        <f>BUF!C$7</f>
        <v>7</v>
      </c>
      <c r="E19" s="3">
        <f>BUF!I$8</f>
        <v>54.352152400000001</v>
      </c>
      <c r="F19" s="3">
        <f>BUF!J$8</f>
        <v>247.26168301074537</v>
      </c>
      <c r="G19" s="3">
        <f>BUF!K$8</f>
        <v>1.6305645719999999</v>
      </c>
      <c r="H19" s="3">
        <f>BUF!L$8</f>
        <v>10.725884399999998</v>
      </c>
      <c r="I19" s="3">
        <f>BUF!M$8</f>
        <v>8.3018345255999986</v>
      </c>
      <c r="J19" s="3">
        <f>BUF!N$8</f>
        <v>67.659951383639992</v>
      </c>
      <c r="K19" s="3">
        <f>BUF!O$8</f>
        <v>0.5562229132151999</v>
      </c>
      <c r="L19" s="3">
        <f t="shared" si="9"/>
        <v>44.612888350729733</v>
      </c>
      <c r="M19" s="3">
        <f t="shared" si="10"/>
        <v>48.763805613529733</v>
      </c>
      <c r="N19" s="3">
        <f t="shared" si="11"/>
        <v>52.914722876329733</v>
      </c>
      <c r="O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48.763805613529733</v>
      </c>
      <c r="P19" s="14">
        <v>0</v>
      </c>
    </row>
    <row r="20" spans="1:16" x14ac:dyDescent="0.25">
      <c r="A20" s="2">
        <f>IF(TableRBMaster[[#This Row],[Player]]&lt;&gt;0,A19+1,A19)</f>
        <v>14</v>
      </c>
      <c r="B20" s="2">
        <f>BUF!A$9</f>
        <v>0</v>
      </c>
      <c r="C20" s="2" t="s">
        <v>55</v>
      </c>
      <c r="D20" s="2">
        <f>BUF!C$9</f>
        <v>7</v>
      </c>
      <c r="E20" s="3">
        <f>BUF!I$9</f>
        <v>0</v>
      </c>
      <c r="F20" s="3">
        <f>BUF!J$9</f>
        <v>0</v>
      </c>
      <c r="G20" s="3">
        <f>BUF!K$9</f>
        <v>0</v>
      </c>
      <c r="H20" s="3">
        <f>BUF!L$9</f>
        <v>0</v>
      </c>
      <c r="I20" s="3">
        <f>BUF!M$9</f>
        <v>0</v>
      </c>
      <c r="J20" s="3">
        <f>BUF!N$9</f>
        <v>0</v>
      </c>
      <c r="K20" s="3">
        <f>BUF!O$9</f>
        <v>0</v>
      </c>
      <c r="L20" s="3">
        <f t="shared" si="9"/>
        <v>0</v>
      </c>
      <c r="M20" s="3">
        <f t="shared" si="10"/>
        <v>0</v>
      </c>
      <c r="N20" s="3">
        <f t="shared" si="11"/>
        <v>0</v>
      </c>
      <c r="O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0" s="14">
        <v>0</v>
      </c>
    </row>
    <row r="21" spans="1:16" x14ac:dyDescent="0.25">
      <c r="A21" s="2">
        <f>IF(TableRBMaster[[#This Row],[Player]]&lt;&gt;0,A20+1,A20)</f>
        <v>14</v>
      </c>
      <c r="B21" s="2">
        <f>BUF!A$10</f>
        <v>0</v>
      </c>
      <c r="C21" s="2" t="s">
        <v>55</v>
      </c>
      <c r="D21" s="2">
        <f>BUF!C$10</f>
        <v>7</v>
      </c>
      <c r="E21" s="3">
        <f>BUF!I$10</f>
        <v>0</v>
      </c>
      <c r="F21" s="3">
        <f>BUF!J$10</f>
        <v>0</v>
      </c>
      <c r="G21" s="3">
        <f>BUF!K$10</f>
        <v>0</v>
      </c>
      <c r="H21" s="3">
        <f>BUF!L$10</f>
        <v>0</v>
      </c>
      <c r="I21" s="3">
        <f>BUF!M$10</f>
        <v>0</v>
      </c>
      <c r="J21" s="3">
        <f>BUF!N$10</f>
        <v>0</v>
      </c>
      <c r="K21" s="3">
        <f>BUF!O$10</f>
        <v>0</v>
      </c>
      <c r="L21" s="3">
        <f t="shared" si="9"/>
        <v>0</v>
      </c>
      <c r="M21" s="3">
        <f t="shared" si="10"/>
        <v>0</v>
      </c>
      <c r="N21" s="3">
        <f t="shared" si="11"/>
        <v>0</v>
      </c>
      <c r="O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1" s="14">
        <v>0</v>
      </c>
    </row>
    <row r="22" spans="1:16" x14ac:dyDescent="0.25">
      <c r="A22" s="2">
        <f>IF(TableRBMaster[[#This Row],[Player]]&lt;&gt;0,A21+1,A21)</f>
        <v>15</v>
      </c>
      <c r="B22" s="2" t="str">
        <f>CAR!A$6</f>
        <v>Chuba Hubbard</v>
      </c>
      <c r="C22" s="2" t="s">
        <v>56</v>
      </c>
      <c r="D22" s="2">
        <f>CAR!C$6</f>
        <v>5</v>
      </c>
      <c r="E22" s="3">
        <f>CAR!I$6</f>
        <v>191.69211599999997</v>
      </c>
      <c r="F22" s="3">
        <f>CAR!J$6</f>
        <v>805.10688719999996</v>
      </c>
      <c r="G22" s="3">
        <f>CAR!K$6</f>
        <v>4.7923028999999993</v>
      </c>
      <c r="H22" s="3">
        <f>CAR!L$6</f>
        <v>55.999943999999992</v>
      </c>
      <c r="I22" s="3">
        <f>CAR!M$6</f>
        <v>42.223957775999992</v>
      </c>
      <c r="J22" s="3">
        <f>CAR!N$6</f>
        <v>268.52151761299984</v>
      </c>
      <c r="K22" s="3">
        <f>CAR!O$6</f>
        <v>2.0689739310239998</v>
      </c>
      <c r="L22" s="3">
        <f t="shared" ref="L22:L26" si="12">(F22/10)+(G22*6)+(J22/10)+(K22*6)</f>
        <v>148.53050146744397</v>
      </c>
      <c r="M22" s="3">
        <f t="shared" ref="M22:M26" si="13">L22+(I22*0.5)</f>
        <v>169.64248035544398</v>
      </c>
      <c r="N22" s="3">
        <f t="shared" ref="N22:N26" si="14">L22+I22</f>
        <v>190.75445924344396</v>
      </c>
      <c r="O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169.64248035544395</v>
      </c>
      <c r="P22" s="14">
        <v>60</v>
      </c>
    </row>
    <row r="23" spans="1:16" x14ac:dyDescent="0.25">
      <c r="A23" s="2">
        <f>IF(TableRBMaster[[#This Row],[Player]]&lt;&gt;0,A22+1,A22)</f>
        <v>16</v>
      </c>
      <c r="B23" s="2" t="str">
        <f>CAR!A$7</f>
        <v>Jonathon Brooks</v>
      </c>
      <c r="C23" s="2" t="s">
        <v>56</v>
      </c>
      <c r="D23" s="2">
        <f>CAR!C$8</f>
        <v>5</v>
      </c>
      <c r="E23" s="3">
        <f>CAR!I$7</f>
        <v>147.22299899999999</v>
      </c>
      <c r="F23" s="3">
        <f>CAR!J$7</f>
        <v>634.53112568999984</v>
      </c>
      <c r="G23" s="3">
        <f>CAR!K$7</f>
        <v>3.6805749749999999</v>
      </c>
      <c r="H23" s="3">
        <f>CAR!L$7</f>
        <v>40.384574999999991</v>
      </c>
      <c r="I23" s="3">
        <f>CAR!M$7</f>
        <v>28.551894524999991</v>
      </c>
      <c r="J23" s="3">
        <f>CAR!N$7</f>
        <v>210.26686729007403</v>
      </c>
      <c r="K23" s="3">
        <f>CAR!O$7</f>
        <v>0.91366062479999977</v>
      </c>
      <c r="L23" s="3">
        <f t="shared" si="12"/>
        <v>112.04521289680737</v>
      </c>
      <c r="M23" s="3">
        <f t="shared" si="13"/>
        <v>126.32116015930737</v>
      </c>
      <c r="N23" s="3">
        <f t="shared" si="14"/>
        <v>140.59710742180735</v>
      </c>
      <c r="O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126.32116015930738</v>
      </c>
      <c r="P23" s="14">
        <v>0</v>
      </c>
    </row>
    <row r="24" spans="1:16" x14ac:dyDescent="0.25">
      <c r="A24" s="2">
        <f>IF(TableRBMaster[[#This Row],[Player]]&lt;&gt;0,A23+1,A23)</f>
        <v>17</v>
      </c>
      <c r="B24" s="2" t="str">
        <f>CAR!A$8</f>
        <v>AJ Dillon</v>
      </c>
      <c r="C24" s="2" t="s">
        <v>56</v>
      </c>
      <c r="D24" s="2">
        <f>CAR!C$7</f>
        <v>5</v>
      </c>
      <c r="E24" s="3">
        <f>CAR!I$8</f>
        <v>17.269559999999998</v>
      </c>
      <c r="F24" s="3">
        <f>CAR!J$8</f>
        <v>71.545320000000004</v>
      </c>
      <c r="G24" s="3">
        <f>CAR!K$8</f>
        <v>0.41446943999999997</v>
      </c>
      <c r="H24" s="3">
        <f>CAR!L$8</f>
        <v>2.6923049999999997</v>
      </c>
      <c r="I24" s="3">
        <f>CAR!M$8</f>
        <v>1.9384595999999998</v>
      </c>
      <c r="J24" s="3">
        <f>CAR!N$8</f>
        <v>11.824603559999998</v>
      </c>
      <c r="K24" s="3">
        <f>CAR!O$8</f>
        <v>2.9076893999999995E-2</v>
      </c>
      <c r="L24" s="3">
        <f t="shared" si="12"/>
        <v>10.998270360000001</v>
      </c>
      <c r="M24" s="3">
        <f t="shared" si="13"/>
        <v>11.96750016</v>
      </c>
      <c r="N24" s="3">
        <f t="shared" si="14"/>
        <v>12.936729960000001</v>
      </c>
      <c r="O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11.967500160000002</v>
      </c>
      <c r="P24" s="14">
        <v>0</v>
      </c>
    </row>
    <row r="25" spans="1:16" x14ac:dyDescent="0.25">
      <c r="A25" s="2">
        <f>IF(TableRBMaster[[#This Row],[Player]]&lt;&gt;0,A24+1,A24)</f>
        <v>18</v>
      </c>
      <c r="B25" s="2" t="str">
        <f>CAR!A$9</f>
        <v>Trevor Etienne</v>
      </c>
      <c r="C25" s="2" t="s">
        <v>56</v>
      </c>
      <c r="D25" s="2">
        <f>CAR!C$9</f>
        <v>5</v>
      </c>
      <c r="E25" s="3">
        <f>CAR!I$9</f>
        <v>15.974342999999999</v>
      </c>
      <c r="F25" s="3">
        <f>CAR!J$9</f>
        <v>70.606596060000001</v>
      </c>
      <c r="G25" s="3">
        <f>CAR!K$9</f>
        <v>0.31948685999999998</v>
      </c>
      <c r="H25" s="3">
        <f>CAR!L$9</f>
        <v>5.3846099999999995</v>
      </c>
      <c r="I25" s="3">
        <f>CAR!M$9</f>
        <v>3.9361499099999997</v>
      </c>
      <c r="J25" s="3">
        <f>CAR!N$9</f>
        <v>25.112636425799998</v>
      </c>
      <c r="K25" s="3">
        <f>CAR!O$9</f>
        <v>7.5833732973701953E-2</v>
      </c>
      <c r="L25" s="3">
        <f t="shared" si="12"/>
        <v>11.94384680642221</v>
      </c>
      <c r="M25" s="3">
        <f t="shared" si="13"/>
        <v>13.91192176142221</v>
      </c>
      <c r="N25" s="3">
        <f t="shared" si="14"/>
        <v>15.879996716422209</v>
      </c>
      <c r="O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13.911921761422212</v>
      </c>
      <c r="P25" s="14">
        <v>0</v>
      </c>
    </row>
    <row r="26" spans="1:16" x14ac:dyDescent="0.25">
      <c r="A26" s="2">
        <f>IF(TableRBMaster[[#This Row],[Player]]&lt;&gt;0,A25+1,A25)</f>
        <v>18</v>
      </c>
      <c r="B26" s="2">
        <f>CAR!A$10</f>
        <v>0</v>
      </c>
      <c r="C26" s="2" t="s">
        <v>56</v>
      </c>
      <c r="D26" s="2">
        <f>CAR!C$10</f>
        <v>5</v>
      </c>
      <c r="E26" s="3">
        <f>CAR!I$10</f>
        <v>0</v>
      </c>
      <c r="F26" s="3">
        <f>CAR!J$10</f>
        <v>0</v>
      </c>
      <c r="G26" s="3">
        <f>CAR!K$10</f>
        <v>0</v>
      </c>
      <c r="H26" s="3">
        <f>CAR!L$10</f>
        <v>0</v>
      </c>
      <c r="I26" s="3">
        <f>CAR!M$10</f>
        <v>0</v>
      </c>
      <c r="J26" s="3">
        <f>CAR!N$10</f>
        <v>0</v>
      </c>
      <c r="K26" s="3">
        <f>CAR!O$10</f>
        <v>0</v>
      </c>
      <c r="L26" s="3">
        <f t="shared" si="12"/>
        <v>0</v>
      </c>
      <c r="M26" s="3">
        <f t="shared" si="13"/>
        <v>0</v>
      </c>
      <c r="N26" s="3">
        <f t="shared" si="14"/>
        <v>0</v>
      </c>
      <c r="O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6" s="14">
        <v>0</v>
      </c>
    </row>
    <row r="27" spans="1:16" x14ac:dyDescent="0.25">
      <c r="A27" s="2">
        <f>IF(TableRBMaster[[#This Row],[Player]]&lt;&gt;0,A26+1,A26)</f>
        <v>19</v>
      </c>
      <c r="B27" s="2" t="str">
        <f>CHI!A$6</f>
        <v>D'Andre Swift</v>
      </c>
      <c r="C27" s="2" t="s">
        <v>57</v>
      </c>
      <c r="D27" s="2">
        <f>CHI!C$6</f>
        <v>10</v>
      </c>
      <c r="E27" s="3">
        <f>CHI!I$6</f>
        <v>191.94722567999997</v>
      </c>
      <c r="F27" s="3">
        <f>CHI!J$6</f>
        <v>859.84295708886395</v>
      </c>
      <c r="G27" s="3">
        <f>CHI!K$6</f>
        <v>7.1020473501599986</v>
      </c>
      <c r="H27" s="3">
        <f>CHI!L$6</f>
        <v>46.242679840000008</v>
      </c>
      <c r="I27" s="3">
        <f>CHI!M$6</f>
        <v>33.895884322720008</v>
      </c>
      <c r="J27" s="3">
        <f>CHI!N$6</f>
        <v>281.56231987692786</v>
      </c>
      <c r="K27" s="3">
        <f>CHI!O$6</f>
        <v>1.0507724140043202</v>
      </c>
      <c r="L27" s="3">
        <f t="shared" ref="L27:L31" si="15">(F27/10)+(G27*6)+(J27/10)+(K27*6)</f>
        <v>163.05744628156509</v>
      </c>
      <c r="M27" s="3">
        <f t="shared" ref="M27:M31" si="16">L27+(I27*0.5)</f>
        <v>180.0053884429251</v>
      </c>
      <c r="N27" s="3">
        <f t="shared" ref="N27:N31" si="17">L27+I27</f>
        <v>196.9533306042851</v>
      </c>
      <c r="O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180.0053884429251</v>
      </c>
      <c r="P27" s="14">
        <v>25.021068661451302</v>
      </c>
    </row>
    <row r="28" spans="1:16" x14ac:dyDescent="0.25">
      <c r="A28" s="2">
        <f>IF(TableRBMaster[[#This Row],[Player]]&lt;&gt;0,A27+1,A27)</f>
        <v>20</v>
      </c>
      <c r="B28" s="2" t="str">
        <f>CHI!A$7</f>
        <v>Kyle Monangai</v>
      </c>
      <c r="C28" s="2" t="s">
        <v>57</v>
      </c>
      <c r="D28" s="2">
        <f>CHI!C$8</f>
        <v>10</v>
      </c>
      <c r="E28" s="3">
        <f>CHI!I$7</f>
        <v>175.60135487999997</v>
      </c>
      <c r="F28" s="3">
        <f>CHI!J$7</f>
        <v>758.92623990733705</v>
      </c>
      <c r="G28" s="3">
        <f>CHI!K$7</f>
        <v>6.672851485439999</v>
      </c>
      <c r="H28" s="3">
        <f>CHI!L$7</f>
        <v>31.016431600000001</v>
      </c>
      <c r="I28" s="3">
        <f>CHI!M$7</f>
        <v>21.773534983199998</v>
      </c>
      <c r="J28" s="3">
        <f>CHI!N$7</f>
        <v>166.47993232787942</v>
      </c>
      <c r="K28" s="3">
        <f>CHI!O$7</f>
        <v>0.6961283018646286</v>
      </c>
      <c r="L28" s="3">
        <f t="shared" si="15"/>
        <v>136.75449594734943</v>
      </c>
      <c r="M28" s="3">
        <f t="shared" si="16"/>
        <v>147.64126343894944</v>
      </c>
      <c r="N28" s="3">
        <f t="shared" si="17"/>
        <v>158.52803093054942</v>
      </c>
      <c r="O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147.64126343894941</v>
      </c>
      <c r="P28" s="14">
        <v>0</v>
      </c>
    </row>
    <row r="29" spans="1:16" x14ac:dyDescent="0.25">
      <c r="A29" s="2">
        <f>IF(TableRBMaster[[#This Row],[Player]]&lt;&gt;0,A28+1,A28)</f>
        <v>21</v>
      </c>
      <c r="B29" s="2" t="str">
        <f>CHI!A$8</f>
        <v>Roschon Johnson</v>
      </c>
      <c r="C29" s="2" t="s">
        <v>57</v>
      </c>
      <c r="D29" s="2">
        <f>CHI!C$7</f>
        <v>10</v>
      </c>
      <c r="E29" s="3">
        <f>CHI!I$8</f>
        <v>16.3458708</v>
      </c>
      <c r="F29" s="3">
        <f>CHI!J$8</f>
        <v>65.383483200000001</v>
      </c>
      <c r="G29" s="3">
        <f>CHI!K$8</f>
        <v>0.53941373640000001</v>
      </c>
      <c r="H29" s="3">
        <f>CHI!L$8</f>
        <v>2.8196756000000001</v>
      </c>
      <c r="I29" s="3">
        <f>CHI!M$8</f>
        <v>1.9314777860000001</v>
      </c>
      <c r="J29" s="3">
        <f>CHI!N$8</f>
        <v>10.90322426852293</v>
      </c>
      <c r="K29" s="3">
        <f>CHI!O$8</f>
        <v>5.0218422435999999E-2</v>
      </c>
      <c r="L29" s="3">
        <f t="shared" si="15"/>
        <v>11.166463699868293</v>
      </c>
      <c r="M29" s="3">
        <f t="shared" si="16"/>
        <v>12.132202592868293</v>
      </c>
      <c r="N29" s="3">
        <f t="shared" si="17"/>
        <v>13.097941485868294</v>
      </c>
      <c r="O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12.132202592868293</v>
      </c>
      <c r="P29" s="14">
        <v>0</v>
      </c>
    </row>
    <row r="30" spans="1:16" x14ac:dyDescent="0.25">
      <c r="A30" s="2">
        <f>IF(TableRBMaster[[#This Row],[Player]]&lt;&gt;0,A29+1,A29)</f>
        <v>21</v>
      </c>
      <c r="B30" s="2">
        <f>CHI!A$9</f>
        <v>0</v>
      </c>
      <c r="C30" s="2" t="s">
        <v>57</v>
      </c>
      <c r="D30" s="2">
        <f>CHI!C$9</f>
        <v>10</v>
      </c>
      <c r="E30" s="3">
        <f>CHI!I$9</f>
        <v>0</v>
      </c>
      <c r="F30" s="3">
        <f>CHI!J$9</f>
        <v>0</v>
      </c>
      <c r="G30" s="3">
        <f>CHI!K$9</f>
        <v>0</v>
      </c>
      <c r="H30" s="3">
        <f>CHI!L$9</f>
        <v>0</v>
      </c>
      <c r="I30" s="3">
        <f>CHI!M$9</f>
        <v>0</v>
      </c>
      <c r="J30" s="3">
        <f>CHI!N$9</f>
        <v>0</v>
      </c>
      <c r="K30" s="3">
        <f>CHI!O$9</f>
        <v>0</v>
      </c>
      <c r="L30" s="3">
        <f t="shared" si="15"/>
        <v>0</v>
      </c>
      <c r="M30" s="3">
        <f t="shared" si="16"/>
        <v>0</v>
      </c>
      <c r="N30" s="3">
        <f t="shared" si="17"/>
        <v>0</v>
      </c>
      <c r="O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0" s="14">
        <v>0</v>
      </c>
    </row>
    <row r="31" spans="1:16" x14ac:dyDescent="0.25">
      <c r="A31" s="2">
        <f>IF(TableRBMaster[[#This Row],[Player]]&lt;&gt;0,A30+1,A30)</f>
        <v>21</v>
      </c>
      <c r="B31" s="2">
        <f>CHI!A$10</f>
        <v>0</v>
      </c>
      <c r="C31" s="2" t="s">
        <v>57</v>
      </c>
      <c r="D31" s="2">
        <f>CHI!C$10</f>
        <v>10</v>
      </c>
      <c r="E31" s="3">
        <f>CHI!I$10</f>
        <v>0</v>
      </c>
      <c r="F31" s="3">
        <f>CHI!J$10</f>
        <v>0</v>
      </c>
      <c r="G31" s="3">
        <f>CHI!K$10</f>
        <v>0</v>
      </c>
      <c r="H31" s="3">
        <f>CHI!L$10</f>
        <v>0</v>
      </c>
      <c r="I31" s="3">
        <f>CHI!M$10</f>
        <v>0</v>
      </c>
      <c r="J31" s="3">
        <f>CHI!N$10</f>
        <v>0</v>
      </c>
      <c r="K31" s="3">
        <f>CHI!O$10</f>
        <v>0</v>
      </c>
      <c r="L31" s="3">
        <f t="shared" si="15"/>
        <v>0</v>
      </c>
      <c r="M31" s="3">
        <f t="shared" si="16"/>
        <v>0</v>
      </c>
      <c r="N31" s="3">
        <f t="shared" si="17"/>
        <v>0</v>
      </c>
      <c r="O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1" s="14">
        <v>0</v>
      </c>
    </row>
    <row r="32" spans="1:16" x14ac:dyDescent="0.25">
      <c r="A32" s="2">
        <f>IF(TableRBMaster[[#This Row],[Player]]&lt;&gt;0,A31+1,A31)</f>
        <v>22</v>
      </c>
      <c r="B32" s="2" t="str">
        <f>CIN!A$6</f>
        <v>Chase Brown</v>
      </c>
      <c r="C32" s="2" t="s">
        <v>58</v>
      </c>
      <c r="D32" s="2">
        <f>CIN!C$6</f>
        <v>6</v>
      </c>
      <c r="E32" s="3">
        <f>CIN!I$6</f>
        <v>230.81351999999998</v>
      </c>
      <c r="F32" s="3">
        <f>CIN!J$6</f>
        <v>1010.9632175999999</v>
      </c>
      <c r="G32" s="3">
        <f>CIN!K$6</f>
        <v>6.6935920800000002</v>
      </c>
      <c r="H32" s="3">
        <f>CIN!L$6</f>
        <v>85.416187500000007</v>
      </c>
      <c r="I32" s="3">
        <f>CIN!M$6</f>
        <v>71.363433367549675</v>
      </c>
      <c r="J32" s="3">
        <f>CIN!N$6</f>
        <v>490.7282533733445</v>
      </c>
      <c r="K32" s="3">
        <f>CIN!O$6</f>
        <v>3.7786763741721856</v>
      </c>
      <c r="L32" s="3">
        <f t="shared" ref="L32:L36" si="18">(F32/10)+(G32*6)+(J32/10)+(K32*6)</f>
        <v>213.00275782236753</v>
      </c>
      <c r="M32" s="3">
        <f t="shared" ref="M32:M36" si="19">L32+(I32*0.5)</f>
        <v>248.68447450614235</v>
      </c>
      <c r="N32" s="3">
        <f t="shared" ref="N32:N36" si="20">L32+I32</f>
        <v>284.36619118991723</v>
      </c>
      <c r="O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248.68447450614235</v>
      </c>
      <c r="P32" s="14">
        <v>39.467218909506279</v>
      </c>
    </row>
    <row r="33" spans="1:16" x14ac:dyDescent="0.25">
      <c r="A33" s="2">
        <f>IF(TableRBMaster[[#This Row],[Player]]&lt;&gt;0,A32+1,A32)</f>
        <v>23</v>
      </c>
      <c r="B33" s="2" t="str">
        <f>CIN!A$7</f>
        <v>Samaje Perine</v>
      </c>
      <c r="C33" s="2" t="s">
        <v>58</v>
      </c>
      <c r="D33" s="2">
        <f>CIN!C$8</f>
        <v>6</v>
      </c>
      <c r="E33" s="3">
        <f>CIN!I$7</f>
        <v>86.934697499999999</v>
      </c>
      <c r="F33" s="3">
        <f>CIN!J$7</f>
        <v>376.42724017500001</v>
      </c>
      <c r="G33" s="3">
        <f>CIN!K$7</f>
        <v>2.640391754401255</v>
      </c>
      <c r="H33" s="3">
        <f>CIN!L$7</f>
        <v>26.573925000000003</v>
      </c>
      <c r="I33" s="3">
        <f>CIN!M$7</f>
        <v>22.322097000000003</v>
      </c>
      <c r="J33" s="3">
        <f>CIN!N$7</f>
        <v>149.47821969471161</v>
      </c>
      <c r="K33" s="3">
        <f>CIN!O$7</f>
        <v>1.0029674114089127</v>
      </c>
      <c r="L33" s="3">
        <f t="shared" si="18"/>
        <v>74.450700981832171</v>
      </c>
      <c r="M33" s="3">
        <f t="shared" si="19"/>
        <v>85.611749481832177</v>
      </c>
      <c r="N33" s="3">
        <f t="shared" si="20"/>
        <v>96.77279798183217</v>
      </c>
      <c r="O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85.611749481832177</v>
      </c>
      <c r="P33" s="14">
        <v>0</v>
      </c>
    </row>
    <row r="34" spans="1:16" x14ac:dyDescent="0.25">
      <c r="A34" s="2">
        <f>IF(TableRBMaster[[#This Row],[Player]]&lt;&gt;0,A33+1,A33)</f>
        <v>24</v>
      </c>
      <c r="B34" s="2" t="str">
        <f>CIN!A$8</f>
        <v>Tahj Brooks</v>
      </c>
      <c r="C34" s="2" t="s">
        <v>58</v>
      </c>
      <c r="D34" s="2">
        <f>CIN!C$7</f>
        <v>6</v>
      </c>
      <c r="E34" s="3">
        <f>CIN!I$8</f>
        <v>19.361002499999998</v>
      </c>
      <c r="F34" s="3">
        <f>CIN!J$8</f>
        <v>78.799280174999993</v>
      </c>
      <c r="G34" s="3">
        <f>CIN!K$8</f>
        <v>0.50338606499999994</v>
      </c>
      <c r="H34" s="3">
        <f>CIN!L$8</f>
        <v>3.1635624999999998</v>
      </c>
      <c r="I34" s="3">
        <f>CIN!M$8</f>
        <v>2.372671875</v>
      </c>
      <c r="J34" s="3">
        <f>CIN!N$8</f>
        <v>13.116142206253409</v>
      </c>
      <c r="K34" s="3">
        <f>CIN!O$8</f>
        <v>0.14066030755591924</v>
      </c>
      <c r="L34" s="3">
        <f t="shared" si="18"/>
        <v>13.055820473460855</v>
      </c>
      <c r="M34" s="3">
        <f t="shared" si="19"/>
        <v>14.242156410960856</v>
      </c>
      <c r="N34" s="3">
        <f t="shared" si="20"/>
        <v>15.428492348460855</v>
      </c>
      <c r="O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14.242156410960854</v>
      </c>
      <c r="P34" s="14">
        <v>0</v>
      </c>
    </row>
    <row r="35" spans="1:16" x14ac:dyDescent="0.25">
      <c r="A35" s="2">
        <f>IF(TableRBMaster[[#This Row],[Player]]&lt;&gt;0,A34+1,A34)</f>
        <v>24</v>
      </c>
      <c r="B35" s="2">
        <f>CIN!A$9</f>
        <v>0</v>
      </c>
      <c r="C35" s="2" t="s">
        <v>58</v>
      </c>
      <c r="D35" s="2">
        <f>CIN!C$9</f>
        <v>6</v>
      </c>
      <c r="E35" s="3">
        <f>CIN!I$9</f>
        <v>0</v>
      </c>
      <c r="F35" s="3">
        <f>CIN!J$9</f>
        <v>0</v>
      </c>
      <c r="G35" s="3">
        <f>CIN!K$9</f>
        <v>0</v>
      </c>
      <c r="H35" s="3">
        <f>CIN!L$9</f>
        <v>0</v>
      </c>
      <c r="I35" s="3">
        <f>CIN!M$9</f>
        <v>0</v>
      </c>
      <c r="J35" s="3">
        <f>CIN!N$9</f>
        <v>0</v>
      </c>
      <c r="K35" s="3">
        <f>CIN!O$9</f>
        <v>0</v>
      </c>
      <c r="L35" s="3">
        <f t="shared" si="18"/>
        <v>0</v>
      </c>
      <c r="M35" s="3">
        <f t="shared" si="19"/>
        <v>0</v>
      </c>
      <c r="N35" s="3">
        <f t="shared" si="20"/>
        <v>0</v>
      </c>
      <c r="O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5" s="14">
        <v>0</v>
      </c>
    </row>
    <row r="36" spans="1:16" x14ac:dyDescent="0.25">
      <c r="A36" s="2">
        <f>IF(TableRBMaster[[#This Row],[Player]]&lt;&gt;0,A35+1,A35)</f>
        <v>24</v>
      </c>
      <c r="B36" s="2">
        <f>CIN!A$10</f>
        <v>0</v>
      </c>
      <c r="C36" s="2" t="s">
        <v>58</v>
      </c>
      <c r="D36" s="2">
        <f>CIN!C$10</f>
        <v>6</v>
      </c>
      <c r="E36" s="3">
        <f>CIN!I$10</f>
        <v>0</v>
      </c>
      <c r="F36" s="3">
        <f>CIN!J$10</f>
        <v>0</v>
      </c>
      <c r="G36" s="3">
        <f>CIN!K$10</f>
        <v>0</v>
      </c>
      <c r="H36" s="3">
        <f>CIN!L$10</f>
        <v>0</v>
      </c>
      <c r="I36" s="3">
        <f>CIN!M$10</f>
        <v>0</v>
      </c>
      <c r="J36" s="3">
        <f>CIN!N$10</f>
        <v>0</v>
      </c>
      <c r="K36" s="3">
        <f>CIN!O$10</f>
        <v>0</v>
      </c>
      <c r="L36" s="3">
        <f t="shared" si="18"/>
        <v>0</v>
      </c>
      <c r="M36" s="3">
        <f t="shared" si="19"/>
        <v>0</v>
      </c>
      <c r="N36" s="3">
        <f t="shared" si="20"/>
        <v>0</v>
      </c>
      <c r="O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6" s="14">
        <v>0</v>
      </c>
    </row>
    <row r="37" spans="1:16" x14ac:dyDescent="0.25">
      <c r="A37" s="2">
        <f>IF(TableRBMaster[[#This Row],[Player]]&lt;&gt;0,A36+1,A36)</f>
        <v>25</v>
      </c>
      <c r="B37" s="2" t="str">
        <f>CLE!A$6</f>
        <v>Quinshon Judkins</v>
      </c>
      <c r="C37" s="2" t="s">
        <v>59</v>
      </c>
      <c r="D37" s="2">
        <f>CLE!C$6</f>
        <v>11</v>
      </c>
      <c r="E37" s="3">
        <f>CLE!I$6</f>
        <v>277.13410200000004</v>
      </c>
      <c r="F37" s="3">
        <f>CLE!J$6</f>
        <v>1136.2498182000002</v>
      </c>
      <c r="G37" s="3">
        <f>CLE!K$6</f>
        <v>7.8968420827102275</v>
      </c>
      <c r="H37" s="3">
        <f>CLE!L$6</f>
        <v>29.193317999999998</v>
      </c>
      <c r="I37" s="3">
        <f>CLE!M$6</f>
        <v>20.075148499443038</v>
      </c>
      <c r="J37" s="3">
        <f>CLE!N$6</f>
        <v>139.75715894354431</v>
      </c>
      <c r="K37" s="3">
        <f>CLE!O$6</f>
        <v>0.66247990048162031</v>
      </c>
      <c r="L37" s="3">
        <f t="shared" ref="L37:L41" si="21">(F37/10)+(G37*6)+(J37/10)+(K37*6)</f>
        <v>178.95662961350553</v>
      </c>
      <c r="M37" s="3">
        <f t="shared" ref="M37:M41" si="22">L37+(I37*0.5)</f>
        <v>188.99420386322706</v>
      </c>
      <c r="N37" s="3">
        <f t="shared" ref="N37:N41" si="23">L37+I37</f>
        <v>199.03177811294856</v>
      </c>
      <c r="O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188.99420386322706</v>
      </c>
      <c r="P37" s="14">
        <v>33.158464281356899</v>
      </c>
    </row>
    <row r="38" spans="1:16" x14ac:dyDescent="0.25">
      <c r="A38" s="2">
        <f>IF(TableRBMaster[[#This Row],[Player]]&lt;&gt;0,A37+1,A37)</f>
        <v>26</v>
      </c>
      <c r="B38" s="2" t="str">
        <f>CLE!A$7</f>
        <v>Dylan Sampson</v>
      </c>
      <c r="C38" s="2" t="s">
        <v>59</v>
      </c>
      <c r="D38" s="2">
        <f>CLE!C$8</f>
        <v>11</v>
      </c>
      <c r="E38" s="3">
        <f>CLE!I$7</f>
        <v>99.950004000000007</v>
      </c>
      <c r="F38" s="3">
        <f>CLE!J$7</f>
        <v>376.81151508000005</v>
      </c>
      <c r="G38" s="3">
        <f>CLE!K$7</f>
        <v>1.5263641160310031</v>
      </c>
      <c r="H38" s="3">
        <f>CLE!L$7</f>
        <v>38.099753999999997</v>
      </c>
      <c r="I38" s="3">
        <f>CLE!M$7</f>
        <v>28.612915253999997</v>
      </c>
      <c r="J38" s="3">
        <f>CLE!N$7</f>
        <v>220.70434522354418</v>
      </c>
      <c r="K38" s="3">
        <f>CLE!O$7</f>
        <v>1.3161941016839998</v>
      </c>
      <c r="L38" s="3">
        <f t="shared" si="21"/>
        <v>76.806935336644443</v>
      </c>
      <c r="M38" s="3">
        <f t="shared" si="22"/>
        <v>91.113392963644444</v>
      </c>
      <c r="N38" s="3">
        <f t="shared" si="23"/>
        <v>105.41985059064444</v>
      </c>
      <c r="O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91.113392963644444</v>
      </c>
      <c r="P38" s="14">
        <v>23.675137270027953</v>
      </c>
    </row>
    <row r="39" spans="1:16" x14ac:dyDescent="0.25">
      <c r="A39" s="2">
        <f>IF(TableRBMaster[[#This Row],[Player]]&lt;&gt;0,A38+1,A38)</f>
        <v>27</v>
      </c>
      <c r="B39" s="2" t="str">
        <f>CLE!A$8</f>
        <v>Raheim Sanders</v>
      </c>
      <c r="C39" s="2" t="s">
        <v>59</v>
      </c>
      <c r="D39" s="2">
        <f>CLE!C$7</f>
        <v>11</v>
      </c>
      <c r="E39" s="3">
        <f>CLE!I$8</f>
        <v>43.412627999999998</v>
      </c>
      <c r="F39" s="3">
        <f>CLE!J$8</f>
        <v>151.944198</v>
      </c>
      <c r="G39" s="3">
        <f>CLE!K$8</f>
        <v>0.65118941999999991</v>
      </c>
      <c r="H39" s="3">
        <f>CLE!L$8</f>
        <v>4.9480199999999996</v>
      </c>
      <c r="I39" s="3">
        <f>CLE!M$8</f>
        <v>3.35970558</v>
      </c>
      <c r="J39" s="3">
        <f>CLE!N$8</f>
        <v>29.378401673141351</v>
      </c>
      <c r="K39" s="3">
        <f>CLE!O$8</f>
        <v>0.11544478369386958</v>
      </c>
      <c r="L39" s="3">
        <f t="shared" si="21"/>
        <v>22.732065189477353</v>
      </c>
      <c r="M39" s="3">
        <f t="shared" si="22"/>
        <v>24.411917979477352</v>
      </c>
      <c r="N39" s="3">
        <f t="shared" si="23"/>
        <v>26.091770769477353</v>
      </c>
      <c r="O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24.411917979477352</v>
      </c>
      <c r="P39" s="14">
        <v>0</v>
      </c>
    </row>
    <row r="40" spans="1:16" x14ac:dyDescent="0.25">
      <c r="A40" s="2">
        <f>IF(TableRBMaster[[#This Row],[Player]]&lt;&gt;0,A39+1,A39)</f>
        <v>27</v>
      </c>
      <c r="B40" s="2">
        <f>CLE!A$9</f>
        <v>0</v>
      </c>
      <c r="C40" s="2" t="s">
        <v>59</v>
      </c>
      <c r="D40" s="2">
        <f>CLE!C$9</f>
        <v>11</v>
      </c>
      <c r="E40" s="3">
        <f>CLE!I$9</f>
        <v>0</v>
      </c>
      <c r="F40" s="3">
        <f>CLE!J$9</f>
        <v>0</v>
      </c>
      <c r="G40" s="3">
        <f>CLE!K$9</f>
        <v>0</v>
      </c>
      <c r="H40" s="3">
        <f>CLE!L$9</f>
        <v>0</v>
      </c>
      <c r="I40" s="3">
        <f>CLE!M$9</f>
        <v>0</v>
      </c>
      <c r="J40" s="3">
        <f>CLE!N$9</f>
        <v>0</v>
      </c>
      <c r="K40" s="3">
        <f>CLE!O$9</f>
        <v>0</v>
      </c>
      <c r="L40" s="3">
        <f t="shared" si="21"/>
        <v>0</v>
      </c>
      <c r="M40" s="3">
        <f t="shared" si="22"/>
        <v>0</v>
      </c>
      <c r="N40" s="3">
        <f t="shared" si="23"/>
        <v>0</v>
      </c>
      <c r="O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0" s="14">
        <v>0</v>
      </c>
    </row>
    <row r="41" spans="1:16" x14ac:dyDescent="0.25">
      <c r="A41" s="2">
        <f>IF(TableRBMaster[[#This Row],[Player]]&lt;&gt;0,A40+1,A40)</f>
        <v>27</v>
      </c>
      <c r="B41" s="2">
        <f>CLE!A$10</f>
        <v>0</v>
      </c>
      <c r="C41" s="2" t="s">
        <v>59</v>
      </c>
      <c r="D41" s="2">
        <f>CLE!C$10</f>
        <v>11</v>
      </c>
      <c r="E41" s="3">
        <f>CLE!I$10</f>
        <v>0</v>
      </c>
      <c r="F41" s="3">
        <f>CLE!J$10</f>
        <v>0</v>
      </c>
      <c r="G41" s="3">
        <f>CLE!K$10</f>
        <v>0</v>
      </c>
      <c r="H41" s="3">
        <f>CLE!L$10</f>
        <v>0</v>
      </c>
      <c r="I41" s="3">
        <f>CLE!M$10</f>
        <v>0</v>
      </c>
      <c r="J41" s="3">
        <f>CLE!N$10</f>
        <v>0</v>
      </c>
      <c r="K41" s="3">
        <f>CLE!O$10</f>
        <v>0</v>
      </c>
      <c r="L41" s="3">
        <f t="shared" si="21"/>
        <v>0</v>
      </c>
      <c r="M41" s="3">
        <f t="shared" si="22"/>
        <v>0</v>
      </c>
      <c r="N41" s="3">
        <f t="shared" si="23"/>
        <v>0</v>
      </c>
      <c r="O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1" s="14">
        <v>0</v>
      </c>
    </row>
    <row r="42" spans="1:16" x14ac:dyDescent="0.25">
      <c r="A42" s="2">
        <f>IF(TableRBMaster[[#This Row],[Player]]&lt;&gt;0,A41+1,A41)</f>
        <v>28</v>
      </c>
      <c r="B42" s="2" t="str">
        <f>DAL!A$6</f>
        <v>Javonte Williams</v>
      </c>
      <c r="C42" s="2" t="s">
        <v>60</v>
      </c>
      <c r="D42" s="2">
        <f>DAL!C$6</f>
        <v>14</v>
      </c>
      <c r="E42" s="3">
        <f>DAL!I$6</f>
        <v>262.13087039999999</v>
      </c>
      <c r="F42" s="3">
        <f>DAL!J$6</f>
        <v>1195.3167690239998</v>
      </c>
      <c r="G42" s="3">
        <f>DAL!K$6</f>
        <v>9.6988422048</v>
      </c>
      <c r="H42" s="3">
        <f>DAL!L$6</f>
        <v>53.043205599999993</v>
      </c>
      <c r="I42" s="3">
        <f>DAL!M$6</f>
        <v>37.638304011733325</v>
      </c>
      <c r="J42" s="3">
        <f>DAL!N$6</f>
        <v>191.03492454933334</v>
      </c>
      <c r="K42" s="3">
        <f>DAL!O$6</f>
        <v>1.9195535045983994</v>
      </c>
      <c r="L42" s="3">
        <f t="shared" ref="L42:L46" si="24">(F42/10)+(G42*6)+(J42/10)+(K42*6)</f>
        <v>208.34554361372369</v>
      </c>
      <c r="M42" s="3">
        <f t="shared" ref="M42:M46" si="25">L42+(I42*0.5)</f>
        <v>227.16469561959036</v>
      </c>
      <c r="N42" s="3">
        <f t="shared" ref="N42:N46" si="26">L42+I42</f>
        <v>245.98384762545703</v>
      </c>
      <c r="O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227.16469561959036</v>
      </c>
      <c r="P42" s="14">
        <v>44.776221588356584</v>
      </c>
    </row>
    <row r="43" spans="1:16" x14ac:dyDescent="0.25">
      <c r="A43" s="2">
        <f>IF(TableRBMaster[[#This Row],[Player]]&lt;&gt;0,A42+1,A42)</f>
        <v>29</v>
      </c>
      <c r="B43" s="2" t="str">
        <f>DAL!A$7</f>
        <v>Jaydon Blue</v>
      </c>
      <c r="C43" s="2" t="s">
        <v>60</v>
      </c>
      <c r="D43" s="2">
        <f>DAL!C$8</f>
        <v>14</v>
      </c>
      <c r="E43" s="3">
        <f>DAL!I$7</f>
        <v>49.580674500000008</v>
      </c>
      <c r="F43" s="3">
        <f>DAL!J$7</f>
        <v>203.77657219500006</v>
      </c>
      <c r="G43" s="3">
        <f>DAL!K$7</f>
        <v>1.4378395605000003</v>
      </c>
      <c r="H43" s="3">
        <f>DAL!L$7</f>
        <v>19.891202099999997</v>
      </c>
      <c r="I43" s="3">
        <f>DAL!M$7</f>
        <v>13.289416813547367</v>
      </c>
      <c r="J43" s="3">
        <f>DAL!N$7</f>
        <v>87.045680128735256</v>
      </c>
      <c r="K43" s="3">
        <f>DAL!O$7</f>
        <v>0.3189460035251368</v>
      </c>
      <c r="L43" s="3">
        <f t="shared" si="24"/>
        <v>39.622938616524351</v>
      </c>
      <c r="M43" s="3">
        <f t="shared" si="25"/>
        <v>46.267647023298032</v>
      </c>
      <c r="N43" s="3">
        <f t="shared" si="26"/>
        <v>52.91235543007172</v>
      </c>
      <c r="O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46.267647023298039</v>
      </c>
      <c r="P43" s="14">
        <v>0</v>
      </c>
    </row>
    <row r="44" spans="1:16" x14ac:dyDescent="0.25">
      <c r="A44" s="2">
        <f>IF(TableRBMaster[[#This Row],[Player]]&lt;&gt;0,A43+1,A43)</f>
        <v>30</v>
      </c>
      <c r="B44" s="2" t="str">
        <f>DAL!A$8</f>
        <v>Malik Davis</v>
      </c>
      <c r="C44" s="2" t="s">
        <v>60</v>
      </c>
      <c r="D44" s="2">
        <f>DAL!C$7</f>
        <v>14</v>
      </c>
      <c r="E44" s="3">
        <f>DAL!I$8</f>
        <v>46.131584100000005</v>
      </c>
      <c r="F44" s="3">
        <f>DAL!J$8</f>
        <v>205.74686508600001</v>
      </c>
      <c r="G44" s="3">
        <f>DAL!K$8</f>
        <v>1.6146054435000003</v>
      </c>
      <c r="H44" s="3">
        <f>DAL!L$8</f>
        <v>6.0276369999999995</v>
      </c>
      <c r="I44" s="3">
        <f>DAL!M$8</f>
        <v>4.0385167900000001</v>
      </c>
      <c r="J44" s="3">
        <f>DAL!N$8</f>
        <v>25.429642123903989</v>
      </c>
      <c r="K44" s="3">
        <f>DAL!O$8</f>
        <v>0.1211555037</v>
      </c>
      <c r="L44" s="3">
        <f t="shared" si="24"/>
        <v>33.532216404190407</v>
      </c>
      <c r="M44" s="3">
        <f t="shared" si="25"/>
        <v>35.551474799190409</v>
      </c>
      <c r="N44" s="3">
        <f t="shared" si="26"/>
        <v>37.57073319419041</v>
      </c>
      <c r="O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35.551474799190409</v>
      </c>
      <c r="P44" s="14">
        <v>0</v>
      </c>
    </row>
    <row r="45" spans="1:16" x14ac:dyDescent="0.25">
      <c r="A45" s="2">
        <f>IF(TableRBMaster[[#This Row],[Player]]&lt;&gt;0,A44+1,A44)</f>
        <v>31</v>
      </c>
      <c r="B45" s="2" t="str">
        <f>DAL!A$9</f>
        <v>Phil Mafah</v>
      </c>
      <c r="C45" s="2" t="s">
        <v>60</v>
      </c>
      <c r="D45" s="2">
        <f>DAL!C$9</f>
        <v>14</v>
      </c>
      <c r="E45" s="3">
        <f>DAL!I$9</f>
        <v>10.778407500000002</v>
      </c>
      <c r="F45" s="3">
        <f>DAL!J$9</f>
        <v>45.377095575000006</v>
      </c>
      <c r="G45" s="3">
        <f>DAL!K$9</f>
        <v>0.32335222500000005</v>
      </c>
      <c r="H45" s="3">
        <f>DAL!L$9</f>
        <v>3.0138184999999997</v>
      </c>
      <c r="I45" s="3">
        <f>DAL!M$9</f>
        <v>2.0554242170000001</v>
      </c>
      <c r="J45" s="3">
        <f>DAL!N$9</f>
        <v>12.68196741889</v>
      </c>
      <c r="K45" s="3">
        <f>DAL!O$9</f>
        <v>5.5496453859000004E-2</v>
      </c>
      <c r="L45" s="3">
        <f t="shared" si="24"/>
        <v>8.0789983725429995</v>
      </c>
      <c r="M45" s="3">
        <f t="shared" si="25"/>
        <v>9.1067104810429989</v>
      </c>
      <c r="N45" s="3">
        <f t="shared" si="26"/>
        <v>10.134422589543</v>
      </c>
      <c r="O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9.1067104810430006</v>
      </c>
      <c r="P45" s="14">
        <v>0</v>
      </c>
    </row>
    <row r="46" spans="1:16" x14ac:dyDescent="0.25">
      <c r="A46" s="2">
        <f>IF(TableRBMaster[[#This Row],[Player]]&lt;&gt;0,A45+1,A45)</f>
        <v>31</v>
      </c>
      <c r="B46" s="2">
        <f>DAL!A$10</f>
        <v>0</v>
      </c>
      <c r="C46" s="2" t="s">
        <v>60</v>
      </c>
      <c r="D46" s="2">
        <f>DAL!C$10</f>
        <v>14</v>
      </c>
      <c r="E46" s="3">
        <f>DAL!I$10</f>
        <v>0</v>
      </c>
      <c r="F46" s="3">
        <f>DAL!J$10</f>
        <v>0</v>
      </c>
      <c r="G46" s="3">
        <f>DAL!K$10</f>
        <v>0</v>
      </c>
      <c r="H46" s="3">
        <f>DAL!L$10</f>
        <v>0</v>
      </c>
      <c r="I46" s="3">
        <f>DAL!M$10</f>
        <v>0</v>
      </c>
      <c r="J46" s="3">
        <f>DAL!N$10</f>
        <v>0</v>
      </c>
      <c r="K46" s="3">
        <f>DAL!O$10</f>
        <v>0</v>
      </c>
      <c r="L46" s="3">
        <f t="shared" si="24"/>
        <v>0</v>
      </c>
      <c r="M46" s="3">
        <f t="shared" si="25"/>
        <v>0</v>
      </c>
      <c r="N46" s="3">
        <f t="shared" si="26"/>
        <v>0</v>
      </c>
      <c r="O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6" s="14">
        <v>0</v>
      </c>
    </row>
    <row r="47" spans="1:16" x14ac:dyDescent="0.25">
      <c r="A47" s="2">
        <f>IF(TableRBMaster[[#This Row],[Player]]&lt;&gt;0,A46+1,A46)</f>
        <v>32</v>
      </c>
      <c r="B47" s="2" t="str">
        <f>DEN!A$6</f>
        <v>J.K. Dobbins</v>
      </c>
      <c r="C47" s="2" t="s">
        <v>61</v>
      </c>
      <c r="D47" s="2">
        <f>DEN!C$6</f>
        <v>10</v>
      </c>
      <c r="E47" s="3">
        <f>DEN!I$6</f>
        <v>154.06608419999998</v>
      </c>
      <c r="F47" s="3">
        <f>DEN!J$6</f>
        <v>735.81051523953079</v>
      </c>
      <c r="G47" s="3">
        <f>DEN!K$6</f>
        <v>4.7760486101999993</v>
      </c>
      <c r="H47" s="3">
        <f>DEN!L$6</f>
        <v>21.68552232</v>
      </c>
      <c r="I47" s="3">
        <f>DEN!M$6</f>
        <v>15.256422089159999</v>
      </c>
      <c r="J47" s="3">
        <f>DEN!N$6</f>
        <v>74.466112235760008</v>
      </c>
      <c r="K47" s="3">
        <f>DEN!O$6</f>
        <v>0.50303840412000012</v>
      </c>
      <c r="L47" s="3">
        <f t="shared" ref="L47:L51" si="27">(F47/10)+(G47*6)+(J47/10)+(K47*6)</f>
        <v>112.70218483344907</v>
      </c>
      <c r="M47" s="3">
        <f t="shared" ref="M47:M51" si="28">L47+(I47*0.5)</f>
        <v>120.33039587802907</v>
      </c>
      <c r="N47" s="3">
        <f t="shared" ref="N47:N51" si="29">L47+I47</f>
        <v>127.95860692260906</v>
      </c>
      <c r="O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120.33039587802907</v>
      </c>
      <c r="P47" s="14">
        <v>20.028772470953456</v>
      </c>
    </row>
    <row r="48" spans="1:16" x14ac:dyDescent="0.25">
      <c r="A48" s="2">
        <f>IF(TableRBMaster[[#This Row],[Player]]&lt;&gt;0,A47+1,A47)</f>
        <v>33</v>
      </c>
      <c r="B48" s="2" t="str">
        <f>DEN!A$7</f>
        <v>RJ Harvey</v>
      </c>
      <c r="C48" s="2" t="s">
        <v>61</v>
      </c>
      <c r="D48" s="2">
        <f>DEN!C$8</f>
        <v>10</v>
      </c>
      <c r="E48" s="3">
        <f>DEN!I$7</f>
        <v>142.00873847999998</v>
      </c>
      <c r="F48" s="3">
        <f>DEN!J$7</f>
        <v>576.55547822879987</v>
      </c>
      <c r="G48" s="3">
        <f>DEN!K$7</f>
        <v>5.1123145852799992</v>
      </c>
      <c r="H48" s="3">
        <f>DEN!L$7</f>
        <v>60.491193840000008</v>
      </c>
      <c r="I48" s="3">
        <f>DEN!M$7</f>
        <v>47.630766029615998</v>
      </c>
      <c r="J48" s="3">
        <f>DEN!N$7</f>
        <v>339.28814059593606</v>
      </c>
      <c r="K48" s="3">
        <f>DEN!O$7</f>
        <v>3.3341536220731203</v>
      </c>
      <c r="L48" s="3">
        <f t="shared" si="27"/>
        <v>142.26317112659231</v>
      </c>
      <c r="M48" s="3">
        <f t="shared" si="28"/>
        <v>166.0785541414003</v>
      </c>
      <c r="N48" s="3">
        <f t="shared" si="29"/>
        <v>189.89393715620832</v>
      </c>
      <c r="O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166.0785541414003</v>
      </c>
      <c r="P48" s="14">
        <v>10.939920184371568</v>
      </c>
    </row>
    <row r="49" spans="1:16" x14ac:dyDescent="0.25">
      <c r="A49" s="2">
        <f>IF(TableRBMaster[[#This Row],[Player]]&lt;&gt;0,A48+1,A48)</f>
        <v>34</v>
      </c>
      <c r="B49" s="2" t="str">
        <f>DEN!A$8</f>
        <v>Jonah Coleman</v>
      </c>
      <c r="C49" s="2" t="s">
        <v>61</v>
      </c>
      <c r="D49" s="2">
        <f>DEN!C$7</f>
        <v>10</v>
      </c>
      <c r="E49" s="3">
        <f>DEN!I$8</f>
        <v>55.374476639999997</v>
      </c>
      <c r="F49" s="3">
        <f>DEN!J$8</f>
        <v>240.87897338399998</v>
      </c>
      <c r="G49" s="3">
        <f>DEN!K$8</f>
        <v>2.32572801888</v>
      </c>
      <c r="H49" s="3">
        <f>DEN!L$8</f>
        <v>9.7014178800000028</v>
      </c>
      <c r="I49" s="3">
        <f>DEN!M$8</f>
        <v>7.2566605742400023</v>
      </c>
      <c r="J49" s="3">
        <f>DEN!N$8</f>
        <v>50.562817902940751</v>
      </c>
      <c r="K49" s="3">
        <f>DEN!O$8</f>
        <v>0.14307076282588149</v>
      </c>
      <c r="L49" s="3">
        <f t="shared" si="27"/>
        <v>43.956971818929354</v>
      </c>
      <c r="M49" s="3">
        <f t="shared" si="28"/>
        <v>47.585302106049355</v>
      </c>
      <c r="N49" s="3">
        <f t="shared" si="29"/>
        <v>51.213632393169355</v>
      </c>
      <c r="O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47.585302106049355</v>
      </c>
      <c r="P49" s="14">
        <v>0</v>
      </c>
    </row>
    <row r="50" spans="1:16" x14ac:dyDescent="0.25">
      <c r="A50" s="2">
        <f>IF(TableRBMaster[[#This Row],[Player]]&lt;&gt;0,A49+1,A49)</f>
        <v>35</v>
      </c>
      <c r="B50" s="2" t="str">
        <f>DEN!A$9</f>
        <v>Jaleel McLaughlin</v>
      </c>
      <c r="C50" s="2" t="s">
        <v>61</v>
      </c>
      <c r="D50" s="2">
        <f>DEN!C$9</f>
        <v>10</v>
      </c>
      <c r="E50" s="3">
        <f>DEN!I$9</f>
        <v>4.4656835999999993</v>
      </c>
      <c r="F50" s="3">
        <f>DEN!J$9</f>
        <v>21.926506475999997</v>
      </c>
      <c r="G50" s="3">
        <f>DEN!K$9</f>
        <v>0.12503914079999998</v>
      </c>
      <c r="H50" s="3">
        <f>DEN!L$9</f>
        <v>5.7067164000000004</v>
      </c>
      <c r="I50" s="3">
        <f>DEN!M$9</f>
        <v>4.1430761064000006</v>
      </c>
      <c r="J50" s="3">
        <f>DEN!N$9</f>
        <v>30.688224578722757</v>
      </c>
      <c r="K50" s="3">
        <f>DEN!O$9</f>
        <v>0.1424148438568355</v>
      </c>
      <c r="L50" s="3">
        <f t="shared" si="27"/>
        <v>6.8661970134132879</v>
      </c>
      <c r="M50" s="3">
        <f t="shared" si="28"/>
        <v>8.9377350666132891</v>
      </c>
      <c r="N50" s="3">
        <f t="shared" si="29"/>
        <v>11.009273119813288</v>
      </c>
      <c r="O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8.9377350666132891</v>
      </c>
      <c r="P50" s="14">
        <v>0</v>
      </c>
    </row>
    <row r="51" spans="1:16" x14ac:dyDescent="0.25">
      <c r="A51" s="2">
        <f>IF(TableRBMaster[[#This Row],[Player]]&lt;&gt;0,A50+1,A50)</f>
        <v>35</v>
      </c>
      <c r="B51" s="2">
        <f>DEN!A$10</f>
        <v>0</v>
      </c>
      <c r="C51" s="2" t="s">
        <v>61</v>
      </c>
      <c r="D51" s="2">
        <f>DEN!C$10</f>
        <v>10</v>
      </c>
      <c r="E51" s="3">
        <f>DEN!I$10</f>
        <v>0</v>
      </c>
      <c r="F51" s="3">
        <f>DEN!J$10</f>
        <v>0</v>
      </c>
      <c r="G51" s="3">
        <f>DEN!K$10</f>
        <v>0</v>
      </c>
      <c r="H51" s="3">
        <f>DEN!L$10</f>
        <v>0</v>
      </c>
      <c r="I51" s="3">
        <f>DEN!M$10</f>
        <v>0</v>
      </c>
      <c r="J51" s="3">
        <f>DEN!N$10</f>
        <v>0</v>
      </c>
      <c r="K51" s="3">
        <f>DEN!O$10</f>
        <v>0</v>
      </c>
      <c r="L51" s="3">
        <f t="shared" si="27"/>
        <v>0</v>
      </c>
      <c r="M51" s="3">
        <f t="shared" si="28"/>
        <v>0</v>
      </c>
      <c r="N51" s="3">
        <f t="shared" si="29"/>
        <v>0</v>
      </c>
      <c r="O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1" s="14">
        <v>0</v>
      </c>
    </row>
    <row r="52" spans="1:16" x14ac:dyDescent="0.25">
      <c r="A52" s="2">
        <f>IF(TableRBMaster[[#This Row],[Player]]&lt;&gt;0,A51+1,A51)</f>
        <v>36</v>
      </c>
      <c r="B52" s="2" t="str">
        <f>DET!A$6</f>
        <v>Jahmyr Gibbs</v>
      </c>
      <c r="C52" s="2" t="s">
        <v>62</v>
      </c>
      <c r="D52" s="2">
        <f>DET!C$6</f>
        <v>6</v>
      </c>
      <c r="E52" s="3">
        <f>DET!I$6</f>
        <v>260.11842080000002</v>
      </c>
      <c r="F52" s="3">
        <f>DET!J$6</f>
        <v>1279.782630336</v>
      </c>
      <c r="G52" s="3">
        <f>DET!K$6</f>
        <v>13.526157881600001</v>
      </c>
      <c r="H52" s="3">
        <f>DET!L$6</f>
        <v>93.666047999999975</v>
      </c>
      <c r="I52" s="3">
        <f>DET!M$6</f>
        <v>72.778519295999985</v>
      </c>
      <c r="J52" s="3">
        <f>DET!N$6</f>
        <v>575.01351531904493</v>
      </c>
      <c r="K52" s="3">
        <f>DET!O$6</f>
        <v>3.5207265372926151</v>
      </c>
      <c r="L52" s="3">
        <f t="shared" ref="L52:L56" si="30">(F52/10)+(G52*6)+(J52/10)+(K52*6)</f>
        <v>287.76092107886018</v>
      </c>
      <c r="M52" s="3">
        <f t="shared" ref="M52:M56" si="31">L52+(I52*0.5)</f>
        <v>324.15018072686019</v>
      </c>
      <c r="N52" s="3">
        <f t="shared" ref="N52:N56" si="32">L52+I52</f>
        <v>360.53944037486019</v>
      </c>
      <c r="O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324.15018072686019</v>
      </c>
      <c r="P52" s="14">
        <v>29.543461763955655</v>
      </c>
    </row>
    <row r="53" spans="1:16" x14ac:dyDescent="0.25">
      <c r="A53" s="2">
        <f>IF(TableRBMaster[[#This Row],[Player]]&lt;&gt;0,A52+1,A52)</f>
        <v>37</v>
      </c>
      <c r="B53" s="2" t="str">
        <f>DET!A$7</f>
        <v>Isiah Pacheco</v>
      </c>
      <c r="C53" s="2" t="s">
        <v>62</v>
      </c>
      <c r="D53" s="2">
        <f>DET!C$8</f>
        <v>6</v>
      </c>
      <c r="E53" s="3">
        <f>DET!I$7</f>
        <v>127.1886336</v>
      </c>
      <c r="F53" s="3">
        <f>DET!J$7</f>
        <v>530.376602112</v>
      </c>
      <c r="G53" s="3">
        <f>DET!K$7</f>
        <v>5.3419226112000002</v>
      </c>
      <c r="H53" s="3">
        <f>DET!L$7</f>
        <v>21.660273599999996</v>
      </c>
      <c r="I53" s="3">
        <f>DET!M$7</f>
        <v>14.241722457271793</v>
      </c>
      <c r="J53" s="3">
        <f>DET!N$7</f>
        <v>95.731004090256391</v>
      </c>
      <c r="K53" s="3">
        <f>DET!O$7</f>
        <v>0.77458619437948706</v>
      </c>
      <c r="L53" s="3">
        <f t="shared" si="30"/>
        <v>99.309813453702574</v>
      </c>
      <c r="M53" s="3">
        <f t="shared" si="31"/>
        <v>106.43067468233848</v>
      </c>
      <c r="N53" s="3">
        <f t="shared" si="32"/>
        <v>113.55153591097437</v>
      </c>
      <c r="O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106.43067468233848</v>
      </c>
      <c r="P53" s="14">
        <v>8.7678044290027124</v>
      </c>
    </row>
    <row r="54" spans="1:16" x14ac:dyDescent="0.25">
      <c r="A54" s="2">
        <f>IF(TableRBMaster[[#This Row],[Player]]&lt;&gt;0,A53+1,A53)</f>
        <v>38</v>
      </c>
      <c r="B54" s="2" t="str">
        <f>DET!A$8</f>
        <v>Jacob Saylors</v>
      </c>
      <c r="C54" s="2" t="s">
        <v>62</v>
      </c>
      <c r="D54" s="2">
        <f>DET!C$7</f>
        <v>6</v>
      </c>
      <c r="E54" s="3">
        <f>DET!I$8</f>
        <v>19.431596800000001</v>
      </c>
      <c r="F54" s="3">
        <f>DET!J$8</f>
        <v>77.726387200000005</v>
      </c>
      <c r="G54" s="3">
        <f>DET!K$8</f>
        <v>0.93271664640000007</v>
      </c>
      <c r="H54" s="3">
        <f>DET!L$8</f>
        <v>2.9270639999999992</v>
      </c>
      <c r="I54" s="3">
        <f>DET!M$8</f>
        <v>1.8733209599999996</v>
      </c>
      <c r="J54" s="3">
        <f>DET!N$8</f>
        <v>10.557349928166349</v>
      </c>
      <c r="K54" s="3">
        <f>DET!O$8</f>
        <v>5.6199628799999984E-2</v>
      </c>
      <c r="L54" s="3">
        <f t="shared" si="30"/>
        <v>14.761871364016635</v>
      </c>
      <c r="M54" s="3">
        <f t="shared" si="31"/>
        <v>15.698531844016635</v>
      </c>
      <c r="N54" s="3">
        <f t="shared" si="32"/>
        <v>16.635192324016636</v>
      </c>
      <c r="O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15.698531844016635</v>
      </c>
      <c r="P54" s="14">
        <v>0</v>
      </c>
    </row>
    <row r="55" spans="1:16" x14ac:dyDescent="0.25">
      <c r="A55" s="2">
        <f>IF(TableRBMaster[[#This Row],[Player]]&lt;&gt;0,A54+1,A54)</f>
        <v>38</v>
      </c>
      <c r="B55" s="2">
        <f>DET!A$9</f>
        <v>0</v>
      </c>
      <c r="C55" s="2" t="s">
        <v>62</v>
      </c>
      <c r="D55" s="2">
        <f>DET!C$9</f>
        <v>6</v>
      </c>
      <c r="E55" s="3">
        <f>DET!I$9</f>
        <v>0</v>
      </c>
      <c r="F55" s="3">
        <f>DET!J$9</f>
        <v>0</v>
      </c>
      <c r="G55" s="3">
        <f>DET!K$9</f>
        <v>0</v>
      </c>
      <c r="H55" s="3">
        <f>DET!L$9</f>
        <v>0</v>
      </c>
      <c r="I55" s="3">
        <f>DET!M$9</f>
        <v>0</v>
      </c>
      <c r="J55" s="3">
        <f>DET!N$9</f>
        <v>0</v>
      </c>
      <c r="K55" s="3">
        <f>DET!O$9</f>
        <v>0</v>
      </c>
      <c r="L55" s="3">
        <f t="shared" si="30"/>
        <v>0</v>
      </c>
      <c r="M55" s="3">
        <f t="shared" si="31"/>
        <v>0</v>
      </c>
      <c r="N55" s="3">
        <f t="shared" si="32"/>
        <v>0</v>
      </c>
      <c r="O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5" s="14">
        <v>0</v>
      </c>
    </row>
    <row r="56" spans="1:16" x14ac:dyDescent="0.25">
      <c r="A56" s="2">
        <f>IF(TableRBMaster[[#This Row],[Player]]&lt;&gt;0,A55+1,A55)</f>
        <v>38</v>
      </c>
      <c r="B56" s="2">
        <f>DET!A$10</f>
        <v>0</v>
      </c>
      <c r="C56" s="2" t="s">
        <v>62</v>
      </c>
      <c r="D56" s="2">
        <f>DET!C$10</f>
        <v>6</v>
      </c>
      <c r="E56" s="3">
        <f>DET!I$10</f>
        <v>0</v>
      </c>
      <c r="F56" s="3">
        <f>DET!J$10</f>
        <v>0</v>
      </c>
      <c r="G56" s="3">
        <f>DET!K$10</f>
        <v>0</v>
      </c>
      <c r="H56" s="3">
        <f>DET!L$10</f>
        <v>0</v>
      </c>
      <c r="I56" s="3">
        <f>DET!M$10</f>
        <v>0</v>
      </c>
      <c r="J56" s="3">
        <f>DET!N$10</f>
        <v>0</v>
      </c>
      <c r="K56" s="3">
        <f>DET!O$10</f>
        <v>0</v>
      </c>
      <c r="L56" s="3">
        <f t="shared" si="30"/>
        <v>0</v>
      </c>
      <c r="M56" s="3">
        <f t="shared" si="31"/>
        <v>0</v>
      </c>
      <c r="N56" s="3">
        <f t="shared" si="32"/>
        <v>0</v>
      </c>
      <c r="O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6" s="14">
        <v>0</v>
      </c>
    </row>
    <row r="57" spans="1:16" x14ac:dyDescent="0.25">
      <c r="A57" s="2">
        <f>IF(TableRBMaster[[#This Row],[Player]]&lt;&gt;0,A56+1,A56)</f>
        <v>39</v>
      </c>
      <c r="B57" s="2" t="str">
        <f>GB!A$6</f>
        <v>Josh Jacobs</v>
      </c>
      <c r="C57" s="2" t="s">
        <v>63</v>
      </c>
      <c r="D57" s="2">
        <f>GB!C$6</f>
        <v>11</v>
      </c>
      <c r="E57" s="3">
        <f>GB!I$6</f>
        <v>244.29464303999998</v>
      </c>
      <c r="F57" s="3">
        <f>GB!J$6</f>
        <v>992.89385363042413</v>
      </c>
      <c r="G57" s="3">
        <f>GB!K$6</f>
        <v>11.237553579839998</v>
      </c>
      <c r="H57" s="3">
        <f>GB!L$6</f>
        <v>45.916429507537686</v>
      </c>
      <c r="I57" s="3">
        <f>GB!M$6</f>
        <v>34.693487474221634</v>
      </c>
      <c r="J57" s="3">
        <f>GB!N$6</f>
        <v>264.40452323508913</v>
      </c>
      <c r="K57" s="3">
        <f>GB!O$6</f>
        <v>1.1790050215303887</v>
      </c>
      <c r="L57" s="3">
        <f t="shared" ref="L57:L61" si="33">(F57/10)+(G57*6)+(J57/10)+(K57*6)</f>
        <v>200.22918929477365</v>
      </c>
      <c r="M57" s="3">
        <f t="shared" ref="M57:M61" si="34">L57+(I57*0.5)</f>
        <v>217.57593303188446</v>
      </c>
      <c r="N57" s="3">
        <f t="shared" ref="N57:N61" si="35">L57+I57</f>
        <v>234.92267676899527</v>
      </c>
      <c r="O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217.57593303188446</v>
      </c>
      <c r="P57" s="14">
        <v>40.289314661508477</v>
      </c>
    </row>
    <row r="58" spans="1:16" x14ac:dyDescent="0.25">
      <c r="A58" s="2">
        <f>IF(TableRBMaster[[#This Row],[Player]]&lt;&gt;0,A57+1,A57)</f>
        <v>40</v>
      </c>
      <c r="B58" s="2" t="str">
        <f>GB!A$7</f>
        <v>MarShawn Lloyd</v>
      </c>
      <c r="C58" s="2" t="s">
        <v>63</v>
      </c>
      <c r="D58" s="2">
        <f>GB!C$8</f>
        <v>11</v>
      </c>
      <c r="E58" s="3">
        <f>GB!I$7</f>
        <v>101.3964252</v>
      </c>
      <c r="F58" s="3">
        <f>GB!J$7</f>
        <v>415.49452903946116</v>
      </c>
      <c r="G58" s="3">
        <f>GB!K$7</f>
        <v>3.2446856064</v>
      </c>
      <c r="H58" s="3">
        <f>GB!L$7</f>
        <v>10.95732976884422</v>
      </c>
      <c r="I58" s="3">
        <f>GB!M$7</f>
        <v>7.0160391250452259</v>
      </c>
      <c r="J58" s="3">
        <f>GB!N$7</f>
        <v>49.793454542613063</v>
      </c>
      <c r="K58" s="3">
        <f>GB!O$7</f>
        <v>0.26660948675171858</v>
      </c>
      <c r="L58" s="3">
        <f t="shared" si="33"/>
        <v>67.596568917117736</v>
      </c>
      <c r="M58" s="3">
        <f t="shared" si="34"/>
        <v>71.104588479640356</v>
      </c>
      <c r="N58" s="3">
        <f t="shared" si="35"/>
        <v>74.612608042162961</v>
      </c>
      <c r="O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71.104588479640356</v>
      </c>
      <c r="P58" s="14">
        <v>2.090203818393999</v>
      </c>
    </row>
    <row r="59" spans="1:16" x14ac:dyDescent="0.25">
      <c r="A59" s="2">
        <f>IF(TableRBMaster[[#This Row],[Player]]&lt;&gt;0,A58+1,A58)</f>
        <v>41</v>
      </c>
      <c r="B59" s="2" t="str">
        <f>GB!A$8</f>
        <v>Chris Brooks</v>
      </c>
      <c r="C59" s="2" t="s">
        <v>63</v>
      </c>
      <c r="D59" s="2">
        <f>GB!C$7</f>
        <v>11</v>
      </c>
      <c r="E59" s="3">
        <f>GB!I$8</f>
        <v>41.973403919999996</v>
      </c>
      <c r="F59" s="3">
        <f>GB!J$8</f>
        <v>173.76610074907819</v>
      </c>
      <c r="G59" s="3">
        <f>GB!K$8</f>
        <v>1.1752553097599998</v>
      </c>
      <c r="H59" s="3">
        <f>GB!L$8</f>
        <v>12.000884984924623</v>
      </c>
      <c r="I59" s="3">
        <f>GB!M$8</f>
        <v>10.15849271057235</v>
      </c>
      <c r="J59" s="3">
        <f>GB!N$8</f>
        <v>67.242907432196887</v>
      </c>
      <c r="K59" s="3">
        <f>GB!O$8</f>
        <v>0.30238127295348538</v>
      </c>
      <c r="L59" s="3">
        <f t="shared" si="33"/>
        <v>32.96672031440842</v>
      </c>
      <c r="M59" s="3">
        <f t="shared" si="34"/>
        <v>38.045966669694593</v>
      </c>
      <c r="N59" s="3">
        <f t="shared" si="35"/>
        <v>43.125213024980766</v>
      </c>
      <c r="O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38.045966669694593</v>
      </c>
      <c r="P59" s="14">
        <v>0</v>
      </c>
    </row>
    <row r="60" spans="1:16" x14ac:dyDescent="0.25">
      <c r="A60" s="2">
        <f>IF(TableRBMaster[[#This Row],[Player]]&lt;&gt;0,A59+1,A59)</f>
        <v>42</v>
      </c>
      <c r="B60" s="2" t="str">
        <f>GB!A$9</f>
        <v>Pierre Strong</v>
      </c>
      <c r="C60" s="2" t="s">
        <v>63</v>
      </c>
      <c r="D60" s="2">
        <f>GB!C$9</f>
        <v>11</v>
      </c>
      <c r="E60" s="3">
        <f>GB!I$9</f>
        <v>6.1309466399999994</v>
      </c>
      <c r="F60" s="3">
        <f>GB!J$9</f>
        <v>23.537363195570531</v>
      </c>
      <c r="G60" s="3">
        <f>GB!K$9</f>
        <v>0.153273666</v>
      </c>
      <c r="H60" s="3">
        <f>GB!L$9</f>
        <v>5.2177760804020092</v>
      </c>
      <c r="I60" s="3">
        <f>GB!M$9</f>
        <v>0</v>
      </c>
      <c r="J60" s="3">
        <f>GB!N$9</f>
        <v>0</v>
      </c>
      <c r="K60" s="3">
        <f>GB!O$9</f>
        <v>0</v>
      </c>
      <c r="L60" s="3">
        <f t="shared" si="33"/>
        <v>3.2733783155570535</v>
      </c>
      <c r="M60" s="3">
        <f t="shared" si="34"/>
        <v>3.2733783155570535</v>
      </c>
      <c r="N60" s="3">
        <f t="shared" si="35"/>
        <v>3.2733783155570535</v>
      </c>
      <c r="O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3.2733783155570535</v>
      </c>
      <c r="P60" s="14">
        <v>0</v>
      </c>
    </row>
    <row r="61" spans="1:16" x14ac:dyDescent="0.25">
      <c r="A61" s="2">
        <f>IF(TableRBMaster[[#This Row],[Player]]&lt;&gt;0,A60+1,A60)</f>
        <v>42</v>
      </c>
      <c r="B61" s="2">
        <f>GB!A$10</f>
        <v>0</v>
      </c>
      <c r="C61" s="2" t="s">
        <v>63</v>
      </c>
      <c r="D61" s="2">
        <f>GB!C$10</f>
        <v>11</v>
      </c>
      <c r="E61" s="3">
        <f>GB!I$10</f>
        <v>0</v>
      </c>
      <c r="F61" s="3">
        <f>GB!J$10</f>
        <v>0</v>
      </c>
      <c r="G61" s="3">
        <f>GB!K$10</f>
        <v>0</v>
      </c>
      <c r="H61" s="3">
        <f>GB!L$10</f>
        <v>0</v>
      </c>
      <c r="I61" s="3">
        <f>GB!M$10</f>
        <v>0</v>
      </c>
      <c r="J61" s="3">
        <f>GB!N$10</f>
        <v>0</v>
      </c>
      <c r="K61" s="3">
        <f>GB!O$10</f>
        <v>0</v>
      </c>
      <c r="L61" s="3">
        <f t="shared" si="33"/>
        <v>0</v>
      </c>
      <c r="M61" s="3">
        <f t="shared" si="34"/>
        <v>0</v>
      </c>
      <c r="N61" s="3">
        <f t="shared" si="35"/>
        <v>0</v>
      </c>
      <c r="O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1" s="14">
        <v>0</v>
      </c>
    </row>
    <row r="62" spans="1:16" x14ac:dyDescent="0.25">
      <c r="A62" s="2">
        <f>IF(TableRBMaster[[#This Row],[Player]]&lt;&gt;0,A61+1,A61)</f>
        <v>43</v>
      </c>
      <c r="B62" s="2" t="str">
        <f>HOU!A$6</f>
        <v>David Montgomery</v>
      </c>
      <c r="C62" s="2" t="s">
        <v>64</v>
      </c>
      <c r="D62" s="2">
        <f>HOU!C$6</f>
        <v>8</v>
      </c>
      <c r="E62" s="3">
        <f>HOU!I$6</f>
        <v>247.18441510000002</v>
      </c>
      <c r="F62" s="3">
        <f>HOU!J$6</f>
        <v>1060.4211407790001</v>
      </c>
      <c r="G62" s="3">
        <f>HOU!K$6</f>
        <v>8.6514545285000022</v>
      </c>
      <c r="H62" s="3">
        <f>HOU!L$6</f>
        <v>34.946013059999999</v>
      </c>
      <c r="I62" s="3">
        <f>HOU!M$6</f>
        <v>27.397674239040001</v>
      </c>
      <c r="J62" s="3">
        <f>HOU!N$6</f>
        <v>192.6056499004512</v>
      </c>
      <c r="K62" s="3">
        <f>HOU!O$6</f>
        <v>0.74105833665154963</v>
      </c>
      <c r="L62" s="3">
        <f t="shared" ref="L62:L66" si="36">(F62/10)+(G62*6)+(J62/10)+(K62*6)</f>
        <v>181.65775625885442</v>
      </c>
      <c r="M62" s="3">
        <f t="shared" ref="M62:M66" si="37">L62+(I62*0.5)</f>
        <v>195.35659337837441</v>
      </c>
      <c r="N62" s="3">
        <f t="shared" ref="N62:N66" si="38">L62+I62</f>
        <v>209.05543049789441</v>
      </c>
      <c r="O6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195.35659337837441</v>
      </c>
      <c r="P62" s="14">
        <v>12.571330568704457</v>
      </c>
    </row>
    <row r="63" spans="1:16" x14ac:dyDescent="0.25">
      <c r="A63" s="2">
        <f>IF(TableRBMaster[[#This Row],[Player]]&lt;&gt;0,A62+1,A62)</f>
        <v>44</v>
      </c>
      <c r="B63" s="2" t="str">
        <f>HOU!A$7</f>
        <v>Woody Marks</v>
      </c>
      <c r="C63" s="2" t="s">
        <v>64</v>
      </c>
      <c r="D63" s="2">
        <f>HOU!C$8</f>
        <v>8</v>
      </c>
      <c r="E63" s="3">
        <f>HOU!I$7</f>
        <v>111.99860224000001</v>
      </c>
      <c r="F63" s="3">
        <f>HOU!J$7</f>
        <v>434.55457669120005</v>
      </c>
      <c r="G63" s="3">
        <f>HOU!K$7</f>
        <v>3.2479594649600005</v>
      </c>
      <c r="H63" s="3">
        <f>HOU!L$7</f>
        <v>32.081585759999996</v>
      </c>
      <c r="I63" s="3">
        <f>HOU!M$7</f>
        <v>22.427235116159999</v>
      </c>
      <c r="J63" s="3">
        <f>HOU!N$7</f>
        <v>165.96153985958401</v>
      </c>
      <c r="K63" s="3">
        <f>HOU!O$7</f>
        <v>0.71767152371711995</v>
      </c>
      <c r="L63" s="3">
        <f t="shared" si="36"/>
        <v>83.845397587141122</v>
      </c>
      <c r="M63" s="3">
        <f t="shared" si="37"/>
        <v>95.059015145221124</v>
      </c>
      <c r="N63" s="3">
        <f t="shared" si="38"/>
        <v>106.27263270330113</v>
      </c>
      <c r="O6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95.059015145221139</v>
      </c>
      <c r="P63" s="14">
        <v>0</v>
      </c>
    </row>
    <row r="64" spans="1:16" x14ac:dyDescent="0.25">
      <c r="A64" s="2">
        <f>IF(TableRBMaster[[#This Row],[Player]]&lt;&gt;0,A63+1,A63)</f>
        <v>45</v>
      </c>
      <c r="B64" s="2" t="str">
        <f>HOU!A$8</f>
        <v>Jawhar Jordan</v>
      </c>
      <c r="C64" s="2" t="s">
        <v>64</v>
      </c>
      <c r="D64" s="2">
        <f>HOU!C$7</f>
        <v>8</v>
      </c>
      <c r="E64" s="3">
        <f>HOU!I$8</f>
        <v>18.374770680000005</v>
      </c>
      <c r="F64" s="3">
        <f>HOU!J$8</f>
        <v>75.336559788000017</v>
      </c>
      <c r="G64" s="3">
        <f>HOU!K$8</f>
        <v>0.38587018428000014</v>
      </c>
      <c r="H64" s="3">
        <f>HOU!L$8</f>
        <v>5.7288546</v>
      </c>
      <c r="I64" s="3">
        <f>HOU!M$8</f>
        <v>4.1820638580000002</v>
      </c>
      <c r="J64" s="3">
        <f>HOU!N$8</f>
        <v>25.385127618060004</v>
      </c>
      <c r="K64" s="3">
        <f>HOU!O$8</f>
        <v>8.3641277160000013E-2</v>
      </c>
      <c r="L64" s="3">
        <f t="shared" si="36"/>
        <v>12.889237509246001</v>
      </c>
      <c r="M64" s="3">
        <f t="shared" si="37"/>
        <v>14.980269438246001</v>
      </c>
      <c r="N64" s="3">
        <f t="shared" si="38"/>
        <v>17.071301367246001</v>
      </c>
      <c r="O6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14.980269438246003</v>
      </c>
      <c r="P64" s="14">
        <v>0</v>
      </c>
    </row>
    <row r="65" spans="1:16" x14ac:dyDescent="0.25">
      <c r="A65" s="2">
        <f>IF(TableRBMaster[[#This Row],[Player]]&lt;&gt;0,A64+1,A64)</f>
        <v>45</v>
      </c>
      <c r="B65" s="2">
        <f>HOU!A$9</f>
        <v>0</v>
      </c>
      <c r="C65" s="2" t="s">
        <v>64</v>
      </c>
      <c r="D65" s="2">
        <f>HOU!C$9</f>
        <v>8</v>
      </c>
      <c r="E65" s="3">
        <f>HOU!I$9</f>
        <v>0</v>
      </c>
      <c r="F65" s="3">
        <f>HOU!J$9</f>
        <v>0</v>
      </c>
      <c r="G65" s="3">
        <f>HOU!K$9</f>
        <v>0</v>
      </c>
      <c r="H65" s="3">
        <f>HOU!L$9</f>
        <v>0</v>
      </c>
      <c r="I65" s="3">
        <f>HOU!M$9</f>
        <v>0</v>
      </c>
      <c r="J65" s="3">
        <f>HOU!N$9</f>
        <v>0</v>
      </c>
      <c r="K65" s="3">
        <f>HOU!O$9</f>
        <v>0</v>
      </c>
      <c r="L65" s="3">
        <f t="shared" si="36"/>
        <v>0</v>
      </c>
      <c r="M65" s="3">
        <f t="shared" si="37"/>
        <v>0</v>
      </c>
      <c r="N65" s="3">
        <f t="shared" si="38"/>
        <v>0</v>
      </c>
      <c r="O6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5" s="14">
        <v>0</v>
      </c>
    </row>
    <row r="66" spans="1:16" x14ac:dyDescent="0.25">
      <c r="A66" s="2">
        <f>IF(TableRBMaster[[#This Row],[Player]]&lt;&gt;0,A65+1,A65)</f>
        <v>45</v>
      </c>
      <c r="B66" s="2">
        <f>HOU!A$10</f>
        <v>0</v>
      </c>
      <c r="C66" s="2" t="s">
        <v>64</v>
      </c>
      <c r="D66" s="2">
        <f>HOU!C$10</f>
        <v>8</v>
      </c>
      <c r="E66" s="3">
        <f>HOU!I$10</f>
        <v>0</v>
      </c>
      <c r="F66" s="3">
        <f>HOU!J$10</f>
        <v>0</v>
      </c>
      <c r="G66" s="3">
        <f>HOU!K$10</f>
        <v>0</v>
      </c>
      <c r="H66" s="3">
        <f>HOU!L$10</f>
        <v>0</v>
      </c>
      <c r="I66" s="3">
        <f>HOU!M$10</f>
        <v>0</v>
      </c>
      <c r="J66" s="3">
        <f>HOU!N$10</f>
        <v>0</v>
      </c>
      <c r="K66" s="3">
        <f>HOU!O$10</f>
        <v>0</v>
      </c>
      <c r="L66" s="3">
        <f t="shared" si="36"/>
        <v>0</v>
      </c>
      <c r="M66" s="3">
        <f t="shared" si="37"/>
        <v>0</v>
      </c>
      <c r="N66" s="3">
        <f t="shared" si="38"/>
        <v>0</v>
      </c>
      <c r="O6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6" s="14">
        <v>0</v>
      </c>
    </row>
    <row r="67" spans="1:16" x14ac:dyDescent="0.25">
      <c r="A67" s="2">
        <f>IF(TableRBMaster[[#This Row],[Player]]&lt;&gt;0,A66+1,A66)</f>
        <v>46</v>
      </c>
      <c r="B67" s="2" t="str">
        <f>IND!A$6</f>
        <v>Jonathan Taylor</v>
      </c>
      <c r="C67" s="2" t="s">
        <v>65</v>
      </c>
      <c r="D67" s="2">
        <f>IND!C$6</f>
        <v>13</v>
      </c>
      <c r="E67" s="3">
        <f>IND!I$6</f>
        <v>303.2034544</v>
      </c>
      <c r="F67" s="3">
        <f>IND!J$6</f>
        <v>1452.6606494689795</v>
      </c>
      <c r="G67" s="3">
        <f>IND!K$6</f>
        <v>13.251572502380769</v>
      </c>
      <c r="H67" s="3">
        <f>IND!L$6</f>
        <v>56.964969599999996</v>
      </c>
      <c r="I67" s="3">
        <f>IND!M$6</f>
        <v>43.655331304608843</v>
      </c>
      <c r="J67" s="3">
        <f>IND!N$6</f>
        <v>331.16475852092032</v>
      </c>
      <c r="K67" s="3">
        <f>IND!O$6</f>
        <v>1.3533152704428741</v>
      </c>
      <c r="L67" s="3">
        <f t="shared" ref="L67:L71" si="39">(F67/10)+(G67*6)+(J67/10)+(K67*6)</f>
        <v>266.01186743593183</v>
      </c>
      <c r="M67" s="3">
        <f t="shared" ref="M67:M71" si="40">L67+(I67*0.5)</f>
        <v>287.83953308823624</v>
      </c>
      <c r="N67" s="3">
        <f t="shared" ref="N67:N71" si="41">L67+I67</f>
        <v>309.6671987405407</v>
      </c>
      <c r="O6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287.83953308823624</v>
      </c>
      <c r="P67" s="14">
        <v>38.399399452045216</v>
      </c>
    </row>
    <row r="68" spans="1:16" x14ac:dyDescent="0.25">
      <c r="A68" s="2">
        <f>IF(TableRBMaster[[#This Row],[Player]]&lt;&gt;0,A67+1,A67)</f>
        <v>47</v>
      </c>
      <c r="B68" s="2" t="str">
        <f>IND!A$7</f>
        <v>Seth McGowan</v>
      </c>
      <c r="C68" s="2" t="s">
        <v>65</v>
      </c>
      <c r="D68" s="2">
        <f>IND!C$8</f>
        <v>13</v>
      </c>
      <c r="E68" s="3">
        <f>IND!I$7</f>
        <v>41.112332799999997</v>
      </c>
      <c r="F68" s="3">
        <f>IND!J$7</f>
        <v>167.73831782399998</v>
      </c>
      <c r="G68" s="3">
        <f>IND!K$7</f>
        <v>1.5211563135999999</v>
      </c>
      <c r="H68" s="3">
        <f>IND!L$7</f>
        <v>2.6130719999999998</v>
      </c>
      <c r="I68" s="3">
        <f>IND!M$7</f>
        <v>1.9598039999999999</v>
      </c>
      <c r="J68" s="3">
        <f>IND!N$7</f>
        <v>12.043963424675757</v>
      </c>
      <c r="K68" s="3">
        <f>IND!O$7</f>
        <v>3.9196080000000001E-2</v>
      </c>
      <c r="L68" s="3">
        <f t="shared" si="39"/>
        <v>27.340342486467573</v>
      </c>
      <c r="M68" s="3">
        <f t="shared" si="40"/>
        <v>28.320244486467573</v>
      </c>
      <c r="N68" s="3">
        <f t="shared" si="41"/>
        <v>29.300146486467572</v>
      </c>
      <c r="O6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28.320244486467573</v>
      </c>
      <c r="P68" s="14">
        <v>3.3686105886370039</v>
      </c>
    </row>
    <row r="69" spans="1:16" x14ac:dyDescent="0.25">
      <c r="A69" s="2">
        <f>IF(TableRBMaster[[#This Row],[Player]]&lt;&gt;0,A68+1,A68)</f>
        <v>48</v>
      </c>
      <c r="B69" s="2" t="str">
        <f>IND!A$8</f>
        <v>DJ Giddens</v>
      </c>
      <c r="C69" s="2" t="s">
        <v>65</v>
      </c>
      <c r="D69" s="2">
        <f>IND!C$7</f>
        <v>13</v>
      </c>
      <c r="E69" s="3">
        <f>IND!I$8</f>
        <v>20.088980799999998</v>
      </c>
      <c r="F69" s="3">
        <f>IND!J$8</f>
        <v>79.644023865033247</v>
      </c>
      <c r="G69" s="3">
        <f>IND!K$8</f>
        <v>0.6026694239999999</v>
      </c>
      <c r="H69" s="3">
        <f>IND!L$8</f>
        <v>7.8392159999999995</v>
      </c>
      <c r="I69" s="3">
        <f>IND!M$8</f>
        <v>5.8794119999999994</v>
      </c>
      <c r="J69" s="3">
        <f>IND!N$8</f>
        <v>35.857945005048599</v>
      </c>
      <c r="K69" s="3">
        <f>IND!O$8</f>
        <v>0.11758824</v>
      </c>
      <c r="L69" s="3">
        <f t="shared" si="39"/>
        <v>15.871742871008184</v>
      </c>
      <c r="M69" s="3">
        <f t="shared" si="40"/>
        <v>18.811448871008185</v>
      </c>
      <c r="N69" s="3">
        <f t="shared" si="41"/>
        <v>21.751154871008183</v>
      </c>
      <c r="O6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18.811448871008182</v>
      </c>
      <c r="P69" s="14">
        <v>0</v>
      </c>
    </row>
    <row r="70" spans="1:16" x14ac:dyDescent="0.25">
      <c r="A70" s="2">
        <f>IF(TableRBMaster[[#This Row],[Player]]&lt;&gt;0,A69+1,A69)</f>
        <v>48</v>
      </c>
      <c r="B70" s="2">
        <f>IND!A$9</f>
        <v>0</v>
      </c>
      <c r="C70" s="2" t="s">
        <v>65</v>
      </c>
      <c r="D70" s="2">
        <f>IND!C$9</f>
        <v>13</v>
      </c>
      <c r="E70" s="3">
        <f>IND!I$9</f>
        <v>0</v>
      </c>
      <c r="F70" s="3">
        <f>IND!J$9</f>
        <v>0</v>
      </c>
      <c r="G70" s="3">
        <f>IND!K$9</f>
        <v>0</v>
      </c>
      <c r="H70" s="3">
        <f>IND!L$9</f>
        <v>0</v>
      </c>
      <c r="I70" s="3">
        <f>IND!M$9</f>
        <v>0</v>
      </c>
      <c r="J70" s="3">
        <f>IND!N$9</f>
        <v>0</v>
      </c>
      <c r="K70" s="3">
        <f>IND!O$9</f>
        <v>0</v>
      </c>
      <c r="L70" s="3">
        <f t="shared" si="39"/>
        <v>0</v>
      </c>
      <c r="M70" s="3">
        <f t="shared" si="40"/>
        <v>0</v>
      </c>
      <c r="N70" s="3">
        <f t="shared" si="41"/>
        <v>0</v>
      </c>
      <c r="O7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0" s="14">
        <v>0</v>
      </c>
    </row>
    <row r="71" spans="1:16" x14ac:dyDescent="0.25">
      <c r="A71" s="2">
        <f>IF(TableRBMaster[[#This Row],[Player]]&lt;&gt;0,A70+1,A70)</f>
        <v>48</v>
      </c>
      <c r="B71" s="2">
        <f>IND!A$10</f>
        <v>0</v>
      </c>
      <c r="C71" s="2" t="s">
        <v>65</v>
      </c>
      <c r="D71" s="2">
        <f>IND!C$10</f>
        <v>13</v>
      </c>
      <c r="E71" s="3">
        <f>IND!I$10</f>
        <v>0</v>
      </c>
      <c r="F71" s="3">
        <f>IND!J$10</f>
        <v>0</v>
      </c>
      <c r="G71" s="3">
        <f>IND!K$10</f>
        <v>0</v>
      </c>
      <c r="H71" s="3">
        <f>IND!L$10</f>
        <v>0</v>
      </c>
      <c r="I71" s="3">
        <f>IND!M$10</f>
        <v>0</v>
      </c>
      <c r="J71" s="3">
        <f>IND!N$10</f>
        <v>0</v>
      </c>
      <c r="K71" s="3">
        <f>IND!O$10</f>
        <v>0</v>
      </c>
      <c r="L71" s="3">
        <f t="shared" si="39"/>
        <v>0</v>
      </c>
      <c r="M71" s="3">
        <f t="shared" si="40"/>
        <v>0</v>
      </c>
      <c r="N71" s="3">
        <f t="shared" si="41"/>
        <v>0</v>
      </c>
      <c r="O7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1" s="14">
        <v>23.386905058570072</v>
      </c>
    </row>
    <row r="72" spans="1:16" x14ac:dyDescent="0.25">
      <c r="A72" s="2">
        <f>IF(TableRBMaster[[#This Row],[Player]]&lt;&gt;0,A71+1,A71)</f>
        <v>49</v>
      </c>
      <c r="B72" s="2" t="str">
        <f>JAX!A$6</f>
        <v>Bhayshul Tuten</v>
      </c>
      <c r="C72" s="2" t="s">
        <v>83</v>
      </c>
      <c r="D72" s="2">
        <f>JAX!C$6</f>
        <v>7</v>
      </c>
      <c r="E72" s="3">
        <f>JAX!I$6</f>
        <v>213.60352439999997</v>
      </c>
      <c r="F72" s="3">
        <f>JAX!J$6</f>
        <v>918.49515491999978</v>
      </c>
      <c r="G72" s="3">
        <f>JAX!K$6</f>
        <v>7.6897268783999984</v>
      </c>
      <c r="H72" s="3">
        <f>JAX!L$6</f>
        <v>52.609271399999997</v>
      </c>
      <c r="I72" s="3">
        <f>JAX!M$6</f>
        <v>37.510410508199996</v>
      </c>
      <c r="J72" s="3">
        <f>JAX!N$6</f>
        <v>293.33141017412396</v>
      </c>
      <c r="K72" s="3">
        <f>JAX!O$6</f>
        <v>2.1756038094756001</v>
      </c>
      <c r="L72" s="3">
        <f t="shared" ref="L72:L76" si="42">(F72/10)+(G72*6)+(J72/10)+(K72*6)</f>
        <v>180.37464063666596</v>
      </c>
      <c r="M72" s="3">
        <f t="shared" ref="M72:M76" si="43">L72+(I72*0.5)</f>
        <v>199.12984589076595</v>
      </c>
      <c r="N72" s="3">
        <f t="shared" ref="N72:N76" si="44">L72+I72</f>
        <v>217.88505114486594</v>
      </c>
      <c r="O7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199.12984589076595</v>
      </c>
      <c r="P72" s="14">
        <v>11.255396975211928</v>
      </c>
    </row>
    <row r="73" spans="1:16" x14ac:dyDescent="0.25">
      <c r="A73" s="2">
        <f>IF(TableRBMaster[[#This Row],[Player]]&lt;&gt;0,A72+1,A72)</f>
        <v>50</v>
      </c>
      <c r="B73" s="2" t="str">
        <f>JAX!A$7</f>
        <v>Chris Rodriguez</v>
      </c>
      <c r="C73" s="2" t="s">
        <v>83</v>
      </c>
      <c r="D73" s="2">
        <f>JAX!C$8</f>
        <v>7</v>
      </c>
      <c r="E73" s="3">
        <f>JAX!I$7</f>
        <v>134.17532309999999</v>
      </c>
      <c r="F73" s="3">
        <f>JAX!J$7</f>
        <v>554.14408440299997</v>
      </c>
      <c r="G73" s="3">
        <f>JAX!K$7</f>
        <v>4.964486954699999</v>
      </c>
      <c r="H73" s="3">
        <f>JAX!L$7</f>
        <v>14.551500600000001</v>
      </c>
      <c r="I73" s="3">
        <f>JAX!M$7</f>
        <v>10.098741416399999</v>
      </c>
      <c r="J73" s="3">
        <f>JAX!N$7</f>
        <v>68.62928965127324</v>
      </c>
      <c r="K73" s="3">
        <f>JAX!O$7</f>
        <v>0.30296224249199999</v>
      </c>
      <c r="L73" s="3">
        <f t="shared" si="42"/>
        <v>93.882032588579321</v>
      </c>
      <c r="M73" s="3">
        <f t="shared" si="43"/>
        <v>98.931403296779322</v>
      </c>
      <c r="N73" s="3">
        <f t="shared" si="44"/>
        <v>103.98077400497932</v>
      </c>
      <c r="O7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98.931403296779322</v>
      </c>
      <c r="P73" s="14">
        <v>0</v>
      </c>
    </row>
    <row r="74" spans="1:16" x14ac:dyDescent="0.25">
      <c r="A74" s="2">
        <f>IF(TableRBMaster[[#This Row],[Player]]&lt;&gt;0,A73+1,A73)</f>
        <v>51</v>
      </c>
      <c r="B74" s="2" t="str">
        <f>JAX!A$8</f>
        <v>LeQuint Allen</v>
      </c>
      <c r="C74" s="2" t="s">
        <v>83</v>
      </c>
      <c r="D74" s="2">
        <f>JAX!C$7</f>
        <v>7</v>
      </c>
      <c r="E74" s="3">
        <f>JAX!I$8</f>
        <v>19.296116699999999</v>
      </c>
      <c r="F74" s="3">
        <f>JAX!J$8</f>
        <v>78.921117302999988</v>
      </c>
      <c r="G74" s="3">
        <f>JAX!K$8</f>
        <v>0.57888350099999997</v>
      </c>
      <c r="H74" s="3">
        <f>JAX!L$8</f>
        <v>15.111173700000002</v>
      </c>
      <c r="I74" s="3">
        <f>JAX!M$8</f>
        <v>10.675567740600004</v>
      </c>
      <c r="J74" s="3">
        <f>JAX!N$8</f>
        <v>74.408707151982028</v>
      </c>
      <c r="K74" s="3">
        <f>JAX!O$8</f>
        <v>0.38432043866160009</v>
      </c>
      <c r="L74" s="3">
        <f t="shared" si="42"/>
        <v>21.112206083467804</v>
      </c>
      <c r="M74" s="3">
        <f t="shared" si="43"/>
        <v>26.449989953767805</v>
      </c>
      <c r="N74" s="3">
        <f t="shared" si="44"/>
        <v>31.787773824067806</v>
      </c>
      <c r="O7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26.449989953767805</v>
      </c>
      <c r="P74" s="14">
        <v>0</v>
      </c>
    </row>
    <row r="75" spans="1:16" x14ac:dyDescent="0.25">
      <c r="A75" s="2">
        <f>IF(TableRBMaster[[#This Row],[Player]]&lt;&gt;0,A74+1,A74)</f>
        <v>51</v>
      </c>
      <c r="B75" s="2">
        <f>JAX!A$9</f>
        <v>0</v>
      </c>
      <c r="C75" s="2" t="s">
        <v>83</v>
      </c>
      <c r="D75" s="2">
        <f>JAX!C$9</f>
        <v>7</v>
      </c>
      <c r="E75" s="3">
        <f>JAX!I$9</f>
        <v>0</v>
      </c>
      <c r="F75" s="3">
        <f>JAX!J$9</f>
        <v>0</v>
      </c>
      <c r="G75" s="3">
        <f>JAX!K$9</f>
        <v>0</v>
      </c>
      <c r="H75" s="3">
        <f>JAX!L$9</f>
        <v>0</v>
      </c>
      <c r="I75" s="3">
        <f>JAX!M$9</f>
        <v>0</v>
      </c>
      <c r="J75" s="3">
        <f>JAX!N$9</f>
        <v>0</v>
      </c>
      <c r="K75" s="3">
        <f>JAX!O$9</f>
        <v>0</v>
      </c>
      <c r="L75" s="3">
        <f t="shared" si="42"/>
        <v>0</v>
      </c>
      <c r="M75" s="3">
        <f t="shared" si="43"/>
        <v>0</v>
      </c>
      <c r="N75" s="3">
        <f t="shared" si="44"/>
        <v>0</v>
      </c>
      <c r="O7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5" s="14">
        <v>0</v>
      </c>
    </row>
    <row r="76" spans="1:16" x14ac:dyDescent="0.25">
      <c r="A76" s="2">
        <f>IF(TableRBMaster[[#This Row],[Player]]&lt;&gt;0,A75+1,A75)</f>
        <v>51</v>
      </c>
      <c r="B76" s="2">
        <f>JAX!A$10</f>
        <v>0</v>
      </c>
      <c r="C76" s="2" t="s">
        <v>83</v>
      </c>
      <c r="D76" s="2">
        <f>JAX!C$10</f>
        <v>7</v>
      </c>
      <c r="E76" s="3">
        <f>JAX!I$10</f>
        <v>0</v>
      </c>
      <c r="F76" s="3">
        <f>JAX!J$10</f>
        <v>0</v>
      </c>
      <c r="G76" s="3">
        <f>JAX!K$10</f>
        <v>0</v>
      </c>
      <c r="H76" s="3">
        <f>JAX!L$10</f>
        <v>0</v>
      </c>
      <c r="I76" s="3">
        <f>JAX!M$10</f>
        <v>0</v>
      </c>
      <c r="J76" s="3">
        <f>JAX!N$10</f>
        <v>0</v>
      </c>
      <c r="K76" s="3">
        <f>JAX!O$10</f>
        <v>0</v>
      </c>
      <c r="L76" s="3">
        <f t="shared" si="42"/>
        <v>0</v>
      </c>
      <c r="M76" s="3">
        <f t="shared" si="43"/>
        <v>0</v>
      </c>
      <c r="N76" s="3">
        <f t="shared" si="44"/>
        <v>0</v>
      </c>
      <c r="O7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6" s="14">
        <v>0</v>
      </c>
    </row>
    <row r="77" spans="1:16" x14ac:dyDescent="0.25">
      <c r="A77" s="2">
        <f>IF(TableRBMaster[[#This Row],[Player]]&lt;&gt;0,A76+1,A76)</f>
        <v>52</v>
      </c>
      <c r="B77" s="2" t="str">
        <f>KC!A$6</f>
        <v>Kenneth Walker</v>
      </c>
      <c r="C77" s="2" t="s">
        <v>67</v>
      </c>
      <c r="D77" s="2">
        <f>KC!C$6</f>
        <v>5</v>
      </c>
      <c r="E77" s="3">
        <f>KC!I$6</f>
        <v>263.54079150000001</v>
      </c>
      <c r="F77" s="3">
        <f>KC!J$6</f>
        <v>1131.4315892972611</v>
      </c>
      <c r="G77" s="3">
        <f>KC!K$6</f>
        <v>9.223927702500001</v>
      </c>
      <c r="H77" s="3">
        <f>KC!L$6</f>
        <v>53.278361499999995</v>
      </c>
      <c r="I77" s="3">
        <f>KC!M$6</f>
        <v>40.118606209499994</v>
      </c>
      <c r="J77" s="3">
        <f>KC!N$6</f>
        <v>323.7802601893066</v>
      </c>
      <c r="K77" s="3">
        <f>KC!O$6</f>
        <v>2.0460489166844997</v>
      </c>
      <c r="L77" s="3">
        <f t="shared" ref="L77:L140" si="45">(F77/10)+(G77*6)+(J77/10)+(K77*6)</f>
        <v>213.14104466376375</v>
      </c>
      <c r="M77" s="3">
        <f t="shared" ref="M77:M140" si="46">L77+(I77*0.5)</f>
        <v>233.20034776851375</v>
      </c>
      <c r="N77" s="3">
        <f t="shared" ref="N77:N140" si="47">L77+I77</f>
        <v>253.25965087326375</v>
      </c>
      <c r="O7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233.20034776851375</v>
      </c>
      <c r="P77" s="14">
        <v>28.211098127412054</v>
      </c>
    </row>
    <row r="78" spans="1:16" x14ac:dyDescent="0.25">
      <c r="A78" s="2">
        <f>IF(TableRBMaster[[#This Row],[Player]]&lt;&gt;0,A77+1,A77)</f>
        <v>53</v>
      </c>
      <c r="B78" s="2" t="str">
        <f>KC!A$7</f>
        <v>Emari Demercado</v>
      </c>
      <c r="C78" s="2" t="s">
        <v>67</v>
      </c>
      <c r="D78" s="2">
        <f>KC!C$8</f>
        <v>5</v>
      </c>
      <c r="E78" s="3">
        <f>KC!I$7</f>
        <v>42.841606500000012</v>
      </c>
      <c r="F78" s="3">
        <f>KC!J$7</f>
        <v>170.08117780500007</v>
      </c>
      <c r="G78" s="3">
        <f>KC!K$7</f>
        <v>1.3709314080000004</v>
      </c>
      <c r="H78" s="3">
        <f>KC!L$7</f>
        <v>28.102871999999998</v>
      </c>
      <c r="I78" s="3">
        <f>KC!M$7</f>
        <v>20.571302304</v>
      </c>
      <c r="J78" s="3">
        <f>KC!N$7</f>
        <v>144.41054217407998</v>
      </c>
      <c r="K78" s="3">
        <f>KC!O$7</f>
        <v>0.82285209215999999</v>
      </c>
      <c r="L78" s="3">
        <f t="shared" si="45"/>
        <v>44.611872998868009</v>
      </c>
      <c r="M78" s="3">
        <f t="shared" si="46"/>
        <v>54.897524150868009</v>
      </c>
      <c r="N78" s="3">
        <f t="shared" si="47"/>
        <v>65.183175302868008</v>
      </c>
      <c r="O7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54.897524150868009</v>
      </c>
      <c r="P78" s="14">
        <v>0</v>
      </c>
    </row>
    <row r="79" spans="1:16" x14ac:dyDescent="0.25">
      <c r="A79" s="2">
        <f>IF(TableRBMaster[[#This Row],[Player]]&lt;&gt;0,A78+1,A78)</f>
        <v>54</v>
      </c>
      <c r="B79" s="2" t="str">
        <f>KC!A$8</f>
        <v>Emmett Johnson</v>
      </c>
      <c r="C79" s="2" t="s">
        <v>67</v>
      </c>
      <c r="D79" s="2">
        <f>KC!C$7</f>
        <v>5</v>
      </c>
      <c r="E79" s="3">
        <f>KC!I$8</f>
        <v>39.812401999999999</v>
      </c>
      <c r="F79" s="3">
        <f>KC!J$8</f>
        <v>164.82334427999999</v>
      </c>
      <c r="G79" s="3">
        <f>KC!K$8</f>
        <v>1.3934340700000001</v>
      </c>
      <c r="H79" s="3">
        <f>KC!L$8</f>
        <v>21.077153999999997</v>
      </c>
      <c r="I79" s="3">
        <f>KC!M$8</f>
        <v>15.618171113999997</v>
      </c>
      <c r="J79" s="3">
        <f>KC!N$8</f>
        <v>112.93139113199999</v>
      </c>
      <c r="K79" s="3">
        <f>KC!O$8</f>
        <v>0.70281770012999989</v>
      </c>
      <c r="L79" s="3">
        <f t="shared" si="45"/>
        <v>40.352984161980004</v>
      </c>
      <c r="M79" s="3">
        <f t="shared" si="46"/>
        <v>48.16206971898</v>
      </c>
      <c r="N79" s="3">
        <f t="shared" si="47"/>
        <v>55.971155275980003</v>
      </c>
      <c r="O7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48.16206971898</v>
      </c>
      <c r="P79" s="14">
        <v>0</v>
      </c>
    </row>
    <row r="80" spans="1:16" x14ac:dyDescent="0.25">
      <c r="A80" s="2">
        <f>IF(TableRBMaster[[#This Row],[Player]]&lt;&gt;0,A79+1,A79)</f>
        <v>55</v>
      </c>
      <c r="B80" s="2" t="str">
        <f>KC!A$9</f>
        <v>Brashard Smith</v>
      </c>
      <c r="C80" s="2" t="s">
        <v>67</v>
      </c>
      <c r="D80" s="2">
        <f>KC!C$9</f>
        <v>5</v>
      </c>
      <c r="E80" s="3">
        <f>KC!I$9</f>
        <v>8.6548700000000007</v>
      </c>
      <c r="F80" s="3">
        <f>KC!J$9</f>
        <v>33.927090400000004</v>
      </c>
      <c r="G80" s="3">
        <f>KC!K$9</f>
        <v>0.26830097000000003</v>
      </c>
      <c r="H80" s="3">
        <f>KC!L$9</f>
        <v>5.8547649999999996</v>
      </c>
      <c r="I80" s="3">
        <f>KC!M$9</f>
        <v>4.2447046249999998</v>
      </c>
      <c r="J80" s="3">
        <f>KC!N$9</f>
        <v>30.610117723046152</v>
      </c>
      <c r="K80" s="3">
        <f>KC!O$9</f>
        <v>0.17827759425</v>
      </c>
      <c r="L80" s="3">
        <f t="shared" si="45"/>
        <v>9.1331921978046147</v>
      </c>
      <c r="M80" s="3">
        <f t="shared" si="46"/>
        <v>11.255544510304615</v>
      </c>
      <c r="N80" s="3">
        <f t="shared" si="47"/>
        <v>13.377896822804615</v>
      </c>
      <c r="O8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11.255544510304615</v>
      </c>
      <c r="P80" s="14">
        <v>0</v>
      </c>
    </row>
    <row r="81" spans="1:16" x14ac:dyDescent="0.25">
      <c r="A81" s="2">
        <f>IF(TableRBMaster[[#This Row],[Player]]&lt;&gt;0,A80+1,A80)</f>
        <v>55</v>
      </c>
      <c r="B81" s="2">
        <f>KC!A$10</f>
        <v>0</v>
      </c>
      <c r="C81" s="2" t="s">
        <v>67</v>
      </c>
      <c r="D81" s="2">
        <f>KC!C$10</f>
        <v>5</v>
      </c>
      <c r="E81" s="3">
        <f>KC!I$10</f>
        <v>0</v>
      </c>
      <c r="F81" s="3">
        <f>KC!J$10</f>
        <v>0</v>
      </c>
      <c r="G81" s="3">
        <f>KC!K$10</f>
        <v>0</v>
      </c>
      <c r="H81" s="3">
        <f>KC!L$10</f>
        <v>0</v>
      </c>
      <c r="I81" s="3">
        <f>KC!M$10</f>
        <v>0</v>
      </c>
      <c r="J81" s="3">
        <f>KC!N$10</f>
        <v>0</v>
      </c>
      <c r="K81" s="3">
        <f>KC!O$10</f>
        <v>0</v>
      </c>
      <c r="L81" s="3">
        <f t="shared" si="45"/>
        <v>0</v>
      </c>
      <c r="M81" s="3">
        <f t="shared" si="46"/>
        <v>0</v>
      </c>
      <c r="N81" s="3">
        <f t="shared" si="47"/>
        <v>0</v>
      </c>
      <c r="O8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1" s="14">
        <v>0</v>
      </c>
    </row>
    <row r="82" spans="1:16" x14ac:dyDescent="0.25">
      <c r="A82" s="2">
        <f>IF(TableRBMaster[[#This Row],[Player]]&lt;&gt;0,A81+1,A81)</f>
        <v>56</v>
      </c>
      <c r="B82" s="2" t="str">
        <f>LAC!A$6</f>
        <v>Omarion Hampton</v>
      </c>
      <c r="C82" s="2" t="s">
        <v>68</v>
      </c>
      <c r="D82" s="2">
        <f>LAC!C$6</f>
        <v>7</v>
      </c>
      <c r="E82" s="3">
        <f>LAC!I$6</f>
        <v>245.76099547999996</v>
      </c>
      <c r="F82" s="3">
        <f>LAC!J$6</f>
        <v>1059.2298905187997</v>
      </c>
      <c r="G82" s="3">
        <f>LAC!K$6</f>
        <v>9.3401261782654164</v>
      </c>
      <c r="H82" s="3">
        <f>LAC!L$6</f>
        <v>60.081101079999996</v>
      </c>
      <c r="I82" s="3">
        <f>LAC!M$6</f>
        <v>50.502220518281199</v>
      </c>
      <c r="J82" s="3">
        <f>LAC!N$6</f>
        <v>354.52558803833398</v>
      </c>
      <c r="K82" s="3">
        <f>LAC!O$6</f>
        <v>1.7349038609381815</v>
      </c>
      <c r="L82" s="3">
        <f t="shared" si="45"/>
        <v>207.82572809093494</v>
      </c>
      <c r="M82" s="3">
        <f t="shared" si="46"/>
        <v>233.07683835007555</v>
      </c>
      <c r="N82" s="3">
        <f t="shared" si="47"/>
        <v>258.32794860921615</v>
      </c>
      <c r="O8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233.07683835007555</v>
      </c>
      <c r="P82" s="14">
        <v>40.577336371080563</v>
      </c>
    </row>
    <row r="83" spans="1:16" x14ac:dyDescent="0.25">
      <c r="A83" s="2">
        <f>IF(TableRBMaster[[#This Row],[Player]]&lt;&gt;0,A82+1,A82)</f>
        <v>57</v>
      </c>
      <c r="B83" s="2" t="str">
        <f>LAC!A$7</f>
        <v>Keaton Mitchell</v>
      </c>
      <c r="C83" s="2" t="s">
        <v>68</v>
      </c>
      <c r="D83" s="2">
        <f>LAC!C$8</f>
        <v>7</v>
      </c>
      <c r="E83" s="3">
        <f>LAC!I$7</f>
        <v>93.00278987999998</v>
      </c>
      <c r="F83" s="3">
        <f>LAC!J$7</f>
        <v>408.28224757319987</v>
      </c>
      <c r="G83" s="3">
        <f>LAC!K$7</f>
        <v>2.6970809065199997</v>
      </c>
      <c r="H83" s="3">
        <f>LAC!L$7</f>
        <v>21.799337559999998</v>
      </c>
      <c r="I83" s="3">
        <f>LAC!M$7</f>
        <v>14.987258291495687</v>
      </c>
      <c r="J83" s="3">
        <f>LAC!N$7</f>
        <v>111.65507427164287</v>
      </c>
      <c r="K83" s="3">
        <f>LAC!O$7</f>
        <v>0.4945795236193577</v>
      </c>
      <c r="L83" s="3">
        <f t="shared" si="45"/>
        <v>71.143694765320419</v>
      </c>
      <c r="M83" s="3">
        <f t="shared" si="46"/>
        <v>78.637323911068265</v>
      </c>
      <c r="N83" s="3">
        <f t="shared" si="47"/>
        <v>86.130953056816111</v>
      </c>
      <c r="O8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78.637323911068265</v>
      </c>
      <c r="P83" s="14">
        <v>0</v>
      </c>
    </row>
    <row r="84" spans="1:16" x14ac:dyDescent="0.25">
      <c r="A84" s="2">
        <f>IF(TableRBMaster[[#This Row],[Player]]&lt;&gt;0,A83+1,A83)</f>
        <v>58</v>
      </c>
      <c r="B84" s="2" t="str">
        <f>LAC!A$8</f>
        <v>Kimani Vidal</v>
      </c>
      <c r="C84" s="2" t="s">
        <v>68</v>
      </c>
      <c r="D84" s="2">
        <f>LAC!C$7</f>
        <v>7</v>
      </c>
      <c r="E84" s="3">
        <f>LAC!I$8</f>
        <v>36.392396040000001</v>
      </c>
      <c r="F84" s="3">
        <f>LAC!J$8</f>
        <v>153.2119873284</v>
      </c>
      <c r="G84" s="3">
        <f>LAC!K$8</f>
        <v>0.83702510892000004</v>
      </c>
      <c r="H84" s="3">
        <f>LAC!L$8</f>
        <v>11.697205519999997</v>
      </c>
      <c r="I84" s="3">
        <f>LAC!M$8</f>
        <v>8.7729041399999979</v>
      </c>
      <c r="J84" s="3">
        <f>LAC!N$8</f>
        <v>69.393671747399978</v>
      </c>
      <c r="K84" s="3">
        <f>LAC!O$8</f>
        <v>0.30705164489999998</v>
      </c>
      <c r="L84" s="3">
        <f t="shared" si="45"/>
        <v>29.125026430499997</v>
      </c>
      <c r="M84" s="3">
        <f t="shared" si="46"/>
        <v>33.511478500499997</v>
      </c>
      <c r="N84" s="3">
        <f t="shared" si="47"/>
        <v>37.897930570499994</v>
      </c>
      <c r="O8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33.511478500499997</v>
      </c>
      <c r="P84" s="14">
        <v>0</v>
      </c>
    </row>
    <row r="85" spans="1:16" x14ac:dyDescent="0.25">
      <c r="A85" s="2">
        <f>IF(TableRBMaster[[#This Row],[Player]]&lt;&gt;0,A84+1,A84)</f>
        <v>58</v>
      </c>
      <c r="B85" s="2">
        <f>LAC!A$9</f>
        <v>0</v>
      </c>
      <c r="C85" s="2" t="s">
        <v>68</v>
      </c>
      <c r="D85" s="2">
        <f>LAC!C$9</f>
        <v>7</v>
      </c>
      <c r="E85" s="3">
        <f>LAC!I$9</f>
        <v>0</v>
      </c>
      <c r="F85" s="3">
        <f>LAC!J$9</f>
        <v>0</v>
      </c>
      <c r="G85" s="3">
        <f>LAC!K$9</f>
        <v>0</v>
      </c>
      <c r="H85" s="3">
        <f>LAC!L$9</f>
        <v>0</v>
      </c>
      <c r="I85" s="3">
        <f>LAC!M$9</f>
        <v>0</v>
      </c>
      <c r="J85" s="3">
        <f>LAC!N$9</f>
        <v>0</v>
      </c>
      <c r="K85" s="3">
        <f>LAC!O$9</f>
        <v>0</v>
      </c>
      <c r="L85" s="3">
        <f t="shared" si="45"/>
        <v>0</v>
      </c>
      <c r="M85" s="3">
        <f t="shared" si="46"/>
        <v>0</v>
      </c>
      <c r="N85" s="3">
        <f t="shared" si="47"/>
        <v>0</v>
      </c>
      <c r="O8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5" s="14">
        <v>0</v>
      </c>
    </row>
    <row r="86" spans="1:16" x14ac:dyDescent="0.25">
      <c r="A86" s="2">
        <f>IF(TableRBMaster[[#This Row],[Player]]&lt;&gt;0,A85+1,A85)</f>
        <v>58</v>
      </c>
      <c r="B86" s="2">
        <f>LAC!A$10</f>
        <v>0</v>
      </c>
      <c r="C86" s="2" t="s">
        <v>68</v>
      </c>
      <c r="D86" s="2">
        <f>LAC!C$10</f>
        <v>7</v>
      </c>
      <c r="E86" s="3">
        <f>LAC!I$10</f>
        <v>0</v>
      </c>
      <c r="F86" s="3">
        <f>LAC!J$10</f>
        <v>0</v>
      </c>
      <c r="G86" s="3">
        <f>LAC!K$10</f>
        <v>0</v>
      </c>
      <c r="H86" s="3">
        <f>LAC!L$10</f>
        <v>0</v>
      </c>
      <c r="I86" s="3">
        <f>LAC!M$10</f>
        <v>0</v>
      </c>
      <c r="J86" s="3">
        <f>LAC!N$10</f>
        <v>0</v>
      </c>
      <c r="K86" s="3">
        <f>LAC!O$10</f>
        <v>0</v>
      </c>
      <c r="L86" s="3">
        <f t="shared" si="45"/>
        <v>0</v>
      </c>
      <c r="M86" s="3">
        <f t="shared" si="46"/>
        <v>0</v>
      </c>
      <c r="N86" s="3">
        <f t="shared" si="47"/>
        <v>0</v>
      </c>
      <c r="O8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6" s="14">
        <v>0</v>
      </c>
    </row>
    <row r="87" spans="1:16" x14ac:dyDescent="0.25">
      <c r="A87" s="2">
        <f>IF(TableRBMaster[[#This Row],[Player]]&lt;&gt;0,A86+1,A86)</f>
        <v>59</v>
      </c>
      <c r="B87" s="2" t="str">
        <f>LAR!A$6</f>
        <v>Kyren Williams</v>
      </c>
      <c r="C87" s="2" t="s">
        <v>69</v>
      </c>
      <c r="D87" s="2">
        <f>LAR!C$6</f>
        <v>11</v>
      </c>
      <c r="E87" s="3">
        <f>LAR!I$6</f>
        <v>243.83066399999998</v>
      </c>
      <c r="F87" s="3">
        <f>LAR!J$6</f>
        <v>1119.18274776</v>
      </c>
      <c r="G87" s="3">
        <f>LAR!K$6</f>
        <v>10.728549215999999</v>
      </c>
      <c r="H87" s="3">
        <f>LAR!L$6</f>
        <v>39.582072996587819</v>
      </c>
      <c r="I87" s="3">
        <f>LAR!M$6</f>
        <v>28.30118219256029</v>
      </c>
      <c r="J87" s="3">
        <f>LAR!N$6</f>
        <v>209.71176004687175</v>
      </c>
      <c r="K87" s="3">
        <f>LAR!O$6</f>
        <v>1.8112756603238587</v>
      </c>
      <c r="L87" s="3">
        <f t="shared" si="45"/>
        <v>208.12840003863033</v>
      </c>
      <c r="M87" s="3">
        <f t="shared" si="46"/>
        <v>222.27899113491048</v>
      </c>
      <c r="N87" s="3">
        <f t="shared" si="47"/>
        <v>236.42958223119064</v>
      </c>
      <c r="O8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222.27899113491048</v>
      </c>
      <c r="P87" s="14">
        <v>36.440729570389564</v>
      </c>
    </row>
    <row r="88" spans="1:16" x14ac:dyDescent="0.25">
      <c r="A88" s="2">
        <f>IF(TableRBMaster[[#This Row],[Player]]&lt;&gt;0,A87+1,A87)</f>
        <v>60</v>
      </c>
      <c r="B88" s="2" t="str">
        <f>LAR!A$7</f>
        <v>Blake Corum</v>
      </c>
      <c r="C88" s="2" t="s">
        <v>69</v>
      </c>
      <c r="D88" s="2">
        <f>LAR!C$8</f>
        <v>11</v>
      </c>
      <c r="E88" s="3">
        <f>LAR!I$7</f>
        <v>155.89173599999995</v>
      </c>
      <c r="F88" s="3">
        <f>LAR!J$7</f>
        <v>743.60358071999974</v>
      </c>
      <c r="G88" s="3">
        <f>LAR!K$7</f>
        <v>6.5258998274671915</v>
      </c>
      <c r="H88" s="3">
        <f>LAR!L$7</f>
        <v>20.921952869624988</v>
      </c>
      <c r="I88" s="3">
        <f>LAR!M$7</f>
        <v>12.636859533253492</v>
      </c>
      <c r="J88" s="3">
        <f>LAR!N$7</f>
        <v>81.245423197401081</v>
      </c>
      <c r="K88" s="3">
        <f>LAR!O$7</f>
        <v>0.70766413386219562</v>
      </c>
      <c r="L88" s="3">
        <f t="shared" si="45"/>
        <v>125.88628415971638</v>
      </c>
      <c r="M88" s="3">
        <f t="shared" si="46"/>
        <v>132.20471392634312</v>
      </c>
      <c r="N88" s="3">
        <f t="shared" si="47"/>
        <v>138.52314369296988</v>
      </c>
      <c r="O8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132.20471392634317</v>
      </c>
      <c r="P88" s="14">
        <v>0</v>
      </c>
    </row>
    <row r="89" spans="1:16" x14ac:dyDescent="0.25">
      <c r="A89" s="2">
        <f>IF(TableRBMaster[[#This Row],[Player]]&lt;&gt;0,A88+1,A88)</f>
        <v>61</v>
      </c>
      <c r="B89" s="2" t="str">
        <f>LAR!A$8</f>
        <v>Jarquez Hunter</v>
      </c>
      <c r="C89" s="2" t="s">
        <v>69</v>
      </c>
      <c r="D89" s="2">
        <f>LAR!C$7</f>
        <v>11</v>
      </c>
      <c r="E89" s="3">
        <f>LAR!I$8</f>
        <v>8.8827199999999991</v>
      </c>
      <c r="F89" s="3">
        <f>LAR!J$8</f>
        <v>37.751559999999998</v>
      </c>
      <c r="G89" s="3">
        <f>LAR!K$8</f>
        <v>0.33310199999999995</v>
      </c>
      <c r="H89" s="3">
        <f>LAR!L$8</f>
        <v>2.7449426488618451</v>
      </c>
      <c r="I89" s="3">
        <f>LAR!M$8</f>
        <v>1.9489092806919099</v>
      </c>
      <c r="J89" s="3">
        <f>LAR!N$8</f>
        <v>13.252583108704988</v>
      </c>
      <c r="K89" s="3">
        <f>LAR!O$8</f>
        <v>5.8467278420757295E-2</v>
      </c>
      <c r="L89" s="3">
        <f t="shared" si="45"/>
        <v>7.4498299813950419</v>
      </c>
      <c r="M89" s="3">
        <f t="shared" si="46"/>
        <v>8.4242846217409966</v>
      </c>
      <c r="N89" s="3">
        <f t="shared" si="47"/>
        <v>9.3987392620869521</v>
      </c>
      <c r="O8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8.4242846217409966</v>
      </c>
      <c r="P89" s="14">
        <v>0</v>
      </c>
    </row>
    <row r="90" spans="1:16" x14ac:dyDescent="0.25">
      <c r="A90" s="2">
        <f>IF(TableRBMaster[[#This Row],[Player]]&lt;&gt;0,A89+1,A89)</f>
        <v>61</v>
      </c>
      <c r="B90" s="2">
        <f>LAR!A$9</f>
        <v>0</v>
      </c>
      <c r="C90" s="2" t="s">
        <v>69</v>
      </c>
      <c r="D90" s="2">
        <f>LAR!C$9</f>
        <v>11</v>
      </c>
      <c r="E90" s="3">
        <f>LAR!I$9</f>
        <v>0</v>
      </c>
      <c r="F90" s="3">
        <f>LAR!J$9</f>
        <v>0</v>
      </c>
      <c r="G90" s="3">
        <f>LAR!K$9</f>
        <v>0</v>
      </c>
      <c r="H90" s="3">
        <f>LAR!L$9</f>
        <v>0</v>
      </c>
      <c r="I90" s="3">
        <f>LAR!M$9</f>
        <v>0</v>
      </c>
      <c r="J90" s="3">
        <f>LAR!N$9</f>
        <v>0</v>
      </c>
      <c r="K90" s="3">
        <f>LAR!O$9</f>
        <v>0</v>
      </c>
      <c r="L90" s="3">
        <f t="shared" si="45"/>
        <v>0</v>
      </c>
      <c r="M90" s="3">
        <f t="shared" si="46"/>
        <v>0</v>
      </c>
      <c r="N90" s="3">
        <f t="shared" si="47"/>
        <v>0</v>
      </c>
      <c r="O9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0" s="14">
        <v>0</v>
      </c>
    </row>
    <row r="91" spans="1:16" x14ac:dyDescent="0.25">
      <c r="A91" s="2">
        <f>IF(TableRBMaster[[#This Row],[Player]]&lt;&gt;0,A90+1,A90)</f>
        <v>61</v>
      </c>
      <c r="B91" s="2">
        <f>LAR!A$10</f>
        <v>0</v>
      </c>
      <c r="C91" s="2" t="s">
        <v>69</v>
      </c>
      <c r="D91" s="2">
        <f>LAR!C$10</f>
        <v>11</v>
      </c>
      <c r="E91" s="3">
        <f>LAR!I$10</f>
        <v>0</v>
      </c>
      <c r="F91" s="3">
        <f>LAR!J$10</f>
        <v>0</v>
      </c>
      <c r="G91" s="3">
        <f>LAR!K$10</f>
        <v>0</v>
      </c>
      <c r="H91" s="3">
        <f>LAR!L$10</f>
        <v>0</v>
      </c>
      <c r="I91" s="3">
        <f>LAR!M$10</f>
        <v>0</v>
      </c>
      <c r="J91" s="3">
        <f>LAR!N$10</f>
        <v>0</v>
      </c>
      <c r="K91" s="3">
        <f>LAR!O$10</f>
        <v>0</v>
      </c>
      <c r="L91" s="3">
        <f t="shared" si="45"/>
        <v>0</v>
      </c>
      <c r="M91" s="3">
        <f t="shared" si="46"/>
        <v>0</v>
      </c>
      <c r="N91" s="3">
        <f t="shared" si="47"/>
        <v>0</v>
      </c>
      <c r="O9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1" s="14">
        <v>0</v>
      </c>
    </row>
    <row r="92" spans="1:16" x14ac:dyDescent="0.25">
      <c r="A92" s="2">
        <f>IF(TableRBMaster[[#This Row],[Player]]&lt;&gt;0,A91+1,A91)</f>
        <v>62</v>
      </c>
      <c r="B92" s="2" t="str">
        <f>LV!A$6</f>
        <v>Ashton Jeanty</v>
      </c>
      <c r="C92" s="2" t="s">
        <v>115</v>
      </c>
      <c r="D92" s="2">
        <f>LV!C$6</f>
        <v>13</v>
      </c>
      <c r="E92" s="3">
        <f>LV!I$6</f>
        <v>275.88197951999996</v>
      </c>
      <c r="F92" s="3">
        <f>LV!J$6</f>
        <v>1144.910215008</v>
      </c>
      <c r="G92" s="3">
        <f>LV!K$6</f>
        <v>7.772515406074942</v>
      </c>
      <c r="H92" s="3">
        <f>LV!L$6</f>
        <v>71.303279039999993</v>
      </c>
      <c r="I92" s="3">
        <f>LV!M$6</f>
        <v>50.482721560319995</v>
      </c>
      <c r="J92" s="3">
        <f>LV!N$6</f>
        <v>351.86456927543037</v>
      </c>
      <c r="K92" s="3">
        <f>LV!O$6</f>
        <v>1.9183434192921598</v>
      </c>
      <c r="L92" s="3">
        <f t="shared" si="45"/>
        <v>207.82263138054566</v>
      </c>
      <c r="M92" s="3">
        <f t="shared" si="46"/>
        <v>233.06399216070565</v>
      </c>
      <c r="N92" s="3">
        <f t="shared" si="47"/>
        <v>258.30535294086565</v>
      </c>
      <c r="O9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233.06399216070568</v>
      </c>
      <c r="P92" s="14">
        <v>26.712974459123956</v>
      </c>
    </row>
    <row r="93" spans="1:16" x14ac:dyDescent="0.25">
      <c r="A93" s="2">
        <f>IF(TableRBMaster[[#This Row],[Player]]&lt;&gt;0,A92+1,A92)</f>
        <v>63</v>
      </c>
      <c r="B93" s="2" t="str">
        <f>LV!A$7</f>
        <v>Mike Washington</v>
      </c>
      <c r="C93" s="2" t="s">
        <v>115</v>
      </c>
      <c r="D93" s="2">
        <f>LV!C$8</f>
        <v>13</v>
      </c>
      <c r="E93" s="3">
        <f>LV!I$7</f>
        <v>107.78025887999998</v>
      </c>
      <c r="F93" s="3">
        <f>LV!J$7</f>
        <v>439.74345623039989</v>
      </c>
      <c r="G93" s="3">
        <f>LV!K$7</f>
        <v>2.2652911711162633</v>
      </c>
      <c r="H93" s="3">
        <f>LV!L$7</f>
        <v>8.1644976000000007</v>
      </c>
      <c r="I93" s="3">
        <f>LV!M$7</f>
        <v>5.4457198992000011</v>
      </c>
      <c r="J93" s="3">
        <f>LV!N$7</f>
        <v>35.996208533712007</v>
      </c>
      <c r="K93" s="3">
        <f>LV!O$7</f>
        <v>8.8304198138479006E-2</v>
      </c>
      <c r="L93" s="3">
        <f t="shared" si="45"/>
        <v>61.695538691939646</v>
      </c>
      <c r="M93" s="3">
        <f t="shared" si="46"/>
        <v>64.418398641539653</v>
      </c>
      <c r="N93" s="3">
        <f t="shared" si="47"/>
        <v>67.141258591139646</v>
      </c>
      <c r="O9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64.418398641539639</v>
      </c>
      <c r="P93" s="14">
        <v>10.012353442884301</v>
      </c>
    </row>
    <row r="94" spans="1:16" x14ac:dyDescent="0.25">
      <c r="A94" s="2">
        <f>IF(TableRBMaster[[#This Row],[Player]]&lt;&gt;0,A93+1,A93)</f>
        <v>64</v>
      </c>
      <c r="B94" s="2" t="str">
        <f>LV!A$8</f>
        <v>Dylan Laube</v>
      </c>
      <c r="C94" s="2" t="s">
        <v>115</v>
      </c>
      <c r="D94" s="2">
        <f>LV!C$7</f>
        <v>13</v>
      </c>
      <c r="E94" s="3">
        <f>LV!I$8</f>
        <v>5.7660220799999991</v>
      </c>
      <c r="F94" s="3">
        <f>LV!J$8</f>
        <v>21.737903241599998</v>
      </c>
      <c r="G94" s="3">
        <f>LV!K$8</f>
        <v>0.11532044159999999</v>
      </c>
      <c r="H94" s="3">
        <f>LV!L$8</f>
        <v>5.4429983999999996</v>
      </c>
      <c r="I94" s="3">
        <f>LV!M$8</f>
        <v>3.7611118943999995</v>
      </c>
      <c r="J94" s="3">
        <f>LV!N$8</f>
        <v>23.896193281555075</v>
      </c>
      <c r="K94" s="3">
        <f>LV!O$8</f>
        <v>9.0259464708423331E-2</v>
      </c>
      <c r="L94" s="3">
        <f t="shared" si="45"/>
        <v>5.7968890901660473</v>
      </c>
      <c r="M94" s="3">
        <f t="shared" si="46"/>
        <v>7.6774450373660468</v>
      </c>
      <c r="N94" s="3">
        <f t="shared" si="47"/>
        <v>9.5580009845660463</v>
      </c>
      <c r="O9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7.6774450373660468</v>
      </c>
      <c r="P94" s="14">
        <v>0</v>
      </c>
    </row>
    <row r="95" spans="1:16" x14ac:dyDescent="0.25">
      <c r="A95" s="2">
        <f>IF(TableRBMaster[[#This Row],[Player]]&lt;&gt;0,A94+1,A94)</f>
        <v>64</v>
      </c>
      <c r="B95" s="2">
        <f>LV!A$9</f>
        <v>0</v>
      </c>
      <c r="C95" s="2" t="s">
        <v>115</v>
      </c>
      <c r="D95" s="2">
        <f>LV!C$9</f>
        <v>13</v>
      </c>
      <c r="E95" s="3">
        <f>LV!I$9</f>
        <v>0</v>
      </c>
      <c r="F95" s="3">
        <f>LV!J$9</f>
        <v>0</v>
      </c>
      <c r="G95" s="3">
        <f>LV!K$9</f>
        <v>0</v>
      </c>
      <c r="H95" s="3">
        <f>LV!L$9</f>
        <v>0</v>
      </c>
      <c r="I95" s="3">
        <f>LV!M$9</f>
        <v>0</v>
      </c>
      <c r="J95" s="3">
        <f>LV!N$9</f>
        <v>0</v>
      </c>
      <c r="K95" s="3">
        <f>LV!O$9</f>
        <v>0</v>
      </c>
      <c r="L95" s="3">
        <f t="shared" si="45"/>
        <v>0</v>
      </c>
      <c r="M95" s="3">
        <f t="shared" si="46"/>
        <v>0</v>
      </c>
      <c r="N95" s="3">
        <f t="shared" si="47"/>
        <v>0</v>
      </c>
      <c r="O9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5" s="14">
        <v>0</v>
      </c>
    </row>
    <row r="96" spans="1:16" x14ac:dyDescent="0.25">
      <c r="A96" s="2">
        <f>IF(TableRBMaster[[#This Row],[Player]]&lt;&gt;0,A95+1,A95)</f>
        <v>64</v>
      </c>
      <c r="B96" s="2">
        <f>LV!A$10</f>
        <v>0</v>
      </c>
      <c r="C96" s="2" t="s">
        <v>115</v>
      </c>
      <c r="D96" s="2">
        <f>LV!C$10</f>
        <v>13</v>
      </c>
      <c r="E96" s="3">
        <f>LV!I$10</f>
        <v>0</v>
      </c>
      <c r="F96" s="3">
        <f>LV!J$10</f>
        <v>0</v>
      </c>
      <c r="G96" s="3">
        <f>LV!K$10</f>
        <v>0</v>
      </c>
      <c r="H96" s="3">
        <f>LV!L$10</f>
        <v>0</v>
      </c>
      <c r="I96" s="3">
        <f>LV!M$10</f>
        <v>0</v>
      </c>
      <c r="J96" s="3">
        <f>LV!N$10</f>
        <v>0</v>
      </c>
      <c r="K96" s="3">
        <f>LV!O$10</f>
        <v>0</v>
      </c>
      <c r="L96" s="3">
        <f t="shared" si="45"/>
        <v>0</v>
      </c>
      <c r="M96" s="3">
        <f t="shared" si="46"/>
        <v>0</v>
      </c>
      <c r="N96" s="3">
        <f t="shared" si="47"/>
        <v>0</v>
      </c>
      <c r="O9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6" s="14">
        <v>0</v>
      </c>
    </row>
    <row r="97" spans="1:16" x14ac:dyDescent="0.25">
      <c r="A97" s="2">
        <f>IF(TableRBMaster[[#This Row],[Player]]&lt;&gt;0,A96+1,A96)</f>
        <v>65</v>
      </c>
      <c r="B97" s="2" t="str">
        <f>MIA!A$6</f>
        <v>De'Von Achane</v>
      </c>
      <c r="C97" s="2" t="s">
        <v>70</v>
      </c>
      <c r="D97" s="2">
        <f>MIA!C$6</f>
        <v>6</v>
      </c>
      <c r="E97" s="3">
        <f>MIA!I$6</f>
        <v>251.27361063396268</v>
      </c>
      <c r="F97" s="3">
        <f>MIA!J$6</f>
        <v>1193.5496505113226</v>
      </c>
      <c r="G97" s="3">
        <f>MIA!K$6</f>
        <v>6.0305666552151047</v>
      </c>
      <c r="H97" s="3">
        <f>MIA!L$6</f>
        <v>78.79152959999999</v>
      </c>
      <c r="I97" s="3">
        <f>MIA!M$6</f>
        <v>61.772559206399997</v>
      </c>
      <c r="J97" s="3">
        <f>MIA!N$6</f>
        <v>451.55740779878397</v>
      </c>
      <c r="K97" s="3">
        <f>MIA!O$6</f>
        <v>2.9650828419071997</v>
      </c>
      <c r="L97" s="3">
        <f t="shared" si="45"/>
        <v>218.48460281374452</v>
      </c>
      <c r="M97" s="3">
        <f t="shared" si="46"/>
        <v>249.37088241694451</v>
      </c>
      <c r="N97" s="3">
        <f t="shared" si="47"/>
        <v>280.25716202014451</v>
      </c>
      <c r="O9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249.37088241694448</v>
      </c>
      <c r="P97" s="14">
        <v>21.962355357853792</v>
      </c>
    </row>
    <row r="98" spans="1:16" x14ac:dyDescent="0.25">
      <c r="A98" s="2">
        <f>IF(TableRBMaster[[#This Row],[Player]]&lt;&gt;0,A97+1,A97)</f>
        <v>66</v>
      </c>
      <c r="B98" s="2" t="str">
        <f>MIA!A$7</f>
        <v>Ollie Gordon</v>
      </c>
      <c r="C98" s="2" t="s">
        <v>70</v>
      </c>
      <c r="D98" s="2">
        <f>MIA!C$8</f>
        <v>6</v>
      </c>
      <c r="E98" s="3">
        <f>MIA!I$7</f>
        <v>82.265393940974334</v>
      </c>
      <c r="F98" s="3">
        <f>MIA!J$7</f>
        <v>322.48034424861936</v>
      </c>
      <c r="G98" s="3">
        <f>MIA!K$7</f>
        <v>1.8098386667014352</v>
      </c>
      <c r="H98" s="3">
        <f>MIA!L$7</f>
        <v>4.9244705999999994</v>
      </c>
      <c r="I98" s="3">
        <f>MIA!M$7</f>
        <v>3.6933529499999995</v>
      </c>
      <c r="J98" s="3">
        <f>MIA!N$7</f>
        <v>23.637458879999997</v>
      </c>
      <c r="K98" s="3">
        <f>MIA!O$7</f>
        <v>0.12795832822847683</v>
      </c>
      <c r="L98" s="3">
        <f t="shared" si="45"/>
        <v>46.2385622824414</v>
      </c>
      <c r="M98" s="3">
        <f t="shared" si="46"/>
        <v>48.085238757441402</v>
      </c>
      <c r="N98" s="3">
        <f t="shared" si="47"/>
        <v>49.931915232441398</v>
      </c>
      <c r="O9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48.085238757441402</v>
      </c>
      <c r="P98" s="14">
        <v>0</v>
      </c>
    </row>
    <row r="99" spans="1:16" x14ac:dyDescent="0.25">
      <c r="A99" s="2">
        <f>IF(TableRBMaster[[#This Row],[Player]]&lt;&gt;0,A98+1,A98)</f>
        <v>67</v>
      </c>
      <c r="B99" s="2" t="str">
        <f>MIA!A$8</f>
        <v>Jaylen Wright</v>
      </c>
      <c r="C99" s="2" t="s">
        <v>70</v>
      </c>
      <c r="D99" s="2">
        <f>MIA!C$7</f>
        <v>6</v>
      </c>
      <c r="E99" s="3">
        <f>MIA!I$8</f>
        <v>34.074423525847358</v>
      </c>
      <c r="F99" s="3">
        <f>MIA!J$8</f>
        <v>137.66067104442334</v>
      </c>
      <c r="G99" s="3">
        <f>MIA!K$8</f>
        <v>0.68148847051694716</v>
      </c>
      <c r="H99" s="3">
        <f>MIA!L$8</f>
        <v>10.341388259999999</v>
      </c>
      <c r="I99" s="3">
        <f>MIA!M$8</f>
        <v>7.3236726763199984</v>
      </c>
      <c r="J99" s="3">
        <f>MIA!N$8</f>
        <v>56.530624401719976</v>
      </c>
      <c r="K99" s="3">
        <f>MIA!O$8</f>
        <v>0.21971018028959993</v>
      </c>
      <c r="L99" s="3">
        <f t="shared" si="45"/>
        <v>24.826321449453612</v>
      </c>
      <c r="M99" s="3">
        <f t="shared" si="46"/>
        <v>28.488157787613613</v>
      </c>
      <c r="N99" s="3">
        <f t="shared" si="47"/>
        <v>32.14999412577361</v>
      </c>
      <c r="O9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28.488157787613616</v>
      </c>
      <c r="P99" s="14">
        <v>0</v>
      </c>
    </row>
    <row r="100" spans="1:16" x14ac:dyDescent="0.25">
      <c r="A100" s="2">
        <f>IF(TableRBMaster[[#This Row],[Player]]&lt;&gt;0,A99+1,A99)</f>
        <v>67</v>
      </c>
      <c r="B100" s="2">
        <f>MIA!A$9</f>
        <v>0</v>
      </c>
      <c r="C100" s="2" t="s">
        <v>70</v>
      </c>
      <c r="D100" s="2">
        <f>MIA!C$9</f>
        <v>6</v>
      </c>
      <c r="E100" s="3">
        <f>MIA!I$9</f>
        <v>0</v>
      </c>
      <c r="F100" s="3">
        <f>MIA!J$9</f>
        <v>0</v>
      </c>
      <c r="G100" s="3">
        <f>MIA!K$9</f>
        <v>0</v>
      </c>
      <c r="H100" s="3">
        <f>MIA!L$9</f>
        <v>0</v>
      </c>
      <c r="I100" s="3">
        <f>MIA!M$9</f>
        <v>0</v>
      </c>
      <c r="J100" s="3">
        <f>MIA!N$9</f>
        <v>0</v>
      </c>
      <c r="K100" s="3">
        <f>MIA!O$9</f>
        <v>0</v>
      </c>
      <c r="L100" s="3">
        <f t="shared" si="45"/>
        <v>0</v>
      </c>
      <c r="M100" s="3">
        <f t="shared" si="46"/>
        <v>0</v>
      </c>
      <c r="N100" s="3">
        <f t="shared" si="47"/>
        <v>0</v>
      </c>
      <c r="O10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0" s="14">
        <v>0</v>
      </c>
    </row>
    <row r="101" spans="1:16" x14ac:dyDescent="0.25">
      <c r="A101" s="2">
        <f>IF(TableRBMaster[[#This Row],[Player]]&lt;&gt;0,A100+1,A100)</f>
        <v>67</v>
      </c>
      <c r="B101" s="2">
        <f>MIA!A$10</f>
        <v>0</v>
      </c>
      <c r="C101" s="2" t="s">
        <v>70</v>
      </c>
      <c r="D101" s="2">
        <f>MIA!C$10</f>
        <v>6</v>
      </c>
      <c r="E101" s="3">
        <f>MIA!I$10</f>
        <v>0</v>
      </c>
      <c r="F101" s="3">
        <f>MIA!J$10</f>
        <v>0</v>
      </c>
      <c r="G101" s="3">
        <f>MIA!K$10</f>
        <v>0</v>
      </c>
      <c r="H101" s="3">
        <f>MIA!L$10</f>
        <v>0</v>
      </c>
      <c r="I101" s="3">
        <f>MIA!M$10</f>
        <v>0</v>
      </c>
      <c r="J101" s="3">
        <f>MIA!N$10</f>
        <v>0</v>
      </c>
      <c r="K101" s="3">
        <f>MIA!O$10</f>
        <v>0</v>
      </c>
      <c r="L101" s="3">
        <f t="shared" si="45"/>
        <v>0</v>
      </c>
      <c r="M101" s="3">
        <f t="shared" si="46"/>
        <v>0</v>
      </c>
      <c r="N101" s="3">
        <f t="shared" si="47"/>
        <v>0</v>
      </c>
      <c r="O10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1" s="14">
        <v>0</v>
      </c>
    </row>
    <row r="102" spans="1:16" x14ac:dyDescent="0.25">
      <c r="A102" s="2">
        <f>IF(TableRBMaster[[#This Row],[Player]]&lt;&gt;0,A101+1,A101)</f>
        <v>68</v>
      </c>
      <c r="B102" s="2" t="str">
        <f>MIN!A$6</f>
        <v>Aaron Jones</v>
      </c>
      <c r="C102" s="2" t="s">
        <v>71</v>
      </c>
      <c r="D102" s="2">
        <f>MIN!C$6</f>
        <v>6</v>
      </c>
      <c r="E102" s="3">
        <f>MIN!I$6</f>
        <v>154.58115455999996</v>
      </c>
      <c r="F102" s="3">
        <f>MIN!J$6</f>
        <v>643.0218554919503</v>
      </c>
      <c r="G102" s="3">
        <f>MIN!K$6</f>
        <v>3.8645288639999991</v>
      </c>
      <c r="H102" s="3">
        <f>MIN!L$6</f>
        <v>39.744095999999999</v>
      </c>
      <c r="I102" s="3">
        <f>MIN!M$6</f>
        <v>30.129396994327276</v>
      </c>
      <c r="J102" s="3">
        <f>MIN!N$6</f>
        <v>215.69120899199999</v>
      </c>
      <c r="K102" s="3">
        <f>MIN!O$6</f>
        <v>1.1330680459636364</v>
      </c>
      <c r="L102" s="3">
        <f t="shared" si="45"/>
        <v>115.85688790817684</v>
      </c>
      <c r="M102" s="3">
        <f t="shared" si="46"/>
        <v>130.92158640534049</v>
      </c>
      <c r="N102" s="3">
        <f t="shared" si="47"/>
        <v>145.98628490250411</v>
      </c>
      <c r="O10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130.92158640534046</v>
      </c>
      <c r="P102" s="14">
        <v>52.319014609527478</v>
      </c>
    </row>
    <row r="103" spans="1:16" x14ac:dyDescent="0.25">
      <c r="A103" s="2">
        <f>IF(TableRBMaster[[#This Row],[Player]]&lt;&gt;0,A102+1,A102)</f>
        <v>69</v>
      </c>
      <c r="B103" s="2" t="str">
        <f>MIN!A$7</f>
        <v>Jordan Mason</v>
      </c>
      <c r="C103" s="2" t="s">
        <v>71</v>
      </c>
      <c r="D103" s="2">
        <f>MIN!C$8</f>
        <v>6</v>
      </c>
      <c r="E103" s="3">
        <f>MIN!I$7</f>
        <v>175.01429568</v>
      </c>
      <c r="F103" s="3">
        <f>MIN!J$7</f>
        <v>796.2577264688789</v>
      </c>
      <c r="G103" s="3">
        <f>MIN!K$7</f>
        <v>6.6505432358399998</v>
      </c>
      <c r="H103" s="3">
        <f>MIN!L$7</f>
        <v>13.248032</v>
      </c>
      <c r="I103" s="3">
        <f>MIN!M$7</f>
        <v>9.9360239999999997</v>
      </c>
      <c r="J103" s="3">
        <f>MIN!N$7</f>
        <v>61.404628319999993</v>
      </c>
      <c r="K103" s="3">
        <f>MIN!O$7</f>
        <v>0.27820867199999999</v>
      </c>
      <c r="L103" s="3">
        <f t="shared" si="45"/>
        <v>127.33874692592789</v>
      </c>
      <c r="M103" s="3">
        <f t="shared" si="46"/>
        <v>132.30675892592788</v>
      </c>
      <c r="N103" s="3">
        <f t="shared" si="47"/>
        <v>137.2747709259279</v>
      </c>
      <c r="O10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132.30675892592791</v>
      </c>
      <c r="P103" s="14">
        <v>0</v>
      </c>
    </row>
    <row r="104" spans="1:16" x14ac:dyDescent="0.25">
      <c r="A104" s="2">
        <f>IF(TableRBMaster[[#This Row],[Player]]&lt;&gt;0,A103+1,A103)</f>
        <v>70</v>
      </c>
      <c r="B104" s="2" t="str">
        <f>MIN!A$8</f>
        <v>Demond Claiborne</v>
      </c>
      <c r="C104" s="2" t="s">
        <v>71</v>
      </c>
      <c r="D104" s="2">
        <f>MIN!C$7</f>
        <v>6</v>
      </c>
      <c r="E104" s="3">
        <f>MIN!I$8</f>
        <v>30.20551296</v>
      </c>
      <c r="F104" s="3">
        <f>MIN!J$8</f>
        <v>129.05991901090908</v>
      </c>
      <c r="G104" s="3">
        <f>MIN!K$8</f>
        <v>0.99678192768000007</v>
      </c>
      <c r="H104" s="3">
        <f>MIN!L$8</f>
        <v>21.726772480000001</v>
      </c>
      <c r="I104" s="3">
        <f>MIN!M$8</f>
        <v>17.012062851840003</v>
      </c>
      <c r="J104" s="3">
        <f>MIN!N$8</f>
        <v>112.27961482214401</v>
      </c>
      <c r="K104" s="3">
        <f>MIN!O$8</f>
        <v>0.51036188555520012</v>
      </c>
      <c r="L104" s="3">
        <f t="shared" si="45"/>
        <v>33.176816262716514</v>
      </c>
      <c r="M104" s="3">
        <f t="shared" si="46"/>
        <v>41.682847688636514</v>
      </c>
      <c r="N104" s="3">
        <f t="shared" si="47"/>
        <v>50.188879114556514</v>
      </c>
      <c r="O10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41.682847688636514</v>
      </c>
      <c r="P104" s="14">
        <v>0</v>
      </c>
    </row>
    <row r="105" spans="1:16" x14ac:dyDescent="0.25">
      <c r="A105" s="2">
        <f>IF(TableRBMaster[[#This Row],[Player]]&lt;&gt;0,A104+1,A104)</f>
        <v>70</v>
      </c>
      <c r="B105" s="2">
        <f>MIN!A$9</f>
        <v>0</v>
      </c>
      <c r="C105" s="2" t="s">
        <v>71</v>
      </c>
      <c r="D105" s="2">
        <f>MIN!C$9</f>
        <v>6</v>
      </c>
      <c r="E105" s="3">
        <f>MIN!I$9</f>
        <v>0</v>
      </c>
      <c r="F105" s="3">
        <f>MIN!J$9</f>
        <v>0</v>
      </c>
      <c r="G105" s="3">
        <f>MIN!K$9</f>
        <v>0</v>
      </c>
      <c r="H105" s="3">
        <f>MIN!L$9</f>
        <v>0</v>
      </c>
      <c r="I105" s="3">
        <f>MIN!M$9</f>
        <v>0</v>
      </c>
      <c r="J105" s="3">
        <f>MIN!N$9</f>
        <v>0</v>
      </c>
      <c r="K105" s="3">
        <f>MIN!O$9</f>
        <v>0</v>
      </c>
      <c r="L105" s="3">
        <f t="shared" si="45"/>
        <v>0</v>
      </c>
      <c r="M105" s="3">
        <f t="shared" si="46"/>
        <v>0</v>
      </c>
      <c r="N105" s="3">
        <f t="shared" si="47"/>
        <v>0</v>
      </c>
      <c r="O10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5" s="14">
        <v>0</v>
      </c>
    </row>
    <row r="106" spans="1:16" x14ac:dyDescent="0.25">
      <c r="A106" s="2">
        <f>IF(TableRBMaster[[#This Row],[Player]]&lt;&gt;0,A105+1,A105)</f>
        <v>70</v>
      </c>
      <c r="B106" s="2">
        <f>MIN!A$10</f>
        <v>0</v>
      </c>
      <c r="C106" s="2" t="s">
        <v>71</v>
      </c>
      <c r="D106" s="2">
        <f>MIN!C$10</f>
        <v>6</v>
      </c>
      <c r="E106" s="3">
        <f>MIN!I$10</f>
        <v>0</v>
      </c>
      <c r="F106" s="3">
        <f>MIN!J$10</f>
        <v>0</v>
      </c>
      <c r="G106" s="3">
        <f>MIN!K$10</f>
        <v>0</v>
      </c>
      <c r="H106" s="3">
        <f>MIN!L$10</f>
        <v>0</v>
      </c>
      <c r="I106" s="3">
        <f>MIN!M$10</f>
        <v>0</v>
      </c>
      <c r="J106" s="3">
        <f>MIN!N$10</f>
        <v>0</v>
      </c>
      <c r="K106" s="3">
        <f>MIN!O$10</f>
        <v>0</v>
      </c>
      <c r="L106" s="3">
        <f t="shared" si="45"/>
        <v>0</v>
      </c>
      <c r="M106" s="3">
        <f t="shared" si="46"/>
        <v>0</v>
      </c>
      <c r="N106" s="3">
        <f t="shared" si="47"/>
        <v>0</v>
      </c>
      <c r="O10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6" s="14">
        <v>0</v>
      </c>
    </row>
    <row r="107" spans="1:16" x14ac:dyDescent="0.25">
      <c r="A107" s="2">
        <f>IF(TableRBMaster[[#This Row],[Player]]&lt;&gt;0,A106+1,A106)</f>
        <v>71</v>
      </c>
      <c r="B107" s="2" t="str">
        <f>NE!A$6</f>
        <v>TreVeyon Henderson</v>
      </c>
      <c r="C107" s="2" t="s">
        <v>72</v>
      </c>
      <c r="D107" s="2">
        <f>NE!C$6</f>
        <v>11</v>
      </c>
      <c r="E107" s="3">
        <f>NE!I$6</f>
        <v>175.99039919999998</v>
      </c>
      <c r="F107" s="3">
        <f>NE!J$6</f>
        <v>824.46444890520854</v>
      </c>
      <c r="G107" s="3">
        <f>NE!K$6</f>
        <v>7.0396159679999997</v>
      </c>
      <c r="H107" s="3">
        <f>NE!L$6</f>
        <v>56.719499199999973</v>
      </c>
      <c r="I107" s="3">
        <f>NE!M$6</f>
        <v>45.205440862399982</v>
      </c>
      <c r="J107" s="3">
        <f>NE!N$6</f>
        <v>337.68464324212783</v>
      </c>
      <c r="K107" s="3">
        <f>NE!O$6</f>
        <v>1.6022945799520392</v>
      </c>
      <c r="L107" s="3">
        <f t="shared" si="45"/>
        <v>168.06637250244586</v>
      </c>
      <c r="M107" s="3">
        <f t="shared" si="46"/>
        <v>190.66909293364586</v>
      </c>
      <c r="N107" s="3">
        <f t="shared" si="47"/>
        <v>213.27181336484585</v>
      </c>
      <c r="O10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190.66909293364586</v>
      </c>
      <c r="P107" s="14">
        <v>16.241836919688957</v>
      </c>
    </row>
    <row r="108" spans="1:16" x14ac:dyDescent="0.25">
      <c r="A108" s="2">
        <f>IF(TableRBMaster[[#This Row],[Player]]&lt;&gt;0,A107+1,A107)</f>
        <v>72</v>
      </c>
      <c r="B108" s="2" t="str">
        <f>NE!A$7</f>
        <v>Rhamondre Stevenson</v>
      </c>
      <c r="C108" s="2" t="s">
        <v>72</v>
      </c>
      <c r="D108" s="2">
        <f>NE!C$8</f>
        <v>11</v>
      </c>
      <c r="E108" s="3">
        <f>NE!I$7</f>
        <v>160.43569219999998</v>
      </c>
      <c r="F108" s="3">
        <f>NE!J$7</f>
        <v>717.14754413399987</v>
      </c>
      <c r="G108" s="3">
        <f>NE!K$7</f>
        <v>7.2196061489999988</v>
      </c>
      <c r="H108" s="3">
        <f>NE!L$7</f>
        <v>53.447220399999971</v>
      </c>
      <c r="I108" s="3">
        <f>NE!M$7</f>
        <v>44.361192931999973</v>
      </c>
      <c r="J108" s="3">
        <f>NE!N$7</f>
        <v>388.60405008431974</v>
      </c>
      <c r="K108" s="3">
        <f>NE!O$7</f>
        <v>2.1634115036045016</v>
      </c>
      <c r="L108" s="3">
        <f t="shared" si="45"/>
        <v>166.87326533745897</v>
      </c>
      <c r="M108" s="3">
        <f t="shared" si="46"/>
        <v>189.05386180345897</v>
      </c>
      <c r="N108" s="3">
        <f t="shared" si="47"/>
        <v>211.23445826945894</v>
      </c>
      <c r="O10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189.05386180345894</v>
      </c>
      <c r="P108" s="14">
        <v>0.42055879671300284</v>
      </c>
    </row>
    <row r="109" spans="1:16" x14ac:dyDescent="0.25">
      <c r="A109" s="2">
        <f>IF(TableRBMaster[[#This Row],[Player]]&lt;&gt;0,A108+1,A108)</f>
        <v>73</v>
      </c>
      <c r="B109" s="2" t="str">
        <f>NE!A$8</f>
        <v>Jam Miller</v>
      </c>
      <c r="C109" s="2" t="s">
        <v>72</v>
      </c>
      <c r="D109" s="2">
        <f>NE!C$7</f>
        <v>11</v>
      </c>
      <c r="E109" s="3">
        <f>NE!I$8</f>
        <v>19.110068599999998</v>
      </c>
      <c r="F109" s="3">
        <f>NE!J$8</f>
        <v>74.147066167999995</v>
      </c>
      <c r="G109" s="3">
        <f>NE!K$8</f>
        <v>0.57330205799999989</v>
      </c>
      <c r="H109" s="3">
        <f>NE!L$8</f>
        <v>2.7268989999999986</v>
      </c>
      <c r="I109" s="3">
        <f>NE!M$8</f>
        <v>2.0451742499999988</v>
      </c>
      <c r="J109" s="3">
        <f>NE!N$8</f>
        <v>16.202407896459672</v>
      </c>
      <c r="K109" s="3">
        <f>NE!O$8</f>
        <v>6.1355227499999963E-2</v>
      </c>
      <c r="L109" s="3">
        <f t="shared" si="45"/>
        <v>12.842891119445966</v>
      </c>
      <c r="M109" s="3">
        <f t="shared" si="46"/>
        <v>13.865478244445965</v>
      </c>
      <c r="N109" s="3">
        <f t="shared" si="47"/>
        <v>14.888065369445965</v>
      </c>
      <c r="O10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13.865478244445967</v>
      </c>
      <c r="P109" s="14">
        <v>0</v>
      </c>
    </row>
    <row r="110" spans="1:16" x14ac:dyDescent="0.25">
      <c r="A110" s="2">
        <f>IF(TableRBMaster[[#This Row],[Player]]&lt;&gt;0,A109+1,A109)</f>
        <v>73</v>
      </c>
      <c r="B110" s="2">
        <f>NE!A$9</f>
        <v>0</v>
      </c>
      <c r="C110" s="2" t="s">
        <v>72</v>
      </c>
      <c r="D110" s="2">
        <f>NE!C$9</f>
        <v>11</v>
      </c>
      <c r="E110" s="3">
        <f>NE!I$9</f>
        <v>0</v>
      </c>
      <c r="F110" s="3">
        <f>NE!J$9</f>
        <v>0</v>
      </c>
      <c r="G110" s="3">
        <f>NE!K$9</f>
        <v>0</v>
      </c>
      <c r="H110" s="3">
        <f>NE!L$9</f>
        <v>0</v>
      </c>
      <c r="I110" s="3">
        <f>NE!M$9</f>
        <v>0</v>
      </c>
      <c r="J110" s="3">
        <f>NE!N$9</f>
        <v>0</v>
      </c>
      <c r="K110" s="3">
        <f>NE!O$9</f>
        <v>0</v>
      </c>
      <c r="L110" s="3">
        <f t="shared" si="45"/>
        <v>0</v>
      </c>
      <c r="M110" s="3">
        <f t="shared" si="46"/>
        <v>0</v>
      </c>
      <c r="N110" s="3">
        <f t="shared" si="47"/>
        <v>0</v>
      </c>
      <c r="O1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0" s="14">
        <v>0</v>
      </c>
    </row>
    <row r="111" spans="1:16" x14ac:dyDescent="0.25">
      <c r="A111" s="2">
        <f>IF(TableRBMaster[[#This Row],[Player]]&lt;&gt;0,A110+1,A110)</f>
        <v>73</v>
      </c>
      <c r="B111" s="2">
        <f>NE!A$10</f>
        <v>0</v>
      </c>
      <c r="C111" s="2" t="s">
        <v>72</v>
      </c>
      <c r="D111" s="2">
        <f>NE!C$10</f>
        <v>11</v>
      </c>
      <c r="E111" s="3">
        <f>NE!I$10</f>
        <v>0</v>
      </c>
      <c r="F111" s="3">
        <f>NE!J$10</f>
        <v>0</v>
      </c>
      <c r="G111" s="3">
        <f>NE!K$10</f>
        <v>0</v>
      </c>
      <c r="H111" s="3">
        <f>NE!L$10</f>
        <v>0</v>
      </c>
      <c r="I111" s="3">
        <f>NE!M$10</f>
        <v>0</v>
      </c>
      <c r="J111" s="3">
        <f>NE!N$10</f>
        <v>0</v>
      </c>
      <c r="K111" s="3">
        <f>NE!O$10</f>
        <v>0</v>
      </c>
      <c r="L111" s="3">
        <f t="shared" si="45"/>
        <v>0</v>
      </c>
      <c r="M111" s="3">
        <f t="shared" si="46"/>
        <v>0</v>
      </c>
      <c r="N111" s="3">
        <f t="shared" si="47"/>
        <v>0</v>
      </c>
      <c r="O1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1" s="14">
        <v>0</v>
      </c>
    </row>
    <row r="112" spans="1:16" x14ac:dyDescent="0.25">
      <c r="A112" s="2">
        <f>IF(TableRBMaster[[#This Row],[Player]]&lt;&gt;0,A111+1,A111)</f>
        <v>74</v>
      </c>
      <c r="B112" s="2" t="str">
        <f>NO!A$6</f>
        <v>Travis Etienne</v>
      </c>
      <c r="C112" s="2" t="s">
        <v>73</v>
      </c>
      <c r="D112" s="2">
        <f>NO!C$6</f>
        <v>8</v>
      </c>
      <c r="E112" s="3">
        <f>NO!I$6</f>
        <v>258.77569535999999</v>
      </c>
      <c r="F112" s="3">
        <f>NO!J$6</f>
        <v>1099.79670528</v>
      </c>
      <c r="G112" s="3">
        <f>NO!K$6</f>
        <v>7.1454475502010162</v>
      </c>
      <c r="H112" s="3">
        <f>NO!L$6</f>
        <v>44.176957439999995</v>
      </c>
      <c r="I112" s="3">
        <f>NO!M$6</f>
        <v>34.237142016</v>
      </c>
      <c r="J112" s="3">
        <f>NO!N$6</f>
        <v>272.87002186751999</v>
      </c>
      <c r="K112" s="3">
        <f>NO!O$6</f>
        <v>1.574908532736</v>
      </c>
      <c r="L112" s="3">
        <f t="shared" si="45"/>
        <v>189.58880921237409</v>
      </c>
      <c r="M112" s="3">
        <f t="shared" si="46"/>
        <v>206.70738022037409</v>
      </c>
      <c r="N112" s="3">
        <f t="shared" si="47"/>
        <v>223.82595122837409</v>
      </c>
      <c r="O1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206.70738022037409</v>
      </c>
      <c r="P112" s="14">
        <v>46.235196286398271</v>
      </c>
    </row>
    <row r="113" spans="1:16" x14ac:dyDescent="0.25">
      <c r="A113" s="2">
        <f>IF(TableRBMaster[[#This Row],[Player]]&lt;&gt;0,A112+1,A112)</f>
        <v>75</v>
      </c>
      <c r="B113" s="2" t="str">
        <f>NO!A$7</f>
        <v>Alvin Kamara</v>
      </c>
      <c r="C113" s="2" t="s">
        <v>73</v>
      </c>
      <c r="D113" s="2">
        <f>NO!C$8</f>
        <v>8</v>
      </c>
      <c r="E113" s="3">
        <f>NO!I$7</f>
        <v>121.95176447999999</v>
      </c>
      <c r="F113" s="3">
        <f>NO!J$7</f>
        <v>476.83139911680001</v>
      </c>
      <c r="G113" s="3">
        <f>NO!K$7</f>
        <v>2.4500325132714935</v>
      </c>
      <c r="H113" s="3">
        <f>NO!L$7</f>
        <v>39.60692736</v>
      </c>
      <c r="I113" s="3">
        <f>NO!M$7</f>
        <v>29.625981665280001</v>
      </c>
      <c r="J113" s="3">
        <f>NO!N$7</f>
        <v>209.45569037352962</v>
      </c>
      <c r="K113" s="3">
        <f>NO!O$7</f>
        <v>0.97765739495424009</v>
      </c>
      <c r="L113" s="3">
        <f t="shared" si="45"/>
        <v>89.194848398387364</v>
      </c>
      <c r="M113" s="3">
        <f t="shared" si="46"/>
        <v>104.00783923102736</v>
      </c>
      <c r="N113" s="3">
        <f t="shared" si="47"/>
        <v>118.82083006366736</v>
      </c>
      <c r="O1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104.00783923102738</v>
      </c>
      <c r="P113" s="14">
        <v>5.4452613993322192</v>
      </c>
    </row>
    <row r="114" spans="1:16" x14ac:dyDescent="0.25">
      <c r="A114" s="2">
        <f>IF(TableRBMaster[[#This Row],[Player]]&lt;&gt;0,A113+1,A113)</f>
        <v>76</v>
      </c>
      <c r="B114" s="2" t="str">
        <f>NO!A$8</f>
        <v>Kendre Miller</v>
      </c>
      <c r="C114" s="2" t="s">
        <v>73</v>
      </c>
      <c r="D114" s="2">
        <f>NO!C$7</f>
        <v>8</v>
      </c>
      <c r="E114" s="3">
        <f>NO!I$8</f>
        <v>26.769899519999999</v>
      </c>
      <c r="F114" s="3">
        <f>NO!J$8</f>
        <v>107.8826950656</v>
      </c>
      <c r="G114" s="3">
        <f>NO!K$8</f>
        <v>0.53539799040000002</v>
      </c>
      <c r="H114" s="3">
        <f>NO!L$8</f>
        <v>5.0778112000000002</v>
      </c>
      <c r="I114" s="3">
        <f>NO!M$8</f>
        <v>3.8083584000000004</v>
      </c>
      <c r="J114" s="3">
        <f>NO!N$8</f>
        <v>30.79548781162265</v>
      </c>
      <c r="K114" s="3">
        <f>NO!O$8</f>
        <v>0.11805911040000001</v>
      </c>
      <c r="L114" s="3">
        <f t="shared" si="45"/>
        <v>17.78856089252227</v>
      </c>
      <c r="M114" s="3">
        <f t="shared" si="46"/>
        <v>19.692740092522271</v>
      </c>
      <c r="N114" s="3">
        <f t="shared" si="47"/>
        <v>21.596919292522269</v>
      </c>
      <c r="O1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19.692740092522268</v>
      </c>
      <c r="P114" s="14">
        <v>0</v>
      </c>
    </row>
    <row r="115" spans="1:16" x14ac:dyDescent="0.25">
      <c r="A115" s="2">
        <f>IF(TableRBMaster[[#This Row],[Player]]&lt;&gt;0,A114+1,A114)</f>
        <v>77</v>
      </c>
      <c r="B115" s="2" t="str">
        <f>NO!A$9</f>
        <v>Devin Neal</v>
      </c>
      <c r="C115" s="2" t="s">
        <v>73</v>
      </c>
      <c r="D115" s="2">
        <f>NO!C$9</f>
        <v>8</v>
      </c>
      <c r="E115" s="3">
        <f>NO!I$9</f>
        <v>9.914777599999999</v>
      </c>
      <c r="F115" s="3">
        <f>NO!J$9</f>
        <v>37.676154879999991</v>
      </c>
      <c r="G115" s="3">
        <f>NO!K$9</f>
        <v>0.24786944</v>
      </c>
      <c r="H115" s="3">
        <f>NO!L$9</f>
        <v>2.5389056000000001</v>
      </c>
      <c r="I115" s="3">
        <f>NO!M$9</f>
        <v>1.7848506367999999</v>
      </c>
      <c r="J115" s="3">
        <f>NO!N$9</f>
        <v>12.690288027648</v>
      </c>
      <c r="K115" s="3">
        <f>NO!O$9</f>
        <v>4.462126592E-2</v>
      </c>
      <c r="L115" s="3">
        <f t="shared" si="45"/>
        <v>6.7915885262847997</v>
      </c>
      <c r="M115" s="3">
        <f t="shared" si="46"/>
        <v>7.6840138446847996</v>
      </c>
      <c r="N115" s="3">
        <f t="shared" si="47"/>
        <v>8.5764391630847996</v>
      </c>
      <c r="O1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7.6840138446847996</v>
      </c>
      <c r="P115" s="14">
        <v>0</v>
      </c>
    </row>
    <row r="116" spans="1:16" x14ac:dyDescent="0.25">
      <c r="A116" s="2">
        <f>IF(TableRBMaster[[#This Row],[Player]]&lt;&gt;0,A115+1,A115)</f>
        <v>77</v>
      </c>
      <c r="B116" s="2">
        <f>NO!A$10</f>
        <v>0</v>
      </c>
      <c r="C116" s="2" t="s">
        <v>73</v>
      </c>
      <c r="D116" s="2">
        <f>NO!C$10</f>
        <v>8</v>
      </c>
      <c r="E116" s="3">
        <f>NO!I$10</f>
        <v>0</v>
      </c>
      <c r="F116" s="3">
        <f>NO!J$10</f>
        <v>0</v>
      </c>
      <c r="G116" s="3">
        <f>NO!K$10</f>
        <v>0</v>
      </c>
      <c r="H116" s="3">
        <f>NO!L$10</f>
        <v>0</v>
      </c>
      <c r="I116" s="3">
        <f>NO!M$10</f>
        <v>0</v>
      </c>
      <c r="J116" s="3">
        <f>NO!N$10</f>
        <v>0</v>
      </c>
      <c r="K116" s="3">
        <f>NO!O$10</f>
        <v>0</v>
      </c>
      <c r="L116" s="3">
        <f t="shared" si="45"/>
        <v>0</v>
      </c>
      <c r="M116" s="3">
        <f t="shared" si="46"/>
        <v>0</v>
      </c>
      <c r="N116" s="3">
        <f t="shared" si="47"/>
        <v>0</v>
      </c>
      <c r="O1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6" s="14">
        <v>0</v>
      </c>
    </row>
    <row r="117" spans="1:16" x14ac:dyDescent="0.25">
      <c r="A117" s="2">
        <f>IF(TableRBMaster[[#This Row],[Player]]&lt;&gt;0,A116+1,A116)</f>
        <v>78</v>
      </c>
      <c r="B117" s="2" t="str">
        <f>NYG!A$6</f>
        <v>Cam Skattebo</v>
      </c>
      <c r="C117" s="2" t="s">
        <v>74</v>
      </c>
      <c r="D117" s="2">
        <f>NYG!C$6</f>
        <v>8</v>
      </c>
      <c r="E117" s="3">
        <f>NYG!I$6</f>
        <v>255.00805596000001</v>
      </c>
      <c r="F117" s="3">
        <f>NYG!J$6</f>
        <v>1083.7842378299999</v>
      </c>
      <c r="G117" s="3">
        <f>NYG!K$6</f>
        <v>8.4152658466800005</v>
      </c>
      <c r="H117" s="3">
        <f>NYG!L$6</f>
        <v>54.880489020000006</v>
      </c>
      <c r="I117" s="3">
        <f>NYG!M$6</f>
        <v>40.392039918720002</v>
      </c>
      <c r="J117" s="3">
        <f>NYG!N$6</f>
        <v>308.19126457983361</v>
      </c>
      <c r="K117" s="3">
        <f>NYG!O$6</f>
        <v>2.3158899697985933</v>
      </c>
      <c r="L117" s="3">
        <f t="shared" si="45"/>
        <v>203.58448513985493</v>
      </c>
      <c r="M117" s="3">
        <f t="shared" si="46"/>
        <v>223.78050509921493</v>
      </c>
      <c r="N117" s="3">
        <f t="shared" si="47"/>
        <v>243.97652505857494</v>
      </c>
      <c r="O1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223.78050509921496</v>
      </c>
      <c r="P117" s="14">
        <v>43.954818451247363</v>
      </c>
    </row>
    <row r="118" spans="1:16" x14ac:dyDescent="0.25">
      <c r="A118" s="2">
        <f>IF(TableRBMaster[[#This Row],[Player]]&lt;&gt;0,A117+1,A117)</f>
        <v>79</v>
      </c>
      <c r="B118" s="2" t="str">
        <f>NYG!A$7</f>
        <v>Tyrone Tracy</v>
      </c>
      <c r="C118" s="2" t="s">
        <v>74</v>
      </c>
      <c r="D118" s="2">
        <f>NYG!C$8</f>
        <v>8</v>
      </c>
      <c r="E118" s="3">
        <f>NYG!I$7</f>
        <v>109.42874431999999</v>
      </c>
      <c r="F118" s="3">
        <f>NYG!J$7</f>
        <v>448.65785171199991</v>
      </c>
      <c r="G118" s="3">
        <f>NYG!K$7</f>
        <v>3.1734335852799997</v>
      </c>
      <c r="H118" s="3">
        <f>NYG!L$7</f>
        <v>22.2488469</v>
      </c>
      <c r="I118" s="3">
        <f>NYG!M$7</f>
        <v>17.72104533232174</v>
      </c>
      <c r="J118" s="3">
        <f>NYG!N$7</f>
        <v>127.94594729936296</v>
      </c>
      <c r="K118" s="3">
        <f>NYG!O$7</f>
        <v>0.8103094530391306</v>
      </c>
      <c r="L118" s="3">
        <f t="shared" si="45"/>
        <v>81.562838131051052</v>
      </c>
      <c r="M118" s="3">
        <f t="shared" si="46"/>
        <v>90.423360797211927</v>
      </c>
      <c r="N118" s="3">
        <f t="shared" si="47"/>
        <v>99.283883463372788</v>
      </c>
      <c r="O1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90.423360797211956</v>
      </c>
      <c r="P118" s="14">
        <v>0</v>
      </c>
    </row>
    <row r="119" spans="1:16" x14ac:dyDescent="0.25">
      <c r="A119" s="2">
        <f>IF(TableRBMaster[[#This Row],[Player]]&lt;&gt;0,A118+1,A118)</f>
        <v>80</v>
      </c>
      <c r="B119" s="2" t="str">
        <f>NYG!A$8</f>
        <v>Devin Singletary</v>
      </c>
      <c r="C119" s="2" t="s">
        <v>74</v>
      </c>
      <c r="D119" s="2">
        <f>NYG!C$7</f>
        <v>8</v>
      </c>
      <c r="E119" s="3">
        <f>NYG!I$8</f>
        <v>24.914580179999998</v>
      </c>
      <c r="F119" s="3">
        <f>NYG!J$8</f>
        <v>98.163445909199993</v>
      </c>
      <c r="G119" s="3">
        <f>NYG!K$8</f>
        <v>0.69760824503999996</v>
      </c>
      <c r="H119" s="3">
        <f>NYG!L$8</f>
        <v>3.4609317399999999</v>
      </c>
      <c r="I119" s="3">
        <f>NYG!M$8</f>
        <v>2.5956988050000001</v>
      </c>
      <c r="J119" s="3">
        <f>NYG!N$8</f>
        <v>16.9239562086</v>
      </c>
      <c r="K119" s="3">
        <f>NYG!O$8</f>
        <v>7.7870964149999999E-2</v>
      </c>
      <c r="L119" s="3">
        <f t="shared" si="45"/>
        <v>16.161615466919997</v>
      </c>
      <c r="M119" s="3">
        <f t="shared" si="46"/>
        <v>17.459464869419996</v>
      </c>
      <c r="N119" s="3">
        <f t="shared" si="47"/>
        <v>18.757314271919999</v>
      </c>
      <c r="O1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17.45946486942</v>
      </c>
      <c r="P119" s="14">
        <v>0</v>
      </c>
    </row>
    <row r="120" spans="1:16" x14ac:dyDescent="0.25">
      <c r="A120" s="2">
        <f>IF(TableRBMaster[[#This Row],[Player]]&lt;&gt;0,A119+1,A119)</f>
        <v>80</v>
      </c>
      <c r="B120" s="2">
        <f>NYG!A$9</f>
        <v>0</v>
      </c>
      <c r="C120" s="2" t="s">
        <v>74</v>
      </c>
      <c r="D120" s="2">
        <f>NYG!C$9</f>
        <v>8</v>
      </c>
      <c r="E120" s="3">
        <f>NYG!I$9</f>
        <v>0</v>
      </c>
      <c r="F120" s="3">
        <f>NYG!J$9</f>
        <v>0</v>
      </c>
      <c r="G120" s="3">
        <f>NYG!K$9</f>
        <v>0</v>
      </c>
      <c r="H120" s="3">
        <f>NYG!L$9</f>
        <v>0</v>
      </c>
      <c r="I120" s="3">
        <f>NYG!M$9</f>
        <v>0</v>
      </c>
      <c r="J120" s="3">
        <f>NYG!N$9</f>
        <v>0</v>
      </c>
      <c r="K120" s="3">
        <f>NYG!O$9</f>
        <v>0</v>
      </c>
      <c r="L120" s="3">
        <f t="shared" si="45"/>
        <v>0</v>
      </c>
      <c r="M120" s="3">
        <f t="shared" si="46"/>
        <v>0</v>
      </c>
      <c r="N120" s="3">
        <f t="shared" si="47"/>
        <v>0</v>
      </c>
      <c r="O1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0" s="14">
        <v>0</v>
      </c>
    </row>
    <row r="121" spans="1:16" x14ac:dyDescent="0.25">
      <c r="A121" s="2">
        <f>IF(TableRBMaster[[#This Row],[Player]]&lt;&gt;0,A120+1,A120)</f>
        <v>80</v>
      </c>
      <c r="B121" s="2">
        <f>NYG!A$10</f>
        <v>0</v>
      </c>
      <c r="C121" s="2" t="s">
        <v>74</v>
      </c>
      <c r="D121" s="2">
        <f>NYG!C$10</f>
        <v>8</v>
      </c>
      <c r="E121" s="3">
        <f>NYG!I$10</f>
        <v>0</v>
      </c>
      <c r="F121" s="3">
        <f>NYG!J$10</f>
        <v>0</v>
      </c>
      <c r="G121" s="3">
        <f>NYG!K$10</f>
        <v>0</v>
      </c>
      <c r="H121" s="3">
        <f>NYG!L$10</f>
        <v>0</v>
      </c>
      <c r="I121" s="3">
        <f>NYG!M$10</f>
        <v>0</v>
      </c>
      <c r="J121" s="3">
        <f>NYG!N$10</f>
        <v>0</v>
      </c>
      <c r="K121" s="3">
        <f>NYG!O$10</f>
        <v>0</v>
      </c>
      <c r="L121" s="3">
        <f t="shared" si="45"/>
        <v>0</v>
      </c>
      <c r="M121" s="3">
        <f t="shared" si="46"/>
        <v>0</v>
      </c>
      <c r="N121" s="3">
        <f t="shared" si="47"/>
        <v>0</v>
      </c>
      <c r="O1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1" s="14">
        <v>0</v>
      </c>
    </row>
    <row r="122" spans="1:16" x14ac:dyDescent="0.25">
      <c r="A122" s="2">
        <f>IF(TableRBMaster[[#This Row],[Player]]&lt;&gt;0,A121+1,A121)</f>
        <v>81</v>
      </c>
      <c r="B122" s="2" t="str">
        <f>NYJ!A$6</f>
        <v>Breece Hall</v>
      </c>
      <c r="C122" s="2" t="s">
        <v>75</v>
      </c>
      <c r="D122" s="2">
        <f>NYJ!C$6</f>
        <v>13</v>
      </c>
      <c r="E122" s="3">
        <f>NYJ!I$6</f>
        <v>227.64955080000004</v>
      </c>
      <c r="F122" s="3">
        <f>NYJ!J$6</f>
        <v>1013.0405010600002</v>
      </c>
      <c r="G122" s="3">
        <f>NYJ!K$6</f>
        <v>6.0582160827732814</v>
      </c>
      <c r="H122" s="3">
        <f>NYJ!L$6</f>
        <v>63.459983635032508</v>
      </c>
      <c r="I122" s="3">
        <f>NYJ!M$6</f>
        <v>50.28863098644387</v>
      </c>
      <c r="J122" s="3">
        <f>NYJ!N$6</f>
        <v>439.2112076408128</v>
      </c>
      <c r="K122" s="3">
        <f>NYJ!O$6</f>
        <v>2.1624111324170863</v>
      </c>
      <c r="L122" s="3">
        <f t="shared" si="45"/>
        <v>194.54893416122351</v>
      </c>
      <c r="M122" s="3">
        <f t="shared" si="46"/>
        <v>219.69324965444545</v>
      </c>
      <c r="N122" s="3">
        <f t="shared" si="47"/>
        <v>244.83756514766739</v>
      </c>
      <c r="O1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219.69324965444545</v>
      </c>
      <c r="P122" s="14">
        <v>18.18702898521515</v>
      </c>
    </row>
    <row r="123" spans="1:16" x14ac:dyDescent="0.25">
      <c r="A123" s="2">
        <f>IF(TableRBMaster[[#This Row],[Player]]&lt;&gt;0,A122+1,A122)</f>
        <v>82</v>
      </c>
      <c r="B123" s="2" t="str">
        <f>NYJ!A$7</f>
        <v>Braelon Allen</v>
      </c>
      <c r="C123" s="2" t="s">
        <v>75</v>
      </c>
      <c r="D123" s="2">
        <f>NYJ!C$8</f>
        <v>13</v>
      </c>
      <c r="E123" s="3">
        <f>NYJ!I$7</f>
        <v>118.27602360000002</v>
      </c>
      <c r="F123" s="3">
        <f>NYJ!J$7</f>
        <v>507.40414124400007</v>
      </c>
      <c r="G123" s="3">
        <f>NYJ!K$7</f>
        <v>4.139660826000001</v>
      </c>
      <c r="H123" s="3">
        <f>NYJ!L$7</f>
        <v>17.421916693702357</v>
      </c>
      <c r="I123" s="3">
        <f>NYJ!M$7</f>
        <v>12.926632015944589</v>
      </c>
      <c r="J123" s="3">
        <f>NYJ!N$7</f>
        <v>99.888236735255546</v>
      </c>
      <c r="K123" s="3">
        <f>NYJ!O$7</f>
        <v>0.26240417736193672</v>
      </c>
      <c r="L123" s="3">
        <f t="shared" si="45"/>
        <v>87.141627818097191</v>
      </c>
      <c r="M123" s="3">
        <f t="shared" si="46"/>
        <v>93.604943826069487</v>
      </c>
      <c r="N123" s="3">
        <f t="shared" si="47"/>
        <v>100.06825983404178</v>
      </c>
      <c r="O1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93.604943826069501</v>
      </c>
      <c r="P123" s="14">
        <v>0</v>
      </c>
    </row>
    <row r="124" spans="1:16" x14ac:dyDescent="0.25">
      <c r="A124" s="2">
        <f>IF(TableRBMaster[[#This Row],[Player]]&lt;&gt;0,A123+1,A123)</f>
        <v>83</v>
      </c>
      <c r="B124" s="2" t="str">
        <f>NYJ!A$8</f>
        <v>Isaiah Davis</v>
      </c>
      <c r="C124" s="2" t="s">
        <v>75</v>
      </c>
      <c r="D124" s="2">
        <f>NYJ!C$7</f>
        <v>13</v>
      </c>
      <c r="E124" s="3">
        <f>NYJ!I$8</f>
        <v>30.098916399999997</v>
      </c>
      <c r="F124" s="3">
        <f>NYJ!J$8</f>
        <v>129.42534051999999</v>
      </c>
      <c r="G124" s="3">
        <f>NYJ!K$8</f>
        <v>0.90296749199999982</v>
      </c>
      <c r="H124" s="3">
        <f>NYJ!L$8</f>
        <v>8.4299596905011391</v>
      </c>
      <c r="I124" s="3">
        <f>NYJ!M$8</f>
        <v>6.3224697678758544</v>
      </c>
      <c r="J124" s="3">
        <f>NYJ!N$8</f>
        <v>52.447136538447616</v>
      </c>
      <c r="K124" s="3">
        <f>NYJ!O$8</f>
        <v>0.13400351508017394</v>
      </c>
      <c r="L124" s="3">
        <f t="shared" si="45"/>
        <v>24.409073748325802</v>
      </c>
      <c r="M124" s="3">
        <f t="shared" si="46"/>
        <v>27.570308632263728</v>
      </c>
      <c r="N124" s="3">
        <f t="shared" si="47"/>
        <v>30.731543516201658</v>
      </c>
      <c r="O1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27.570308632263728</v>
      </c>
      <c r="P124" s="14">
        <v>0</v>
      </c>
    </row>
    <row r="125" spans="1:16" x14ac:dyDescent="0.25">
      <c r="A125" s="2">
        <f>IF(TableRBMaster[[#This Row],[Player]]&lt;&gt;0,A124+1,A124)</f>
        <v>83</v>
      </c>
      <c r="B125" s="2">
        <f>NYJ!A$9</f>
        <v>0</v>
      </c>
      <c r="C125" s="2" t="s">
        <v>75</v>
      </c>
      <c r="D125" s="2">
        <f>NYJ!C$9</f>
        <v>13</v>
      </c>
      <c r="E125" s="3">
        <f>NYJ!I$9</f>
        <v>0</v>
      </c>
      <c r="F125" s="3">
        <f>NYJ!J$9</f>
        <v>0</v>
      </c>
      <c r="G125" s="3">
        <f>NYJ!K$9</f>
        <v>0</v>
      </c>
      <c r="H125" s="3">
        <f>NYJ!L$9</f>
        <v>0</v>
      </c>
      <c r="I125" s="3">
        <f>NYJ!M$9</f>
        <v>0</v>
      </c>
      <c r="J125" s="3">
        <f>NYJ!N$9</f>
        <v>0</v>
      </c>
      <c r="K125" s="3">
        <f>NYJ!O$9</f>
        <v>0</v>
      </c>
      <c r="L125" s="3">
        <f t="shared" si="45"/>
        <v>0</v>
      </c>
      <c r="M125" s="3">
        <f t="shared" si="46"/>
        <v>0</v>
      </c>
      <c r="N125" s="3">
        <f t="shared" si="47"/>
        <v>0</v>
      </c>
      <c r="O1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5" s="14">
        <v>0</v>
      </c>
    </row>
    <row r="126" spans="1:16" x14ac:dyDescent="0.25">
      <c r="A126" s="2">
        <f>IF(TableRBMaster[[#This Row],[Player]]&lt;&gt;0,A125+1,A125)</f>
        <v>83</v>
      </c>
      <c r="B126" s="2">
        <f>NYJ!A$10</f>
        <v>0</v>
      </c>
      <c r="C126" s="2" t="s">
        <v>75</v>
      </c>
      <c r="D126" s="2">
        <f>NYJ!C$10</f>
        <v>13</v>
      </c>
      <c r="E126" s="3">
        <f>NYJ!I$10</f>
        <v>0</v>
      </c>
      <c r="F126" s="3">
        <f>NYJ!J$10</f>
        <v>0</v>
      </c>
      <c r="G126" s="3">
        <f>NYJ!K$10</f>
        <v>0</v>
      </c>
      <c r="H126" s="3">
        <f>NYJ!L$10</f>
        <v>0</v>
      </c>
      <c r="I126" s="3">
        <f>NYJ!M$10</f>
        <v>0</v>
      </c>
      <c r="J126" s="3">
        <f>NYJ!N$10</f>
        <v>0</v>
      </c>
      <c r="K126" s="3">
        <f>NYJ!O$10</f>
        <v>0</v>
      </c>
      <c r="L126" s="3">
        <f t="shared" si="45"/>
        <v>0</v>
      </c>
      <c r="M126" s="3">
        <f t="shared" si="46"/>
        <v>0</v>
      </c>
      <c r="N126" s="3">
        <f t="shared" si="47"/>
        <v>0</v>
      </c>
      <c r="O1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6" s="14">
        <v>0</v>
      </c>
    </row>
    <row r="127" spans="1:16" x14ac:dyDescent="0.25">
      <c r="A127" s="2">
        <f>IF(TableRBMaster[[#This Row],[Player]]&lt;&gt;0,A126+1,A126)</f>
        <v>84</v>
      </c>
      <c r="B127" s="2" t="str">
        <f>PHI!A$6</f>
        <v>Saquon Barkley</v>
      </c>
      <c r="C127" s="2" t="s">
        <v>76</v>
      </c>
      <c r="D127" s="2">
        <f>PHI!C$6</f>
        <v>10</v>
      </c>
      <c r="E127" s="3">
        <f>PHI!I$6</f>
        <v>308.61065928000005</v>
      </c>
      <c r="F127" s="3">
        <f>PHI!J$6</f>
        <v>1320.8536217184003</v>
      </c>
      <c r="G127" s="3">
        <f>PHI!K$6</f>
        <v>9.2583197784000006</v>
      </c>
      <c r="H127" s="3">
        <f>PHI!L$6</f>
        <v>44.188858559999993</v>
      </c>
      <c r="I127" s="3">
        <f>PHI!M$6</f>
        <v>29.923019353693945</v>
      </c>
      <c r="J127" s="3">
        <f>PHI!N$6</f>
        <v>221.13111302379824</v>
      </c>
      <c r="K127" s="3">
        <f>PHI!O$6</f>
        <v>1.5559970063920852</v>
      </c>
      <c r="L127" s="3">
        <f t="shared" si="45"/>
        <v>219.08437418297237</v>
      </c>
      <c r="M127" s="3">
        <f t="shared" si="46"/>
        <v>234.04588385981936</v>
      </c>
      <c r="N127" s="3">
        <f t="shared" si="47"/>
        <v>249.00739353666631</v>
      </c>
      <c r="O1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234.04588385981933</v>
      </c>
      <c r="P127" s="14">
        <v>22.128522326878127</v>
      </c>
    </row>
    <row r="128" spans="1:16" x14ac:dyDescent="0.25">
      <c r="A128" s="2">
        <f>IF(TableRBMaster[[#This Row],[Player]]&lt;&gt;0,A127+1,A127)</f>
        <v>85</v>
      </c>
      <c r="B128" s="2" t="str">
        <f>PHI!A$7</f>
        <v>Tank Bigsby</v>
      </c>
      <c r="C128" s="2" t="s">
        <v>76</v>
      </c>
      <c r="D128" s="2">
        <f>PHI!C$8</f>
        <v>10</v>
      </c>
      <c r="E128" s="3">
        <f>PHI!I$7</f>
        <v>97.007150240000016</v>
      </c>
      <c r="F128" s="3">
        <f>PHI!J$7</f>
        <v>463.69417814720009</v>
      </c>
      <c r="G128" s="3">
        <f>PHI!K$7</f>
        <v>3.4927472680063905</v>
      </c>
      <c r="H128" s="3">
        <f>PHI!L$7</f>
        <v>5.2834504799999999</v>
      </c>
      <c r="I128" s="3">
        <f>PHI!M$7</f>
        <v>3.5113420523377772</v>
      </c>
      <c r="J128" s="3">
        <f>PHI!N$7</f>
        <v>24.369230447271107</v>
      </c>
      <c r="K128" s="3">
        <f>PHI!O$7</f>
        <v>0.10534026157013331</v>
      </c>
      <c r="L128" s="3">
        <f t="shared" si="45"/>
        <v>70.394866036906265</v>
      </c>
      <c r="M128" s="3">
        <f t="shared" si="46"/>
        <v>72.150537063075149</v>
      </c>
      <c r="N128" s="3">
        <f t="shared" si="47"/>
        <v>73.906208089244046</v>
      </c>
      <c r="O1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72.150537063075149</v>
      </c>
      <c r="P128" s="14">
        <v>0</v>
      </c>
    </row>
    <row r="129" spans="1:16" x14ac:dyDescent="0.25">
      <c r="A129" s="2">
        <f>IF(TableRBMaster[[#This Row],[Player]]&lt;&gt;0,A128+1,A128)</f>
        <v>86</v>
      </c>
      <c r="B129" s="2" t="str">
        <f>PHI!A$8</f>
        <v>Will Shipley</v>
      </c>
      <c r="C129" s="2" t="s">
        <v>76</v>
      </c>
      <c r="D129" s="2">
        <f>PHI!C$7</f>
        <v>10</v>
      </c>
      <c r="E129" s="3">
        <f>PHI!I$8</f>
        <v>13.325158000000004</v>
      </c>
      <c r="F129" s="3">
        <f>PHI!J$8</f>
        <v>53.567135160000007</v>
      </c>
      <c r="G129" s="3">
        <f>PHI!K$8</f>
        <v>0.19987737000000005</v>
      </c>
      <c r="H129" s="3">
        <f>PHI!L$8</f>
        <v>7.2047051999999994</v>
      </c>
      <c r="I129" s="3">
        <f>PHI!M$8</f>
        <v>5.3675053739999994</v>
      </c>
      <c r="J129" s="3">
        <f>PHI!N$8</f>
        <v>36.499036543199992</v>
      </c>
      <c r="K129" s="3">
        <f>PHI!O$8</f>
        <v>0.12345262360199999</v>
      </c>
      <c r="L129" s="3">
        <f t="shared" si="45"/>
        <v>10.946597131932</v>
      </c>
      <c r="M129" s="3">
        <f t="shared" si="46"/>
        <v>13.630349818932</v>
      </c>
      <c r="N129" s="3">
        <f t="shared" si="47"/>
        <v>16.314102505931999</v>
      </c>
      <c r="O1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13.630349818932</v>
      </c>
      <c r="P129" s="14">
        <v>0</v>
      </c>
    </row>
    <row r="130" spans="1:16" x14ac:dyDescent="0.25">
      <c r="A130" s="2">
        <f>IF(TableRBMaster[[#This Row],[Player]]&lt;&gt;0,A129+1,A129)</f>
        <v>86</v>
      </c>
      <c r="B130" s="2">
        <f>PHI!A$9</f>
        <v>0</v>
      </c>
      <c r="C130" s="2" t="s">
        <v>76</v>
      </c>
      <c r="D130" s="2">
        <f>PHI!C$9</f>
        <v>10</v>
      </c>
      <c r="E130" s="3">
        <f>PHI!I$9</f>
        <v>0</v>
      </c>
      <c r="F130" s="3">
        <f>PHI!J$9</f>
        <v>0</v>
      </c>
      <c r="G130" s="3">
        <f>PHI!K$9</f>
        <v>0</v>
      </c>
      <c r="H130" s="3">
        <f>PHI!L$9</f>
        <v>0</v>
      </c>
      <c r="I130" s="3">
        <f>PHI!M$9</f>
        <v>0</v>
      </c>
      <c r="J130" s="3">
        <f>PHI!N$9</f>
        <v>0</v>
      </c>
      <c r="K130" s="3">
        <f>PHI!O$9</f>
        <v>0</v>
      </c>
      <c r="L130" s="3">
        <f t="shared" si="45"/>
        <v>0</v>
      </c>
      <c r="M130" s="3">
        <f t="shared" si="46"/>
        <v>0</v>
      </c>
      <c r="N130" s="3">
        <f t="shared" si="47"/>
        <v>0</v>
      </c>
      <c r="O1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0" s="14">
        <v>0</v>
      </c>
    </row>
    <row r="131" spans="1:16" x14ac:dyDescent="0.25">
      <c r="A131" s="2">
        <f>IF(TableRBMaster[[#This Row],[Player]]&lt;&gt;0,A130+1,A130)</f>
        <v>86</v>
      </c>
      <c r="B131" s="2">
        <f>PHI!A$10</f>
        <v>0</v>
      </c>
      <c r="C131" s="2" t="s">
        <v>76</v>
      </c>
      <c r="D131" s="2">
        <f>PHI!C$10</f>
        <v>10</v>
      </c>
      <c r="E131" s="3">
        <f>PHI!I$10</f>
        <v>0</v>
      </c>
      <c r="F131" s="3">
        <f>PHI!J$10</f>
        <v>0</v>
      </c>
      <c r="G131" s="3">
        <f>PHI!K$10</f>
        <v>0</v>
      </c>
      <c r="H131" s="3">
        <f>PHI!L$10</f>
        <v>0</v>
      </c>
      <c r="I131" s="3">
        <f>PHI!M$10</f>
        <v>0</v>
      </c>
      <c r="J131" s="3">
        <f>PHI!N$10</f>
        <v>0</v>
      </c>
      <c r="K131" s="3">
        <f>PHI!O$10</f>
        <v>0</v>
      </c>
      <c r="L131" s="3">
        <f t="shared" si="45"/>
        <v>0</v>
      </c>
      <c r="M131" s="3">
        <f t="shared" si="46"/>
        <v>0</v>
      </c>
      <c r="N131" s="3">
        <f t="shared" si="47"/>
        <v>0</v>
      </c>
      <c r="O1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1" s="14">
        <v>0</v>
      </c>
    </row>
    <row r="132" spans="1:16" x14ac:dyDescent="0.25">
      <c r="A132" s="2">
        <f>IF(TableRBMaster[[#This Row],[Player]]&lt;&gt;0,A131+1,A131)</f>
        <v>87</v>
      </c>
      <c r="B132" s="2" t="str">
        <f>PIT!A$6</f>
        <v>Rico Dowdle</v>
      </c>
      <c r="C132" s="2" t="s">
        <v>77</v>
      </c>
      <c r="D132" s="2">
        <f>PIT!C$6</f>
        <v>9</v>
      </c>
      <c r="E132" s="3">
        <f>PIT!I$6</f>
        <v>212.88128399999997</v>
      </c>
      <c r="F132" s="3">
        <f>PIT!J$6</f>
        <v>926.03358539999977</v>
      </c>
      <c r="G132" s="3">
        <f>PIT!K$6</f>
        <v>6.3864385199999987</v>
      </c>
      <c r="H132" s="3">
        <f>PIT!L$6</f>
        <v>32.944464000000004</v>
      </c>
      <c r="I132" s="3">
        <f>PIT!M$6</f>
        <v>26.388515664000003</v>
      </c>
      <c r="J132" s="3">
        <f>PIT!N$6</f>
        <v>196.51585093837056</v>
      </c>
      <c r="K132" s="3">
        <f>PIT!O$6</f>
        <v>0.79952816634499868</v>
      </c>
      <c r="L132" s="3">
        <f t="shared" si="45"/>
        <v>155.37074375190701</v>
      </c>
      <c r="M132" s="3">
        <f t="shared" si="46"/>
        <v>168.56500158390702</v>
      </c>
      <c r="N132" s="3">
        <f t="shared" si="47"/>
        <v>181.75925941590702</v>
      </c>
      <c r="O1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168.56500158390702</v>
      </c>
      <c r="P132" s="14">
        <v>37.568835049776624</v>
      </c>
    </row>
    <row r="133" spans="1:16" x14ac:dyDescent="0.25">
      <c r="A133" s="2">
        <f>IF(TableRBMaster[[#This Row],[Player]]&lt;&gt;0,A132+1,A132)</f>
        <v>88</v>
      </c>
      <c r="B133" s="2" t="str">
        <f>PIT!A$7</f>
        <v>Jaylen Warren</v>
      </c>
      <c r="C133" s="2" t="s">
        <v>77</v>
      </c>
      <c r="D133" s="2">
        <f>PIT!C$8</f>
        <v>9</v>
      </c>
      <c r="E133" s="3">
        <f>PIT!I$7</f>
        <v>182.08713599999996</v>
      </c>
      <c r="F133" s="3">
        <f>PIT!J$7</f>
        <v>803.00426975999983</v>
      </c>
      <c r="G133" s="3">
        <f>PIT!K$7</f>
        <v>4.7342655359999988</v>
      </c>
      <c r="H133" s="3">
        <f>PIT!L$7</f>
        <v>49.984704000000001</v>
      </c>
      <c r="I133" s="3">
        <f>PIT!M$7</f>
        <v>39.822704675887856</v>
      </c>
      <c r="J133" s="3">
        <f>PIT!N$7</f>
        <v>294.97266269786917</v>
      </c>
      <c r="K133" s="3">
        <f>PIT!O$7</f>
        <v>1.225793114915888</v>
      </c>
      <c r="L133" s="3">
        <f t="shared" si="45"/>
        <v>145.55804515128222</v>
      </c>
      <c r="M133" s="3">
        <f t="shared" si="46"/>
        <v>165.46939748922614</v>
      </c>
      <c r="N133" s="3">
        <f t="shared" si="47"/>
        <v>185.38074982717006</v>
      </c>
      <c r="O1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165.46939748922614</v>
      </c>
      <c r="P133" s="14">
        <v>0</v>
      </c>
    </row>
    <row r="134" spans="1:16" x14ac:dyDescent="0.25">
      <c r="A134" s="2">
        <f>IF(TableRBMaster[[#This Row],[Player]]&lt;&gt;0,A133+1,A133)</f>
        <v>89</v>
      </c>
      <c r="B134" s="2" t="str">
        <f>PIT!A$8</f>
        <v>Kaleb Johnson</v>
      </c>
      <c r="C134" s="2" t="s">
        <v>77</v>
      </c>
      <c r="D134" s="2">
        <f>PIT!C$7</f>
        <v>9</v>
      </c>
      <c r="E134" s="3">
        <f>PIT!I$8</f>
        <v>15.173927999999998</v>
      </c>
      <c r="F134" s="3">
        <f>PIT!J$8</f>
        <v>54.626140799999995</v>
      </c>
      <c r="G134" s="3">
        <f>PIT!K$8</f>
        <v>0.30347855999999995</v>
      </c>
      <c r="H134" s="3">
        <f>PIT!L$8</f>
        <v>2.8400400000000001</v>
      </c>
      <c r="I134" s="3">
        <f>PIT!M$8</f>
        <v>2.1300300000000001</v>
      </c>
      <c r="J134" s="3">
        <f>PIT!N$8</f>
        <v>12.797088531439316</v>
      </c>
      <c r="K134" s="3">
        <f>PIT!O$8</f>
        <v>4.2600600000000002E-2</v>
      </c>
      <c r="L134" s="3">
        <f t="shared" si="45"/>
        <v>8.8187978931439321</v>
      </c>
      <c r="M134" s="3">
        <f t="shared" si="46"/>
        <v>9.8838128931439329</v>
      </c>
      <c r="N134" s="3">
        <f t="shared" si="47"/>
        <v>10.948827893143932</v>
      </c>
      <c r="O1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9.8838128931439329</v>
      </c>
      <c r="P134" s="14">
        <v>0</v>
      </c>
    </row>
    <row r="135" spans="1:16" x14ac:dyDescent="0.25">
      <c r="A135" s="2">
        <f>IF(TableRBMaster[[#This Row],[Player]]&lt;&gt;0,A134+1,A134)</f>
        <v>90</v>
      </c>
      <c r="B135" s="2" t="str">
        <f>PIT!A$9</f>
        <v>Eli Heidenreich</v>
      </c>
      <c r="C135" s="2" t="s">
        <v>77</v>
      </c>
      <c r="D135" s="2">
        <f>PIT!C$9</f>
        <v>9</v>
      </c>
      <c r="E135" s="3">
        <f>PIT!I$9</f>
        <v>11.603591999999997</v>
      </c>
      <c r="F135" s="3">
        <f>PIT!J$9</f>
        <v>52.56427175999999</v>
      </c>
      <c r="G135" s="3">
        <f>PIT!K$9</f>
        <v>0.32490057599999994</v>
      </c>
      <c r="H135" s="3">
        <f>PIT!L$9</f>
        <v>8.5201200000000004</v>
      </c>
      <c r="I135" s="3">
        <f>PIT!M$9</f>
        <v>7.1143001999999997</v>
      </c>
      <c r="J135" s="3">
        <f>PIT!N$9</f>
        <v>46.242951300000001</v>
      </c>
      <c r="K135" s="3">
        <f>PIT!O$9</f>
        <v>0.52645821479999999</v>
      </c>
      <c r="L135" s="3">
        <f t="shared" si="45"/>
        <v>14.988875050799997</v>
      </c>
      <c r="M135" s="3">
        <f t="shared" si="46"/>
        <v>18.546025150799998</v>
      </c>
      <c r="N135" s="3">
        <f t="shared" si="47"/>
        <v>22.103175250799996</v>
      </c>
      <c r="O1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18.546025150799998</v>
      </c>
      <c r="P135" s="14">
        <v>0</v>
      </c>
    </row>
    <row r="136" spans="1:16" x14ac:dyDescent="0.25">
      <c r="A136" s="2">
        <f>IF(TableRBMaster[[#This Row],[Player]]&lt;&gt;0,A135+1,A135)</f>
        <v>90</v>
      </c>
      <c r="B136" s="2">
        <f>PIT!A$10</f>
        <v>0</v>
      </c>
      <c r="C136" s="2" t="s">
        <v>77</v>
      </c>
      <c r="D136" s="2">
        <f>PIT!C$10</f>
        <v>9</v>
      </c>
      <c r="E136" s="3">
        <f>PIT!I$10</f>
        <v>0</v>
      </c>
      <c r="F136" s="3">
        <f>PIT!J$10</f>
        <v>0</v>
      </c>
      <c r="G136" s="3">
        <f>PIT!K$10</f>
        <v>0</v>
      </c>
      <c r="H136" s="3">
        <f>PIT!L$10</f>
        <v>0</v>
      </c>
      <c r="I136" s="3">
        <f>PIT!M$10</f>
        <v>0</v>
      </c>
      <c r="J136" s="3">
        <f>PIT!N$10</f>
        <v>0</v>
      </c>
      <c r="K136" s="3">
        <f>PIT!O$10</f>
        <v>0</v>
      </c>
      <c r="L136" s="3">
        <f t="shared" si="45"/>
        <v>0</v>
      </c>
      <c r="M136" s="3">
        <f t="shared" si="46"/>
        <v>0</v>
      </c>
      <c r="N136" s="3">
        <f t="shared" si="47"/>
        <v>0</v>
      </c>
      <c r="O1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6" s="14">
        <v>0</v>
      </c>
    </row>
    <row r="137" spans="1:16" x14ac:dyDescent="0.25">
      <c r="A137" s="2">
        <f>IF(TableRBMaster[[#This Row],[Player]]&lt;&gt;0,A136+1,A136)</f>
        <v>91</v>
      </c>
      <c r="B137" s="2" t="str">
        <f>SEA!A$6</f>
        <v>Jadarian Price</v>
      </c>
      <c r="C137" s="2" t="s">
        <v>78</v>
      </c>
      <c r="D137" s="2">
        <f>SEA!C$6</f>
        <v>11</v>
      </c>
      <c r="E137" s="3">
        <f>SEA!I$6</f>
        <v>235.31065086231681</v>
      </c>
      <c r="F137" s="3">
        <f>SEA!J$6</f>
        <v>990.65784013035375</v>
      </c>
      <c r="G137" s="3">
        <f>SEA!K$6</f>
        <v>8.2358727801810883</v>
      </c>
      <c r="H137" s="3">
        <f>SEA!L$6</f>
        <v>29.778918959999999</v>
      </c>
      <c r="I137" s="3">
        <f>SEA!M$6</f>
        <v>21.708831921839998</v>
      </c>
      <c r="J137" s="3">
        <f>SEA!N$6</f>
        <v>173.88774369393838</v>
      </c>
      <c r="K137" s="3">
        <f>SEA!O$6</f>
        <v>0.93347977263911985</v>
      </c>
      <c r="L137" s="3">
        <f t="shared" si="45"/>
        <v>171.47067369935047</v>
      </c>
      <c r="M137" s="3">
        <f t="shared" si="46"/>
        <v>182.32508966027046</v>
      </c>
      <c r="N137" s="3">
        <f t="shared" si="47"/>
        <v>193.17950562119046</v>
      </c>
      <c r="O1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182.32508966027049</v>
      </c>
      <c r="P137" s="14">
        <v>30.121228835514525</v>
      </c>
    </row>
    <row r="138" spans="1:16" x14ac:dyDescent="0.25">
      <c r="A138" s="2">
        <f>IF(TableRBMaster[[#This Row],[Player]]&lt;&gt;0,A137+1,A137)</f>
        <v>92</v>
      </c>
      <c r="B138" s="2" t="str">
        <f>SEA!A$7</f>
        <v>Emanuel Wilson</v>
      </c>
      <c r="C138" s="2" t="s">
        <v>78</v>
      </c>
      <c r="D138" s="2">
        <f>SEA!C$8</f>
        <v>11</v>
      </c>
      <c r="E138" s="3">
        <f>SEA!I$7</f>
        <v>130.78117309589214</v>
      </c>
      <c r="F138" s="3">
        <f>SEA!J$7</f>
        <v>564.97466777425404</v>
      </c>
      <c r="G138" s="3">
        <f>SEA!K$7</f>
        <v>4.7081222314521165</v>
      </c>
      <c r="H138" s="3">
        <f>SEA!L$7</f>
        <v>23.72218968</v>
      </c>
      <c r="I138" s="3">
        <f>SEA!M$7</f>
        <v>18.266086053599999</v>
      </c>
      <c r="J138" s="3">
        <f>SEA!N$7</f>
        <v>148.68594047630401</v>
      </c>
      <c r="K138" s="3">
        <f>SEA!O$7</f>
        <v>0.8037077863583999</v>
      </c>
      <c r="L138" s="3">
        <f t="shared" si="45"/>
        <v>104.43704093191889</v>
      </c>
      <c r="M138" s="3">
        <f t="shared" si="46"/>
        <v>113.57008395871888</v>
      </c>
      <c r="N138" s="3">
        <f t="shared" si="47"/>
        <v>122.70312698551888</v>
      </c>
      <c r="O1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113.57008395871891</v>
      </c>
      <c r="P138" s="14">
        <v>1.3563751124543861</v>
      </c>
    </row>
    <row r="139" spans="1:16" x14ac:dyDescent="0.25">
      <c r="A139" s="2">
        <f>IF(TableRBMaster[[#This Row],[Player]]&lt;&gt;0,A138+1,A138)</f>
        <v>93</v>
      </c>
      <c r="B139" s="2" t="str">
        <f>SEA!A$8</f>
        <v>Zach Charbonnet</v>
      </c>
      <c r="C139" s="2" t="s">
        <v>78</v>
      </c>
      <c r="D139" s="2">
        <f>SEA!C$7</f>
        <v>11</v>
      </c>
      <c r="E139" s="3">
        <f>SEA!I$8</f>
        <v>45.343837387261864</v>
      </c>
      <c r="F139" s="3">
        <f>SEA!J$8</f>
        <v>187.37888790166693</v>
      </c>
      <c r="G139" s="3">
        <f>SEA!K$8</f>
        <v>1.7230658207159508</v>
      </c>
      <c r="H139" s="3">
        <f>SEA!L$8</f>
        <v>7.5709115999999996</v>
      </c>
      <c r="I139" s="3">
        <f>SEA!M$8</f>
        <v>5.6176164071999999</v>
      </c>
      <c r="J139" s="3">
        <f>SEA!N$8</f>
        <v>44.835138104922024</v>
      </c>
      <c r="K139" s="3">
        <f>SEA!O$8</f>
        <v>0.18538134143760002</v>
      </c>
      <c r="L139" s="3">
        <f t="shared" si="45"/>
        <v>34.672085573580205</v>
      </c>
      <c r="M139" s="3">
        <f t="shared" si="46"/>
        <v>37.480893777180206</v>
      </c>
      <c r="N139" s="3">
        <f t="shared" si="47"/>
        <v>40.289701980780208</v>
      </c>
      <c r="O1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37.480893777180206</v>
      </c>
      <c r="P139" s="14">
        <v>0</v>
      </c>
    </row>
    <row r="140" spans="1:16" x14ac:dyDescent="0.25">
      <c r="A140" s="2">
        <f>IF(TableRBMaster[[#This Row],[Player]]&lt;&gt;0,A139+1,A139)</f>
        <v>94</v>
      </c>
      <c r="B140" s="2" t="str">
        <f>SEA!A$9</f>
        <v>George Holani</v>
      </c>
      <c r="C140" s="2" t="s">
        <v>78</v>
      </c>
      <c r="D140" s="2">
        <f>SEA!C$9</f>
        <v>11</v>
      </c>
      <c r="E140" s="3">
        <f>SEA!I$9</f>
        <v>11.932588786121544</v>
      </c>
      <c r="F140" s="3">
        <f>SEA!J$9</f>
        <v>45.450569134410458</v>
      </c>
      <c r="G140" s="3">
        <f>SEA!K$9</f>
        <v>0.39377542994201098</v>
      </c>
      <c r="H140" s="3">
        <f>SEA!L$9</f>
        <v>5.0472744</v>
      </c>
      <c r="I140" s="3">
        <f>SEA!M$9</f>
        <v>3.684510312</v>
      </c>
      <c r="J140" s="3">
        <f>SEA!N$9</f>
        <v>28.29703919616</v>
      </c>
      <c r="K140" s="3">
        <f>SEA!O$9</f>
        <v>9.21127578E-2</v>
      </c>
      <c r="L140" s="3">
        <f t="shared" si="45"/>
        <v>10.290089959509112</v>
      </c>
      <c r="M140" s="3">
        <f t="shared" si="46"/>
        <v>12.132345115509112</v>
      </c>
      <c r="N140" s="3">
        <f t="shared" si="47"/>
        <v>13.974600271509113</v>
      </c>
      <c r="O1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12.132345115509112</v>
      </c>
      <c r="P140" s="14">
        <v>0</v>
      </c>
    </row>
    <row r="141" spans="1:16" x14ac:dyDescent="0.25">
      <c r="A141" s="2">
        <f>IF(TableRBMaster[[#This Row],[Player]]&lt;&gt;0,A140+1,A140)</f>
        <v>94</v>
      </c>
      <c r="B141" s="2">
        <f>SEA!A$10</f>
        <v>0</v>
      </c>
      <c r="C141" s="2" t="s">
        <v>78</v>
      </c>
      <c r="D141" s="2">
        <f>SEA!C$10</f>
        <v>11</v>
      </c>
      <c r="E141" s="3">
        <f>SEA!I$10</f>
        <v>0</v>
      </c>
      <c r="F141" s="3">
        <f>SEA!J$10</f>
        <v>0</v>
      </c>
      <c r="G141" s="3">
        <f>SEA!K$10</f>
        <v>0</v>
      </c>
      <c r="H141" s="3">
        <f>SEA!L$10</f>
        <v>0</v>
      </c>
      <c r="I141" s="3">
        <f>SEA!M$10</f>
        <v>0</v>
      </c>
      <c r="J141" s="3">
        <f>SEA!N$10</f>
        <v>0</v>
      </c>
      <c r="K141" s="3">
        <f>SEA!O$10</f>
        <v>0</v>
      </c>
      <c r="L141" s="3">
        <f t="shared" ref="L141:L161" si="48">(F141/10)+(G141*6)+(J141/10)+(K141*6)</f>
        <v>0</v>
      </c>
      <c r="M141" s="3">
        <f t="shared" ref="M141:M161" si="49">L141+(I141*0.5)</f>
        <v>0</v>
      </c>
      <c r="N141" s="3">
        <f t="shared" ref="N141:N161" si="50">L141+I141</f>
        <v>0</v>
      </c>
      <c r="O1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1" s="14">
        <v>0</v>
      </c>
    </row>
    <row r="142" spans="1:16" x14ac:dyDescent="0.25">
      <c r="A142" s="2">
        <f>IF(TableRBMaster[[#This Row],[Player]]&lt;&gt;0,A141+1,A141)</f>
        <v>95</v>
      </c>
      <c r="B142" s="2" t="str">
        <f>SF!A$6</f>
        <v>Christian McCaffrey</v>
      </c>
      <c r="C142" s="2" t="s">
        <v>79</v>
      </c>
      <c r="D142" s="2">
        <f>SF!C$6</f>
        <v>8</v>
      </c>
      <c r="E142" s="3">
        <f>SF!I$6</f>
        <v>254.66866432</v>
      </c>
      <c r="F142" s="3">
        <f>SF!J$6</f>
        <v>1049.2348969984</v>
      </c>
      <c r="G142" s="3">
        <f>SF!K$6</f>
        <v>8.9812697224945435</v>
      </c>
      <c r="H142" s="3">
        <f>SF!L$6</f>
        <v>100.92519808</v>
      </c>
      <c r="I142" s="3">
        <f>SF!M$6</f>
        <v>82.85958762368</v>
      </c>
      <c r="J142" s="3">
        <f>SF!N$6</f>
        <v>752.20054293276496</v>
      </c>
      <c r="K142" s="3">
        <f>SF!O$6</f>
        <v>5.3858731955392001</v>
      </c>
      <c r="L142" s="3">
        <f t="shared" si="48"/>
        <v>266.34640150131895</v>
      </c>
      <c r="M142" s="3">
        <f t="shared" si="49"/>
        <v>307.77619531315895</v>
      </c>
      <c r="N142" s="3">
        <f t="shared" si="50"/>
        <v>349.20598912499895</v>
      </c>
      <c r="O1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307.77619531315895</v>
      </c>
      <c r="P142" s="14">
        <v>21.533108930351833</v>
      </c>
    </row>
    <row r="143" spans="1:16" x14ac:dyDescent="0.25">
      <c r="A143" s="2">
        <f>IF(TableRBMaster[[#This Row],[Player]]&lt;&gt;0,A142+1,A142)</f>
        <v>96</v>
      </c>
      <c r="B143" s="2" t="str">
        <f>SF!A$7</f>
        <v>Kaelon Black</v>
      </c>
      <c r="C143" s="2" t="s">
        <v>79</v>
      </c>
      <c r="D143" s="2">
        <f>SF!C$8</f>
        <v>8</v>
      </c>
      <c r="E143" s="3">
        <f>SF!I$7</f>
        <v>67.384956799999983</v>
      </c>
      <c r="F143" s="3">
        <f>SF!J$7</f>
        <v>274.25677417599996</v>
      </c>
      <c r="G143" s="3">
        <f>SF!K$7</f>
        <v>1.8222914794566203</v>
      </c>
      <c r="H143" s="3">
        <f>SF!L$7</f>
        <v>5.3683616000000001</v>
      </c>
      <c r="I143" s="3">
        <f>SF!M$7</f>
        <v>3.9618508607999998</v>
      </c>
      <c r="J143" s="3">
        <f>SF!N$7</f>
        <v>27.970667077247999</v>
      </c>
      <c r="K143" s="3">
        <f>SF!O$7</f>
        <v>0.10531314530767501</v>
      </c>
      <c r="L143" s="3">
        <f t="shared" si="48"/>
        <v>41.78837187391057</v>
      </c>
      <c r="M143" s="3">
        <f t="shared" si="49"/>
        <v>43.76929730431057</v>
      </c>
      <c r="N143" s="3">
        <f t="shared" si="50"/>
        <v>45.750222734710569</v>
      </c>
      <c r="O1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43.76929730431057</v>
      </c>
      <c r="P143" s="14">
        <v>6.803798802020828</v>
      </c>
    </row>
    <row r="144" spans="1:16" x14ac:dyDescent="0.25">
      <c r="A144" s="2">
        <f>IF(TableRBMaster[[#This Row],[Player]]&lt;&gt;0,A143+1,A143)</f>
        <v>97</v>
      </c>
      <c r="B144" s="2" t="str">
        <f>SF!A$8</f>
        <v>Jordan James</v>
      </c>
      <c r="C144" s="2" t="s">
        <v>79</v>
      </c>
      <c r="D144" s="2">
        <f>SF!C$7</f>
        <v>8</v>
      </c>
      <c r="E144" s="3">
        <f>SF!I$8</f>
        <v>36.713183360000002</v>
      </c>
      <c r="F144" s="3">
        <f>SF!J$8</f>
        <v>148.3212607744</v>
      </c>
      <c r="G144" s="3">
        <f>SF!K$8</f>
        <v>1.0408231880525365</v>
      </c>
      <c r="H144" s="3">
        <f>SF!L$8</f>
        <v>13.420904000000002</v>
      </c>
      <c r="I144" s="3">
        <f>SF!M$8</f>
        <v>10.683039584000003</v>
      </c>
      <c r="J144" s="3">
        <f>SF!N$8</f>
        <v>76.917885004800027</v>
      </c>
      <c r="K144" s="3">
        <f>SF!O$8</f>
        <v>0.3375294912927938</v>
      </c>
      <c r="L144" s="3">
        <f t="shared" si="48"/>
        <v>30.794030653991982</v>
      </c>
      <c r="M144" s="3">
        <f t="shared" si="49"/>
        <v>36.135550445991981</v>
      </c>
      <c r="N144" s="3">
        <f t="shared" si="50"/>
        <v>41.477070237991981</v>
      </c>
      <c r="O1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36.135550445991981</v>
      </c>
      <c r="P144" s="14">
        <v>0</v>
      </c>
    </row>
    <row r="145" spans="1:16" x14ac:dyDescent="0.25">
      <c r="A145" s="2">
        <f>IF(TableRBMaster[[#This Row],[Player]]&lt;&gt;0,A144+1,A144)</f>
        <v>98</v>
      </c>
      <c r="B145" s="2" t="str">
        <f>SF!A$9</f>
        <v>Isaac Guerendo</v>
      </c>
      <c r="C145" s="2" t="s">
        <v>79</v>
      </c>
      <c r="D145" s="2">
        <f>SF!C$9</f>
        <v>8</v>
      </c>
      <c r="E145" s="3">
        <f>SF!I$9</f>
        <v>32.530668800000001</v>
      </c>
      <c r="F145" s="3">
        <f>SF!J$9</f>
        <v>134.35166214399999</v>
      </c>
      <c r="G145" s="3">
        <f>SF!K$9</f>
        <v>0.97592006399999998</v>
      </c>
      <c r="H145" s="3">
        <f>SF!L$9</f>
        <v>4.2946892800000001</v>
      </c>
      <c r="I145" s="3">
        <f>SF!M$9</f>
        <v>3.0921762816</v>
      </c>
      <c r="J145" s="3">
        <f>SF!N$9</f>
        <v>21.923529836543999</v>
      </c>
      <c r="K145" s="3">
        <f>SF!O$9</f>
        <v>8.2634320726884022E-2</v>
      </c>
      <c r="L145" s="3">
        <f t="shared" si="48"/>
        <v>21.978845506415702</v>
      </c>
      <c r="M145" s="3">
        <f t="shared" si="49"/>
        <v>23.5249336472157</v>
      </c>
      <c r="N145" s="3">
        <f t="shared" si="50"/>
        <v>25.071021788015702</v>
      </c>
      <c r="O1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23.5249336472157</v>
      </c>
      <c r="P145" s="14">
        <v>0</v>
      </c>
    </row>
    <row r="146" spans="1:16" x14ac:dyDescent="0.25">
      <c r="A146" s="2">
        <f>IF(TableRBMaster[[#This Row],[Player]]&lt;&gt;0,A145+1,A145)</f>
        <v>98</v>
      </c>
      <c r="B146" s="2">
        <f>SF!A$10</f>
        <v>0</v>
      </c>
      <c r="C146" s="2" t="s">
        <v>79</v>
      </c>
      <c r="D146" s="2">
        <f>SF!C$10</f>
        <v>8</v>
      </c>
      <c r="E146" s="3">
        <f>SF!I$10</f>
        <v>0</v>
      </c>
      <c r="F146" s="3">
        <f>SF!J$10</f>
        <v>0</v>
      </c>
      <c r="G146" s="3">
        <f>SF!K$10</f>
        <v>0</v>
      </c>
      <c r="H146" s="3">
        <f>SF!L$10</f>
        <v>0</v>
      </c>
      <c r="I146" s="3">
        <f>SF!M$10</f>
        <v>0</v>
      </c>
      <c r="J146" s="3">
        <f>SF!N$10</f>
        <v>0</v>
      </c>
      <c r="K146" s="3">
        <f>SF!O$10</f>
        <v>0</v>
      </c>
      <c r="L146" s="3">
        <f t="shared" si="48"/>
        <v>0</v>
      </c>
      <c r="M146" s="3">
        <f t="shared" si="49"/>
        <v>0</v>
      </c>
      <c r="N146" s="3">
        <f t="shared" si="50"/>
        <v>0</v>
      </c>
      <c r="O1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6" s="14">
        <v>0</v>
      </c>
    </row>
    <row r="147" spans="1:16" x14ac:dyDescent="0.25">
      <c r="A147" s="2">
        <f>IF(TableRBMaster[[#This Row],[Player]]&lt;&gt;0,A146+1,A146)</f>
        <v>99</v>
      </c>
      <c r="B147" s="2" t="str">
        <f>TB!A$6</f>
        <v>Bucky Irving</v>
      </c>
      <c r="C147" s="2" t="s">
        <v>80</v>
      </c>
      <c r="D147" s="2">
        <f>TB!C$6</f>
        <v>10</v>
      </c>
      <c r="E147" s="3">
        <f>TB!I$6</f>
        <v>168.58838765999997</v>
      </c>
      <c r="F147" s="3">
        <f>TB!J$6</f>
        <v>676.03943451659984</v>
      </c>
      <c r="G147" s="3">
        <f>TB!K$6</f>
        <v>3.877532916179999</v>
      </c>
      <c r="H147" s="3">
        <f>TB!L$6</f>
        <v>53.527430459999977</v>
      </c>
      <c r="I147" s="3">
        <f>TB!M$6</f>
        <v>46.732387859187668</v>
      </c>
      <c r="J147" s="3">
        <f>TB!N$6</f>
        <v>393.01938189576828</v>
      </c>
      <c r="K147" s="3">
        <f>TB!O$6</f>
        <v>2.9441404351288232</v>
      </c>
      <c r="L147" s="3">
        <f t="shared" si="48"/>
        <v>147.83592174908978</v>
      </c>
      <c r="M147" s="3">
        <f t="shared" si="49"/>
        <v>171.20211567868361</v>
      </c>
      <c r="N147" s="3">
        <f t="shared" si="50"/>
        <v>194.56830960827745</v>
      </c>
      <c r="O1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171.20211567868358</v>
      </c>
      <c r="P147" s="14">
        <v>14.38777229796065</v>
      </c>
    </row>
    <row r="148" spans="1:16" x14ac:dyDescent="0.25">
      <c r="A148" s="2">
        <f>IF(TableRBMaster[[#This Row],[Player]]&lt;&gt;0,A147+1,A147)</f>
        <v>100</v>
      </c>
      <c r="B148" s="2" t="str">
        <f>TB!A$7</f>
        <v>Kenneth Gainwell</v>
      </c>
      <c r="C148" s="2" t="s">
        <v>80</v>
      </c>
      <c r="D148" s="2">
        <f>TB!C$8</f>
        <v>10</v>
      </c>
      <c r="E148" s="3">
        <f>TB!I$7</f>
        <v>175.09041913999999</v>
      </c>
      <c r="F148" s="3">
        <f>TB!J$7</f>
        <v>754.6397064933999</v>
      </c>
      <c r="G148" s="3">
        <f>TB!K$7</f>
        <v>5.7779838316200003</v>
      </c>
      <c r="H148" s="3">
        <f>TB!L$7</f>
        <v>57.390234719999974</v>
      </c>
      <c r="I148" s="3">
        <f>TB!M$7</f>
        <v>48.93924133279998</v>
      </c>
      <c r="J148" s="3">
        <f>TB!N$7</f>
        <v>354.80949966279985</v>
      </c>
      <c r="K148" s="3">
        <f>TB!O$7</f>
        <v>1.9575696533119993</v>
      </c>
      <c r="L148" s="3">
        <f t="shared" si="48"/>
        <v>157.35824152521195</v>
      </c>
      <c r="M148" s="3">
        <f t="shared" si="49"/>
        <v>181.82786219161193</v>
      </c>
      <c r="N148" s="3">
        <f t="shared" si="50"/>
        <v>206.29748285801193</v>
      </c>
      <c r="O1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181.82786219161196</v>
      </c>
      <c r="P148" s="14">
        <v>8.5722927714506358</v>
      </c>
    </row>
    <row r="149" spans="1:16" x14ac:dyDescent="0.25">
      <c r="A149" s="2">
        <f>IF(TableRBMaster[[#This Row],[Player]]&lt;&gt;0,A148+1,A148)</f>
        <v>101</v>
      </c>
      <c r="B149" s="2" t="str">
        <f>TB!A$8</f>
        <v>Sean Tucker</v>
      </c>
      <c r="C149" s="2" t="s">
        <v>80</v>
      </c>
      <c r="D149" s="2">
        <f>TB!C$7</f>
        <v>10</v>
      </c>
      <c r="E149" s="3">
        <f>TB!I$8</f>
        <v>62.233729879999984</v>
      </c>
      <c r="F149" s="3">
        <f>TB!J$8</f>
        <v>247.06790762359995</v>
      </c>
      <c r="G149" s="3">
        <f>TB!K$8</f>
        <v>2.1159468159199997</v>
      </c>
      <c r="H149" s="3">
        <f>TB!L$8</f>
        <v>1.6554875399999991</v>
      </c>
      <c r="I149" s="3">
        <f>TB!M$8</f>
        <v>1.2416156549999993</v>
      </c>
      <c r="J149" s="3">
        <f>TB!N$8</f>
        <v>8.8030549939499938</v>
      </c>
      <c r="K149" s="3">
        <f>TB!O$8</f>
        <v>4.7181394889999971E-2</v>
      </c>
      <c r="L149" s="3">
        <f t="shared" si="48"/>
        <v>38.565865526614992</v>
      </c>
      <c r="M149" s="3">
        <f t="shared" si="49"/>
        <v>39.186673354114994</v>
      </c>
      <c r="N149" s="3">
        <f t="shared" si="50"/>
        <v>39.807481181614989</v>
      </c>
      <c r="O1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39.186673354115001</v>
      </c>
      <c r="P149" s="14">
        <v>0</v>
      </c>
    </row>
    <row r="150" spans="1:16" x14ac:dyDescent="0.25">
      <c r="A150" s="2">
        <f>IF(TableRBMaster[[#This Row],[Player]]&lt;&gt;0,A149+1,A149)</f>
        <v>101</v>
      </c>
      <c r="B150" s="2">
        <f>TB!A$9</f>
        <v>0</v>
      </c>
      <c r="C150" s="2" t="s">
        <v>80</v>
      </c>
      <c r="D150" s="2">
        <f>TB!C$9</f>
        <v>10</v>
      </c>
      <c r="E150" s="3">
        <f>TB!I$9</f>
        <v>0</v>
      </c>
      <c r="F150" s="3">
        <f>TB!J$9</f>
        <v>0</v>
      </c>
      <c r="G150" s="3">
        <f>TB!K$9</f>
        <v>0</v>
      </c>
      <c r="H150" s="3">
        <f>TB!L$9</f>
        <v>0</v>
      </c>
      <c r="I150" s="3">
        <f>TB!M$9</f>
        <v>0</v>
      </c>
      <c r="J150" s="3">
        <f>TB!N$9</f>
        <v>0</v>
      </c>
      <c r="K150" s="3">
        <f>TB!O$9</f>
        <v>0</v>
      </c>
      <c r="L150" s="3">
        <f t="shared" si="48"/>
        <v>0</v>
      </c>
      <c r="M150" s="3">
        <f t="shared" si="49"/>
        <v>0</v>
      </c>
      <c r="N150" s="3">
        <f t="shared" si="50"/>
        <v>0</v>
      </c>
      <c r="O1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0" s="14">
        <v>0</v>
      </c>
    </row>
    <row r="151" spans="1:16" x14ac:dyDescent="0.25">
      <c r="A151" s="2">
        <f>IF(TableRBMaster[[#This Row],[Player]]&lt;&gt;0,A150+1,A150)</f>
        <v>101</v>
      </c>
      <c r="B151" s="2">
        <f>TB!A$10</f>
        <v>0</v>
      </c>
      <c r="C151" s="2" t="s">
        <v>80</v>
      </c>
      <c r="D151" s="2">
        <f>TB!C$10</f>
        <v>10</v>
      </c>
      <c r="E151" s="3">
        <f>TB!I$10</f>
        <v>0</v>
      </c>
      <c r="F151" s="3">
        <f>TB!J$10</f>
        <v>0</v>
      </c>
      <c r="G151" s="3">
        <f>TB!K$10</f>
        <v>0</v>
      </c>
      <c r="H151" s="3">
        <f>TB!L$10</f>
        <v>0</v>
      </c>
      <c r="I151" s="3">
        <f>TB!M$10</f>
        <v>0</v>
      </c>
      <c r="J151" s="3">
        <f>TB!N$10</f>
        <v>0</v>
      </c>
      <c r="K151" s="3">
        <f>TB!O$10</f>
        <v>0</v>
      </c>
      <c r="L151" s="3">
        <f t="shared" si="48"/>
        <v>0</v>
      </c>
      <c r="M151" s="3">
        <f t="shared" si="49"/>
        <v>0</v>
      </c>
      <c r="N151" s="3">
        <f t="shared" si="50"/>
        <v>0</v>
      </c>
      <c r="O1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1" s="14">
        <v>0</v>
      </c>
    </row>
    <row r="152" spans="1:16" x14ac:dyDescent="0.25">
      <c r="A152" s="2">
        <f>IF(TableRBMaster[[#This Row],[Player]]&lt;&gt;0,A151+1,A151)</f>
        <v>102</v>
      </c>
      <c r="B152" s="2" t="str">
        <f>TEN!A$6</f>
        <v>Tony Pollard</v>
      </c>
      <c r="C152" s="2" t="s">
        <v>81</v>
      </c>
      <c r="D152" s="2">
        <f>TEN!C$6</f>
        <v>9</v>
      </c>
      <c r="E152" s="3">
        <f>TEN!I$6</f>
        <v>231.14270592</v>
      </c>
      <c r="F152" s="3">
        <f>TEN!J$6</f>
        <v>1007.7821978112</v>
      </c>
      <c r="G152" s="3">
        <f>TEN!K$6</f>
        <v>6.0097103539200001</v>
      </c>
      <c r="H152" s="3">
        <f>TEN!L$6</f>
        <v>42.840645120000005</v>
      </c>
      <c r="I152" s="3">
        <f>TEN!M$6</f>
        <v>32.473209000960004</v>
      </c>
      <c r="J152" s="3">
        <f>TEN!N$6</f>
        <v>218.21996448645123</v>
      </c>
      <c r="K152" s="3">
        <f>TEN!O$6</f>
        <v>1.0391426880307202</v>
      </c>
      <c r="L152" s="3">
        <f t="shared" si="48"/>
        <v>164.89333448146948</v>
      </c>
      <c r="M152" s="3">
        <f t="shared" si="49"/>
        <v>181.12993898194949</v>
      </c>
      <c r="N152" s="3">
        <f t="shared" si="50"/>
        <v>197.36654348242948</v>
      </c>
      <c r="O1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181.12993898194946</v>
      </c>
      <c r="P152" s="14">
        <v>49.098734107865603</v>
      </c>
    </row>
    <row r="153" spans="1:16" x14ac:dyDescent="0.25">
      <c r="A153" s="2">
        <f>IF(TableRBMaster[[#This Row],[Player]]&lt;&gt;0,A152+1,A152)</f>
        <v>103</v>
      </c>
      <c r="B153" s="2" t="str">
        <f>TEN!A$7</f>
        <v>Tyjae Spears</v>
      </c>
      <c r="C153" s="2" t="s">
        <v>81</v>
      </c>
      <c r="D153" s="2">
        <f>TEN!C$8</f>
        <v>9</v>
      </c>
      <c r="E153" s="3">
        <f>TEN!I$7</f>
        <v>75.000764160000003</v>
      </c>
      <c r="F153" s="3">
        <f>TEN!J$7</f>
        <v>303.00308720640004</v>
      </c>
      <c r="G153" s="3">
        <f>TEN!K$7</f>
        <v>1.80001833984</v>
      </c>
      <c r="H153" s="3">
        <f>TEN!L$7</f>
        <v>34.602059520000005</v>
      </c>
      <c r="I153" s="3">
        <f>TEN!M$7</f>
        <v>25.160553700446318</v>
      </c>
      <c r="J153" s="3">
        <f>TEN!N$7</f>
        <v>167.82089318197694</v>
      </c>
      <c r="K153" s="3">
        <f>TEN!O$7</f>
        <v>0.85545882581517485</v>
      </c>
      <c r="L153" s="3">
        <f t="shared" si="48"/>
        <v>63.015261032768748</v>
      </c>
      <c r="M153" s="3">
        <f t="shared" si="49"/>
        <v>75.595537882991906</v>
      </c>
      <c r="N153" s="3">
        <f t="shared" si="50"/>
        <v>88.175814733215063</v>
      </c>
      <c r="O1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75.595537882991906</v>
      </c>
      <c r="P153" s="14">
        <v>0</v>
      </c>
    </row>
    <row r="154" spans="1:16" x14ac:dyDescent="0.25">
      <c r="A154" s="2">
        <f>IF(TableRBMaster[[#This Row],[Player]]&lt;&gt;0,A153+1,A153)</f>
        <v>104</v>
      </c>
      <c r="B154" s="2" t="str">
        <f>TEN!A$8</f>
        <v>Nicholas Singleton</v>
      </c>
      <c r="C154" s="2" t="s">
        <v>81</v>
      </c>
      <c r="D154" s="2">
        <f>TEN!C$7</f>
        <v>9</v>
      </c>
      <c r="E154" s="3">
        <f>TEN!I$8</f>
        <v>71.053355519999997</v>
      </c>
      <c r="F154" s="3">
        <f>TEN!J$8</f>
        <v>302.68729451519999</v>
      </c>
      <c r="G154" s="3">
        <f>TEN!K$8</f>
        <v>2.1316006655999997</v>
      </c>
      <c r="H154" s="3">
        <f>TEN!L$8</f>
        <v>8.2385856000000004</v>
      </c>
      <c r="I154" s="3">
        <f>TEN!M$8</f>
        <v>6.014167488</v>
      </c>
      <c r="J154" s="3">
        <f>TEN!N$8</f>
        <v>37.347980100480001</v>
      </c>
      <c r="K154" s="3">
        <f>TEN!O$8</f>
        <v>0.18042502463999999</v>
      </c>
      <c r="L154" s="3">
        <f t="shared" si="48"/>
        <v>47.875681603008005</v>
      </c>
      <c r="M154" s="3">
        <f t="shared" si="49"/>
        <v>50.882765347008004</v>
      </c>
      <c r="N154" s="3">
        <f t="shared" si="50"/>
        <v>53.889849091008003</v>
      </c>
      <c r="O1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50.882765347008004</v>
      </c>
      <c r="P154" s="14">
        <v>0</v>
      </c>
    </row>
    <row r="155" spans="1:16" x14ac:dyDescent="0.25">
      <c r="A155" s="2">
        <f>IF(TableRBMaster[[#This Row],[Player]]&lt;&gt;0,A154+1,A154)</f>
        <v>104</v>
      </c>
      <c r="B155" s="2">
        <f>TEN!A$9</f>
        <v>0</v>
      </c>
      <c r="C155" s="2" t="s">
        <v>81</v>
      </c>
      <c r="D155" s="2">
        <f>TEN!C$9</f>
        <v>9</v>
      </c>
      <c r="E155" s="3">
        <f>TEN!I$9</f>
        <v>0</v>
      </c>
      <c r="F155" s="3">
        <f>TEN!J$9</f>
        <v>0</v>
      </c>
      <c r="G155" s="3">
        <f>TEN!K$9</f>
        <v>0</v>
      </c>
      <c r="H155" s="3">
        <f>TEN!L$9</f>
        <v>0</v>
      </c>
      <c r="I155" s="3">
        <f>TEN!M$9</f>
        <v>0</v>
      </c>
      <c r="J155" s="3">
        <f>TEN!N$9</f>
        <v>0</v>
      </c>
      <c r="K155" s="3">
        <f>TEN!O$9</f>
        <v>0</v>
      </c>
      <c r="L155" s="3">
        <f t="shared" si="48"/>
        <v>0</v>
      </c>
      <c r="M155" s="3">
        <f t="shared" si="49"/>
        <v>0</v>
      </c>
      <c r="N155" s="3">
        <f t="shared" si="50"/>
        <v>0</v>
      </c>
      <c r="O1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5" s="14">
        <v>0</v>
      </c>
    </row>
    <row r="156" spans="1:16" x14ac:dyDescent="0.25">
      <c r="A156" s="2">
        <f>IF(TableRBMaster[[#This Row],[Player]]&lt;&gt;0,A155+1,A155)</f>
        <v>104</v>
      </c>
      <c r="B156" s="2">
        <f>TEN!A$10</f>
        <v>0</v>
      </c>
      <c r="C156" s="2" t="s">
        <v>81</v>
      </c>
      <c r="D156" s="2">
        <f>TEN!C$10</f>
        <v>9</v>
      </c>
      <c r="E156" s="3">
        <f>TEN!I$10</f>
        <v>0</v>
      </c>
      <c r="F156" s="3">
        <f>TEN!J$10</f>
        <v>0</v>
      </c>
      <c r="G156" s="3">
        <f>TEN!K$10</f>
        <v>0</v>
      </c>
      <c r="H156" s="3">
        <f>TEN!L$10</f>
        <v>0</v>
      </c>
      <c r="I156" s="3">
        <f>TEN!M$10</f>
        <v>0</v>
      </c>
      <c r="J156" s="3">
        <f>TEN!N$10</f>
        <v>0</v>
      </c>
      <c r="K156" s="3">
        <f>TEN!O$10</f>
        <v>0</v>
      </c>
      <c r="L156" s="3">
        <f t="shared" si="48"/>
        <v>0</v>
      </c>
      <c r="M156" s="3">
        <f t="shared" si="49"/>
        <v>0</v>
      </c>
      <c r="N156" s="3">
        <f t="shared" si="50"/>
        <v>0</v>
      </c>
      <c r="O1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6" s="14">
        <v>0</v>
      </c>
    </row>
    <row r="157" spans="1:16" x14ac:dyDescent="0.25">
      <c r="A157" s="2">
        <f>IF(TableRBMaster[[#This Row],[Player]]&lt;&gt;0,A156+1,A156)</f>
        <v>105</v>
      </c>
      <c r="B157" s="2" t="str">
        <f>WSH!A$6</f>
        <v>Jacory Croskey-Merritt</v>
      </c>
      <c r="C157" s="2" t="s">
        <v>84</v>
      </c>
      <c r="D157" s="2">
        <f>WSH!C$6</f>
        <v>7</v>
      </c>
      <c r="E157" s="3">
        <f>WSH!I$6</f>
        <v>151.44474492000003</v>
      </c>
      <c r="F157" s="3">
        <f>WSH!J$6</f>
        <v>682.10886620784333</v>
      </c>
      <c r="G157" s="3">
        <f>WSH!K$6</f>
        <v>5.720327142783229</v>
      </c>
      <c r="H157" s="3">
        <f>WSH!L$6</f>
        <v>20.410716759999996</v>
      </c>
      <c r="I157" s="3">
        <f>WSH!M$6</f>
        <v>15.165162552679996</v>
      </c>
      <c r="J157" s="3">
        <f>WSH!N$6</f>
        <v>108.88586712824237</v>
      </c>
      <c r="K157" s="3">
        <f>WSH!O$6</f>
        <v>0.45306709700952691</v>
      </c>
      <c r="L157" s="3">
        <f t="shared" si="48"/>
        <v>116.13983877236511</v>
      </c>
      <c r="M157" s="3">
        <f t="shared" si="49"/>
        <v>123.7224200487051</v>
      </c>
      <c r="N157" s="3">
        <f t="shared" si="50"/>
        <v>131.30500132504511</v>
      </c>
      <c r="O1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123.7224200487051</v>
      </c>
      <c r="P157" s="14">
        <v>33.598856158456854</v>
      </c>
    </row>
    <row r="158" spans="1:16" x14ac:dyDescent="0.25">
      <c r="A158" s="2">
        <f>IF(TableRBMaster[[#This Row],[Player]]&lt;&gt;0,A157+1,A157)</f>
        <v>106</v>
      </c>
      <c r="B158" s="2" t="str">
        <f>WSH!A$7</f>
        <v>Rachaad White</v>
      </c>
      <c r="C158" s="2" t="s">
        <v>84</v>
      </c>
      <c r="D158" s="2">
        <f>WSH!C$8</f>
        <v>7</v>
      </c>
      <c r="E158" s="3">
        <f>WSH!I$7</f>
        <v>107.96061024000002</v>
      </c>
      <c r="F158" s="3">
        <f>WSH!J$7</f>
        <v>457.75298741760014</v>
      </c>
      <c r="G158" s="3">
        <f>WSH!K$7</f>
        <v>3.1308576969600006</v>
      </c>
      <c r="H158" s="3">
        <f>WSH!L$7</f>
        <v>51.275703079999985</v>
      </c>
      <c r="I158" s="3">
        <f>WSH!M$7</f>
        <v>41.430768088639994</v>
      </c>
      <c r="J158" s="3">
        <f>WSH!N$7</f>
        <v>283.38645372629753</v>
      </c>
      <c r="K158" s="3">
        <f>WSH!O$7</f>
        <v>1.7369826536675053</v>
      </c>
      <c r="L158" s="3">
        <f t="shared" si="48"/>
        <v>103.3209862181548</v>
      </c>
      <c r="M158" s="3">
        <f t="shared" si="49"/>
        <v>124.0363702624748</v>
      </c>
      <c r="N158" s="3">
        <f t="shared" si="50"/>
        <v>144.75175430679479</v>
      </c>
      <c r="O1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124.03637026247482</v>
      </c>
      <c r="P158" s="14">
        <v>0</v>
      </c>
    </row>
    <row r="159" spans="1:16" x14ac:dyDescent="0.25">
      <c r="A159" s="2">
        <f>IF(TableRBMaster[[#This Row],[Player]]&lt;&gt;0,A158+1,A158)</f>
        <v>107</v>
      </c>
      <c r="B159" s="2" t="str">
        <f>WSH!A$8</f>
        <v>Kaytron Allen</v>
      </c>
      <c r="C159" s="2" t="s">
        <v>84</v>
      </c>
      <c r="D159" s="2">
        <f>WSH!C$7</f>
        <v>7</v>
      </c>
      <c r="E159" s="3">
        <f>WSH!I$8</f>
        <v>87.967904640000015</v>
      </c>
      <c r="F159" s="3">
        <f>WSH!J$8</f>
        <v>379.14166899840001</v>
      </c>
      <c r="G159" s="3">
        <f>WSH!K$8</f>
        <v>2.9029408531200005</v>
      </c>
      <c r="H159" s="3">
        <f>WSH!L$8</f>
        <v>7.4673353999999987</v>
      </c>
      <c r="I159" s="3">
        <f>WSH!M$8</f>
        <v>5.4362201711999987</v>
      </c>
      <c r="J159" s="3">
        <f>WSH!N$8</f>
        <v>37.020659365871985</v>
      </c>
      <c r="K159" s="3">
        <f>WSH!O$8</f>
        <v>0.15532057631999999</v>
      </c>
      <c r="L159" s="3">
        <f t="shared" si="48"/>
        <v>59.965801413067197</v>
      </c>
      <c r="M159" s="3">
        <f t="shared" si="49"/>
        <v>62.6839114986672</v>
      </c>
      <c r="N159" s="3">
        <f t="shared" si="50"/>
        <v>65.402021584267203</v>
      </c>
      <c r="O1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62.6839114986672</v>
      </c>
      <c r="P159" s="14">
        <v>0</v>
      </c>
    </row>
    <row r="160" spans="1:16" x14ac:dyDescent="0.25">
      <c r="A160" s="2">
        <f>IF(TableRBMaster[[#This Row],[Player]]&lt;&gt;0,A159+1,A159)</f>
        <v>108</v>
      </c>
      <c r="B160" s="2" t="str">
        <f>WSH!A$9</f>
        <v>Jeremy McNichols</v>
      </c>
      <c r="C160" s="2" t="s">
        <v>84</v>
      </c>
      <c r="D160" s="2">
        <f>WSH!C$9</f>
        <v>7</v>
      </c>
      <c r="E160" s="3">
        <f>WSH!I$9</f>
        <v>12.495441000000003</v>
      </c>
      <c r="F160" s="3">
        <f>WSH!J$9</f>
        <v>49.981764000000013</v>
      </c>
      <c r="G160" s="3">
        <f>WSH!K$9</f>
        <v>0.27489970200000008</v>
      </c>
      <c r="H160" s="3">
        <f>WSH!L$9</f>
        <v>9.9564471999999977</v>
      </c>
      <c r="I160" s="3">
        <f>WSH!M$9</f>
        <v>7.7162465799999982</v>
      </c>
      <c r="J160" s="3">
        <f>WSH!N$9</f>
        <v>57.163071949212657</v>
      </c>
      <c r="K160" s="3">
        <f>WSH!O$9</f>
        <v>0.23148739739999993</v>
      </c>
      <c r="L160" s="3">
        <f t="shared" si="48"/>
        <v>13.752806191321266</v>
      </c>
      <c r="M160" s="3">
        <f t="shared" si="49"/>
        <v>17.610929481321264</v>
      </c>
      <c r="N160" s="3">
        <f t="shared" si="50"/>
        <v>21.469052771321266</v>
      </c>
      <c r="O1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17.610929481321268</v>
      </c>
      <c r="P160" s="14">
        <v>0</v>
      </c>
    </row>
    <row r="161" spans="1:16" x14ac:dyDescent="0.25">
      <c r="A161" s="2">
        <f>IF(TableRBMaster[[#This Row],[Player]]&lt;&gt;0,A160+1,A160)</f>
        <v>108</v>
      </c>
      <c r="B161" s="2">
        <f>WSH!A$10</f>
        <v>0</v>
      </c>
      <c r="C161" s="2" t="s">
        <v>84</v>
      </c>
      <c r="D161" s="2">
        <f>WSH!C$10</f>
        <v>7</v>
      </c>
      <c r="E161" s="3">
        <f>WSH!I$10</f>
        <v>0</v>
      </c>
      <c r="F161" s="3">
        <f>WSH!J$10</f>
        <v>0</v>
      </c>
      <c r="G161" s="3">
        <f>WSH!K$10</f>
        <v>0</v>
      </c>
      <c r="H161" s="3">
        <f>WSH!L$10</f>
        <v>0</v>
      </c>
      <c r="I161" s="3">
        <f>WSH!M$10</f>
        <v>0</v>
      </c>
      <c r="J161" s="3">
        <f>WSH!N$10</f>
        <v>0</v>
      </c>
      <c r="K161" s="3">
        <f>WSH!O$10</f>
        <v>0</v>
      </c>
      <c r="L161" s="3">
        <f t="shared" si="48"/>
        <v>0</v>
      </c>
      <c r="M161" s="3">
        <f t="shared" si="49"/>
        <v>0</v>
      </c>
      <c r="N161" s="3">
        <f t="shared" si="50"/>
        <v>0</v>
      </c>
      <c r="O1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1" s="14">
        <v>0</v>
      </c>
    </row>
  </sheetData>
  <sortState xmlns:xlrd2="http://schemas.microsoft.com/office/spreadsheetml/2017/richdata2" ref="B2:N120">
    <sortCondition ref="C2:C120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"/>
  <dimension ref="A1:O203"/>
  <sheetViews>
    <sheetView showGridLines="0" zoomScale="85" zoomScaleNormal="85" workbookViewId="0"/>
  </sheetViews>
  <sheetFormatPr defaultColWidth="9.140625" defaultRowHeight="15" x14ac:dyDescent="0.25"/>
  <cols>
    <col min="1" max="1" width="9.85546875" style="2" bestFit="1" customWidth="1"/>
    <col min="2" max="2" width="25.5703125" style="2" bestFit="1" customWidth="1"/>
    <col min="3" max="3" width="6.5703125" style="2" bestFit="1" customWidth="1"/>
    <col min="4" max="4" width="7" style="2" bestFit="1" customWidth="1"/>
    <col min="5" max="6" width="8.85546875" style="2" bestFit="1" customWidth="1"/>
    <col min="7" max="7" width="7.140625" style="2" bestFit="1" customWidth="1"/>
    <col min="8" max="8" width="7" style="2" bestFit="1" customWidth="1"/>
    <col min="9" max="10" width="8.42578125" style="2" bestFit="1" customWidth="1"/>
    <col min="11" max="11" width="6.85546875" style="2" bestFit="1" customWidth="1"/>
    <col min="12" max="12" width="8.140625" style="2" bestFit="1" customWidth="1"/>
    <col min="13" max="13" width="7" style="2" bestFit="1" customWidth="1"/>
    <col min="14" max="14" width="10" style="2" bestFit="1" customWidth="1"/>
    <col min="15" max="15" width="8.42578125" style="2" bestFit="1" customWidth="1"/>
    <col min="16" max="16384" width="9.140625" style="2"/>
  </cols>
  <sheetData>
    <row r="1" spans="1:15" x14ac:dyDescent="0.25">
      <c r="A1" s="6" t="s">
        <v>289</v>
      </c>
      <c r="B1" s="6" t="s">
        <v>252</v>
      </c>
      <c r="C1" s="6" t="s">
        <v>51</v>
      </c>
      <c r="D1" s="6" t="s">
        <v>87</v>
      </c>
      <c r="E1" s="5" t="s">
        <v>94</v>
      </c>
      <c r="F1" s="5" t="s">
        <v>95</v>
      </c>
      <c r="G1" s="5" t="s">
        <v>3</v>
      </c>
      <c r="H1" s="5" t="s">
        <v>4</v>
      </c>
      <c r="I1" s="5" t="s">
        <v>100</v>
      </c>
      <c r="J1" s="5" t="s">
        <v>101</v>
      </c>
      <c r="K1" s="6" t="s">
        <v>82</v>
      </c>
      <c r="L1" s="6" t="s">
        <v>85</v>
      </c>
      <c r="M1" s="6" t="s">
        <v>86</v>
      </c>
      <c r="N1" s="6" t="s">
        <v>249</v>
      </c>
      <c r="O1" s="6" t="s">
        <v>232</v>
      </c>
    </row>
    <row r="2" spans="1:15" x14ac:dyDescent="0.25">
      <c r="A2" s="2">
        <v>1</v>
      </c>
      <c r="B2" s="2" t="str">
        <f>ARI!A13</f>
        <v>Marvin Harrison</v>
      </c>
      <c r="C2" s="2" t="s">
        <v>52</v>
      </c>
      <c r="D2" s="2">
        <f>ARI!C13</f>
        <v>14</v>
      </c>
      <c r="E2" s="3">
        <f>ARI!J13</f>
        <v>0</v>
      </c>
      <c r="F2" s="3">
        <f>ARI!K13</f>
        <v>0</v>
      </c>
      <c r="G2" s="3">
        <f>ARI!L13</f>
        <v>122.86150240000002</v>
      </c>
      <c r="H2" s="3">
        <f>ARI!M13</f>
        <v>67.205241812800011</v>
      </c>
      <c r="I2" s="3">
        <f>ARI!N13</f>
        <v>923.40002250787222</v>
      </c>
      <c r="J2" s="3">
        <f>ARI!O13</f>
        <v>5.5108298286496016</v>
      </c>
      <c r="K2" s="3">
        <f t="shared" ref="K2:K65" si="0">(E2/10)+(F2*6)+(I2/10)+(J2*6)</f>
        <v>125.40498122268482</v>
      </c>
      <c r="L2" s="3">
        <f t="shared" ref="L2:L33" si="1">K2+(H2*0.5)</f>
        <v>159.00760212908483</v>
      </c>
      <c r="M2" s="3">
        <f t="shared" ref="M2:M33" si="2">K2+H2</f>
        <v>192.61022303548484</v>
      </c>
      <c r="N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159.00760212908483</v>
      </c>
      <c r="O2" s="14">
        <v>36.388473674194124</v>
      </c>
    </row>
    <row r="3" spans="1:15" x14ac:dyDescent="0.25">
      <c r="A3" s="2">
        <f>IF(TableWRMaster[[#This Row],[Player]]&lt;&gt;0,A2+1,A2)</f>
        <v>2</v>
      </c>
      <c r="B3" s="2" t="str">
        <f>ARI!A14</f>
        <v>Michael Wilson</v>
      </c>
      <c r="C3" s="2" t="s">
        <v>52</v>
      </c>
      <c r="D3" s="2">
        <f>ARI!C14</f>
        <v>14</v>
      </c>
      <c r="E3" s="3">
        <f>ARI!J14</f>
        <v>0</v>
      </c>
      <c r="F3" s="3">
        <f>ARI!K14</f>
        <v>0</v>
      </c>
      <c r="G3" s="3">
        <f>ARI!L14</f>
        <v>112.29874880000001</v>
      </c>
      <c r="H3" s="3">
        <f>ARI!M14</f>
        <v>66.274717090252423</v>
      </c>
      <c r="I3" s="3">
        <f>ARI!N14</f>
        <v>804.57506547566447</v>
      </c>
      <c r="J3" s="3">
        <f>ARI!O14</f>
        <v>4.9706037817689319</v>
      </c>
      <c r="K3" s="3">
        <f t="shared" si="0"/>
        <v>110.28112923818004</v>
      </c>
      <c r="L3" s="3">
        <f t="shared" si="1"/>
        <v>143.41848778330626</v>
      </c>
      <c r="M3" s="3">
        <f t="shared" si="2"/>
        <v>176.55584632843247</v>
      </c>
      <c r="N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143.41848778330626</v>
      </c>
      <c r="O3" s="14">
        <v>0</v>
      </c>
    </row>
    <row r="4" spans="1:15" x14ac:dyDescent="0.25">
      <c r="A4" s="2">
        <f>IF(TableWRMaster[[#This Row],[Player]]&lt;&gt;0,A3+1,A3)</f>
        <v>3</v>
      </c>
      <c r="B4" s="2" t="str">
        <f>ARI!A15</f>
        <v>Kendrick Bourne</v>
      </c>
      <c r="C4" s="2" t="s">
        <v>52</v>
      </c>
      <c r="D4" s="2">
        <f>ARI!C15</f>
        <v>14</v>
      </c>
      <c r="E4" s="3">
        <f>ARI!J15</f>
        <v>0</v>
      </c>
      <c r="F4" s="3">
        <f>ARI!K15</f>
        <v>0</v>
      </c>
      <c r="G4" s="3">
        <f>ARI!L15</f>
        <v>44.474752000000002</v>
      </c>
      <c r="H4" s="3">
        <f>ARI!M15</f>
        <v>27.529871488000001</v>
      </c>
      <c r="I4" s="3">
        <f>ARI!N15</f>
        <v>296.77201464064001</v>
      </c>
      <c r="J4" s="3">
        <f>ARI!O15</f>
        <v>1.6517922892800001</v>
      </c>
      <c r="K4" s="3">
        <f t="shared" si="0"/>
        <v>39.587955199744002</v>
      </c>
      <c r="L4" s="3">
        <f t="shared" si="1"/>
        <v>53.352890943744001</v>
      </c>
      <c r="M4" s="3">
        <f t="shared" si="2"/>
        <v>67.117826687744</v>
      </c>
      <c r="N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53.352890943744001</v>
      </c>
      <c r="O4" s="14">
        <v>0</v>
      </c>
    </row>
    <row r="5" spans="1:15" x14ac:dyDescent="0.25">
      <c r="A5" s="2">
        <f>IF(TableWRMaster[[#This Row],[Player]]&lt;&gt;0,A4+1,A4)</f>
        <v>4</v>
      </c>
      <c r="B5" s="2" t="str">
        <f>ARI!A16</f>
        <v>Reggie Virgil</v>
      </c>
      <c r="C5" s="2" t="s">
        <v>52</v>
      </c>
      <c r="D5" s="2">
        <f>ARI!C16</f>
        <v>14</v>
      </c>
      <c r="E5" s="3">
        <f>ARI!J16</f>
        <v>0</v>
      </c>
      <c r="F5" s="3">
        <f>ARI!K16</f>
        <v>0</v>
      </c>
      <c r="G5" s="3">
        <f>ARI!L16</f>
        <v>7.227147200000001</v>
      </c>
      <c r="H5" s="3">
        <f>ARI!M16</f>
        <v>3.8520694576000007</v>
      </c>
      <c r="I5" s="3">
        <f>ARI!N16</f>
        <v>42.950574452240012</v>
      </c>
      <c r="J5" s="3">
        <f>ARI!O16</f>
        <v>0.23497623691360003</v>
      </c>
      <c r="K5" s="3">
        <f t="shared" si="0"/>
        <v>5.704914866705602</v>
      </c>
      <c r="L5" s="3">
        <f t="shared" si="1"/>
        <v>7.6309495955056024</v>
      </c>
      <c r="M5" s="3">
        <f t="shared" si="2"/>
        <v>9.5569843243056027</v>
      </c>
      <c r="N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7.6309495955056024</v>
      </c>
      <c r="O5" s="14">
        <v>0</v>
      </c>
    </row>
    <row r="6" spans="1:15" x14ac:dyDescent="0.25">
      <c r="A6" s="2">
        <f>IF(TableWRMaster[[#This Row],[Player]]&lt;&gt;0,A5+1,A5)</f>
        <v>5</v>
      </c>
      <c r="B6" s="2" t="str">
        <f>ARI!A17</f>
        <v>Devin Duvernay</v>
      </c>
      <c r="C6" s="2" t="s">
        <v>52</v>
      </c>
      <c r="D6" s="2">
        <f>ARI!C17</f>
        <v>14</v>
      </c>
      <c r="E6" s="3">
        <f>ARI!J17</f>
        <v>0</v>
      </c>
      <c r="F6" s="3">
        <f>ARI!K17</f>
        <v>0</v>
      </c>
      <c r="G6" s="3">
        <f>ARI!L17</f>
        <v>5.5593440000000003</v>
      </c>
      <c r="H6" s="3">
        <f>ARI!M17</f>
        <v>3.0497634626666668</v>
      </c>
      <c r="I6" s="3">
        <f>ARI!N17</f>
        <v>29.277729241599999</v>
      </c>
      <c r="J6" s="3">
        <f>ARI!O17</f>
        <v>0.16773699044666668</v>
      </c>
      <c r="K6" s="3">
        <f t="shared" si="0"/>
        <v>3.9341948668400004</v>
      </c>
      <c r="L6" s="3">
        <f t="shared" si="1"/>
        <v>5.4590765981733336</v>
      </c>
      <c r="M6" s="3">
        <f t="shared" si="2"/>
        <v>6.9839583295066667</v>
      </c>
      <c r="N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5.4590765981733336</v>
      </c>
      <c r="O6" s="14">
        <v>0</v>
      </c>
    </row>
    <row r="7" spans="1:15" x14ac:dyDescent="0.25">
      <c r="A7" s="2">
        <f>IF(TableWRMaster[[#This Row],[Player]]&lt;&gt;0,A6+1,A6)</f>
        <v>6</v>
      </c>
      <c r="B7" s="2" t="str">
        <f>ARI!A18</f>
        <v>Xavier Weaver</v>
      </c>
      <c r="C7" s="2" t="s">
        <v>52</v>
      </c>
      <c r="D7" s="2">
        <f>ARI!C18</f>
        <v>14</v>
      </c>
      <c r="E7" s="3">
        <f>ARI!J18</f>
        <v>0</v>
      </c>
      <c r="F7" s="3">
        <f>ARI!K18</f>
        <v>0</v>
      </c>
      <c r="G7" s="3">
        <f>ARI!L18</f>
        <v>2.7796720000000001</v>
      </c>
      <c r="H7" s="3">
        <f>ARI!M18</f>
        <v>1.737295</v>
      </c>
      <c r="I7" s="3">
        <f>ARI!N18</f>
        <v>16.03523285</v>
      </c>
      <c r="J7" s="3">
        <f>ARI!O18</f>
        <v>9.5551225000000004E-2</v>
      </c>
      <c r="K7" s="3">
        <f t="shared" si="0"/>
        <v>2.176830635</v>
      </c>
      <c r="L7" s="3">
        <f t="shared" si="1"/>
        <v>3.0454781349999998</v>
      </c>
      <c r="M7" s="3">
        <f t="shared" si="2"/>
        <v>3.914125635</v>
      </c>
      <c r="N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3.0454781350000002</v>
      </c>
      <c r="O7" s="14">
        <v>0</v>
      </c>
    </row>
    <row r="8" spans="1:15" x14ac:dyDescent="0.25">
      <c r="A8" s="2">
        <f>IF(TableWRMaster[[#This Row],[Player]]&lt;&gt;0,A7+1,A7)</f>
        <v>7</v>
      </c>
      <c r="B8" s="2" t="str">
        <f>ATL!A13</f>
        <v>Drake London</v>
      </c>
      <c r="C8" s="2" t="s">
        <v>53</v>
      </c>
      <c r="D8" s="2">
        <f>ATL!C13</f>
        <v>11</v>
      </c>
      <c r="E8" s="3">
        <f>ATL!J13</f>
        <v>0</v>
      </c>
      <c r="F8" s="3">
        <f>ATL!K13</f>
        <v>0</v>
      </c>
      <c r="G8" s="3">
        <f>ATL!L13</f>
        <v>158.37634764000006</v>
      </c>
      <c r="H8" s="3">
        <f>ATL!M13</f>
        <v>101.04410979432004</v>
      </c>
      <c r="I8" s="3">
        <f>ATL!N13</f>
        <v>1316.60475061999</v>
      </c>
      <c r="J8" s="3">
        <f>ATL!O13</f>
        <v>7.7803964541626423</v>
      </c>
      <c r="K8" s="3">
        <f t="shared" si="0"/>
        <v>178.34285378697484</v>
      </c>
      <c r="L8" s="3">
        <f t="shared" si="1"/>
        <v>228.86490868413486</v>
      </c>
      <c r="M8" s="3">
        <f t="shared" si="2"/>
        <v>279.38696358129488</v>
      </c>
      <c r="N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228.86490868413486</v>
      </c>
      <c r="O8" s="14">
        <v>36.61908422611036</v>
      </c>
    </row>
    <row r="9" spans="1:15" x14ac:dyDescent="0.25">
      <c r="A9" s="2">
        <f>IF(TableWRMaster[[#This Row],[Player]]&lt;&gt;0,A8+1,A8)</f>
        <v>8</v>
      </c>
      <c r="B9" s="2" t="str">
        <f>ATL!A14</f>
        <v>Zachariah Branch</v>
      </c>
      <c r="C9" s="2" t="s">
        <v>53</v>
      </c>
      <c r="D9" s="2">
        <f>ATL!C14</f>
        <v>11</v>
      </c>
      <c r="E9" s="3">
        <f>ATL!J14</f>
        <v>15.318138675</v>
      </c>
      <c r="F9" s="3">
        <f>ATL!K14</f>
        <v>8.0621782500000003E-2</v>
      </c>
      <c r="G9" s="3">
        <f>ATL!L14</f>
        <v>59.604001800000013</v>
      </c>
      <c r="H9" s="3">
        <f>ATL!M14</f>
        <v>33.25903300440001</v>
      </c>
      <c r="I9" s="3">
        <f>ATL!N14</f>
        <v>403.0994800133281</v>
      </c>
      <c r="J9" s="3">
        <f>ATL!O14</f>
        <v>2.2616142442992007</v>
      </c>
      <c r="K9" s="3">
        <f t="shared" si="0"/>
        <v>55.895178029628013</v>
      </c>
      <c r="L9" s="3">
        <f t="shared" si="1"/>
        <v>72.524694531828018</v>
      </c>
      <c r="M9" s="3">
        <f t="shared" si="2"/>
        <v>89.154211034028023</v>
      </c>
      <c r="N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72.524694531828018</v>
      </c>
      <c r="O9" s="14">
        <v>0.86653756075019195</v>
      </c>
    </row>
    <row r="10" spans="1:15" x14ac:dyDescent="0.25">
      <c r="A10" s="2">
        <f>IF(TableWRMaster[[#This Row],[Player]]&lt;&gt;0,A9+1,A9)</f>
        <v>9</v>
      </c>
      <c r="B10" s="2" t="str">
        <f>ATL!A15</f>
        <v>Olamide Zaccheaus</v>
      </c>
      <c r="C10" s="2" t="s">
        <v>53</v>
      </c>
      <c r="D10" s="2">
        <f>ATL!C15</f>
        <v>11</v>
      </c>
      <c r="E10" s="3">
        <f>ATL!J15</f>
        <v>0</v>
      </c>
      <c r="F10" s="3">
        <f>ATL!K15</f>
        <v>0</v>
      </c>
      <c r="G10" s="3">
        <f>ATL!L15</f>
        <v>46.547887120000013</v>
      </c>
      <c r="H10" s="3">
        <f>ATL!M15</f>
        <v>30.19048217180514</v>
      </c>
      <c r="I10" s="3">
        <f>ATL!N15</f>
        <v>304.01815547007777</v>
      </c>
      <c r="J10" s="3">
        <f>ATL!O15</f>
        <v>1.5614429057625647</v>
      </c>
      <c r="K10" s="3">
        <f t="shared" si="0"/>
        <v>39.770472981583168</v>
      </c>
      <c r="L10" s="3">
        <f t="shared" si="1"/>
        <v>54.86571406748574</v>
      </c>
      <c r="M10" s="3">
        <f t="shared" si="2"/>
        <v>69.960955153388312</v>
      </c>
      <c r="N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54.86571406748574</v>
      </c>
      <c r="O10" s="14">
        <v>0</v>
      </c>
    </row>
    <row r="11" spans="1:15" x14ac:dyDescent="0.25">
      <c r="A11" s="2">
        <f>IF(TableWRMaster[[#This Row],[Player]]&lt;&gt;0,A10+1,A10)</f>
        <v>10</v>
      </c>
      <c r="B11" s="2" t="str">
        <f>ATL!A16</f>
        <v>Jahan Dotson</v>
      </c>
      <c r="C11" s="2" t="s">
        <v>53</v>
      </c>
      <c r="D11" s="2">
        <f>ATL!C16</f>
        <v>11</v>
      </c>
      <c r="E11" s="3">
        <f>ATL!J16</f>
        <v>0</v>
      </c>
      <c r="F11" s="3">
        <f>ATL!K16</f>
        <v>0</v>
      </c>
      <c r="G11" s="3">
        <f>ATL!L16</f>
        <v>45.412572800000014</v>
      </c>
      <c r="H11" s="3">
        <f>ATL!M16</f>
        <v>28.046307289249324</v>
      </c>
      <c r="I11" s="3">
        <f>ATL!N16</f>
        <v>348.89606267826156</v>
      </c>
      <c r="J11" s="3">
        <f>ATL!O16</f>
        <v>1.7108247446442086</v>
      </c>
      <c r="K11" s="3">
        <f t="shared" si="0"/>
        <v>45.154554735691406</v>
      </c>
      <c r="L11" s="3">
        <f t="shared" si="1"/>
        <v>59.177708380316069</v>
      </c>
      <c r="M11" s="3">
        <f t="shared" si="2"/>
        <v>73.200862024940733</v>
      </c>
      <c r="N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59.177708380316076</v>
      </c>
      <c r="O11" s="14">
        <v>0</v>
      </c>
    </row>
    <row r="12" spans="1:15" x14ac:dyDescent="0.25">
      <c r="A12" s="2">
        <f>IF(TableWRMaster[[#This Row],[Player]]&lt;&gt;0,A11+1,A11)</f>
        <v>11</v>
      </c>
      <c r="B12" s="2" t="str">
        <f>ATL!A17</f>
        <v>Casey Washington</v>
      </c>
      <c r="C12" s="2" t="s">
        <v>53</v>
      </c>
      <c r="D12" s="2">
        <f>ATL!C17</f>
        <v>11</v>
      </c>
      <c r="E12" s="3">
        <f>ATL!J17</f>
        <v>0</v>
      </c>
      <c r="F12" s="3">
        <f>ATL!K17</f>
        <v>0</v>
      </c>
      <c r="G12" s="3">
        <f>ATL!L17</f>
        <v>5.6765716000000017</v>
      </c>
      <c r="H12" s="3">
        <f>ATL!M17</f>
        <v>3.9168344040000007</v>
      </c>
      <c r="I12" s="3">
        <f>ATL!N17</f>
        <v>43.75104029268001</v>
      </c>
      <c r="J12" s="3">
        <f>ATL!O17</f>
        <v>0.19584172020000004</v>
      </c>
      <c r="K12" s="3">
        <f t="shared" si="0"/>
        <v>5.5501543504680013</v>
      </c>
      <c r="L12" s="3">
        <f t="shared" si="1"/>
        <v>7.5085715524680019</v>
      </c>
      <c r="M12" s="3">
        <f t="shared" si="2"/>
        <v>9.4669887544680016</v>
      </c>
      <c r="N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7.5085715524680019</v>
      </c>
      <c r="O12" s="14">
        <v>0</v>
      </c>
    </row>
    <row r="13" spans="1:15" x14ac:dyDescent="0.25">
      <c r="A13" s="2">
        <f>IF(TableWRMaster[[#This Row],[Player]]&lt;&gt;0,A12+1,A12)</f>
        <v>11</v>
      </c>
      <c r="B13" s="2">
        <f>ATL!A18</f>
        <v>0</v>
      </c>
      <c r="C13" s="2" t="s">
        <v>53</v>
      </c>
      <c r="D13" s="2">
        <f>ATL!C18</f>
        <v>11</v>
      </c>
      <c r="E13" s="3">
        <f>ATL!J18</f>
        <v>0</v>
      </c>
      <c r="F13" s="3">
        <f>ATL!K18</f>
        <v>0</v>
      </c>
      <c r="G13" s="3">
        <f>ATL!L18</f>
        <v>0</v>
      </c>
      <c r="H13" s="3">
        <f>ATL!M18</f>
        <v>0</v>
      </c>
      <c r="I13" s="3">
        <f>ATL!N18</f>
        <v>0</v>
      </c>
      <c r="J13" s="3">
        <f>ATL!O18</f>
        <v>0</v>
      </c>
      <c r="K13" s="3">
        <f t="shared" si="0"/>
        <v>0</v>
      </c>
      <c r="L13" s="3">
        <f t="shared" si="1"/>
        <v>0</v>
      </c>
      <c r="M13" s="3">
        <f t="shared" si="2"/>
        <v>0</v>
      </c>
      <c r="N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" s="14">
        <v>0</v>
      </c>
    </row>
    <row r="14" spans="1:15" x14ac:dyDescent="0.25">
      <c r="A14" s="2">
        <f>IF(TableWRMaster[[#This Row],[Player]]&lt;&gt;0,A13+1,A13)</f>
        <v>12</v>
      </c>
      <c r="B14" s="2" t="str">
        <f>BAL!A13</f>
        <v>Zay Flowers</v>
      </c>
      <c r="C14" s="2" t="s">
        <v>54</v>
      </c>
      <c r="D14" s="2">
        <f>BAL!C13</f>
        <v>13</v>
      </c>
      <c r="E14" s="3">
        <f>BAL!J13</f>
        <v>56.413694630198776</v>
      </c>
      <c r="F14" s="3">
        <f>BAL!K13</f>
        <v>0.26872532932368426</v>
      </c>
      <c r="G14" s="3">
        <f>BAL!L13</f>
        <v>122.65981056</v>
      </c>
      <c r="H14" s="3">
        <f>BAL!M13</f>
        <v>82.022021242617427</v>
      </c>
      <c r="I14" s="3">
        <f>BAL!N13</f>
        <v>1157.1558788318523</v>
      </c>
      <c r="J14" s="3">
        <f>BAL!O13</f>
        <v>6.8078277631372472</v>
      </c>
      <c r="K14" s="3">
        <f t="shared" si="0"/>
        <v>163.81627590097071</v>
      </c>
      <c r="L14" s="3">
        <f t="shared" si="1"/>
        <v>204.82728652227942</v>
      </c>
      <c r="M14" s="3">
        <f t="shared" si="2"/>
        <v>245.83829714358814</v>
      </c>
      <c r="N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204.82728652227939</v>
      </c>
      <c r="O14" s="14">
        <v>0.97004667829305213</v>
      </c>
    </row>
    <row r="15" spans="1:15" x14ac:dyDescent="0.25">
      <c r="A15" s="2">
        <f>IF(TableWRMaster[[#This Row],[Player]]&lt;&gt;0,A14+1,A14)</f>
        <v>13</v>
      </c>
      <c r="B15" s="2" t="str">
        <f>BAL!A14</f>
        <v>Rashod Bateman</v>
      </c>
      <c r="C15" s="2" t="s">
        <v>54</v>
      </c>
      <c r="D15" s="2">
        <f>BAL!C14</f>
        <v>13</v>
      </c>
      <c r="E15" s="3">
        <f>BAL!J14</f>
        <v>0</v>
      </c>
      <c r="F15" s="3">
        <f>BAL!K14</f>
        <v>0</v>
      </c>
      <c r="G15" s="3">
        <f>BAL!L14</f>
        <v>53.105588480000002</v>
      </c>
      <c r="H15" s="3">
        <f>BAL!M14</f>
        <v>33.116430408093741</v>
      </c>
      <c r="I15" s="3">
        <f>BAL!N14</f>
        <v>480.18824091735922</v>
      </c>
      <c r="J15" s="3">
        <f>BAL!O14</f>
        <v>3.9408552185631551</v>
      </c>
      <c r="K15" s="3">
        <f t="shared" si="0"/>
        <v>71.663955403114855</v>
      </c>
      <c r="L15" s="3">
        <f t="shared" si="1"/>
        <v>88.222170607161729</v>
      </c>
      <c r="M15" s="3">
        <f t="shared" si="2"/>
        <v>104.78038581120859</v>
      </c>
      <c r="N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88.222170607161729</v>
      </c>
      <c r="O15" s="14">
        <v>0</v>
      </c>
    </row>
    <row r="16" spans="1:15" x14ac:dyDescent="0.25">
      <c r="A16" s="2">
        <f>IF(TableWRMaster[[#This Row],[Player]]&lt;&gt;0,A15+1,A15)</f>
        <v>14</v>
      </c>
      <c r="B16" s="2" t="str">
        <f>BAL!A15</f>
        <v>Ja'Kobi Lane</v>
      </c>
      <c r="C16" s="2" t="s">
        <v>54</v>
      </c>
      <c r="D16" s="2">
        <f>BAL!C15</f>
        <v>13</v>
      </c>
      <c r="E16" s="3">
        <f>BAL!J15</f>
        <v>0</v>
      </c>
      <c r="F16" s="3">
        <f>BAL!K15</f>
        <v>0</v>
      </c>
      <c r="G16" s="3">
        <f>BAL!L15</f>
        <v>40.416642559999993</v>
      </c>
      <c r="H16" s="3">
        <f>BAL!M15</f>
        <v>23.393931829729151</v>
      </c>
      <c r="I16" s="3">
        <f>BAL!N15</f>
        <v>333.14545725123338</v>
      </c>
      <c r="J16" s="3">
        <f>BAL!O15</f>
        <v>2.3159992511431859</v>
      </c>
      <c r="K16" s="3">
        <f t="shared" si="0"/>
        <v>47.210541231982454</v>
      </c>
      <c r="L16" s="3">
        <f t="shared" si="1"/>
        <v>58.907507146847031</v>
      </c>
      <c r="M16" s="3">
        <f t="shared" si="2"/>
        <v>70.604473061711602</v>
      </c>
      <c r="N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58.907507146847031</v>
      </c>
      <c r="O16" s="14">
        <v>0</v>
      </c>
    </row>
    <row r="17" spans="1:15" x14ac:dyDescent="0.25">
      <c r="A17" s="2">
        <f>IF(TableWRMaster[[#This Row],[Player]]&lt;&gt;0,A16+1,A16)</f>
        <v>15</v>
      </c>
      <c r="B17" s="2" t="str">
        <f>BAL!A16</f>
        <v>Elijah Sarratt</v>
      </c>
      <c r="C17" s="2" t="s">
        <v>54</v>
      </c>
      <c r="D17" s="2">
        <f>BAL!C17</f>
        <v>13</v>
      </c>
      <c r="E17" s="3">
        <f>BAL!J17</f>
        <v>0</v>
      </c>
      <c r="F17" s="3">
        <f>BAL!K17</f>
        <v>0</v>
      </c>
      <c r="G17" s="3">
        <f>BAL!L16</f>
        <v>44.6462912</v>
      </c>
      <c r="H17" s="3">
        <f>BAL!M16</f>
        <v>26.207184553424476</v>
      </c>
      <c r="I17" s="3">
        <f>BAL!N16</f>
        <v>361.32337658647765</v>
      </c>
      <c r="J17" s="3">
        <f>BAL!O16</f>
        <v>2.5158897171287498</v>
      </c>
      <c r="K17" s="3">
        <f t="shared" si="0"/>
        <v>51.22767596142026</v>
      </c>
      <c r="L17" s="3">
        <f t="shared" si="1"/>
        <v>64.331268238132495</v>
      </c>
      <c r="M17" s="3">
        <f t="shared" si="2"/>
        <v>77.434860514844729</v>
      </c>
      <c r="N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64.331268238132509</v>
      </c>
      <c r="O17" s="14">
        <v>0</v>
      </c>
    </row>
    <row r="18" spans="1:15" x14ac:dyDescent="0.25">
      <c r="A18" s="2">
        <f>IF(TableWRMaster[[#This Row],[Player]]&lt;&gt;0,A17+1,A17)</f>
        <v>16</v>
      </c>
      <c r="B18" s="2" t="str">
        <f>BAL!A17</f>
        <v>Devontez Walker</v>
      </c>
      <c r="C18" s="2" t="s">
        <v>54</v>
      </c>
      <c r="D18" s="2">
        <f>BAL!C18</f>
        <v>13</v>
      </c>
      <c r="E18" s="3">
        <f>BAL!J18</f>
        <v>0</v>
      </c>
      <c r="F18" s="3">
        <f>BAL!K18</f>
        <v>0</v>
      </c>
      <c r="G18" s="3">
        <f>BAL!L17</f>
        <v>22.558126079999997</v>
      </c>
      <c r="H18" s="3">
        <f>BAL!M17</f>
        <v>15.22556542338844</v>
      </c>
      <c r="I18" s="3">
        <f>BAL!N17</f>
        <v>230.46852058953951</v>
      </c>
      <c r="J18" s="3">
        <f>BAL!O17</f>
        <v>1.6748121965727285</v>
      </c>
      <c r="K18" s="3">
        <f t="shared" si="0"/>
        <v>33.095725238390322</v>
      </c>
      <c r="L18" s="3">
        <f t="shared" si="1"/>
        <v>40.708507950084545</v>
      </c>
      <c r="M18" s="3">
        <f t="shared" si="2"/>
        <v>48.321290661778761</v>
      </c>
      <c r="N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40.708507950084538</v>
      </c>
      <c r="O18" s="14">
        <v>0</v>
      </c>
    </row>
    <row r="19" spans="1:15" x14ac:dyDescent="0.25">
      <c r="A19" s="2">
        <f>IF(TableWRMaster[[#This Row],[Player]]&lt;&gt;0,A18+1,A18)</f>
        <v>16</v>
      </c>
      <c r="B19" s="2">
        <f>BAL!A18</f>
        <v>0</v>
      </c>
      <c r="C19" s="2" t="s">
        <v>54</v>
      </c>
      <c r="D19" s="2">
        <f>BAL!C16</f>
        <v>13</v>
      </c>
      <c r="E19" s="3">
        <f>BAL!J16</f>
        <v>0</v>
      </c>
      <c r="F19" s="3">
        <f>BAL!K16</f>
        <v>0</v>
      </c>
      <c r="G19" s="3">
        <f>BAL!L18</f>
        <v>0</v>
      </c>
      <c r="H19" s="3">
        <f>BAL!M18</f>
        <v>0</v>
      </c>
      <c r="I19" s="3">
        <f>BAL!N18</f>
        <v>0</v>
      </c>
      <c r="J19" s="3">
        <f>BAL!O18</f>
        <v>0</v>
      </c>
      <c r="K19" s="3">
        <f t="shared" si="0"/>
        <v>0</v>
      </c>
      <c r="L19" s="3">
        <f t="shared" si="1"/>
        <v>0</v>
      </c>
      <c r="M19" s="3">
        <f t="shared" si="2"/>
        <v>0</v>
      </c>
      <c r="N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" s="14">
        <v>0</v>
      </c>
    </row>
    <row r="20" spans="1:15" x14ac:dyDescent="0.25">
      <c r="A20" s="2">
        <f>IF(TableWRMaster[[#This Row],[Player]]&lt;&gt;0,A19+1,A19)</f>
        <v>17</v>
      </c>
      <c r="B20" s="2" t="str">
        <f>BUF!A13</f>
        <v>DJ Moore</v>
      </c>
      <c r="C20" s="2" t="s">
        <v>55</v>
      </c>
      <c r="D20" s="2">
        <f>BUF!C13</f>
        <v>7</v>
      </c>
      <c r="E20" s="3">
        <f>BUF!J13</f>
        <v>25.86713675</v>
      </c>
      <c r="F20" s="3">
        <f>BUF!K13</f>
        <v>0.15582612499999998</v>
      </c>
      <c r="G20" s="3">
        <f>BUF!L13</f>
        <v>117.98472839999995</v>
      </c>
      <c r="H20" s="3">
        <f>BUF!M13</f>
        <v>77.113608382461507</v>
      </c>
      <c r="I20" s="3">
        <f>BUF!N13</f>
        <v>993.99441204992888</v>
      </c>
      <c r="J20" s="3">
        <f>BUF!O13</f>
        <v>7.4029064047163047</v>
      </c>
      <c r="K20" s="3">
        <f t="shared" si="0"/>
        <v>147.33855005829071</v>
      </c>
      <c r="L20" s="3">
        <f t="shared" si="1"/>
        <v>185.89535424952146</v>
      </c>
      <c r="M20" s="3">
        <f t="shared" si="2"/>
        <v>224.45215844075221</v>
      </c>
      <c r="N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185.89535424952149</v>
      </c>
      <c r="O20" s="14">
        <v>40.616501915999407</v>
      </c>
    </row>
    <row r="21" spans="1:15" x14ac:dyDescent="0.25">
      <c r="A21" s="2">
        <f>IF(TableWRMaster[[#This Row],[Player]]&lt;&gt;0,A20+1,A20)</f>
        <v>18</v>
      </c>
      <c r="B21" s="2" t="str">
        <f>BUF!A14</f>
        <v>Khalil Shakir</v>
      </c>
      <c r="C21" s="2" t="s">
        <v>55</v>
      </c>
      <c r="D21" s="2">
        <f>BUF!C14</f>
        <v>7</v>
      </c>
      <c r="E21" s="3">
        <f>BUF!J14</f>
        <v>0</v>
      </c>
      <c r="F21" s="3">
        <f>BUF!K14</f>
        <v>0</v>
      </c>
      <c r="G21" s="3">
        <f>BUF!L14</f>
        <v>90.403882799999963</v>
      </c>
      <c r="H21" s="3">
        <f>BUF!M14</f>
        <v>64.457968436399966</v>
      </c>
      <c r="I21" s="3">
        <f>BUF!N14</f>
        <v>705.95057284349139</v>
      </c>
      <c r="J21" s="3">
        <f>BUF!O14</f>
        <v>3.7385621693111983</v>
      </c>
      <c r="K21" s="3">
        <f t="shared" si="0"/>
        <v>93.026430300216333</v>
      </c>
      <c r="L21" s="3">
        <f t="shared" si="1"/>
        <v>125.25541451841632</v>
      </c>
      <c r="M21" s="3">
        <f t="shared" si="2"/>
        <v>157.4843987366163</v>
      </c>
      <c r="N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125.25541451841632</v>
      </c>
      <c r="O21" s="14">
        <v>6.1881734118932492</v>
      </c>
    </row>
    <row r="22" spans="1:15" x14ac:dyDescent="0.25">
      <c r="A22" s="2">
        <f>IF(TableWRMaster[[#This Row],[Player]]&lt;&gt;0,A21+1,A21)</f>
        <v>19</v>
      </c>
      <c r="B22" s="2" t="str">
        <f>BUF!A15</f>
        <v>Keon Coleman</v>
      </c>
      <c r="C22" s="2" t="s">
        <v>55</v>
      </c>
      <c r="D22" s="2">
        <f>BUF!C16</f>
        <v>7</v>
      </c>
      <c r="E22" s="3">
        <f>BUF!J16</f>
        <v>0</v>
      </c>
      <c r="F22" s="3">
        <f>BUF!K16</f>
        <v>0</v>
      </c>
      <c r="G22" s="3">
        <f>BUF!L15</f>
        <v>36.774460799999986</v>
      </c>
      <c r="H22" s="3">
        <f>BUF!M15</f>
        <v>19.637562067199994</v>
      </c>
      <c r="I22" s="3">
        <f>BUF!N15</f>
        <v>281.01351318163194</v>
      </c>
      <c r="J22" s="3">
        <f>BUF!O15</f>
        <v>1.9833937687871994</v>
      </c>
      <c r="K22" s="3">
        <f t="shared" si="0"/>
        <v>40.001713930886389</v>
      </c>
      <c r="L22" s="3">
        <f t="shared" si="1"/>
        <v>49.820494964486386</v>
      </c>
      <c r="M22" s="3">
        <f t="shared" si="2"/>
        <v>59.639275998086383</v>
      </c>
      <c r="N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49.820494964486386</v>
      </c>
      <c r="O22" s="14">
        <v>4.1471716410938786</v>
      </c>
    </row>
    <row r="23" spans="1:15" x14ac:dyDescent="0.25">
      <c r="A23" s="2">
        <f>IF(TableWRMaster[[#This Row],[Player]]&lt;&gt;0,A22+1,A22)</f>
        <v>20</v>
      </c>
      <c r="B23" s="2" t="str">
        <f>BUF!A16</f>
        <v>Joshua Palmer</v>
      </c>
      <c r="C23" s="2" t="s">
        <v>55</v>
      </c>
      <c r="D23" s="2">
        <f>BUF!C15</f>
        <v>7</v>
      </c>
      <c r="E23" s="3">
        <f>BUF!J15</f>
        <v>0</v>
      </c>
      <c r="F23" s="3">
        <f>BUF!K15</f>
        <v>0</v>
      </c>
      <c r="G23" s="3">
        <f>BUF!L16</f>
        <v>24.005550799999988</v>
      </c>
      <c r="H23" s="3">
        <f>BUF!M16</f>
        <v>16.251757891599993</v>
      </c>
      <c r="I23" s="3">
        <f>BUF!N16</f>
        <v>228.66223353481192</v>
      </c>
      <c r="J23" s="3">
        <f>BUF!O16</f>
        <v>1.0092661199777342</v>
      </c>
      <c r="K23" s="3">
        <f t="shared" si="0"/>
        <v>28.921820073347597</v>
      </c>
      <c r="L23" s="3">
        <f t="shared" si="1"/>
        <v>37.047699019147593</v>
      </c>
      <c r="M23" s="3">
        <f t="shared" si="2"/>
        <v>45.17357796494759</v>
      </c>
      <c r="N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37.047699019147593</v>
      </c>
      <c r="O23" s="14">
        <v>0</v>
      </c>
    </row>
    <row r="24" spans="1:15" x14ac:dyDescent="0.25">
      <c r="A24" s="2">
        <f>IF(TableWRMaster[[#This Row],[Player]]&lt;&gt;0,A23+1,A23)</f>
        <v>21</v>
      </c>
      <c r="B24" s="2" t="str">
        <f>BUF!A17</f>
        <v>Skyler Bell</v>
      </c>
      <c r="C24" s="2" t="s">
        <v>55</v>
      </c>
      <c r="D24" s="2">
        <f>BUF!C17</f>
        <v>7</v>
      </c>
      <c r="E24" s="3">
        <f>BUF!J17</f>
        <v>0</v>
      </c>
      <c r="F24" s="3">
        <f>BUF!K17</f>
        <v>0</v>
      </c>
      <c r="G24" s="3">
        <f>BUF!L17</f>
        <v>20.430255999999993</v>
      </c>
      <c r="H24" s="3">
        <f>BUF!M17</f>
        <v>12.728049487999996</v>
      </c>
      <c r="I24" s="3">
        <f>BUF!N17</f>
        <v>161.05822684422731</v>
      </c>
      <c r="J24" s="3">
        <f>BUF!O17</f>
        <v>0.99498567446310282</v>
      </c>
      <c r="K24" s="3">
        <f t="shared" si="0"/>
        <v>22.075736731201346</v>
      </c>
      <c r="L24" s="3">
        <f t="shared" si="1"/>
        <v>28.439761475201344</v>
      </c>
      <c r="M24" s="3">
        <f t="shared" si="2"/>
        <v>34.803786219201342</v>
      </c>
      <c r="N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28.439761475201344</v>
      </c>
      <c r="O24" s="14">
        <v>0</v>
      </c>
    </row>
    <row r="25" spans="1:15" x14ac:dyDescent="0.25">
      <c r="A25" s="2">
        <f>IF(TableWRMaster[[#This Row],[Player]]&lt;&gt;0,A24+1,A24)</f>
        <v>22</v>
      </c>
      <c r="B25" s="2" t="str">
        <f>BUF!A18</f>
        <v>Mecole Hardman</v>
      </c>
      <c r="C25" s="2" t="s">
        <v>55</v>
      </c>
      <c r="D25" s="2">
        <f>BUF!C18</f>
        <v>7</v>
      </c>
      <c r="E25" s="3">
        <f>BUF!J18</f>
        <v>0</v>
      </c>
      <c r="F25" s="3">
        <f>BUF!K18</f>
        <v>0</v>
      </c>
      <c r="G25" s="3">
        <f>BUF!L18</f>
        <v>7.6613459999999973</v>
      </c>
      <c r="H25" s="3">
        <f>BUF!M18</f>
        <v>4.3746285659999984</v>
      </c>
      <c r="I25" s="3">
        <f>BUF!N18</f>
        <v>53.939170218779978</v>
      </c>
      <c r="J25" s="3">
        <f>BUF!O18</f>
        <v>0.26247771395999991</v>
      </c>
      <c r="K25" s="3">
        <f t="shared" si="0"/>
        <v>6.9687833056379977</v>
      </c>
      <c r="L25" s="3">
        <f t="shared" si="1"/>
        <v>9.1560975886379978</v>
      </c>
      <c r="M25" s="3">
        <f t="shared" si="2"/>
        <v>11.343411871637997</v>
      </c>
      <c r="N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9.1560975886379978</v>
      </c>
      <c r="O25" s="14">
        <v>0</v>
      </c>
    </row>
    <row r="26" spans="1:15" x14ac:dyDescent="0.25">
      <c r="A26" s="2">
        <f>IF(TableWRMaster[[#This Row],[Player]]&lt;&gt;0,A25+1,A25)</f>
        <v>22</v>
      </c>
      <c r="B26" s="2">
        <f>BUF!A19</f>
        <v>0</v>
      </c>
      <c r="C26" s="2" t="s">
        <v>55</v>
      </c>
      <c r="D26" s="2">
        <f>BUF!C19</f>
        <v>7</v>
      </c>
      <c r="E26" s="3">
        <f>BUF!J19</f>
        <v>0</v>
      </c>
      <c r="F26" s="3">
        <f>BUF!K19</f>
        <v>0</v>
      </c>
      <c r="G26" s="3">
        <f>BUF!L19</f>
        <v>0</v>
      </c>
      <c r="H26" s="3">
        <f>BUF!M19</f>
        <v>0</v>
      </c>
      <c r="I26" s="3">
        <f>BUF!N19</f>
        <v>0</v>
      </c>
      <c r="J26" s="3">
        <f>BUF!O19</f>
        <v>0</v>
      </c>
      <c r="K26" s="3">
        <f t="shared" si="0"/>
        <v>0</v>
      </c>
      <c r="L26" s="3">
        <f t="shared" si="1"/>
        <v>0</v>
      </c>
      <c r="M26" s="3">
        <f t="shared" si="2"/>
        <v>0</v>
      </c>
      <c r="N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6" s="14">
        <v>0</v>
      </c>
    </row>
    <row r="27" spans="1:15" x14ac:dyDescent="0.25">
      <c r="A27" s="2">
        <f>IF(TableWRMaster[[#This Row],[Player]]&lt;&gt;0,A26+1,A26)</f>
        <v>23</v>
      </c>
      <c r="B27" s="2" t="str">
        <f>CAR!A13</f>
        <v>Tetairoa McMillan</v>
      </c>
      <c r="C27" s="2" t="s">
        <v>56</v>
      </c>
      <c r="D27" s="2">
        <f>CAR!C13</f>
        <v>5</v>
      </c>
      <c r="E27" s="3">
        <f>CAR!J13</f>
        <v>0</v>
      </c>
      <c r="F27" s="3">
        <f>CAR!K13</f>
        <v>0</v>
      </c>
      <c r="G27" s="3">
        <f>CAR!L13</f>
        <v>148.61523599999998</v>
      </c>
      <c r="H27" s="3">
        <f>CAR!M13</f>
        <v>84.666360677684196</v>
      </c>
      <c r="I27" s="3">
        <f>CAR!N13</f>
        <v>1213.2689485112146</v>
      </c>
      <c r="J27" s="3">
        <f>CAR!O13</f>
        <v>7.3659733789585244</v>
      </c>
      <c r="K27" s="3">
        <f t="shared" si="0"/>
        <v>165.52273512487261</v>
      </c>
      <c r="L27" s="3">
        <f t="shared" si="1"/>
        <v>207.85591546371472</v>
      </c>
      <c r="M27" s="3">
        <f t="shared" si="2"/>
        <v>250.18909580255681</v>
      </c>
      <c r="N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207.85591546371469</v>
      </c>
      <c r="O27" s="14">
        <v>17.941744686042725</v>
      </c>
    </row>
    <row r="28" spans="1:15" x14ac:dyDescent="0.25">
      <c r="A28" s="2">
        <f>IF(TableWRMaster[[#This Row],[Player]]&lt;&gt;0,A27+1,A27)</f>
        <v>24</v>
      </c>
      <c r="B28" s="2" t="str">
        <f>CAR!A14</f>
        <v>Jalen Coker</v>
      </c>
      <c r="C28" s="2" t="s">
        <v>56</v>
      </c>
      <c r="D28" s="2">
        <f>CAR!C14</f>
        <v>5</v>
      </c>
      <c r="E28" s="3">
        <f>CAR!J14</f>
        <v>0</v>
      </c>
      <c r="F28" s="3">
        <f>CAR!K14</f>
        <v>0</v>
      </c>
      <c r="G28" s="3">
        <f>CAR!L14</f>
        <v>99.615284999999986</v>
      </c>
      <c r="H28" s="3">
        <f>CAR!M14</f>
        <v>62.558398979999993</v>
      </c>
      <c r="I28" s="3">
        <f>CAR!N14</f>
        <v>770.09389144379998</v>
      </c>
      <c r="J28" s="3">
        <f>CAR!O14</f>
        <v>4.629321524519999</v>
      </c>
      <c r="K28" s="3">
        <f t="shared" si="0"/>
        <v>104.78531829149999</v>
      </c>
      <c r="L28" s="3">
        <f t="shared" si="1"/>
        <v>136.0645177815</v>
      </c>
      <c r="M28" s="3">
        <f t="shared" si="2"/>
        <v>167.3437172715</v>
      </c>
      <c r="N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136.0645177815</v>
      </c>
      <c r="O28" s="14">
        <v>14.406806585771708</v>
      </c>
    </row>
    <row r="29" spans="1:15" x14ac:dyDescent="0.25">
      <c r="A29" s="2">
        <f>IF(TableWRMaster[[#This Row],[Player]]&lt;&gt;0,A28+1,A28)</f>
        <v>25</v>
      </c>
      <c r="B29" s="2" t="str">
        <f>CAR!A15</f>
        <v>Xavier Legette</v>
      </c>
      <c r="C29" s="2" t="s">
        <v>56</v>
      </c>
      <c r="D29" s="2">
        <f>CAR!C15</f>
        <v>5</v>
      </c>
      <c r="E29" s="3">
        <f>CAR!J15</f>
        <v>0</v>
      </c>
      <c r="F29" s="3">
        <f>CAR!K15</f>
        <v>0</v>
      </c>
      <c r="G29" s="3">
        <f>CAR!L15</f>
        <v>47.923028999999993</v>
      </c>
      <c r="H29" s="3">
        <f>CAR!M15</f>
        <v>28.945509515999994</v>
      </c>
      <c r="I29" s="3">
        <f>CAR!N15</f>
        <v>298.90970693152786</v>
      </c>
      <c r="J29" s="3">
        <f>CAR!O15</f>
        <v>2.4314227993439999</v>
      </c>
      <c r="K29" s="3">
        <f t="shared" si="0"/>
        <v>44.479507489216786</v>
      </c>
      <c r="L29" s="3">
        <f t="shared" si="1"/>
        <v>58.95226224721678</v>
      </c>
      <c r="M29" s="3">
        <f t="shared" si="2"/>
        <v>73.425017005216773</v>
      </c>
      <c r="N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58.952262247216787</v>
      </c>
      <c r="O29" s="14">
        <v>0</v>
      </c>
    </row>
    <row r="30" spans="1:15" x14ac:dyDescent="0.25">
      <c r="A30" s="2">
        <f>IF(TableWRMaster[[#This Row],[Player]]&lt;&gt;0,A29+1,A29)</f>
        <v>26</v>
      </c>
      <c r="B30" s="2" t="str">
        <f>CAR!A16</f>
        <v>John Metchie</v>
      </c>
      <c r="C30" s="2" t="s">
        <v>56</v>
      </c>
      <c r="D30" s="2">
        <f>CAR!C16</f>
        <v>5</v>
      </c>
      <c r="E30" s="3">
        <f>CAR!J16</f>
        <v>0</v>
      </c>
      <c r="F30" s="3">
        <f>CAR!K16</f>
        <v>0</v>
      </c>
      <c r="G30" s="3">
        <f>CAR!L16</f>
        <v>33.384581999999995</v>
      </c>
      <c r="H30" s="3">
        <f>CAR!M16</f>
        <v>21.633209135999998</v>
      </c>
      <c r="I30" s="3">
        <f>CAR!N16</f>
        <v>229.15304067903736</v>
      </c>
      <c r="J30" s="3">
        <f>CAR!O16</f>
        <v>1.7306567308799998</v>
      </c>
      <c r="K30" s="3">
        <f t="shared" si="0"/>
        <v>33.299244453183732</v>
      </c>
      <c r="L30" s="3">
        <f t="shared" si="1"/>
        <v>44.115849021183735</v>
      </c>
      <c r="M30" s="3">
        <f t="shared" si="2"/>
        <v>54.93245358918373</v>
      </c>
      <c r="N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44.115849021183735</v>
      </c>
      <c r="O30" s="14">
        <v>0</v>
      </c>
    </row>
    <row r="31" spans="1:15" x14ac:dyDescent="0.25">
      <c r="A31" s="2">
        <f>IF(TableWRMaster[[#This Row],[Player]]&lt;&gt;0,A30+1,A30)</f>
        <v>27</v>
      </c>
      <c r="B31" s="2" t="str">
        <f>CAR!A17</f>
        <v>Jimmy Horn</v>
      </c>
      <c r="C31" s="2" t="s">
        <v>56</v>
      </c>
      <c r="D31" s="2">
        <f>CAR!C17</f>
        <v>5</v>
      </c>
      <c r="E31" s="3">
        <f>CAR!J17</f>
        <v>19.428255</v>
      </c>
      <c r="F31" s="3">
        <f>CAR!K17</f>
        <v>4.9184210526315789E-2</v>
      </c>
      <c r="G31" s="3">
        <f>CAR!L17</f>
        <v>5.3846099999999995</v>
      </c>
      <c r="H31" s="3">
        <f>CAR!M17</f>
        <v>3.4353811799999998</v>
      </c>
      <c r="I31" s="3">
        <f>CAR!N17</f>
        <v>31.605506855999995</v>
      </c>
      <c r="J31" s="3">
        <f>CAR!O17</f>
        <v>0.26452435085999998</v>
      </c>
      <c r="K31" s="3">
        <f t="shared" si="0"/>
        <v>6.9856275539178938</v>
      </c>
      <c r="L31" s="3">
        <f t="shared" si="1"/>
        <v>8.7033181439178939</v>
      </c>
      <c r="M31" s="3">
        <f t="shared" si="2"/>
        <v>10.421008733917894</v>
      </c>
      <c r="N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8.7033181439178939</v>
      </c>
      <c r="O31" s="14">
        <v>0</v>
      </c>
    </row>
    <row r="32" spans="1:15" x14ac:dyDescent="0.25">
      <c r="A32" s="2">
        <f>IF(TableWRMaster[[#This Row],[Player]]&lt;&gt;0,A31+1,A31)</f>
        <v>27</v>
      </c>
      <c r="B32" s="2">
        <f>CAR!A18</f>
        <v>0</v>
      </c>
      <c r="C32" s="2" t="s">
        <v>56</v>
      </c>
      <c r="D32" s="2">
        <f>CAR!C18</f>
        <v>5</v>
      </c>
      <c r="E32" s="3">
        <f>CAR!J18</f>
        <v>0</v>
      </c>
      <c r="F32" s="3">
        <f>CAR!K18</f>
        <v>0</v>
      </c>
      <c r="G32" s="3">
        <f>CAR!L18</f>
        <v>0</v>
      </c>
      <c r="H32" s="3">
        <f>CAR!M18</f>
        <v>0</v>
      </c>
      <c r="I32" s="3">
        <f>CAR!N18</f>
        <v>0</v>
      </c>
      <c r="J32" s="3">
        <f>CAR!O18</f>
        <v>0</v>
      </c>
      <c r="K32" s="3">
        <f t="shared" si="0"/>
        <v>0</v>
      </c>
      <c r="L32" s="3">
        <f t="shared" si="1"/>
        <v>0</v>
      </c>
      <c r="M32" s="3">
        <f t="shared" si="2"/>
        <v>0</v>
      </c>
      <c r="N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2" s="14">
        <v>0</v>
      </c>
    </row>
    <row r="33" spans="1:15" x14ac:dyDescent="0.25">
      <c r="A33" s="2">
        <f>IF(TableWRMaster[[#This Row],[Player]]&lt;&gt;0,A32+1,A32)</f>
        <v>27</v>
      </c>
      <c r="B33" s="2">
        <f>CAR!A19</f>
        <v>0</v>
      </c>
      <c r="C33" s="2" t="s">
        <v>56</v>
      </c>
      <c r="D33" s="2">
        <f>CAR!C19</f>
        <v>5</v>
      </c>
      <c r="E33" s="3">
        <f>CAR!J19</f>
        <v>0</v>
      </c>
      <c r="F33" s="3">
        <f>CAR!K19</f>
        <v>0</v>
      </c>
      <c r="G33" s="3">
        <f>CAR!L19</f>
        <v>0</v>
      </c>
      <c r="H33" s="3">
        <f>CAR!M19</f>
        <v>0</v>
      </c>
      <c r="I33" s="3">
        <f>CAR!N19</f>
        <v>0</v>
      </c>
      <c r="J33" s="3">
        <f>CAR!O19</f>
        <v>0</v>
      </c>
      <c r="K33" s="3">
        <f t="shared" si="0"/>
        <v>0</v>
      </c>
      <c r="L33" s="3">
        <f t="shared" si="1"/>
        <v>0</v>
      </c>
      <c r="M33" s="3">
        <f t="shared" si="2"/>
        <v>0</v>
      </c>
      <c r="N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3" s="14">
        <v>0</v>
      </c>
    </row>
    <row r="34" spans="1:15" x14ac:dyDescent="0.25">
      <c r="A34" s="2">
        <f>IF(TableWRMaster[[#This Row],[Player]]&lt;&gt;0,A33+1,A33)</f>
        <v>28</v>
      </c>
      <c r="B34" s="2" t="str">
        <f>CHI!A13</f>
        <v>Luther Burden</v>
      </c>
      <c r="C34" s="2" t="s">
        <v>57</v>
      </c>
      <c r="D34" s="2">
        <f>CHI!C13</f>
        <v>10</v>
      </c>
      <c r="E34" s="3">
        <f>CHI!J13</f>
        <v>49.025872562294488</v>
      </c>
      <c r="F34" s="3">
        <f>CHI!K13</f>
        <v>0.28516944981580605</v>
      </c>
      <c r="G34" s="3">
        <f>CHI!L13</f>
        <v>130.26901272000001</v>
      </c>
      <c r="H34" s="3">
        <f>CHI!M13</f>
        <v>81.027325911840009</v>
      </c>
      <c r="I34" s="3">
        <f>CHI!N13</f>
        <v>1060.6476961859858</v>
      </c>
      <c r="J34" s="3">
        <f>CHI!O13</f>
        <v>6.4821860729472007</v>
      </c>
      <c r="K34" s="3">
        <f t="shared" si="0"/>
        <v>151.57149001140607</v>
      </c>
      <c r="L34" s="3">
        <f t="shared" ref="L34:L65" si="3">K34+(H34*0.5)</f>
        <v>192.08515296732608</v>
      </c>
      <c r="M34" s="3">
        <f t="shared" ref="M34:M65" si="4">K34+H34</f>
        <v>232.59881592324609</v>
      </c>
      <c r="N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192.08515296732605</v>
      </c>
      <c r="O34" s="14">
        <v>26.619108615592406</v>
      </c>
    </row>
    <row r="35" spans="1:15" x14ac:dyDescent="0.25">
      <c r="A35" s="2">
        <f>IF(TableWRMaster[[#This Row],[Player]]&lt;&gt;0,A34+1,A34)</f>
        <v>29</v>
      </c>
      <c r="B35" s="2" t="str">
        <f>CHI!A14</f>
        <v>Rome Odunze</v>
      </c>
      <c r="C35" s="2" t="s">
        <v>57</v>
      </c>
      <c r="D35" s="2">
        <f>CHI!C14</f>
        <v>10</v>
      </c>
      <c r="E35" s="3">
        <f>CHI!J14</f>
        <v>0</v>
      </c>
      <c r="F35" s="3">
        <f>CHI!K14</f>
        <v>0</v>
      </c>
      <c r="G35" s="3">
        <f>CHI!L14</f>
        <v>128.57720736000002</v>
      </c>
      <c r="H35" s="3">
        <f>CHI!M14</f>
        <v>66.021181549176006</v>
      </c>
      <c r="I35" s="3">
        <f>CHI!N14</f>
        <v>982.39518145173906</v>
      </c>
      <c r="J35" s="3">
        <f>CHI!O14</f>
        <v>7.1302876073110086</v>
      </c>
      <c r="K35" s="3">
        <f t="shared" si="0"/>
        <v>141.02124378903994</v>
      </c>
      <c r="L35" s="3">
        <f t="shared" si="3"/>
        <v>174.03183456362794</v>
      </c>
      <c r="M35" s="3">
        <f t="shared" si="4"/>
        <v>207.04242533821593</v>
      </c>
      <c r="N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174.03183456362797</v>
      </c>
      <c r="O35" s="14">
        <v>3.2302874195346365</v>
      </c>
    </row>
    <row r="36" spans="1:15" x14ac:dyDescent="0.25">
      <c r="A36" s="2">
        <f>IF(TableWRMaster[[#This Row],[Player]]&lt;&gt;0,A35+1,A35)</f>
        <v>30</v>
      </c>
      <c r="B36" s="2" t="str">
        <f>CHI!A15</f>
        <v>Kalif Raymond</v>
      </c>
      <c r="C36" s="2" t="s">
        <v>57</v>
      </c>
      <c r="D36" s="2">
        <f>CHI!C15</f>
        <v>10</v>
      </c>
      <c r="E36" s="3">
        <f>CHI!J15</f>
        <v>14.529662933333332</v>
      </c>
      <c r="F36" s="3">
        <f>CHI!K15</f>
        <v>2.5945826666666665E-2</v>
      </c>
      <c r="G36" s="3">
        <f>CHI!L15</f>
        <v>36.091847680000001</v>
      </c>
      <c r="H36" s="3">
        <f>CHI!M15</f>
        <v>20.283618396160001</v>
      </c>
      <c r="I36" s="3">
        <f>CHI!N15</f>
        <v>224.53965564549122</v>
      </c>
      <c r="J36" s="3">
        <f>CHI!O15</f>
        <v>1.25758434056192</v>
      </c>
      <c r="K36" s="3">
        <f t="shared" si="0"/>
        <v>31.608112861253975</v>
      </c>
      <c r="L36" s="3">
        <f t="shared" si="3"/>
        <v>41.749922059333976</v>
      </c>
      <c r="M36" s="3">
        <f t="shared" si="4"/>
        <v>51.89173125741398</v>
      </c>
      <c r="N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41.749922059333976</v>
      </c>
      <c r="O36" s="14">
        <v>0</v>
      </c>
    </row>
    <row r="37" spans="1:15" x14ac:dyDescent="0.25">
      <c r="A37" s="2">
        <f>IF(TableWRMaster[[#This Row],[Player]]&lt;&gt;0,A36+1,A36)</f>
        <v>31</v>
      </c>
      <c r="B37" s="2" t="str">
        <f>CHI!A16</f>
        <v>Zavion Thomas</v>
      </c>
      <c r="C37" s="2" t="s">
        <v>57</v>
      </c>
      <c r="D37" s="2">
        <f>CHI!C16</f>
        <v>10</v>
      </c>
      <c r="E37" s="3">
        <f>CHI!J16</f>
        <v>0</v>
      </c>
      <c r="F37" s="3">
        <f>CHI!K16</f>
        <v>0</v>
      </c>
      <c r="G37" s="3">
        <f>CHI!L16</f>
        <v>11.2787024</v>
      </c>
      <c r="H37" s="3">
        <f>CHI!M16</f>
        <v>6.8800084640000003</v>
      </c>
      <c r="I37" s="3">
        <f>CHI!N16</f>
        <v>66.116881339040006</v>
      </c>
      <c r="J37" s="3">
        <f>CHI!O16</f>
        <v>0.5652210025082155</v>
      </c>
      <c r="K37" s="3">
        <f t="shared" si="0"/>
        <v>10.003014148953294</v>
      </c>
      <c r="L37" s="3">
        <f t="shared" si="3"/>
        <v>13.443018380953294</v>
      </c>
      <c r="M37" s="3">
        <f t="shared" si="4"/>
        <v>16.883022612953294</v>
      </c>
      <c r="N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13.443018380953294</v>
      </c>
      <c r="O37" s="14">
        <v>0</v>
      </c>
    </row>
    <row r="38" spans="1:15" x14ac:dyDescent="0.25">
      <c r="A38" s="2">
        <f>IF(TableWRMaster[[#This Row],[Player]]&lt;&gt;0,A37+1,A37)</f>
        <v>32</v>
      </c>
      <c r="B38" s="2" t="str">
        <f>CHI!A17</f>
        <v>Jahdae Walker</v>
      </c>
      <c r="C38" s="2" t="s">
        <v>57</v>
      </c>
      <c r="D38" s="2">
        <f>CHI!C17</f>
        <v>10</v>
      </c>
      <c r="E38" s="3">
        <f>CHI!J17</f>
        <v>0</v>
      </c>
      <c r="F38" s="3">
        <f>CHI!K17</f>
        <v>0</v>
      </c>
      <c r="G38" s="3">
        <f>CHI!L17</f>
        <v>5.6393512000000001</v>
      </c>
      <c r="H38" s="3">
        <f>CHI!M17</f>
        <v>3.2426269399999996</v>
      </c>
      <c r="I38" s="3">
        <f>CHI!N17</f>
        <v>38.740991182049278</v>
      </c>
      <c r="J38" s="3">
        <f>CHI!O17</f>
        <v>0.30804955929999994</v>
      </c>
      <c r="K38" s="3">
        <f t="shared" si="0"/>
        <v>5.7223964740049276</v>
      </c>
      <c r="L38" s="3">
        <f t="shared" si="3"/>
        <v>7.3437099440049272</v>
      </c>
      <c r="M38" s="3">
        <f t="shared" si="4"/>
        <v>8.9650234140049267</v>
      </c>
      <c r="N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7.3437099440049272</v>
      </c>
      <c r="O38" s="14">
        <v>0</v>
      </c>
    </row>
    <row r="39" spans="1:15" x14ac:dyDescent="0.25">
      <c r="A39" s="2">
        <f>IF(TableWRMaster[[#This Row],[Player]]&lt;&gt;0,A38+1,A38)</f>
        <v>33</v>
      </c>
      <c r="B39" s="2" t="str">
        <f>CHI!A18</f>
        <v>Scotty Miller</v>
      </c>
      <c r="C39" s="2" t="s">
        <v>57</v>
      </c>
      <c r="D39" s="2">
        <f>CHI!C18</f>
        <v>10</v>
      </c>
      <c r="E39" s="3">
        <f>CHI!J18</f>
        <v>0</v>
      </c>
      <c r="F39" s="3">
        <f>CHI!K18</f>
        <v>0</v>
      </c>
      <c r="G39" s="3">
        <f>CHI!L18</f>
        <v>5.6393512000000001</v>
      </c>
      <c r="H39" s="3">
        <f>CHI!M18</f>
        <v>3.327217208</v>
      </c>
      <c r="I39" s="3">
        <f>CHI!N18</f>
        <v>32.506912122159996</v>
      </c>
      <c r="J39" s="3">
        <f>CHI!O18</f>
        <v>0.19963303248</v>
      </c>
      <c r="K39" s="3">
        <f t="shared" si="0"/>
        <v>4.4484894070959999</v>
      </c>
      <c r="L39" s="3">
        <f t="shared" si="3"/>
        <v>6.1120980110960001</v>
      </c>
      <c r="M39" s="3">
        <f t="shared" si="4"/>
        <v>7.7757066150960004</v>
      </c>
      <c r="N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6.1120980110959993</v>
      </c>
      <c r="O39" s="14">
        <v>0</v>
      </c>
    </row>
    <row r="40" spans="1:15" x14ac:dyDescent="0.25">
      <c r="A40" s="2">
        <f>IF(TableWRMaster[[#This Row],[Player]]&lt;&gt;0,A39+1,A39)</f>
        <v>33</v>
      </c>
      <c r="B40" s="2">
        <f>CHI!A19</f>
        <v>0</v>
      </c>
      <c r="C40" s="2" t="s">
        <v>57</v>
      </c>
      <c r="D40" s="2">
        <f>CHI!C19</f>
        <v>10</v>
      </c>
      <c r="E40" s="3">
        <f>CHI!J19</f>
        <v>0</v>
      </c>
      <c r="F40" s="3">
        <f>CHI!K19</f>
        <v>0</v>
      </c>
      <c r="G40" s="3">
        <f>CHI!L19</f>
        <v>0</v>
      </c>
      <c r="H40" s="3">
        <f>CHI!M19</f>
        <v>0</v>
      </c>
      <c r="I40" s="3">
        <f>CHI!N19</f>
        <v>0</v>
      </c>
      <c r="J40" s="3">
        <f>CHI!O19</f>
        <v>0</v>
      </c>
      <c r="K40" s="3">
        <f t="shared" si="0"/>
        <v>0</v>
      </c>
      <c r="L40" s="3">
        <f t="shared" si="3"/>
        <v>0</v>
      </c>
      <c r="M40" s="3">
        <f t="shared" si="4"/>
        <v>0</v>
      </c>
      <c r="N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40" s="14">
        <v>0</v>
      </c>
    </row>
    <row r="41" spans="1:15" x14ac:dyDescent="0.25">
      <c r="A41" s="2">
        <f>IF(TableWRMaster[[#This Row],[Player]]&lt;&gt;0,A40+1,A40)</f>
        <v>34</v>
      </c>
      <c r="B41" s="2" t="str">
        <f>CIN!A13</f>
        <v>Ja'Marr Chase</v>
      </c>
      <c r="C41" s="2" t="s">
        <v>58</v>
      </c>
      <c r="D41" s="2">
        <f>CIN!C13</f>
        <v>6</v>
      </c>
      <c r="E41" s="3">
        <f>CIN!J13</f>
        <v>14.884963338313767</v>
      </c>
      <c r="F41" s="3">
        <f>CIN!K13</f>
        <v>4.8294128068303098E-2</v>
      </c>
      <c r="G41" s="3">
        <f>CIN!L13</f>
        <v>189.1810375</v>
      </c>
      <c r="H41" s="3">
        <f>CIN!M13</f>
        <v>130.50871869868942</v>
      </c>
      <c r="I41" s="3">
        <f>CIN!N13</f>
        <v>1621.4955597299952</v>
      </c>
      <c r="J41" s="3">
        <f>CIN!O13</f>
        <v>11.615275964183358</v>
      </c>
      <c r="K41" s="3">
        <f t="shared" si="0"/>
        <v>233.61947286034086</v>
      </c>
      <c r="L41" s="3">
        <f t="shared" si="3"/>
        <v>298.87383220968559</v>
      </c>
      <c r="M41" s="3">
        <f t="shared" si="4"/>
        <v>364.12819155903026</v>
      </c>
      <c r="N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298.87383220968559</v>
      </c>
      <c r="O41" s="14">
        <v>20.933498198048646</v>
      </c>
    </row>
    <row r="42" spans="1:15" x14ac:dyDescent="0.25">
      <c r="A42" s="2">
        <f>IF(TableWRMaster[[#This Row],[Player]]&lt;&gt;0,A41+1,A41)</f>
        <v>35</v>
      </c>
      <c r="B42" s="2" t="str">
        <f>CIN!A14</f>
        <v>Tee Higgins</v>
      </c>
      <c r="C42" s="2" t="s">
        <v>58</v>
      </c>
      <c r="D42" s="2">
        <f>CIN!C14</f>
        <v>6</v>
      </c>
      <c r="E42" s="3">
        <f>CIN!J14</f>
        <v>0</v>
      </c>
      <c r="F42" s="3">
        <f>CIN!K14</f>
        <v>0</v>
      </c>
      <c r="G42" s="3">
        <f>CIN!L14</f>
        <v>128.44063750000001</v>
      </c>
      <c r="H42" s="3">
        <f>CIN!M14</f>
        <v>80.556362332031256</v>
      </c>
      <c r="I42" s="3">
        <f>CIN!N14</f>
        <v>1081.7836240677084</v>
      </c>
      <c r="J42" s="3">
        <f>CIN!O14</f>
        <v>10.311214378500001</v>
      </c>
      <c r="K42" s="3">
        <f t="shared" si="0"/>
        <v>170.04564867777086</v>
      </c>
      <c r="L42" s="3">
        <f t="shared" si="3"/>
        <v>210.32382984378648</v>
      </c>
      <c r="M42" s="3">
        <f t="shared" si="4"/>
        <v>250.60201100980211</v>
      </c>
      <c r="N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210.32382984378648</v>
      </c>
      <c r="O42" s="14">
        <v>18.616559514554787</v>
      </c>
    </row>
    <row r="43" spans="1:15" x14ac:dyDescent="0.25">
      <c r="A43" s="2">
        <f>IF(TableWRMaster[[#This Row],[Player]]&lt;&gt;0,A42+1,A42)</f>
        <v>36</v>
      </c>
      <c r="B43" s="2" t="str">
        <f>CIN!A15</f>
        <v>Andrei Iosivas</v>
      </c>
      <c r="C43" s="2" t="s">
        <v>58</v>
      </c>
      <c r="D43" s="2">
        <f>CIN!C15</f>
        <v>6</v>
      </c>
      <c r="E43" s="3">
        <f>CIN!J15</f>
        <v>11.102636344640434</v>
      </c>
      <c r="F43" s="3">
        <f>CIN!K15</f>
        <v>3.0905902306648577E-2</v>
      </c>
      <c r="G43" s="3">
        <f>CIN!L15</f>
        <v>68.965662499999993</v>
      </c>
      <c r="H43" s="3">
        <f>CIN!M15</f>
        <v>46.691190297135407</v>
      </c>
      <c r="I43" s="3">
        <f>CIN!N15</f>
        <v>524.46087475833326</v>
      </c>
      <c r="J43" s="3">
        <f>CIN!O15</f>
        <v>4.0154423655536444</v>
      </c>
      <c r="K43" s="3">
        <f t="shared" si="0"/>
        <v>77.834440717459131</v>
      </c>
      <c r="L43" s="3">
        <f t="shared" si="3"/>
        <v>101.18003586602683</v>
      </c>
      <c r="M43" s="3">
        <f t="shared" si="4"/>
        <v>124.52563101459454</v>
      </c>
      <c r="N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101.18003586602683</v>
      </c>
      <c r="O43" s="14">
        <v>11.308631676443813</v>
      </c>
    </row>
    <row r="44" spans="1:15" x14ac:dyDescent="0.25">
      <c r="A44" s="2">
        <f>IF(TableWRMaster[[#This Row],[Player]]&lt;&gt;0,A43+1,A43)</f>
        <v>37</v>
      </c>
      <c r="B44" s="2" t="str">
        <f>CIN!A16</f>
        <v>Charlie Jones</v>
      </c>
      <c r="C44" s="2" t="s">
        <v>58</v>
      </c>
      <c r="D44" s="2">
        <f>CIN!C16</f>
        <v>6</v>
      </c>
      <c r="E44" s="3">
        <f>CIN!J16</f>
        <v>0</v>
      </c>
      <c r="F44" s="3">
        <f>CIN!K16</f>
        <v>0</v>
      </c>
      <c r="G44" s="3">
        <f>CIN!L16</f>
        <v>9.4906874999999999</v>
      </c>
      <c r="H44" s="3">
        <f>CIN!M16</f>
        <v>5.6944124999999994</v>
      </c>
      <c r="I44" s="3">
        <f>CIN!N16</f>
        <v>58.842262499999997</v>
      </c>
      <c r="J44" s="3">
        <f>CIN!O16</f>
        <v>0.39860887499999997</v>
      </c>
      <c r="K44" s="3">
        <f t="shared" si="0"/>
        <v>8.2758794999999985</v>
      </c>
      <c r="L44" s="3">
        <f t="shared" si="3"/>
        <v>11.123085749999998</v>
      </c>
      <c r="M44" s="3">
        <f t="shared" si="4"/>
        <v>13.970291999999997</v>
      </c>
      <c r="N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11.123085750000001</v>
      </c>
      <c r="O44" s="14">
        <v>0</v>
      </c>
    </row>
    <row r="45" spans="1:15" x14ac:dyDescent="0.25">
      <c r="A45" s="2">
        <f>IF(TableWRMaster[[#This Row],[Player]]&lt;&gt;0,A44+1,A44)</f>
        <v>38</v>
      </c>
      <c r="B45" s="2" t="str">
        <f>CIN!A17</f>
        <v>Mitchell Tinsley</v>
      </c>
      <c r="C45" s="2" t="s">
        <v>58</v>
      </c>
      <c r="D45" s="2">
        <f>CIN!C17</f>
        <v>6</v>
      </c>
      <c r="E45" s="3">
        <f>CIN!J17</f>
        <v>0</v>
      </c>
      <c r="F45" s="3">
        <f>CIN!K17</f>
        <v>0</v>
      </c>
      <c r="G45" s="3">
        <f>CIN!L17</f>
        <v>13.286962500000001</v>
      </c>
      <c r="H45" s="3">
        <f>CIN!M17</f>
        <v>8.3707863750000016</v>
      </c>
      <c r="I45" s="3">
        <f>CIN!N17</f>
        <v>95.435880176789198</v>
      </c>
      <c r="J45" s="3">
        <f>CIN!O17</f>
        <v>0.73662920100000007</v>
      </c>
      <c r="K45" s="3">
        <f t="shared" si="0"/>
        <v>13.96336322367892</v>
      </c>
      <c r="L45" s="3">
        <f t="shared" si="3"/>
        <v>18.148756411178923</v>
      </c>
      <c r="M45" s="3">
        <f t="shared" si="4"/>
        <v>22.33414959867892</v>
      </c>
      <c r="N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18.148756411178923</v>
      </c>
      <c r="O45" s="14">
        <v>0</v>
      </c>
    </row>
    <row r="46" spans="1:15" x14ac:dyDescent="0.25">
      <c r="A46" s="2">
        <f>IF(TableWRMaster[[#This Row],[Player]]&lt;&gt;0,A45+1,A45)</f>
        <v>39</v>
      </c>
      <c r="B46" s="2" t="str">
        <f>CLE!A13</f>
        <v>Denzel Boston</v>
      </c>
      <c r="C46" s="2" t="s">
        <v>59</v>
      </c>
      <c r="D46" s="2">
        <f>CLE!C13</f>
        <v>11</v>
      </c>
      <c r="E46" s="3">
        <f>CLE!J13</f>
        <v>0</v>
      </c>
      <c r="F46" s="3">
        <f>CLE!K13</f>
        <v>0</v>
      </c>
      <c r="G46" s="3">
        <f>CLE!L13</f>
        <v>84.116339999999994</v>
      </c>
      <c r="H46" s="3">
        <f>CLE!M13</f>
        <v>44.413427519999999</v>
      </c>
      <c r="I46" s="3">
        <f>CLE!N13</f>
        <v>597.80473441920003</v>
      </c>
      <c r="J46" s="3">
        <f>CLE!O13</f>
        <v>3.02011307136</v>
      </c>
      <c r="K46" s="3">
        <f t="shared" si="0"/>
        <v>77.90115187008</v>
      </c>
      <c r="L46" s="3">
        <f t="shared" si="3"/>
        <v>100.10786563008</v>
      </c>
      <c r="M46" s="3">
        <f t="shared" si="4"/>
        <v>122.31457939008</v>
      </c>
      <c r="N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100.10786563008</v>
      </c>
      <c r="O46" s="14">
        <v>14.220208165902186</v>
      </c>
    </row>
    <row r="47" spans="1:15" x14ac:dyDescent="0.25">
      <c r="A47" s="2">
        <f>IF(TableWRMaster[[#This Row],[Player]]&lt;&gt;0,A46+1,A46)</f>
        <v>40</v>
      </c>
      <c r="B47" s="2" t="str">
        <f>CLE!A14</f>
        <v>KC Concepcion</v>
      </c>
      <c r="C47" s="2" t="s">
        <v>59</v>
      </c>
      <c r="D47" s="2">
        <f>CLE!C14</f>
        <v>11</v>
      </c>
      <c r="E47" s="3">
        <f>CLE!J14</f>
        <v>27.958043076923079</v>
      </c>
      <c r="F47" s="3">
        <f>CLE!K14</f>
        <v>7.7661230769230774E-2</v>
      </c>
      <c r="G47" s="3">
        <f>CLE!L14</f>
        <v>80.157924000000008</v>
      </c>
      <c r="H47" s="3">
        <f>CLE!M14</f>
        <v>44.167016124000007</v>
      </c>
      <c r="I47" s="3">
        <f>CLE!N14</f>
        <v>571.46108318056611</v>
      </c>
      <c r="J47" s="3">
        <f>CLE!O14</f>
        <v>2.9150230641840005</v>
      </c>
      <c r="K47" s="3">
        <f t="shared" si="0"/>
        <v>77.898018395468313</v>
      </c>
      <c r="L47" s="3">
        <f t="shared" si="3"/>
        <v>99.98152645746832</v>
      </c>
      <c r="M47" s="3">
        <f t="shared" si="4"/>
        <v>122.06503451946833</v>
      </c>
      <c r="N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99.98152645746832</v>
      </c>
      <c r="O47" s="14">
        <v>5.0997417510922762</v>
      </c>
    </row>
    <row r="48" spans="1:15" x14ac:dyDescent="0.25">
      <c r="A48" s="2">
        <f>IF(TableWRMaster[[#This Row],[Player]]&lt;&gt;0,A47+1,A47)</f>
        <v>41</v>
      </c>
      <c r="B48" s="2" t="str">
        <f>CLE!A15</f>
        <v>Jerry Jeudy</v>
      </c>
      <c r="C48" s="2" t="s">
        <v>59</v>
      </c>
      <c r="D48" s="2">
        <f>CLE!C15</f>
        <v>11</v>
      </c>
      <c r="E48" s="3">
        <f>CLE!J15</f>
        <v>0</v>
      </c>
      <c r="F48" s="3">
        <f>CLE!K15</f>
        <v>0</v>
      </c>
      <c r="G48" s="3">
        <f>CLE!L15</f>
        <v>83.126735999999994</v>
      </c>
      <c r="H48" s="3">
        <f>CLE!M15</f>
        <v>45.054690911999998</v>
      </c>
      <c r="I48" s="3">
        <f>CLE!N15</f>
        <v>554.17269821759999</v>
      </c>
      <c r="J48" s="3">
        <f>CLE!O15</f>
        <v>2.8835002183679999</v>
      </c>
      <c r="K48" s="3">
        <f t="shared" si="0"/>
        <v>72.71827113196801</v>
      </c>
      <c r="L48" s="3">
        <f t="shared" si="3"/>
        <v>95.245616587968016</v>
      </c>
      <c r="M48" s="3">
        <f t="shared" si="4"/>
        <v>117.77296204396801</v>
      </c>
      <c r="N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95.245616587967987</v>
      </c>
      <c r="O48" s="14">
        <v>0</v>
      </c>
    </row>
    <row r="49" spans="1:15" x14ac:dyDescent="0.25">
      <c r="A49" s="2">
        <f>IF(TableWRMaster[[#This Row],[Player]]&lt;&gt;0,A48+1,A48)</f>
        <v>42</v>
      </c>
      <c r="B49" s="2" t="str">
        <f>CLE!A16</f>
        <v>Isaiah Bond</v>
      </c>
      <c r="C49" s="2" t="s">
        <v>59</v>
      </c>
      <c r="D49" s="2">
        <f>CLE!C16</f>
        <v>11</v>
      </c>
      <c r="E49" s="3">
        <f>CLE!J16</f>
        <v>75.719700000000003</v>
      </c>
      <c r="F49" s="3">
        <f>CLE!K16</f>
        <v>0.37859850000000006</v>
      </c>
      <c r="G49" s="3">
        <f>CLE!L16</f>
        <v>36.120545999999997</v>
      </c>
      <c r="H49" s="3">
        <f>CLE!M16</f>
        <v>22.105774151999999</v>
      </c>
      <c r="I49" s="3">
        <f>CLE!N16</f>
        <v>274.11159948479997</v>
      </c>
      <c r="J49" s="3">
        <f>CLE!O16</f>
        <v>1.348452223272</v>
      </c>
      <c r="K49" s="3">
        <f t="shared" si="0"/>
        <v>45.345434288112003</v>
      </c>
      <c r="L49" s="3">
        <f t="shared" si="3"/>
        <v>56.398321364112</v>
      </c>
      <c r="M49" s="3">
        <f t="shared" si="4"/>
        <v>67.451208440111998</v>
      </c>
      <c r="N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56.398321364111993</v>
      </c>
      <c r="O49" s="14">
        <v>0</v>
      </c>
    </row>
    <row r="50" spans="1:15" x14ac:dyDescent="0.25">
      <c r="A50" s="2">
        <f>IF(TableWRMaster[[#This Row],[Player]]&lt;&gt;0,A49+1,A49)</f>
        <v>43</v>
      </c>
      <c r="B50" s="2" t="str">
        <f>CLE!A17</f>
        <v>Cedric Tillman</v>
      </c>
      <c r="C50" s="2" t="s">
        <v>59</v>
      </c>
      <c r="D50" s="2">
        <f>CLE!C17</f>
        <v>11</v>
      </c>
      <c r="E50" s="3">
        <f>CLE!J17</f>
        <v>0</v>
      </c>
      <c r="F50" s="3">
        <f>CLE!K17</f>
        <v>0</v>
      </c>
      <c r="G50" s="3">
        <f>CLE!L17</f>
        <v>7.4220299999999995</v>
      </c>
      <c r="H50" s="3">
        <f>CLE!M17</f>
        <v>3.9336758999999999</v>
      </c>
      <c r="I50" s="3">
        <f>CLE!N17</f>
        <v>51.033005100000011</v>
      </c>
      <c r="J50" s="3">
        <f>CLE!O17</f>
        <v>0.26355628530000003</v>
      </c>
      <c r="K50" s="3">
        <f t="shared" si="0"/>
        <v>6.684638221800002</v>
      </c>
      <c r="L50" s="3">
        <f t="shared" si="3"/>
        <v>8.6514761718000024</v>
      </c>
      <c r="M50" s="3">
        <f t="shared" si="4"/>
        <v>10.618314121800001</v>
      </c>
      <c r="N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8.6514761718000006</v>
      </c>
      <c r="O50" s="14">
        <v>0</v>
      </c>
    </row>
    <row r="51" spans="1:15" x14ac:dyDescent="0.25">
      <c r="A51" s="2">
        <f>IF(TableWRMaster[[#This Row],[Player]]&lt;&gt;0,A50+1,A50)</f>
        <v>44</v>
      </c>
      <c r="B51" s="2" t="str">
        <f>CLE!A18</f>
        <v>Tylan Wallace</v>
      </c>
      <c r="C51" s="2" t="s">
        <v>59</v>
      </c>
      <c r="D51" s="2">
        <f>CLE!C18</f>
        <v>11</v>
      </c>
      <c r="E51" s="3">
        <f>CLE!J18</f>
        <v>0</v>
      </c>
      <c r="F51" s="3">
        <f>CLE!K18</f>
        <v>0</v>
      </c>
      <c r="G51" s="3">
        <f>CLE!L18</f>
        <v>4.9480199999999996</v>
      </c>
      <c r="H51" s="3">
        <f>CLE!M18</f>
        <v>2.78078724</v>
      </c>
      <c r="I51" s="3">
        <f>CLE!N18</f>
        <v>27.835680272399998</v>
      </c>
      <c r="J51" s="3">
        <f>CLE!O18</f>
        <v>0.15294329819999999</v>
      </c>
      <c r="K51" s="3">
        <f t="shared" si="0"/>
        <v>3.7012278164399999</v>
      </c>
      <c r="L51" s="3">
        <f t="shared" si="3"/>
        <v>5.0916214364399996</v>
      </c>
      <c r="M51" s="3">
        <f t="shared" si="4"/>
        <v>6.4820150564399999</v>
      </c>
      <c r="N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5.0916214364399996</v>
      </c>
      <c r="O51" s="14">
        <v>0</v>
      </c>
    </row>
    <row r="52" spans="1:15" x14ac:dyDescent="0.25">
      <c r="A52" s="2">
        <f>IF(TableWRMaster[[#This Row],[Player]]&lt;&gt;0,A51+1,A51)</f>
        <v>45</v>
      </c>
      <c r="B52" s="2" t="str">
        <f>DAL!A13</f>
        <v>CeeDee Lamb</v>
      </c>
      <c r="C52" s="2" t="s">
        <v>60</v>
      </c>
      <c r="D52" s="2">
        <f>DAL!C13</f>
        <v>14</v>
      </c>
      <c r="E52" s="3">
        <f>DAL!J13</f>
        <v>0</v>
      </c>
      <c r="F52" s="3">
        <f>DAL!K13</f>
        <v>0</v>
      </c>
      <c r="G52" s="3">
        <f>DAL!L13</f>
        <v>154.30750719999998</v>
      </c>
      <c r="H52" s="3">
        <f>DAL!M13</f>
        <v>97.522344550399978</v>
      </c>
      <c r="I52" s="3">
        <f>DAL!N13</f>
        <v>1311.8247996280857</v>
      </c>
      <c r="J52" s="3">
        <f>DAL!O13</f>
        <v>7.2166534967295979</v>
      </c>
      <c r="K52" s="3">
        <f t="shared" si="0"/>
        <v>174.48240094318615</v>
      </c>
      <c r="L52" s="3">
        <f t="shared" si="3"/>
        <v>223.24357321838613</v>
      </c>
      <c r="M52" s="3">
        <f t="shared" si="4"/>
        <v>272.00474549358614</v>
      </c>
      <c r="N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223.24357321838613</v>
      </c>
      <c r="O52" s="14">
        <v>24.447212469858798</v>
      </c>
    </row>
    <row r="53" spans="1:15" x14ac:dyDescent="0.25">
      <c r="A53" s="2">
        <f>IF(TableWRMaster[[#This Row],[Player]]&lt;&gt;0,A52+1,A52)</f>
        <v>46</v>
      </c>
      <c r="B53" s="2" t="str">
        <f>DAL!A14</f>
        <v>George Pickens</v>
      </c>
      <c r="C53" s="2" t="s">
        <v>60</v>
      </c>
      <c r="D53" s="2">
        <f>DAL!C14</f>
        <v>14</v>
      </c>
      <c r="E53" s="3">
        <f>DAL!J14</f>
        <v>0</v>
      </c>
      <c r="F53" s="3">
        <f>DAL!K14</f>
        <v>0</v>
      </c>
      <c r="G53" s="3">
        <f>DAL!L14</f>
        <v>139.23841469999999</v>
      </c>
      <c r="H53" s="3">
        <f>DAL!M14</f>
        <v>91.758115287300001</v>
      </c>
      <c r="I53" s="3">
        <f>DAL!N14</f>
        <v>1343.3095698179657</v>
      </c>
      <c r="J53" s="3">
        <f>DAL!O14</f>
        <v>8.7170209522935007</v>
      </c>
      <c r="K53" s="3">
        <f t="shared" si="0"/>
        <v>186.63308269555756</v>
      </c>
      <c r="L53" s="3">
        <f t="shared" si="3"/>
        <v>232.51214033920758</v>
      </c>
      <c r="M53" s="3">
        <f t="shared" si="4"/>
        <v>278.39119798285753</v>
      </c>
      <c r="N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232.51214033920755</v>
      </c>
      <c r="O53" s="14">
        <v>23.90004724831903</v>
      </c>
    </row>
    <row r="54" spans="1:15" x14ac:dyDescent="0.25">
      <c r="A54" s="2">
        <f>IF(TableWRMaster[[#This Row],[Player]]&lt;&gt;0,A53+1,A53)</f>
        <v>47</v>
      </c>
      <c r="B54" s="2" t="str">
        <f>DAL!A15</f>
        <v>Ryan Flournoy</v>
      </c>
      <c r="C54" s="2" t="s">
        <v>60</v>
      </c>
      <c r="D54" s="2">
        <f>DAL!C15</f>
        <v>14</v>
      </c>
      <c r="E54" s="3">
        <f>DAL!J15</f>
        <v>0</v>
      </c>
      <c r="F54" s="3">
        <f>DAL!K15</f>
        <v>0</v>
      </c>
      <c r="G54" s="3">
        <f>DAL!L15</f>
        <v>55.454260399999988</v>
      </c>
      <c r="H54" s="3">
        <f>DAL!M15</f>
        <v>41.844770048630053</v>
      </c>
      <c r="I54" s="3">
        <f>DAL!N15</f>
        <v>472.67761780374371</v>
      </c>
      <c r="J54" s="3">
        <f>DAL!O15</f>
        <v>3.6823397642794444</v>
      </c>
      <c r="K54" s="3">
        <f t="shared" si="0"/>
        <v>69.361800366051042</v>
      </c>
      <c r="L54" s="3">
        <f t="shared" si="3"/>
        <v>90.284185390366076</v>
      </c>
      <c r="M54" s="3">
        <f t="shared" si="4"/>
        <v>111.2065704146811</v>
      </c>
      <c r="N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90.284185390366062</v>
      </c>
      <c r="O54" s="14">
        <v>7.0024089687553328</v>
      </c>
    </row>
    <row r="55" spans="1:15" x14ac:dyDescent="0.25">
      <c r="A55" s="2">
        <f>IF(TableWRMaster[[#This Row],[Player]]&lt;&gt;0,A54+1,A54)</f>
        <v>48</v>
      </c>
      <c r="B55" s="2" t="str">
        <f>DAL!A16</f>
        <v>KaVontae Turpin</v>
      </c>
      <c r="C55" s="2" t="s">
        <v>60</v>
      </c>
      <c r="D55" s="2">
        <f>DAL!C16</f>
        <v>14</v>
      </c>
      <c r="E55" s="3">
        <f>DAL!J16</f>
        <v>85.88473528786632</v>
      </c>
      <c r="F55" s="3">
        <f>DAL!K16</f>
        <v>0.14827909616178298</v>
      </c>
      <c r="G55" s="3">
        <f>DAL!L16</f>
        <v>33.754767199999996</v>
      </c>
      <c r="H55" s="3">
        <f>DAL!M16</f>
        <v>24.100903780799996</v>
      </c>
      <c r="I55" s="3">
        <f>DAL!N16</f>
        <v>303.37231656835706</v>
      </c>
      <c r="J55" s="3">
        <f>DAL!O16</f>
        <v>2.0726777251487993</v>
      </c>
      <c r="K55" s="3">
        <f t="shared" si="0"/>
        <v>52.251446113485834</v>
      </c>
      <c r="L55" s="3">
        <f t="shared" si="3"/>
        <v>64.301898003885839</v>
      </c>
      <c r="M55" s="3">
        <f t="shared" si="4"/>
        <v>76.352349894285823</v>
      </c>
      <c r="N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64.301898003885839</v>
      </c>
      <c r="O55" s="14">
        <v>0</v>
      </c>
    </row>
    <row r="56" spans="1:15" x14ac:dyDescent="0.25">
      <c r="A56" s="2">
        <f>IF(TableWRMaster[[#This Row],[Player]]&lt;&gt;0,A55+1,A55)</f>
        <v>49</v>
      </c>
      <c r="B56" s="2" t="str">
        <f>DAL!A17</f>
        <v>Jonathan Mingo</v>
      </c>
      <c r="C56" s="2" t="s">
        <v>60</v>
      </c>
      <c r="D56" s="2">
        <f>DAL!C17</f>
        <v>14</v>
      </c>
      <c r="E56" s="3">
        <f>DAL!J17</f>
        <v>0</v>
      </c>
      <c r="F56" s="3">
        <f>DAL!K17</f>
        <v>0</v>
      </c>
      <c r="G56" s="3">
        <f>DAL!L17</f>
        <v>6.0276369999999995</v>
      </c>
      <c r="H56" s="3">
        <f>DAL!M17</f>
        <v>4.0083786049999999</v>
      </c>
      <c r="I56" s="3">
        <f>DAL!N17</f>
        <v>45.200147555713933</v>
      </c>
      <c r="J56" s="3">
        <f>DAL!O17</f>
        <v>0.35674569584499999</v>
      </c>
      <c r="K56" s="3">
        <f t="shared" si="0"/>
        <v>6.6604889306413941</v>
      </c>
      <c r="L56" s="3">
        <f t="shared" si="3"/>
        <v>8.6646782331413945</v>
      </c>
      <c r="M56" s="3">
        <f t="shared" si="4"/>
        <v>10.668867535641393</v>
      </c>
      <c r="N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8.6646782331413945</v>
      </c>
      <c r="O56" s="14">
        <v>0</v>
      </c>
    </row>
    <row r="57" spans="1:15" x14ac:dyDescent="0.25">
      <c r="A57" s="2">
        <f>IF(TableWRMaster[[#This Row],[Player]]&lt;&gt;0,A56+1,A56)</f>
        <v>50</v>
      </c>
      <c r="B57" s="2" t="str">
        <f>DAL!A18</f>
        <v>Marquez Valdes-Scantling</v>
      </c>
      <c r="C57" s="2" t="s">
        <v>60</v>
      </c>
      <c r="D57" s="2">
        <f>DAL!C18</f>
        <v>14</v>
      </c>
      <c r="E57" s="3">
        <f>DAL!J18</f>
        <v>0</v>
      </c>
      <c r="F57" s="3">
        <f>DAL!K18</f>
        <v>0</v>
      </c>
      <c r="G57" s="3">
        <f>DAL!L18</f>
        <v>6.0276369999999995</v>
      </c>
      <c r="H57" s="3">
        <f>DAL!M18</f>
        <v>4.0385167900000001</v>
      </c>
      <c r="I57" s="3">
        <f>DAL!N18</f>
        <v>55.327680022999999</v>
      </c>
      <c r="J57" s="3">
        <f>DAL!O18</f>
        <v>0</v>
      </c>
      <c r="K57" s="3">
        <f t="shared" si="0"/>
        <v>5.5327680023000001</v>
      </c>
      <c r="L57" s="3">
        <f t="shared" si="3"/>
        <v>7.5520263973000006</v>
      </c>
      <c r="M57" s="3">
        <f t="shared" si="4"/>
        <v>9.5712847923000002</v>
      </c>
      <c r="N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7.5520263973000006</v>
      </c>
      <c r="O57" s="14">
        <v>0</v>
      </c>
    </row>
    <row r="58" spans="1:15" x14ac:dyDescent="0.25">
      <c r="A58" s="2">
        <f>IF(TableWRMaster[[#This Row],[Player]]&lt;&gt;0,A57+1,A57)</f>
        <v>51</v>
      </c>
      <c r="B58" s="2" t="str">
        <f>DEN!A13</f>
        <v>Jaylen Waddle</v>
      </c>
      <c r="C58" s="2" t="s">
        <v>61</v>
      </c>
      <c r="D58" s="2">
        <f>DEN!C13</f>
        <v>10</v>
      </c>
      <c r="E58" s="3">
        <f>DEN!J13</f>
        <v>12.280629899999997</v>
      </c>
      <c r="F58" s="3">
        <f>DEN!K13</f>
        <v>3.7214029999999995E-2</v>
      </c>
      <c r="G58" s="3">
        <f>DEN!L13</f>
        <v>133.53716376000003</v>
      </c>
      <c r="H58" s="3">
        <f>DEN!M13</f>
        <v>89.036569720560024</v>
      </c>
      <c r="I58" s="3">
        <f>DEN!N13</f>
        <v>1131.654801148318</v>
      </c>
      <c r="J58" s="3">
        <f>DEN!O13</f>
        <v>6.9448524382036823</v>
      </c>
      <c r="K58" s="3">
        <f t="shared" si="0"/>
        <v>156.28594191405392</v>
      </c>
      <c r="L58" s="3">
        <f t="shared" si="3"/>
        <v>200.80422677433393</v>
      </c>
      <c r="M58" s="3">
        <f t="shared" si="4"/>
        <v>245.32251163461393</v>
      </c>
      <c r="N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200.8042267743339</v>
      </c>
      <c r="O58" s="14">
        <v>14.156941054184479</v>
      </c>
    </row>
    <row r="59" spans="1:15" x14ac:dyDescent="0.25">
      <c r="A59" s="2">
        <f>IF(TableWRMaster[[#This Row],[Player]]&lt;&gt;0,A58+1,A58)</f>
        <v>52</v>
      </c>
      <c r="B59" s="2" t="str">
        <f>DEN!A14</f>
        <v>Courtland Sutton</v>
      </c>
      <c r="C59" s="2" t="s">
        <v>61</v>
      </c>
      <c r="D59" s="2">
        <f>DEN!C14</f>
        <v>10</v>
      </c>
      <c r="E59" s="3">
        <f>DEN!J14</f>
        <v>0</v>
      </c>
      <c r="F59" s="3">
        <f>DEN!K14</f>
        <v>0</v>
      </c>
      <c r="G59" s="3">
        <f>DEN!L14</f>
        <v>123.26507424000002</v>
      </c>
      <c r="H59" s="3">
        <f>DEN!M14</f>
        <v>69.962432445293402</v>
      </c>
      <c r="I59" s="3">
        <f>DEN!N14</f>
        <v>930.5003515224023</v>
      </c>
      <c r="J59" s="3">
        <f>DEN!O14</f>
        <v>7.0662056769746338</v>
      </c>
      <c r="K59" s="3">
        <f t="shared" si="0"/>
        <v>135.44726921408804</v>
      </c>
      <c r="L59" s="3">
        <f t="shared" si="3"/>
        <v>170.42848543673475</v>
      </c>
      <c r="M59" s="3">
        <f t="shared" si="4"/>
        <v>205.40970165938143</v>
      </c>
      <c r="N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170.42848543673475</v>
      </c>
      <c r="O59" s="14">
        <v>5.499602009943378</v>
      </c>
    </row>
    <row r="60" spans="1:15" x14ac:dyDescent="0.25">
      <c r="A60" s="2">
        <f>IF(TableWRMaster[[#This Row],[Player]]&lt;&gt;0,A59+1,A59)</f>
        <v>53</v>
      </c>
      <c r="B60" s="2" t="str">
        <f>DEN!A15</f>
        <v>Troy Franklin</v>
      </c>
      <c r="C60" s="2" t="s">
        <v>61</v>
      </c>
      <c r="D60" s="2">
        <f>DEN!C15</f>
        <v>10</v>
      </c>
      <c r="E60" s="3">
        <f>DEN!J15</f>
        <v>0</v>
      </c>
      <c r="F60" s="3">
        <f>DEN!K15</f>
        <v>0</v>
      </c>
      <c r="G60" s="3">
        <f>DEN!L15</f>
        <v>46.22440284000001</v>
      </c>
      <c r="H60" s="3">
        <f>DEN!M15</f>
        <v>28.890251775000007</v>
      </c>
      <c r="I60" s="3">
        <f>DEN!N15</f>
        <v>332.44445441089141</v>
      </c>
      <c r="J60" s="3">
        <f>DEN!O15</f>
        <v>2.5423421562000006</v>
      </c>
      <c r="K60" s="3">
        <f t="shared" si="0"/>
        <v>48.498498378289142</v>
      </c>
      <c r="L60" s="3">
        <f t="shared" si="3"/>
        <v>62.943624265789147</v>
      </c>
      <c r="M60" s="3">
        <f t="shared" si="4"/>
        <v>77.388750153289152</v>
      </c>
      <c r="N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62.943624265789154</v>
      </c>
      <c r="O60" s="14">
        <v>0</v>
      </c>
    </row>
    <row r="61" spans="1:15" x14ac:dyDescent="0.25">
      <c r="A61" s="2">
        <f>IF(TableWRMaster[[#This Row],[Player]]&lt;&gt;0,A60+1,A60)</f>
        <v>54</v>
      </c>
      <c r="B61" s="2" t="str">
        <f>DEN!A16</f>
        <v>Pat Bryant</v>
      </c>
      <c r="C61" s="2" t="s">
        <v>61</v>
      </c>
      <c r="D61" s="2">
        <f>DEN!C16</f>
        <v>10</v>
      </c>
      <c r="E61" s="3">
        <f>DEN!J16</f>
        <v>0</v>
      </c>
      <c r="F61" s="3">
        <f>DEN!K16</f>
        <v>0</v>
      </c>
      <c r="G61" s="3">
        <f>DEN!L16</f>
        <v>43.941716280000009</v>
      </c>
      <c r="H61" s="3">
        <f>DEN!M16</f>
        <v>25.235181978160007</v>
      </c>
      <c r="I61" s="3">
        <f>DEN!N16</f>
        <v>296.52501987416008</v>
      </c>
      <c r="J61" s="3">
        <f>DEN!O16</f>
        <v>1.5141109186896005</v>
      </c>
      <c r="K61" s="3">
        <f t="shared" si="0"/>
        <v>38.737167499553614</v>
      </c>
      <c r="L61" s="3">
        <f t="shared" si="3"/>
        <v>51.354758488633621</v>
      </c>
      <c r="M61" s="3">
        <f t="shared" si="4"/>
        <v>63.972349477713621</v>
      </c>
      <c r="N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51.354758488633621</v>
      </c>
      <c r="O61" s="14">
        <v>0</v>
      </c>
    </row>
    <row r="62" spans="1:15" x14ac:dyDescent="0.25">
      <c r="A62" s="2">
        <f>IF(TableWRMaster[[#This Row],[Player]]&lt;&gt;0,A61+1,A61)</f>
        <v>55</v>
      </c>
      <c r="B62" s="2" t="str">
        <f>DEN!A17</f>
        <v>Marvin Mims</v>
      </c>
      <c r="C62" s="2" t="s">
        <v>61</v>
      </c>
      <c r="D62" s="2">
        <f>DEN!C17</f>
        <v>10</v>
      </c>
      <c r="E62" s="3">
        <f>DEN!J17</f>
        <v>40.606619846057285</v>
      </c>
      <c r="F62" s="3">
        <f>DEN!K17</f>
        <v>0.3122830212152084</v>
      </c>
      <c r="G62" s="3">
        <f>DEN!L17</f>
        <v>22.256193960000001</v>
      </c>
      <c r="H62" s="3">
        <f>DEN!M17</f>
        <v>15.089699504880002</v>
      </c>
      <c r="I62" s="3">
        <f>DEN!N17</f>
        <v>154.7447262544562</v>
      </c>
      <c r="J62" s="3">
        <f>DEN!O17</f>
        <v>0.78466437425376012</v>
      </c>
      <c r="K62" s="3">
        <f t="shared" si="0"/>
        <v>26.116818982865162</v>
      </c>
      <c r="L62" s="3">
        <f t="shared" si="3"/>
        <v>33.661668735305163</v>
      </c>
      <c r="M62" s="3">
        <f t="shared" si="4"/>
        <v>41.206518487745164</v>
      </c>
      <c r="N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33.661668735305163</v>
      </c>
      <c r="O62" s="14">
        <v>0</v>
      </c>
    </row>
    <row r="63" spans="1:15" x14ac:dyDescent="0.25">
      <c r="A63" s="2">
        <f>IF(TableWRMaster[[#This Row],[Player]]&lt;&gt;0,A62+1,A62)</f>
        <v>55</v>
      </c>
      <c r="B63" s="2">
        <f>DEN!A18</f>
        <v>0</v>
      </c>
      <c r="C63" s="2" t="s">
        <v>61</v>
      </c>
      <c r="D63" s="2">
        <f>DEN!C18</f>
        <v>10</v>
      </c>
      <c r="E63" s="3">
        <f>DEN!J18</f>
        <v>0</v>
      </c>
      <c r="F63" s="3">
        <f>DEN!K18</f>
        <v>0</v>
      </c>
      <c r="G63" s="3">
        <f>DEN!L18</f>
        <v>0</v>
      </c>
      <c r="H63" s="3">
        <f>DEN!M18</f>
        <v>0</v>
      </c>
      <c r="I63" s="3">
        <f>DEN!N18</f>
        <v>0</v>
      </c>
      <c r="J63" s="3">
        <f>DEN!O18</f>
        <v>0</v>
      </c>
      <c r="K63" s="3">
        <f t="shared" si="0"/>
        <v>0</v>
      </c>
      <c r="L63" s="3">
        <f t="shared" si="3"/>
        <v>0</v>
      </c>
      <c r="M63" s="3">
        <f t="shared" si="4"/>
        <v>0</v>
      </c>
      <c r="N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3" s="14">
        <v>0</v>
      </c>
    </row>
    <row r="64" spans="1:15" x14ac:dyDescent="0.25">
      <c r="A64" s="2">
        <f>IF(TableWRMaster[[#This Row],[Player]]&lt;&gt;0,A63+1,A63)</f>
        <v>56</v>
      </c>
      <c r="B64" s="2" t="str">
        <f>DET!A14</f>
        <v>Jameson Williams</v>
      </c>
      <c r="C64" s="2" t="s">
        <v>62</v>
      </c>
      <c r="D64" s="2">
        <f>DET!C14</f>
        <v>6</v>
      </c>
      <c r="E64" s="3">
        <f>DET!J14</f>
        <v>37.578100758581314</v>
      </c>
      <c r="F64" s="3">
        <f>DET!K14</f>
        <v>0.46233416661379362</v>
      </c>
      <c r="G64" s="3">
        <f>DET!L14</f>
        <v>104.78889119999998</v>
      </c>
      <c r="H64" s="3">
        <f>DET!M14</f>
        <v>65.691819008519786</v>
      </c>
      <c r="I64" s="3">
        <f>DET!N14</f>
        <v>1079.9735045000655</v>
      </c>
      <c r="J64" s="3">
        <f>DET!O14</f>
        <v>6.1093391677923403</v>
      </c>
      <c r="K64" s="3">
        <f t="shared" si="0"/>
        <v>151.18520053230148</v>
      </c>
      <c r="L64" s="3">
        <f t="shared" si="3"/>
        <v>184.03111003656136</v>
      </c>
      <c r="M64" s="3">
        <f t="shared" si="4"/>
        <v>216.87701954082127</v>
      </c>
      <c r="N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184.03111003656136</v>
      </c>
      <c r="O64" s="14">
        <v>0</v>
      </c>
    </row>
    <row r="65" spans="1:15" x14ac:dyDescent="0.25">
      <c r="A65" s="2">
        <f>IF(TableWRMaster[[#This Row],[Player]]&lt;&gt;0,A64+1,A64)</f>
        <v>57</v>
      </c>
      <c r="B65" s="2" t="str">
        <f>DET!A13</f>
        <v>Amon-Ra St. Brown</v>
      </c>
      <c r="C65" s="2" t="s">
        <v>62</v>
      </c>
      <c r="D65" s="2">
        <f>DET!C13</f>
        <v>6</v>
      </c>
      <c r="E65" s="3">
        <f>DET!J13</f>
        <v>10.987722675575707</v>
      </c>
      <c r="F65" s="3">
        <f>DET!K13</f>
        <v>2.6346927574275147E-2</v>
      </c>
      <c r="G65" s="3">
        <f>DET!L13</f>
        <v>172.69677599999994</v>
      </c>
      <c r="H65" s="3">
        <f>DET!M13</f>
        <v>120.54234964799996</v>
      </c>
      <c r="I65" s="3">
        <f>DET!N13</f>
        <v>1423.6051493428795</v>
      </c>
      <c r="J65" s="3">
        <f>DET!O13</f>
        <v>9.8844726711359971</v>
      </c>
      <c r="K65" s="3">
        <f t="shared" si="0"/>
        <v>202.92420479410714</v>
      </c>
      <c r="L65" s="3">
        <f t="shared" si="3"/>
        <v>263.1953796181071</v>
      </c>
      <c r="M65" s="3">
        <f t="shared" si="4"/>
        <v>323.46655444210711</v>
      </c>
      <c r="N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263.19537961810715</v>
      </c>
      <c r="O65" s="14">
        <v>0</v>
      </c>
    </row>
    <row r="66" spans="1:15" x14ac:dyDescent="0.25">
      <c r="A66" s="2">
        <f>IF(TableWRMaster[[#This Row],[Player]]&lt;&gt;0,A65+1,A65)</f>
        <v>58</v>
      </c>
      <c r="B66" s="2" t="str">
        <f>DET!A16</f>
        <v>Greg Dortch</v>
      </c>
      <c r="C66" s="2" t="s">
        <v>62</v>
      </c>
      <c r="D66" s="2">
        <f>DET!C16</f>
        <v>6</v>
      </c>
      <c r="E66" s="3">
        <f>DET!J16</f>
        <v>18.003401359944398</v>
      </c>
      <c r="F66" s="3">
        <f>DET!K16</f>
        <v>0.1096284380895641</v>
      </c>
      <c r="G66" s="3">
        <f>DET!L16</f>
        <v>15.806145599999997</v>
      </c>
      <c r="H66" s="3">
        <f>DET!M16</f>
        <v>10.827209735999999</v>
      </c>
      <c r="I66" s="3">
        <f>DET!N16</f>
        <v>105.56529492599999</v>
      </c>
      <c r="J66" s="3">
        <f>DET!O16</f>
        <v>0.64963258415999992</v>
      </c>
      <c r="K66" s="3">
        <f t="shared" ref="K66:K130" si="5">(E66/10)+(F66*6)+(I66/10)+(J66*6)</f>
        <v>16.912435762091825</v>
      </c>
      <c r="L66" s="3">
        <f t="shared" ref="L66:L97" si="6">K66+(H66*0.5)</f>
        <v>22.326040630091825</v>
      </c>
      <c r="M66" s="3">
        <f t="shared" ref="M66:M97" si="7">K66+H66</f>
        <v>27.739645498091825</v>
      </c>
      <c r="N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22.326040630091825</v>
      </c>
      <c r="O66" s="14">
        <v>0</v>
      </c>
    </row>
    <row r="67" spans="1:15" x14ac:dyDescent="0.25">
      <c r="A67" s="2">
        <f>IF(TableWRMaster[[#This Row],[Player]]&lt;&gt;0,A66+1,A66)</f>
        <v>59</v>
      </c>
      <c r="B67" s="2" t="str">
        <f>DET!A15</f>
        <v>Isaac TeSlaa</v>
      </c>
      <c r="C67" s="2" t="s">
        <v>62</v>
      </c>
      <c r="D67" s="2">
        <f>DET!C15</f>
        <v>6</v>
      </c>
      <c r="E67" s="3">
        <f>DET!J15</f>
        <v>0</v>
      </c>
      <c r="F67" s="3">
        <f>DET!K15</f>
        <v>0</v>
      </c>
      <c r="G67" s="3">
        <f>DET!L15</f>
        <v>48.589262399999996</v>
      </c>
      <c r="H67" s="3">
        <f>DET!M15</f>
        <v>32.726917171199993</v>
      </c>
      <c r="I67" s="3">
        <f>DET!N15</f>
        <v>451.63145696255992</v>
      </c>
      <c r="J67" s="3">
        <f>DET!O15</f>
        <v>4.5490414867967992</v>
      </c>
      <c r="K67" s="3">
        <f t="shared" si="5"/>
        <v>72.457394617036783</v>
      </c>
      <c r="L67" s="3">
        <f t="shared" si="6"/>
        <v>88.820853202636783</v>
      </c>
      <c r="M67" s="3">
        <f t="shared" si="7"/>
        <v>105.18431178823678</v>
      </c>
      <c r="N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88.820853202636783</v>
      </c>
      <c r="O67" s="14">
        <v>0</v>
      </c>
    </row>
    <row r="68" spans="1:15" x14ac:dyDescent="0.25">
      <c r="A68" s="2">
        <f>IF(TableWRMaster[[#This Row],[Player]]&lt;&gt;0,A67+1,A67)</f>
        <v>59</v>
      </c>
      <c r="B68" s="2">
        <f>DET!A18</f>
        <v>0</v>
      </c>
      <c r="C68" s="2" t="s">
        <v>62</v>
      </c>
      <c r="D68" s="2">
        <f>DET!C18</f>
        <v>6</v>
      </c>
      <c r="E68" s="3">
        <f>DET!J18</f>
        <v>0</v>
      </c>
      <c r="F68" s="3">
        <f>DET!K18</f>
        <v>0</v>
      </c>
      <c r="G68" s="3">
        <f>DET!L18</f>
        <v>0</v>
      </c>
      <c r="H68" s="3">
        <f>DET!M18</f>
        <v>0</v>
      </c>
      <c r="I68" s="3">
        <f>DET!N18</f>
        <v>0</v>
      </c>
      <c r="J68" s="3">
        <f>DET!O18</f>
        <v>0</v>
      </c>
      <c r="K68" s="3">
        <f t="shared" si="5"/>
        <v>0</v>
      </c>
      <c r="L68" s="3">
        <f t="shared" si="6"/>
        <v>0</v>
      </c>
      <c r="M68" s="3">
        <f t="shared" si="7"/>
        <v>0</v>
      </c>
      <c r="N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8" s="14">
        <v>0</v>
      </c>
    </row>
    <row r="69" spans="1:15" x14ac:dyDescent="0.25">
      <c r="A69" s="2">
        <f>IF(TableWRMaster[[#This Row],[Player]]&lt;&gt;0,A68+1,A68)</f>
        <v>60</v>
      </c>
      <c r="B69" s="2" t="str">
        <f>DET!A17</f>
        <v>Cedrick Wilson</v>
      </c>
      <c r="C69" s="2" t="s">
        <v>62</v>
      </c>
      <c r="D69" s="2">
        <f>DET!C17</f>
        <v>6</v>
      </c>
      <c r="E69" s="3">
        <f>DET!J17</f>
        <v>0</v>
      </c>
      <c r="F69" s="3">
        <f>DET!K17</f>
        <v>0</v>
      </c>
      <c r="G69" s="3">
        <f>DET!L17</f>
        <v>5.8541279999999984</v>
      </c>
      <c r="H69" s="3">
        <f>DET!M17</f>
        <v>3.8637244799999992</v>
      </c>
      <c r="I69" s="3">
        <f>DET!N17</f>
        <v>46.75106620799999</v>
      </c>
      <c r="J69" s="3">
        <f>DET!O17</f>
        <v>0.23182346879999993</v>
      </c>
      <c r="K69" s="3">
        <f t="shared" si="5"/>
        <v>6.0660474335999988</v>
      </c>
      <c r="L69" s="3">
        <f t="shared" si="6"/>
        <v>7.9979096735999988</v>
      </c>
      <c r="M69" s="3">
        <f t="shared" si="7"/>
        <v>9.929771913599998</v>
      </c>
      <c r="N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7.9979096735999979</v>
      </c>
      <c r="O69" s="14">
        <v>0</v>
      </c>
    </row>
    <row r="70" spans="1:15" x14ac:dyDescent="0.25">
      <c r="A70" s="2">
        <f>IF(TableWRMaster[[#This Row],[Player]]&lt;&gt;0,A69+1,A69)</f>
        <v>61</v>
      </c>
      <c r="B70" s="2" t="str">
        <f>GB!A13</f>
        <v>Christian Watson</v>
      </c>
      <c r="C70" s="2" t="s">
        <v>63</v>
      </c>
      <c r="D70" s="2">
        <f>GB!C13</f>
        <v>11</v>
      </c>
      <c r="E70" s="3">
        <f>GB!J13</f>
        <v>11.407058163795424</v>
      </c>
      <c r="F70" s="3">
        <f>GB!K13</f>
        <v>2.3580563999999998E-2</v>
      </c>
      <c r="G70" s="3">
        <f>GB!L13</f>
        <v>109.051520080402</v>
      </c>
      <c r="H70" s="3">
        <f>GB!M13</f>
        <v>63.540685700180887</v>
      </c>
      <c r="I70" s="3">
        <f>GB!N13</f>
        <v>1032.5361426279394</v>
      </c>
      <c r="J70" s="3">
        <f>GB!O13</f>
        <v>7.3707195412209829</v>
      </c>
      <c r="K70" s="3">
        <f t="shared" si="5"/>
        <v>148.76012071049939</v>
      </c>
      <c r="L70" s="3">
        <f t="shared" si="6"/>
        <v>180.53046356058985</v>
      </c>
      <c r="M70" s="3">
        <f t="shared" si="7"/>
        <v>212.30080641068028</v>
      </c>
      <c r="N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180.53046356058982</v>
      </c>
      <c r="O70" s="14">
        <v>48</v>
      </c>
    </row>
    <row r="71" spans="1:15" x14ac:dyDescent="0.25">
      <c r="A71" s="2">
        <f>IF(TableWRMaster[[#This Row],[Player]]&lt;&gt;0,A70+1,A70)</f>
        <v>62</v>
      </c>
      <c r="B71" s="2" t="str">
        <f>GB!A14</f>
        <v>Jayden Reed</v>
      </c>
      <c r="C71" s="2" t="s">
        <v>63</v>
      </c>
      <c r="D71" s="2">
        <f>GB!C14</f>
        <v>11</v>
      </c>
      <c r="E71" s="3">
        <f>GB!J14</f>
        <v>103.7772294035012</v>
      </c>
      <c r="F71" s="3">
        <f>GB!K14</f>
        <v>0.56593353600000007</v>
      </c>
      <c r="G71" s="3">
        <f>GB!L14</f>
        <v>89.223970974874362</v>
      </c>
      <c r="H71" s="3">
        <f>GB!M14</f>
        <v>61.022436755073535</v>
      </c>
      <c r="I71" s="3">
        <f>GB!N14</f>
        <v>746.91462588210004</v>
      </c>
      <c r="J71" s="3">
        <f>GB!O14</f>
        <v>5.0038398139160298</v>
      </c>
      <c r="K71" s="3">
        <f t="shared" si="5"/>
        <v>118.4878256280563</v>
      </c>
      <c r="L71" s="3">
        <f t="shared" si="6"/>
        <v>148.99904400559308</v>
      </c>
      <c r="M71" s="3">
        <f t="shared" si="7"/>
        <v>179.51026238312983</v>
      </c>
      <c r="N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148.99904400559308</v>
      </c>
      <c r="O71" s="14">
        <v>0</v>
      </c>
    </row>
    <row r="72" spans="1:15" x14ac:dyDescent="0.25">
      <c r="A72" s="2">
        <f>IF(TableWRMaster[[#This Row],[Player]]&lt;&gt;0,A71+1,A71)</f>
        <v>63</v>
      </c>
      <c r="B72" s="2" t="str">
        <f>GB!A15</f>
        <v>Matthew Golden</v>
      </c>
      <c r="C72" s="2" t="s">
        <v>63</v>
      </c>
      <c r="D72" s="2">
        <f>GB!C15</f>
        <v>11</v>
      </c>
      <c r="E72" s="3">
        <f>GB!J15</f>
        <v>24.99271009319855</v>
      </c>
      <c r="F72" s="3">
        <f>GB!K15</f>
        <v>0.11790281999999999</v>
      </c>
      <c r="G72" s="3">
        <f>GB!L15</f>
        <v>85.049750110552765</v>
      </c>
      <c r="H72" s="3">
        <f>GB!M15</f>
        <v>53.587897463683738</v>
      </c>
      <c r="I72" s="3">
        <f>GB!N15</f>
        <v>676.53815153162077</v>
      </c>
      <c r="J72" s="3">
        <f>GB!O15</f>
        <v>4.0190923097762798</v>
      </c>
      <c r="K72" s="3">
        <f t="shared" si="5"/>
        <v>94.975056941139599</v>
      </c>
      <c r="L72" s="3">
        <f t="shared" si="6"/>
        <v>121.76900567298146</v>
      </c>
      <c r="M72" s="3">
        <f t="shared" si="7"/>
        <v>148.56295440482333</v>
      </c>
      <c r="N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121.76900567298148</v>
      </c>
      <c r="O72" s="14">
        <v>0</v>
      </c>
    </row>
    <row r="73" spans="1:15" x14ac:dyDescent="0.25">
      <c r="A73" s="2">
        <f>IF(TableWRMaster[[#This Row],[Player]]&lt;&gt;0,A72+1,A72)</f>
        <v>64</v>
      </c>
      <c r="B73" s="2" t="str">
        <f>GB!A16</f>
        <v>Savion Williams</v>
      </c>
      <c r="C73" s="2" t="s">
        <v>63</v>
      </c>
      <c r="D73" s="2">
        <f>GB!C16</f>
        <v>11</v>
      </c>
      <c r="E73" s="3">
        <f>GB!J16</f>
        <v>53.064177325634297</v>
      </c>
      <c r="F73" s="3">
        <f>GB!K16</f>
        <v>0.35370845999999995</v>
      </c>
      <c r="G73" s="3">
        <f>GB!L16</f>
        <v>38.089765386934666</v>
      </c>
      <c r="H73" s="3">
        <f>GB!M16</f>
        <v>23.176769482008243</v>
      </c>
      <c r="I73" s="3">
        <f>GB!N16</f>
        <v>211.022985283228</v>
      </c>
      <c r="J73" s="3">
        <f>GB!O16</f>
        <v>1.6899727747297675</v>
      </c>
      <c r="K73" s="3">
        <f t="shared" si="5"/>
        <v>38.670803669264835</v>
      </c>
      <c r="L73" s="3">
        <f t="shared" si="6"/>
        <v>50.259188410268955</v>
      </c>
      <c r="M73" s="3">
        <f t="shared" si="7"/>
        <v>61.847573151273082</v>
      </c>
      <c r="N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50.259188410268962</v>
      </c>
      <c r="O73" s="14">
        <v>0</v>
      </c>
    </row>
    <row r="74" spans="1:15" x14ac:dyDescent="0.25">
      <c r="A74" s="2">
        <f>IF(TableWRMaster[[#This Row],[Player]]&lt;&gt;0,A73+1,A73)</f>
        <v>65</v>
      </c>
      <c r="B74" s="2" t="str">
        <f>GB!A17</f>
        <v>Bo Melton</v>
      </c>
      <c r="C74" s="2" t="s">
        <v>63</v>
      </c>
      <c r="D74" s="2">
        <f>GB!C17</f>
        <v>11</v>
      </c>
      <c r="E74" s="3">
        <f>GB!J17</f>
        <v>0</v>
      </c>
      <c r="F74" s="3">
        <f>GB!K17</f>
        <v>0</v>
      </c>
      <c r="G74" s="3">
        <f>GB!L17</f>
        <v>5.2177760804020092</v>
      </c>
      <c r="H74" s="3">
        <f>GB!M17</f>
        <v>3.7828876582914566</v>
      </c>
      <c r="I74" s="3">
        <f>GB!N17</f>
        <v>46.320359563566747</v>
      </c>
      <c r="J74" s="3">
        <f>GB!O17</f>
        <v>0.2269732594974874</v>
      </c>
      <c r="K74" s="3">
        <f t="shared" si="5"/>
        <v>5.9938755133415995</v>
      </c>
      <c r="L74" s="3">
        <f t="shared" si="6"/>
        <v>7.8853193424873282</v>
      </c>
      <c r="M74" s="3">
        <f t="shared" si="7"/>
        <v>9.776763171633057</v>
      </c>
      <c r="N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7.8853193424873274</v>
      </c>
      <c r="O74" s="14">
        <v>0</v>
      </c>
    </row>
    <row r="75" spans="1:15" x14ac:dyDescent="0.25">
      <c r="A75" s="2">
        <f>IF(TableWRMaster[[#This Row],[Player]]&lt;&gt;0,A74+1,A74)</f>
        <v>66</v>
      </c>
      <c r="B75" s="2" t="str">
        <f>GB!A18</f>
        <v>Skyy Moore</v>
      </c>
      <c r="C75" s="2" t="s">
        <v>63</v>
      </c>
      <c r="D75" s="2">
        <f>GB!C18</f>
        <v>11</v>
      </c>
      <c r="E75" s="3">
        <f>GB!J18</f>
        <v>0</v>
      </c>
      <c r="F75" s="3">
        <f>GB!K18</f>
        <v>0</v>
      </c>
      <c r="G75" s="3">
        <f>GB!L18</f>
        <v>5.2177760804020092</v>
      </c>
      <c r="H75" s="3">
        <f>GB!M18</f>
        <v>0</v>
      </c>
      <c r="I75" s="3">
        <f>GB!N18</f>
        <v>0</v>
      </c>
      <c r="J75" s="3">
        <f>GB!O18</f>
        <v>0</v>
      </c>
      <c r="K75" s="3">
        <f t="shared" si="5"/>
        <v>0</v>
      </c>
      <c r="L75" s="3">
        <f t="shared" si="6"/>
        <v>0</v>
      </c>
      <c r="M75" s="3">
        <f t="shared" si="7"/>
        <v>0</v>
      </c>
      <c r="N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5" s="14">
        <v>0</v>
      </c>
    </row>
    <row r="76" spans="1:15" x14ac:dyDescent="0.25">
      <c r="A76" s="2">
        <f>IF(TableWRMaster[[#This Row],[Player]]&lt;&gt;0,A75+1,A75)</f>
        <v>66</v>
      </c>
      <c r="B76" s="2">
        <f>GB!A19</f>
        <v>0</v>
      </c>
      <c r="C76" s="2" t="s">
        <v>63</v>
      </c>
      <c r="D76" s="2">
        <f>GB!C19</f>
        <v>11</v>
      </c>
      <c r="E76" s="3">
        <f>GB!J19</f>
        <v>0</v>
      </c>
      <c r="F76" s="3">
        <f>GB!K19</f>
        <v>0</v>
      </c>
      <c r="G76" s="3">
        <f>GB!L19</f>
        <v>0</v>
      </c>
      <c r="H76" s="3">
        <f>GB!M19</f>
        <v>0</v>
      </c>
      <c r="I76" s="3">
        <f>GB!N19</f>
        <v>0</v>
      </c>
      <c r="J76" s="3">
        <f>GB!O19</f>
        <v>0</v>
      </c>
      <c r="K76" s="3">
        <f t="shared" si="5"/>
        <v>0</v>
      </c>
      <c r="L76" s="3">
        <f t="shared" si="6"/>
        <v>0</v>
      </c>
      <c r="M76" s="3">
        <f t="shared" si="7"/>
        <v>0</v>
      </c>
      <c r="N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6" s="14">
        <v>0</v>
      </c>
    </row>
    <row r="77" spans="1:15" x14ac:dyDescent="0.25">
      <c r="A77" s="2">
        <f>IF(TableWRMaster[[#This Row],[Player]]&lt;&gt;0,A76+1,A76)</f>
        <v>67</v>
      </c>
      <c r="B77" s="2" t="str">
        <f>HOU!A13</f>
        <v>Nico Collins</v>
      </c>
      <c r="C77" s="2" t="s">
        <v>64</v>
      </c>
      <c r="D77" s="2">
        <f>HOU!C13</f>
        <v>8</v>
      </c>
      <c r="E77" s="3">
        <f>HOU!J13</f>
        <v>0</v>
      </c>
      <c r="F77" s="3">
        <f>HOU!K13</f>
        <v>0</v>
      </c>
      <c r="G77" s="3">
        <f>HOU!L13</f>
        <v>144.36713591999998</v>
      </c>
      <c r="H77" s="3">
        <f>HOU!M13</f>
        <v>86.447767364422631</v>
      </c>
      <c r="I77" s="3">
        <f>HOU!N13</f>
        <v>1272.5111356043012</v>
      </c>
      <c r="J77" s="3">
        <f>HOU!O13</f>
        <v>7.0022691565182331</v>
      </c>
      <c r="K77" s="3">
        <f t="shared" si="5"/>
        <v>169.26472849953953</v>
      </c>
      <c r="L77" s="3">
        <f t="shared" si="6"/>
        <v>212.48861218175085</v>
      </c>
      <c r="M77" s="3">
        <f t="shared" si="7"/>
        <v>255.71249586396215</v>
      </c>
      <c r="N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212.48861218175085</v>
      </c>
      <c r="O77" s="14">
        <v>15.101987749916791</v>
      </c>
    </row>
    <row r="78" spans="1:15" x14ac:dyDescent="0.25">
      <c r="A78" s="2">
        <f>IF(TableWRMaster[[#This Row],[Player]]&lt;&gt;0,A77+1,A77)</f>
        <v>68</v>
      </c>
      <c r="B78" s="2" t="str">
        <f>HOU!A14</f>
        <v>Jayden Higgins</v>
      </c>
      <c r="C78" s="2" t="s">
        <v>64</v>
      </c>
      <c r="D78" s="2">
        <f>HOU!C14</f>
        <v>8</v>
      </c>
      <c r="E78" s="3">
        <f>HOU!J14</f>
        <v>0</v>
      </c>
      <c r="F78" s="3">
        <f>HOU!K14</f>
        <v>0</v>
      </c>
      <c r="G78" s="3">
        <f>HOU!L14</f>
        <v>111.71266469999999</v>
      </c>
      <c r="H78" s="3">
        <f>HOU!M14</f>
        <v>67.474449478799997</v>
      </c>
      <c r="I78" s="3">
        <f>HOU!N14</f>
        <v>843.43061848499997</v>
      </c>
      <c r="J78" s="3">
        <f>HOU!O14</f>
        <v>5.7353282056979999</v>
      </c>
      <c r="K78" s="3">
        <f t="shared" si="5"/>
        <v>118.75503108268799</v>
      </c>
      <c r="L78" s="3">
        <f t="shared" si="6"/>
        <v>152.492255822088</v>
      </c>
      <c r="M78" s="3">
        <f t="shared" si="7"/>
        <v>186.229480561488</v>
      </c>
      <c r="N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152.492255822088</v>
      </c>
      <c r="O78" s="14">
        <v>0</v>
      </c>
    </row>
    <row r="79" spans="1:15" x14ac:dyDescent="0.25">
      <c r="A79" s="2">
        <f>IF(TableWRMaster[[#This Row],[Player]]&lt;&gt;0,A78+1,A78)</f>
        <v>69</v>
      </c>
      <c r="B79" s="2" t="str">
        <f>HOU!A15</f>
        <v>Jaylin Noel</v>
      </c>
      <c r="C79" s="2" t="s">
        <v>64</v>
      </c>
      <c r="D79" s="2">
        <f>HOU!C15</f>
        <v>8</v>
      </c>
      <c r="E79" s="3">
        <f>HOU!J15</f>
        <v>24.062199700000004</v>
      </c>
      <c r="F79" s="3">
        <f>HOU!K15</f>
        <v>5.4686817500000012E-2</v>
      </c>
      <c r="G79" s="3">
        <f>HOU!L15</f>
        <v>60.152973299999992</v>
      </c>
      <c r="H79" s="3">
        <f>HOU!M15</f>
        <v>36.548155833769009</v>
      </c>
      <c r="I79" s="3">
        <f>HOU!N15</f>
        <v>398.3748985880822</v>
      </c>
      <c r="J79" s="3">
        <f>HOU!O15</f>
        <v>2.3025338175274475</v>
      </c>
      <c r="K79" s="3">
        <f t="shared" si="5"/>
        <v>56.387033638972909</v>
      </c>
      <c r="L79" s="3">
        <f t="shared" si="6"/>
        <v>74.661111555857417</v>
      </c>
      <c r="M79" s="3">
        <f t="shared" si="7"/>
        <v>92.935189472741911</v>
      </c>
      <c r="N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74.661111555857417</v>
      </c>
      <c r="O79" s="14">
        <v>0</v>
      </c>
    </row>
    <row r="80" spans="1:15" x14ac:dyDescent="0.25">
      <c r="A80" s="2">
        <f>IF(TableWRMaster[[#This Row],[Player]]&lt;&gt;0,A79+1,A79)</f>
        <v>70</v>
      </c>
      <c r="B80" s="2" t="str">
        <f>HOU!A16</f>
        <v>Tank Dell</v>
      </c>
      <c r="C80" s="2" t="s">
        <v>64</v>
      </c>
      <c r="D80" s="2">
        <f>HOU!C16</f>
        <v>8</v>
      </c>
      <c r="E80" s="3">
        <f>HOU!J16</f>
        <v>0</v>
      </c>
      <c r="F80" s="3">
        <f>HOU!K16</f>
        <v>0</v>
      </c>
      <c r="G80" s="3">
        <f>HOU!L16</f>
        <v>51.559691399999998</v>
      </c>
      <c r="H80" s="3">
        <f>HOU!M16</f>
        <v>32.482605581999998</v>
      </c>
      <c r="I80" s="3">
        <f>HOU!N16</f>
        <v>367.37826913241997</v>
      </c>
      <c r="J80" s="3">
        <f>HOU!O16</f>
        <v>2.6960562633060001</v>
      </c>
      <c r="K80" s="3">
        <f t="shared" si="5"/>
        <v>52.914164493077998</v>
      </c>
      <c r="L80" s="3">
        <f t="shared" si="6"/>
        <v>69.155467284078</v>
      </c>
      <c r="M80" s="3">
        <f t="shared" si="7"/>
        <v>85.396770075077995</v>
      </c>
      <c r="N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69.155467284078</v>
      </c>
      <c r="O80" s="14">
        <v>0</v>
      </c>
    </row>
    <row r="81" spans="1:15" x14ac:dyDescent="0.25">
      <c r="A81" s="2">
        <f>IF(TableWRMaster[[#This Row],[Player]]&lt;&gt;0,A80+1,A80)</f>
        <v>71</v>
      </c>
      <c r="B81" s="2" t="str">
        <f>HOU!A17</f>
        <v>Xavier Hutchinson</v>
      </c>
      <c r="C81" s="2" t="s">
        <v>64</v>
      </c>
      <c r="D81" s="2">
        <f>HOU!C17</f>
        <v>8</v>
      </c>
      <c r="E81" s="3">
        <f>HOU!J17</f>
        <v>0</v>
      </c>
      <c r="F81" s="3">
        <f>HOU!K17</f>
        <v>0</v>
      </c>
      <c r="G81" s="3">
        <f>HOU!L17</f>
        <v>14.322136500000001</v>
      </c>
      <c r="H81" s="3">
        <f>HOU!M17</f>
        <v>9.4812543630000015</v>
      </c>
      <c r="I81" s="3">
        <f>HOU!N17</f>
        <v>109.03442517450002</v>
      </c>
      <c r="J81" s="3">
        <f>HOU!O17</f>
        <v>0.61628153359500015</v>
      </c>
      <c r="K81" s="3">
        <f t="shared" si="5"/>
        <v>14.601131719020003</v>
      </c>
      <c r="L81" s="3">
        <f t="shared" si="6"/>
        <v>19.341758900520006</v>
      </c>
      <c r="M81" s="3">
        <f t="shared" si="7"/>
        <v>24.082386082020005</v>
      </c>
      <c r="N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19.341758900520006</v>
      </c>
      <c r="O81" s="14">
        <v>0</v>
      </c>
    </row>
    <row r="82" spans="1:15" x14ac:dyDescent="0.25">
      <c r="A82" s="2">
        <f>IF(TableWRMaster[[#This Row],[Player]]&lt;&gt;0,A81+1,A81)</f>
        <v>72</v>
      </c>
      <c r="B82" s="2" t="str">
        <f>HOU!A18</f>
        <v>Justin Watson</v>
      </c>
      <c r="C82" s="2" t="s">
        <v>64</v>
      </c>
      <c r="D82" s="2">
        <f>HOU!C18</f>
        <v>8</v>
      </c>
      <c r="E82" s="3">
        <f>HOU!J18</f>
        <v>0</v>
      </c>
      <c r="F82" s="3">
        <f>HOU!K18</f>
        <v>0</v>
      </c>
      <c r="G82" s="3">
        <f>HOU!L18</f>
        <v>5.7288546</v>
      </c>
      <c r="H82" s="3">
        <f>HOU!M18</f>
        <v>3.5977206888</v>
      </c>
      <c r="I82" s="3">
        <f>HOU!N18</f>
        <v>32.030789458884456</v>
      </c>
      <c r="J82" s="3">
        <f>HOU!O18</f>
        <v>0.215863241328</v>
      </c>
      <c r="K82" s="3">
        <f t="shared" si="5"/>
        <v>4.498258393856446</v>
      </c>
      <c r="L82" s="3">
        <f t="shared" si="6"/>
        <v>6.2971187382564455</v>
      </c>
      <c r="M82" s="3">
        <f t="shared" si="7"/>
        <v>8.0959790826564451</v>
      </c>
      <c r="N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6.2971187382564455</v>
      </c>
      <c r="O82" s="14">
        <v>0</v>
      </c>
    </row>
    <row r="83" spans="1:15" x14ac:dyDescent="0.25">
      <c r="A83" s="2">
        <f>IF(TableWRMaster[[#This Row],[Player]]&lt;&gt;0,A82+1,A82)</f>
        <v>72</v>
      </c>
      <c r="B83" s="2">
        <f>HOU!A19</f>
        <v>0</v>
      </c>
      <c r="C83" s="2" t="s">
        <v>64</v>
      </c>
      <c r="D83" s="2">
        <f>HOU!C19</f>
        <v>8</v>
      </c>
      <c r="E83" s="3">
        <f>HOU!J19</f>
        <v>0</v>
      </c>
      <c r="F83" s="3">
        <f>HOU!K19</f>
        <v>0</v>
      </c>
      <c r="G83" s="3">
        <f>HOU!L19</f>
        <v>0</v>
      </c>
      <c r="H83" s="3">
        <f>HOU!M19</f>
        <v>0</v>
      </c>
      <c r="I83" s="3">
        <f>HOU!N19</f>
        <v>0</v>
      </c>
      <c r="J83" s="3">
        <f>HOU!O19</f>
        <v>0</v>
      </c>
      <c r="K83" s="3">
        <f t="shared" si="5"/>
        <v>0</v>
      </c>
      <c r="L83" s="3">
        <f t="shared" si="6"/>
        <v>0</v>
      </c>
      <c r="M83" s="3">
        <f t="shared" si="7"/>
        <v>0</v>
      </c>
      <c r="N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3" s="14">
        <v>0</v>
      </c>
    </row>
    <row r="84" spans="1:15" x14ac:dyDescent="0.25">
      <c r="A84" s="2">
        <f>IF(TableWRMaster[[#This Row],[Player]]&lt;&gt;0,A83+1,A83)</f>
        <v>73</v>
      </c>
      <c r="B84" s="2" t="str">
        <f>IND!A13</f>
        <v>Alec Pierce</v>
      </c>
      <c r="C84" s="2" t="s">
        <v>65</v>
      </c>
      <c r="D84" s="2">
        <f>IND!C13</f>
        <v>13</v>
      </c>
      <c r="E84" s="3">
        <f>IND!J13</f>
        <v>0</v>
      </c>
      <c r="F84" s="3">
        <f>IND!K13</f>
        <v>0</v>
      </c>
      <c r="G84" s="3">
        <f>IND!L13</f>
        <v>117.06562559999999</v>
      </c>
      <c r="H84" s="3">
        <f>IND!M13</f>
        <v>62.957348956398128</v>
      </c>
      <c r="I84" s="3">
        <f>IND!N13</f>
        <v>1044.6940058485879</v>
      </c>
      <c r="J84" s="3">
        <f>IND!O13</f>
        <v>6.1068628487706187</v>
      </c>
      <c r="K84" s="3">
        <f t="shared" si="5"/>
        <v>141.1105776774825</v>
      </c>
      <c r="L84" s="3">
        <f t="shared" si="6"/>
        <v>172.58925215568155</v>
      </c>
      <c r="M84" s="3">
        <f t="shared" si="7"/>
        <v>204.06792663388063</v>
      </c>
      <c r="N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172.58925215568158</v>
      </c>
      <c r="O84" s="14">
        <v>3.1584315476577665</v>
      </c>
    </row>
    <row r="85" spans="1:15" x14ac:dyDescent="0.25">
      <c r="A85" s="2">
        <f>IF(TableWRMaster[[#This Row],[Player]]&lt;&gt;0,A84+1,A84)</f>
        <v>74</v>
      </c>
      <c r="B85" s="2" t="str">
        <f>IND!A14</f>
        <v>Josh Downs</v>
      </c>
      <c r="C85" s="2" t="s">
        <v>65</v>
      </c>
      <c r="D85" s="2">
        <f>IND!C14</f>
        <v>13</v>
      </c>
      <c r="E85" s="3">
        <f>IND!J14</f>
        <v>9.8198247133757945</v>
      </c>
      <c r="F85" s="3">
        <f>IND!K14</f>
        <v>3.5425053078556257E-2</v>
      </c>
      <c r="G85" s="3">
        <f>IND!L14</f>
        <v>111.31686719999999</v>
      </c>
      <c r="H85" s="3">
        <f>IND!M14</f>
        <v>79.066049385931024</v>
      </c>
      <c r="I85" s="3">
        <f>IND!N14</f>
        <v>781.39030299409649</v>
      </c>
      <c r="J85" s="3">
        <f>IND!O14</f>
        <v>4.9811611113136545</v>
      </c>
      <c r="K85" s="3">
        <f t="shared" si="5"/>
        <v>109.22052975710051</v>
      </c>
      <c r="L85" s="3">
        <f t="shared" si="6"/>
        <v>148.75355445006602</v>
      </c>
      <c r="M85" s="3">
        <f t="shared" si="7"/>
        <v>188.28657914303153</v>
      </c>
      <c r="N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148.75355445006602</v>
      </c>
      <c r="O85" s="14">
        <v>0.64776135372820753</v>
      </c>
    </row>
    <row r="86" spans="1:15" x14ac:dyDescent="0.25">
      <c r="A86" s="2">
        <f>IF(TableWRMaster[[#This Row],[Player]]&lt;&gt;0,A85+1,A85)</f>
        <v>75</v>
      </c>
      <c r="B86" s="2" t="str">
        <f>IND!A15</f>
        <v>Nick Westbrook-Ikhine</v>
      </c>
      <c r="C86" s="2" t="s">
        <v>65</v>
      </c>
      <c r="D86" s="2">
        <f>IND!C15</f>
        <v>13</v>
      </c>
      <c r="E86" s="3">
        <f>IND!J15</f>
        <v>0</v>
      </c>
      <c r="F86" s="3">
        <f>IND!K15</f>
        <v>0</v>
      </c>
      <c r="G86" s="3">
        <f>IND!L15</f>
        <v>53.306668799999997</v>
      </c>
      <c r="H86" s="3">
        <f>IND!M15</f>
        <v>31.077787910399998</v>
      </c>
      <c r="I86" s="3">
        <f>IND!N15</f>
        <v>366.09634158451195</v>
      </c>
      <c r="J86" s="3">
        <f>IND!O15</f>
        <v>2.7659231240255995</v>
      </c>
      <c r="K86" s="3">
        <f t="shared" si="5"/>
        <v>53.205172902604787</v>
      </c>
      <c r="L86" s="3">
        <f t="shared" si="6"/>
        <v>68.744066857804782</v>
      </c>
      <c r="M86" s="3">
        <f t="shared" si="7"/>
        <v>84.282960813004792</v>
      </c>
      <c r="N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68.744066857804796</v>
      </c>
      <c r="O86" s="14">
        <v>0</v>
      </c>
    </row>
    <row r="87" spans="1:15" x14ac:dyDescent="0.25">
      <c r="A87" s="2">
        <f>IF(TableWRMaster[[#This Row],[Player]]&lt;&gt;0,A86+1,A86)</f>
        <v>76</v>
      </c>
      <c r="B87" s="2" t="str">
        <f>IND!A16</f>
        <v>Deion Burks</v>
      </c>
      <c r="C87" s="2" t="s">
        <v>65</v>
      </c>
      <c r="D87" s="2">
        <f>IND!C16</f>
        <v>13</v>
      </c>
      <c r="E87" s="3">
        <f>IND!J16</f>
        <v>0</v>
      </c>
      <c r="F87" s="3">
        <f>IND!K16</f>
        <v>0</v>
      </c>
      <c r="G87" s="3">
        <f>IND!L16</f>
        <v>18.291504</v>
      </c>
      <c r="H87" s="3">
        <f>IND!M16</f>
        <v>10.279825248000002</v>
      </c>
      <c r="I87" s="3">
        <f>IND!N16</f>
        <v>115.64803404000001</v>
      </c>
      <c r="J87" s="3">
        <f>IND!O16</f>
        <v>0.63734916537600006</v>
      </c>
      <c r="K87" s="3">
        <f t="shared" si="5"/>
        <v>15.388898396256002</v>
      </c>
      <c r="L87" s="3">
        <f t="shared" si="6"/>
        <v>20.528811020256001</v>
      </c>
      <c r="M87" s="3">
        <f t="shared" si="7"/>
        <v>25.668723644256005</v>
      </c>
      <c r="N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20.528811020256004</v>
      </c>
      <c r="O87" s="14">
        <v>0</v>
      </c>
    </row>
    <row r="88" spans="1:15" x14ac:dyDescent="0.25">
      <c r="A88" s="2">
        <f>IF(TableWRMaster[[#This Row],[Player]]&lt;&gt;0,A87+1,A87)</f>
        <v>77</v>
      </c>
      <c r="B88" s="2" t="str">
        <f>IND!A17</f>
        <v>Ashton Dulin</v>
      </c>
      <c r="C88" s="2" t="s">
        <v>65</v>
      </c>
      <c r="D88" s="2">
        <f>IND!C17</f>
        <v>13</v>
      </c>
      <c r="E88" s="3">
        <f>IND!J17</f>
        <v>18.683084143056195</v>
      </c>
      <c r="F88" s="3">
        <f>IND!K17</f>
        <v>1.8082737265830619E-2</v>
      </c>
      <c r="G88" s="3">
        <f>IND!L17</f>
        <v>10.452287999999999</v>
      </c>
      <c r="H88" s="3">
        <f>IND!M17</f>
        <v>7.1598172800000004</v>
      </c>
      <c r="I88" s="3">
        <f>IND!N17</f>
        <v>77.606120878894956</v>
      </c>
      <c r="J88" s="3">
        <f>IND!O17</f>
        <v>0.42958903679999999</v>
      </c>
      <c r="K88" s="3">
        <f t="shared" si="5"/>
        <v>12.314951146590099</v>
      </c>
      <c r="L88" s="3">
        <f t="shared" si="6"/>
        <v>15.8948597865901</v>
      </c>
      <c r="M88" s="3">
        <f t="shared" si="7"/>
        <v>19.474768426590099</v>
      </c>
      <c r="N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15.8948597865901</v>
      </c>
      <c r="O88" s="14">
        <v>0</v>
      </c>
    </row>
    <row r="89" spans="1:15" x14ac:dyDescent="0.25">
      <c r="A89" s="2">
        <f>IF(TableWRMaster[[#This Row],[Player]]&lt;&gt;0,A88+1,A88)</f>
        <v>78</v>
      </c>
      <c r="B89" s="2" t="str">
        <f>IND!A18</f>
        <v>Anthony Gould</v>
      </c>
      <c r="C89" s="2" t="s">
        <v>65</v>
      </c>
      <c r="D89" s="2">
        <f>IND!C18</f>
        <v>13</v>
      </c>
      <c r="E89" s="3">
        <f>IND!J18</f>
        <v>0</v>
      </c>
      <c r="F89" s="3">
        <f>IND!K18</f>
        <v>0</v>
      </c>
      <c r="G89" s="3">
        <f>IND!L18</f>
        <v>5.2261439999999997</v>
      </c>
      <c r="H89" s="3">
        <f>IND!M18</f>
        <v>2.8768180671999999</v>
      </c>
      <c r="I89" s="3">
        <f>IND!N18</f>
        <v>30.471555206400001</v>
      </c>
      <c r="J89" s="3">
        <f>IND!O18</f>
        <v>0.15822499369599999</v>
      </c>
      <c r="K89" s="3">
        <f t="shared" si="5"/>
        <v>3.996505482816</v>
      </c>
      <c r="L89" s="3">
        <f t="shared" si="6"/>
        <v>5.4349145164159998</v>
      </c>
      <c r="M89" s="3">
        <f t="shared" si="7"/>
        <v>6.8733235500159999</v>
      </c>
      <c r="N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5.4349145164160007</v>
      </c>
      <c r="O89" s="14">
        <v>0</v>
      </c>
    </row>
    <row r="90" spans="1:15" x14ac:dyDescent="0.25">
      <c r="A90" s="2">
        <f>IF(TableWRMaster[[#This Row],[Player]]&lt;&gt;0,A89+1,A89)</f>
        <v>79</v>
      </c>
      <c r="B90" s="2" t="str">
        <f>JAX!A13</f>
        <v>Parker Washington</v>
      </c>
      <c r="C90" s="2" t="s">
        <v>83</v>
      </c>
      <c r="D90" s="2">
        <f>JAX!C13</f>
        <v>7</v>
      </c>
      <c r="E90" s="3">
        <f>JAX!J13</f>
        <v>22.757878499999997</v>
      </c>
      <c r="F90" s="3">
        <f>JAX!K13</f>
        <v>0.17949876000000001</v>
      </c>
      <c r="G90" s="3">
        <f>JAX!L13</f>
        <v>125.92644750000001</v>
      </c>
      <c r="H90" s="3">
        <f>JAX!M13</f>
        <v>78.578103240000004</v>
      </c>
      <c r="I90" s="3">
        <f>JAX!N13</f>
        <v>1057.6612696104</v>
      </c>
      <c r="J90" s="3">
        <f>JAX!O13</f>
        <v>6.6005606721600012</v>
      </c>
      <c r="K90" s="3">
        <f t="shared" si="5"/>
        <v>148.722271404</v>
      </c>
      <c r="L90" s="3">
        <f t="shared" si="6"/>
        <v>188.01132302400001</v>
      </c>
      <c r="M90" s="3">
        <f t="shared" si="7"/>
        <v>227.30037464399999</v>
      </c>
      <c r="N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188.01132302400001</v>
      </c>
      <c r="O90" s="14">
        <v>15.838701358844826</v>
      </c>
    </row>
    <row r="91" spans="1:15" x14ac:dyDescent="0.25">
      <c r="A91" s="2">
        <f>IF(TableWRMaster[[#This Row],[Player]]&lt;&gt;0,A90+1,A90)</f>
        <v>80</v>
      </c>
      <c r="B91" s="2" t="str">
        <f>JAX!A14</f>
        <v>Brian Thomas</v>
      </c>
      <c r="C91" s="2" t="s">
        <v>83</v>
      </c>
      <c r="D91" s="2">
        <f>JAX!C14</f>
        <v>7</v>
      </c>
      <c r="E91" s="3">
        <f>JAX!J14</f>
        <v>0</v>
      </c>
      <c r="F91" s="3">
        <f>JAX!K14</f>
        <v>0</v>
      </c>
      <c r="G91" s="3">
        <f>JAX!L14</f>
        <v>104.0991966</v>
      </c>
      <c r="H91" s="3">
        <f>JAX!M14</f>
        <v>56.525863753800003</v>
      </c>
      <c r="I91" s="3">
        <f>JAX!N14</f>
        <v>842.80062856915811</v>
      </c>
      <c r="J91" s="3">
        <f>JAX!O14</f>
        <v>5.4830087841186002</v>
      </c>
      <c r="K91" s="3">
        <f t="shared" si="5"/>
        <v>117.17811556162741</v>
      </c>
      <c r="L91" s="3">
        <f t="shared" si="6"/>
        <v>145.44104743852742</v>
      </c>
      <c r="M91" s="3">
        <f t="shared" si="7"/>
        <v>173.7039793154274</v>
      </c>
      <c r="N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145.44104743852742</v>
      </c>
      <c r="O91" s="14">
        <v>10.083300050857609</v>
      </c>
    </row>
    <row r="92" spans="1:15" x14ac:dyDescent="0.25">
      <c r="A92" s="2">
        <f>IF(TableWRMaster[[#This Row],[Player]]&lt;&gt;0,A91+1,A91)</f>
        <v>81</v>
      </c>
      <c r="B92" s="2" t="str">
        <f>JAX!A15</f>
        <v>Jakobi Meyers</v>
      </c>
      <c r="C92" s="2" t="s">
        <v>83</v>
      </c>
      <c r="D92" s="2">
        <f>JAX!C15</f>
        <v>7</v>
      </c>
      <c r="E92" s="3">
        <f>JAX!J15</f>
        <v>10.894215331920902</v>
      </c>
      <c r="F92" s="3">
        <f>JAX!K15</f>
        <v>3.018206214689265E-2</v>
      </c>
      <c r="G92" s="3">
        <f>JAX!L15</f>
        <v>102.97985039999999</v>
      </c>
      <c r="H92" s="3">
        <f>JAX!M15</f>
        <v>65.495184854399994</v>
      </c>
      <c r="I92" s="3">
        <f>JAX!N15</f>
        <v>740.75054070326394</v>
      </c>
      <c r="J92" s="3">
        <f>JAX!O15</f>
        <v>4.9121388640799992</v>
      </c>
      <c r="K92" s="3">
        <f t="shared" si="5"/>
        <v>104.81840116087983</v>
      </c>
      <c r="L92" s="3">
        <f t="shared" si="6"/>
        <v>137.56599358807983</v>
      </c>
      <c r="M92" s="3">
        <f t="shared" si="7"/>
        <v>170.31358601527984</v>
      </c>
      <c r="N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137.56599358807983</v>
      </c>
      <c r="O92" s="14">
        <v>8.5562358386140911</v>
      </c>
    </row>
    <row r="93" spans="1:15" x14ac:dyDescent="0.25">
      <c r="A93" s="2">
        <f>IF(TableWRMaster[[#This Row],[Player]]&lt;&gt;0,A92+1,A92)</f>
        <v>82</v>
      </c>
      <c r="B93" s="2" t="str">
        <f>JAX!A16</f>
        <v>Travis Hunter</v>
      </c>
      <c r="C93" s="2" t="s">
        <v>83</v>
      </c>
      <c r="D93" s="2">
        <f>JAX!C16</f>
        <v>7</v>
      </c>
      <c r="E93" s="3">
        <f>JAX!J16</f>
        <v>0</v>
      </c>
      <c r="F93" s="3">
        <f>JAX!K16</f>
        <v>0</v>
      </c>
      <c r="G93" s="3">
        <f>JAX!L16</f>
        <v>35.819078400000002</v>
      </c>
      <c r="H93" s="3">
        <f>JAX!M16</f>
        <v>22.351104921600001</v>
      </c>
      <c r="I93" s="3">
        <f>JAX!N16</f>
        <v>244.29757679308801</v>
      </c>
      <c r="J93" s="3">
        <f>JAX!O16</f>
        <v>1.6316306592768</v>
      </c>
      <c r="K93" s="3">
        <f t="shared" si="5"/>
        <v>34.219541634969602</v>
      </c>
      <c r="L93" s="3">
        <f t="shared" si="6"/>
        <v>45.395094095769601</v>
      </c>
      <c r="M93" s="3">
        <f t="shared" si="7"/>
        <v>56.570646556569599</v>
      </c>
      <c r="N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45.395094095769608</v>
      </c>
      <c r="O93" s="14">
        <v>0</v>
      </c>
    </row>
    <row r="94" spans="1:15" x14ac:dyDescent="0.25">
      <c r="A94" s="2">
        <f>IF(TableWRMaster[[#This Row],[Player]]&lt;&gt;0,A93+1,A93)</f>
        <v>83</v>
      </c>
      <c r="B94" s="2" t="str">
        <f>JAX!A17</f>
        <v>CJ Williams</v>
      </c>
      <c r="C94" s="2" t="s">
        <v>83</v>
      </c>
      <c r="D94" s="2">
        <f>JAX!C17</f>
        <v>7</v>
      </c>
      <c r="E94" s="3">
        <f>JAX!J17</f>
        <v>0</v>
      </c>
      <c r="F94" s="3">
        <f>JAX!K17</f>
        <v>0</v>
      </c>
      <c r="G94" s="3">
        <f>JAX!L17</f>
        <v>5.5967310000000001</v>
      </c>
      <c r="H94" s="3">
        <f>JAX!M17</f>
        <v>3.3580386</v>
      </c>
      <c r="I94" s="3">
        <f>JAX!N17</f>
        <v>30.558151259999999</v>
      </c>
      <c r="J94" s="3">
        <f>JAX!O17</f>
        <v>0.2081983932</v>
      </c>
      <c r="K94" s="3">
        <f t="shared" si="5"/>
        <v>4.3050054851999997</v>
      </c>
      <c r="L94" s="3">
        <f t="shared" si="6"/>
        <v>5.9840247851999999</v>
      </c>
      <c r="M94" s="3">
        <f t="shared" si="7"/>
        <v>7.6630440851999992</v>
      </c>
      <c r="N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5.9840247851999999</v>
      </c>
      <c r="O94" s="14">
        <v>0</v>
      </c>
    </row>
    <row r="95" spans="1:15" x14ac:dyDescent="0.25">
      <c r="A95" s="2">
        <f>IF(TableWRMaster[[#This Row],[Player]]&lt;&gt;0,A94+1,A94)</f>
        <v>84</v>
      </c>
      <c r="B95" s="2" t="str">
        <f>JAX!A18</f>
        <v>Josh Cameron</v>
      </c>
      <c r="C95" s="2" t="s">
        <v>83</v>
      </c>
      <c r="D95" s="2">
        <f>JAX!C18</f>
        <v>7</v>
      </c>
      <c r="E95" s="3">
        <f>JAX!J18</f>
        <v>0</v>
      </c>
      <c r="F95" s="3">
        <f>JAX!K18</f>
        <v>0</v>
      </c>
      <c r="G95" s="3">
        <f>JAX!L18</f>
        <v>2.7983655000000001</v>
      </c>
      <c r="H95" s="3">
        <f>JAX!M18</f>
        <v>1.6650274725</v>
      </c>
      <c r="I95" s="3">
        <f>JAX!N18</f>
        <v>17.715892307400001</v>
      </c>
      <c r="J95" s="3">
        <f>JAX!O18</f>
        <v>0.1348672252725</v>
      </c>
      <c r="K95" s="3">
        <f t="shared" si="5"/>
        <v>2.580792582375</v>
      </c>
      <c r="L95" s="3">
        <f t="shared" si="6"/>
        <v>3.4133063186250001</v>
      </c>
      <c r="M95" s="3">
        <f t="shared" si="7"/>
        <v>4.2458200548749998</v>
      </c>
      <c r="N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3.4133063186250001</v>
      </c>
      <c r="O95" s="14">
        <v>0</v>
      </c>
    </row>
    <row r="96" spans="1:15" x14ac:dyDescent="0.25">
      <c r="A96" s="2">
        <f>IF(TableWRMaster[[#This Row],[Player]]&lt;&gt;0,A95+1,A95)</f>
        <v>84</v>
      </c>
      <c r="B96" s="2">
        <f>JAX!A19</f>
        <v>0</v>
      </c>
      <c r="C96" s="2" t="s">
        <v>83</v>
      </c>
      <c r="D96" s="2">
        <f>JAX!C19</f>
        <v>7</v>
      </c>
      <c r="E96" s="3">
        <f>JAX!J19</f>
        <v>0</v>
      </c>
      <c r="F96" s="3">
        <f>JAX!K19</f>
        <v>0</v>
      </c>
      <c r="G96" s="3">
        <f>JAX!L19</f>
        <v>0</v>
      </c>
      <c r="H96" s="3">
        <f>JAX!M19</f>
        <v>0</v>
      </c>
      <c r="I96" s="3">
        <f>JAX!N19</f>
        <v>0</v>
      </c>
      <c r="J96" s="3">
        <f>JAX!O19</f>
        <v>0</v>
      </c>
      <c r="K96" s="3">
        <f t="shared" si="5"/>
        <v>0</v>
      </c>
      <c r="L96" s="3">
        <f t="shared" si="6"/>
        <v>0</v>
      </c>
      <c r="M96" s="3">
        <f t="shared" si="7"/>
        <v>0</v>
      </c>
      <c r="N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96" s="14">
        <v>0</v>
      </c>
    </row>
    <row r="97" spans="1:15" x14ac:dyDescent="0.25">
      <c r="A97" s="2">
        <f>IF(TableWRMaster[[#This Row],[Player]]&lt;&gt;0,A96+1,A96)</f>
        <v>85</v>
      </c>
      <c r="B97" s="2" t="str">
        <f>KC!A13</f>
        <v>Rashee Rice</v>
      </c>
      <c r="C97" s="2" t="s">
        <v>67</v>
      </c>
      <c r="D97" s="2">
        <f>KC!C13</f>
        <v>5</v>
      </c>
      <c r="E97" s="3">
        <f>KC!J13</f>
        <v>27.306853604231787</v>
      </c>
      <c r="F97" s="3">
        <f>KC!K13</f>
        <v>0.41619956720365475</v>
      </c>
      <c r="G97" s="3">
        <f>KC!L13</f>
        <v>128.80482999999998</v>
      </c>
      <c r="H97" s="3">
        <f>KC!M13</f>
        <v>87.587284399999987</v>
      </c>
      <c r="I97" s="3">
        <f>KC!N13</f>
        <v>975.90036041213159</v>
      </c>
      <c r="J97" s="3">
        <f>KC!O13</f>
        <v>8.4083793023999984</v>
      </c>
      <c r="K97" s="3">
        <f t="shared" si="5"/>
        <v>153.26819461925825</v>
      </c>
      <c r="L97" s="3">
        <f t="shared" si="6"/>
        <v>197.06183681925825</v>
      </c>
      <c r="M97" s="3">
        <f t="shared" si="7"/>
        <v>240.85547901925824</v>
      </c>
      <c r="N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197.06183681925825</v>
      </c>
      <c r="O97" s="14">
        <v>45.236144655695469</v>
      </c>
    </row>
    <row r="98" spans="1:15" x14ac:dyDescent="0.25">
      <c r="A98" s="2">
        <f>IF(TableWRMaster[[#This Row],[Player]]&lt;&gt;0,A97+1,A97)</f>
        <v>86</v>
      </c>
      <c r="B98" s="2" t="str">
        <f>KC!A14</f>
        <v>Xavier Worthy</v>
      </c>
      <c r="C98" s="2" t="s">
        <v>67</v>
      </c>
      <c r="D98" s="2">
        <f>KC!C14</f>
        <v>5</v>
      </c>
      <c r="E98" s="3">
        <f>KC!J14</f>
        <v>54.82748582903664</v>
      </c>
      <c r="F98" s="3">
        <f>KC!K14</f>
        <v>0.42276162822252378</v>
      </c>
      <c r="G98" s="3">
        <f>KC!L14</f>
        <v>97.774575499999997</v>
      </c>
      <c r="H98" s="3">
        <f>KC!M14</f>
        <v>57.323544316701565</v>
      </c>
      <c r="I98" s="3">
        <f>KC!N14</f>
        <v>736.86230440193879</v>
      </c>
      <c r="J98" s="3">
        <f>KC!O14</f>
        <v>5.2737660771365436</v>
      </c>
      <c r="K98" s="3">
        <f t="shared" si="5"/>
        <v>113.34814525525195</v>
      </c>
      <c r="L98" s="3">
        <f t="shared" ref="L98:L107" si="8">K98+(H98*0.5)</f>
        <v>142.00991741360272</v>
      </c>
      <c r="M98" s="3">
        <f t="shared" ref="M98:M107" si="9">K98+H98</f>
        <v>170.67168957195352</v>
      </c>
      <c r="N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142.00991741360272</v>
      </c>
      <c r="O98" s="14">
        <v>8.9593049382982386</v>
      </c>
    </row>
    <row r="99" spans="1:15" x14ac:dyDescent="0.25">
      <c r="A99" s="2">
        <f>IF(TableWRMaster[[#This Row],[Player]]&lt;&gt;0,A98+1,A98)</f>
        <v>87</v>
      </c>
      <c r="B99" s="2" t="str">
        <f>KC!A15</f>
        <v>Tyquan Thornton</v>
      </c>
      <c r="C99" s="2" t="s">
        <v>67</v>
      </c>
      <c r="D99" s="2">
        <f>KC!C15</f>
        <v>5</v>
      </c>
      <c r="E99" s="3">
        <f>KC!J15</f>
        <v>0</v>
      </c>
      <c r="F99" s="3">
        <f>KC!K15</f>
        <v>0</v>
      </c>
      <c r="G99" s="3">
        <f>KC!L15</f>
        <v>63.231462000000001</v>
      </c>
      <c r="H99" s="3">
        <f>KC!M15</f>
        <v>35.599313105999997</v>
      </c>
      <c r="I99" s="3">
        <f>KC!N15</f>
        <v>594.29453017048206</v>
      </c>
      <c r="J99" s="3">
        <f>KC!O15</f>
        <v>4.6991093299919999</v>
      </c>
      <c r="K99" s="3">
        <f t="shared" si="5"/>
        <v>87.624108997000207</v>
      </c>
      <c r="L99" s="3">
        <f t="shared" si="8"/>
        <v>105.42376555000021</v>
      </c>
      <c r="M99" s="3">
        <f t="shared" si="9"/>
        <v>123.2234221030002</v>
      </c>
      <c r="N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105.42376555000021</v>
      </c>
      <c r="O99" s="14">
        <v>0</v>
      </c>
    </row>
    <row r="100" spans="1:15" x14ac:dyDescent="0.25">
      <c r="A100" s="2">
        <f>IF(TableWRMaster[[#This Row],[Player]]&lt;&gt;0,A99+1,A99)</f>
        <v>88</v>
      </c>
      <c r="B100" s="2" t="str">
        <f>KC!A16</f>
        <v>Jalen Royals</v>
      </c>
      <c r="C100" s="2" t="s">
        <v>67</v>
      </c>
      <c r="D100" s="2">
        <f>KC!C16</f>
        <v>5</v>
      </c>
      <c r="E100" s="3">
        <f>KC!J16</f>
        <v>0</v>
      </c>
      <c r="F100" s="3">
        <f>KC!K16</f>
        <v>0</v>
      </c>
      <c r="G100" s="3">
        <f>KC!L16</f>
        <v>26.346442499999998</v>
      </c>
      <c r="H100" s="3">
        <f>KC!M16</f>
        <v>16.545565889999999</v>
      </c>
      <c r="I100" s="3">
        <f>KC!N16</f>
        <v>173.51816124730254</v>
      </c>
      <c r="J100" s="3">
        <f>KC!O16</f>
        <v>1.24091744175</v>
      </c>
      <c r="K100" s="3">
        <f t="shared" si="5"/>
        <v>24.797320775230254</v>
      </c>
      <c r="L100" s="3">
        <f t="shared" si="8"/>
        <v>33.07010372023025</v>
      </c>
      <c r="M100" s="3">
        <f t="shared" si="9"/>
        <v>41.342886665230253</v>
      </c>
      <c r="N1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33.070103720230257</v>
      </c>
      <c r="O100" s="14">
        <v>0</v>
      </c>
    </row>
    <row r="101" spans="1:15" x14ac:dyDescent="0.25">
      <c r="A101" s="2">
        <f>IF(TableWRMaster[[#This Row],[Player]]&lt;&gt;0,A100+1,A100)</f>
        <v>89</v>
      </c>
      <c r="B101" s="2" t="str">
        <f>KC!A17</f>
        <v>Cyrus Allen</v>
      </c>
      <c r="C101" s="2" t="s">
        <v>67</v>
      </c>
      <c r="D101" s="2">
        <f>KC!C17</f>
        <v>5</v>
      </c>
      <c r="E101" s="3">
        <f>KC!J17</f>
        <v>0</v>
      </c>
      <c r="F101" s="3">
        <f>KC!K17</f>
        <v>0</v>
      </c>
      <c r="G101" s="3">
        <f>KC!L17</f>
        <v>8.7821474999999989</v>
      </c>
      <c r="H101" s="3">
        <f>KC!M17</f>
        <v>4.6272159383333324</v>
      </c>
      <c r="I101" s="3">
        <f>KC!N17</f>
        <v>55.322455120333316</v>
      </c>
      <c r="J101" s="3">
        <f>KC!O17</f>
        <v>0.33778676349833325</v>
      </c>
      <c r="K101" s="3">
        <f t="shared" si="5"/>
        <v>7.5589660930233311</v>
      </c>
      <c r="L101" s="3">
        <f t="shared" si="8"/>
        <v>9.8725740621899973</v>
      </c>
      <c r="M101" s="3">
        <f t="shared" si="9"/>
        <v>12.186182031356664</v>
      </c>
      <c r="N1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9.8725740621899973</v>
      </c>
      <c r="O101" s="14">
        <v>0</v>
      </c>
    </row>
    <row r="102" spans="1:15" x14ac:dyDescent="0.25">
      <c r="A102" s="2">
        <f>IF(TableWRMaster[[#This Row],[Player]]&lt;&gt;0,A101+1,A101)</f>
        <v>90</v>
      </c>
      <c r="B102" s="2" t="str">
        <f>KC!A18</f>
        <v>Jeff Caldwell</v>
      </c>
      <c r="C102" s="2" t="s">
        <v>67</v>
      </c>
      <c r="D102" s="2">
        <f>KC!C18</f>
        <v>5</v>
      </c>
      <c r="E102" s="3">
        <f>KC!J18</f>
        <v>0</v>
      </c>
      <c r="F102" s="3">
        <f>KC!K18</f>
        <v>0</v>
      </c>
      <c r="G102" s="3">
        <f>KC!L18</f>
        <v>2.9273824999999998</v>
      </c>
      <c r="H102" s="3">
        <f>KC!M18</f>
        <v>1.6334794349999999</v>
      </c>
      <c r="I102" s="3">
        <f>KC!N18</f>
        <v>18.098952139799998</v>
      </c>
      <c r="J102" s="3">
        <f>KC!O18</f>
        <v>0.11434356045000001</v>
      </c>
      <c r="K102" s="3">
        <f t="shared" ref="K102" si="10">(E102/10)+(F102*6)+(I102/10)+(J102*6)</f>
        <v>2.4959565766799998</v>
      </c>
      <c r="L102" s="3">
        <f t="shared" ref="L102" si="11">K102+(H102*0.5)</f>
        <v>3.3126962941799998</v>
      </c>
      <c r="M102" s="3">
        <f t="shared" ref="M102" si="12">K102+H102</f>
        <v>4.1294360116799993</v>
      </c>
      <c r="N1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3.3126962941800002</v>
      </c>
      <c r="O102" s="14">
        <v>1</v>
      </c>
    </row>
    <row r="103" spans="1:15" x14ac:dyDescent="0.25">
      <c r="A103" s="2">
        <f>IF(TableWRMaster[[#This Row],[Player]]&lt;&gt;0,A102+1,A102)</f>
        <v>91</v>
      </c>
      <c r="B103" s="2" t="str">
        <f>LAC!A13</f>
        <v>Ladd McConkey</v>
      </c>
      <c r="C103" s="2" t="s">
        <v>68</v>
      </c>
      <c r="D103" s="2">
        <f>LAC!C13</f>
        <v>7</v>
      </c>
      <c r="E103" s="3">
        <f>LAC!J13</f>
        <v>0</v>
      </c>
      <c r="F103" s="3">
        <f>LAC!K13</f>
        <v>0</v>
      </c>
      <c r="G103" s="3">
        <f>LAC!L13</f>
        <v>128.13756955999997</v>
      </c>
      <c r="H103" s="3">
        <f>LAC!M13</f>
        <v>85.17099006658664</v>
      </c>
      <c r="I103" s="3">
        <f>LAC!N13</f>
        <v>1129.3673282829388</v>
      </c>
      <c r="J103" s="3">
        <f>LAC!O13</f>
        <v>6.8136792053269311</v>
      </c>
      <c r="K103" s="3">
        <f t="shared" si="5"/>
        <v>153.81880806025546</v>
      </c>
      <c r="L103" s="3">
        <f t="shared" si="8"/>
        <v>196.40430309354878</v>
      </c>
      <c r="M103" s="3">
        <f t="shared" si="9"/>
        <v>238.98979812684212</v>
      </c>
      <c r="N1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196.40430309354878</v>
      </c>
      <c r="O103" s="14">
        <v>24.422427073887171</v>
      </c>
    </row>
    <row r="104" spans="1:15" x14ac:dyDescent="0.25">
      <c r="A104" s="2">
        <f>IF(TableWRMaster[[#This Row],[Player]]&lt;&gt;0,A103+1,A103)</f>
        <v>92</v>
      </c>
      <c r="B104" s="2" t="str">
        <f>LAC!A14</f>
        <v>Quentin Johnston</v>
      </c>
      <c r="C104" s="2" t="s">
        <v>68</v>
      </c>
      <c r="D104" s="2">
        <f>LAC!C14</f>
        <v>7</v>
      </c>
      <c r="E104" s="3">
        <f>LAC!J14</f>
        <v>0</v>
      </c>
      <c r="F104" s="3">
        <f>LAC!K14</f>
        <v>0</v>
      </c>
      <c r="G104" s="3">
        <f>LAC!L14</f>
        <v>108.46499663999998</v>
      </c>
      <c r="H104" s="3">
        <f>LAC!M14</f>
        <v>61.233610819884383</v>
      </c>
      <c r="I104" s="3">
        <f>LAC!N14</f>
        <v>879.68748673771267</v>
      </c>
      <c r="J104" s="3">
        <f>LAC!O14</f>
        <v>7.6542013524855479</v>
      </c>
      <c r="K104" s="3">
        <f t="shared" si="5"/>
        <v>133.89395678868456</v>
      </c>
      <c r="L104" s="3">
        <f t="shared" si="8"/>
        <v>164.51076219862676</v>
      </c>
      <c r="M104" s="3">
        <f t="shared" si="9"/>
        <v>195.12756760856894</v>
      </c>
      <c r="N10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164.51076219862676</v>
      </c>
      <c r="O104" s="14">
        <v>3.3449728845290307</v>
      </c>
    </row>
    <row r="105" spans="1:15" x14ac:dyDescent="0.25">
      <c r="A105" s="2">
        <f>IF(TableWRMaster[[#This Row],[Player]]&lt;&gt;0,A104+1,A104)</f>
        <v>93</v>
      </c>
      <c r="B105" s="2" t="str">
        <f>LAC!A15</f>
        <v>Tre' Harris</v>
      </c>
      <c r="C105" s="2" t="s">
        <v>68</v>
      </c>
      <c r="D105" s="2">
        <f>LAC!C15</f>
        <v>7</v>
      </c>
      <c r="E105" s="3">
        <f>LAC!J15</f>
        <v>0</v>
      </c>
      <c r="F105" s="3">
        <f>LAC!K15</f>
        <v>0</v>
      </c>
      <c r="G105" s="3">
        <f>LAC!L15</f>
        <v>44.130366279999997</v>
      </c>
      <c r="H105" s="3">
        <f>LAC!M15</f>
        <v>26.64474945207547</v>
      </c>
      <c r="I105" s="3">
        <f>LAC!N15</f>
        <v>319.2915265200038</v>
      </c>
      <c r="J105" s="3">
        <f>LAC!O15</f>
        <v>1.5720402176724526</v>
      </c>
      <c r="K105" s="3">
        <f t="shared" si="5"/>
        <v>41.361393958035094</v>
      </c>
      <c r="L105" s="3">
        <f t="shared" si="8"/>
        <v>54.683768684072831</v>
      </c>
      <c r="M105" s="3">
        <f t="shared" si="9"/>
        <v>68.006143410110568</v>
      </c>
      <c r="N10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54.683768684072831</v>
      </c>
      <c r="O105" s="14">
        <v>0</v>
      </c>
    </row>
    <row r="106" spans="1:15" x14ac:dyDescent="0.25">
      <c r="A106" s="2">
        <f>IF(TableWRMaster[[#This Row],[Player]]&lt;&gt;0,A105+1,A105)</f>
        <v>94</v>
      </c>
      <c r="B106" s="2" t="str">
        <f>LAC!A16</f>
        <v>Brenen Thompson</v>
      </c>
      <c r="C106" s="2" t="s">
        <v>68</v>
      </c>
      <c r="D106" s="2">
        <f>LAC!C16</f>
        <v>7</v>
      </c>
      <c r="E106" s="3">
        <f>LAC!J16</f>
        <v>0</v>
      </c>
      <c r="F106" s="3">
        <f>LAC!K16</f>
        <v>0</v>
      </c>
      <c r="G106" s="3">
        <f>LAC!L16</f>
        <v>18.609190599999998</v>
      </c>
      <c r="H106" s="3">
        <f>LAC!M16</f>
        <v>12.375111749</v>
      </c>
      <c r="I106" s="3">
        <f>LAC!N16</f>
        <v>150.11010551537001</v>
      </c>
      <c r="J106" s="3">
        <f>LAC!O16</f>
        <v>0.8786329341789999</v>
      </c>
      <c r="K106" s="3">
        <f t="shared" si="5"/>
        <v>20.282808156611001</v>
      </c>
      <c r="L106" s="3">
        <f t="shared" si="8"/>
        <v>26.470364031111</v>
      </c>
      <c r="M106" s="3">
        <f t="shared" si="9"/>
        <v>32.657919905611003</v>
      </c>
      <c r="N10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26.470364031111</v>
      </c>
      <c r="O106" s="14">
        <v>0</v>
      </c>
    </row>
    <row r="107" spans="1:15" x14ac:dyDescent="0.25">
      <c r="A107" s="2">
        <f>IF(TableWRMaster[[#This Row],[Player]]&lt;&gt;0,A106+1,A106)</f>
        <v>95</v>
      </c>
      <c r="B107" s="2" t="str">
        <f>LAC!A17</f>
        <v>KeAndre Lambert-Smith</v>
      </c>
      <c r="C107" s="2" t="s">
        <v>68</v>
      </c>
      <c r="D107" s="2">
        <f>LAC!C17</f>
        <v>7</v>
      </c>
      <c r="E107" s="3">
        <f>LAC!J17</f>
        <v>0</v>
      </c>
      <c r="F107" s="3">
        <f>LAC!K17</f>
        <v>0</v>
      </c>
      <c r="G107" s="3">
        <f>LAC!L17</f>
        <v>10.633823199999998</v>
      </c>
      <c r="H107" s="3">
        <f>LAC!M17</f>
        <v>6.0719130471999989</v>
      </c>
      <c r="I107" s="3">
        <f>LAC!N17</f>
        <v>69.668355165736983</v>
      </c>
      <c r="J107" s="3">
        <f>LAC!O17</f>
        <v>0.44324965244559988</v>
      </c>
      <c r="K107" s="3">
        <f t="shared" si="5"/>
        <v>9.6263334312472963</v>
      </c>
      <c r="L107" s="3">
        <f t="shared" si="8"/>
        <v>12.662289954847296</v>
      </c>
      <c r="M107" s="3">
        <f t="shared" si="9"/>
        <v>15.698246478447295</v>
      </c>
      <c r="N10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12.662289954847298</v>
      </c>
      <c r="O107" s="14">
        <v>0</v>
      </c>
    </row>
    <row r="108" spans="1:15" x14ac:dyDescent="0.25">
      <c r="A108" s="2">
        <f>IF(TableWRMaster[[#This Row],[Player]]&lt;&gt;0,A107+1,A107)</f>
        <v>96</v>
      </c>
      <c r="B108" s="2" t="str">
        <f>LAC!A18</f>
        <v>Derius Davis</v>
      </c>
      <c r="C108" s="2" t="s">
        <v>68</v>
      </c>
      <c r="D108" s="2">
        <f>LAC!C18</f>
        <v>7</v>
      </c>
      <c r="E108" s="3">
        <f>LAC!J18</f>
        <v>0</v>
      </c>
      <c r="F108" s="3">
        <f>LAC!K18</f>
        <v>0</v>
      </c>
      <c r="G108" s="3">
        <f>LAC!L18</f>
        <v>2.6584557999999996</v>
      </c>
      <c r="H108" s="3">
        <f>LAC!M18</f>
        <v>1.8476267809999996</v>
      </c>
      <c r="I108" s="3">
        <f>LAC!N18</f>
        <v>17.464753734961864</v>
      </c>
      <c r="J108" s="3">
        <f>LAC!O18</f>
        <v>9.2381339049999983E-2</v>
      </c>
      <c r="K108" s="3">
        <f t="shared" ref="K108:K109" si="13">(E108/10)+(F108*6)+(I108/10)+(J108*6)</f>
        <v>2.300763407796186</v>
      </c>
      <c r="L108" s="3">
        <f t="shared" ref="L108:L109" si="14">K108+(H108*0.5)</f>
        <v>3.2245767982961859</v>
      </c>
      <c r="M108" s="3">
        <f t="shared" ref="M108:M109" si="15">K108+H108</f>
        <v>4.1483901887961858</v>
      </c>
      <c r="N10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3.2245767982961859</v>
      </c>
      <c r="O108" s="14">
        <v>0</v>
      </c>
    </row>
    <row r="109" spans="1:15" x14ac:dyDescent="0.25">
      <c r="A109" s="2">
        <f>IF(TableWRMaster[[#This Row],[Player]]&lt;&gt;0,A108+1,A108)</f>
        <v>96</v>
      </c>
      <c r="B109" s="2">
        <f>LAC!A19</f>
        <v>0</v>
      </c>
      <c r="C109" s="2" t="s">
        <v>68</v>
      </c>
      <c r="D109" s="2">
        <f>LAC!C19</f>
        <v>7</v>
      </c>
      <c r="E109" s="3">
        <f>LAC!J19</f>
        <v>0</v>
      </c>
      <c r="F109" s="3">
        <f>LAC!K19</f>
        <v>0</v>
      </c>
      <c r="G109" s="3">
        <f>LAC!L19</f>
        <v>0</v>
      </c>
      <c r="H109" s="3">
        <f>LAC!M19</f>
        <v>0</v>
      </c>
      <c r="I109" s="3">
        <f>LAC!N19</f>
        <v>0</v>
      </c>
      <c r="J109" s="3">
        <f>LAC!O19</f>
        <v>0</v>
      </c>
      <c r="K109" s="3">
        <f t="shared" si="13"/>
        <v>0</v>
      </c>
      <c r="L109" s="3">
        <f t="shared" si="14"/>
        <v>0</v>
      </c>
      <c r="M109" s="3">
        <f t="shared" si="15"/>
        <v>0</v>
      </c>
      <c r="N10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09" s="14">
        <v>0</v>
      </c>
    </row>
    <row r="110" spans="1:15" x14ac:dyDescent="0.25">
      <c r="A110" s="2">
        <f>IF(TableWRMaster[[#This Row],[Player]]&lt;&gt;0,A109+1,A109)</f>
        <v>97</v>
      </c>
      <c r="B110" s="2" t="str">
        <f>LAR!A14</f>
        <v>Davante Adams</v>
      </c>
      <c r="C110" s="2" t="s">
        <v>69</v>
      </c>
      <c r="D110" s="2">
        <f>LAR!C14</f>
        <v>11</v>
      </c>
      <c r="E110" s="3">
        <f>LAR!J14</f>
        <v>0</v>
      </c>
      <c r="F110" s="3">
        <f>LAR!K14</f>
        <v>0</v>
      </c>
      <c r="G110" s="3">
        <f>LAR!L14</f>
        <v>126.66263358908101</v>
      </c>
      <c r="H110" s="3">
        <f>LAR!M14</f>
        <v>68.651147405281918</v>
      </c>
      <c r="I110" s="3">
        <f>LAR!N14</f>
        <v>908.2137547965624</v>
      </c>
      <c r="J110" s="3">
        <f>LAR!O14</f>
        <v>10.778230142629262</v>
      </c>
      <c r="K110" s="3">
        <f t="shared" si="5"/>
        <v>155.4907563354318</v>
      </c>
      <c r="L110" s="3">
        <f t="shared" ref="L110:L140" si="16">K110+(H110*0.5)</f>
        <v>189.81633003807275</v>
      </c>
      <c r="M110" s="3">
        <f t="shared" ref="M110:M140" si="17">K110+H110</f>
        <v>224.1419037407137</v>
      </c>
      <c r="N1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189.81633003807275</v>
      </c>
      <c r="O110" s="14">
        <v>20.481741496713184</v>
      </c>
    </row>
    <row r="111" spans="1:15" x14ac:dyDescent="0.25">
      <c r="A111" s="2">
        <f>IF(TableWRMaster[[#This Row],[Player]]&lt;&gt;0,A110+1,A110)</f>
        <v>98</v>
      </c>
      <c r="B111" s="2" t="str">
        <f>LAR!A13</f>
        <v>Puka Nacua</v>
      </c>
      <c r="C111" s="2" t="s">
        <v>69</v>
      </c>
      <c r="D111" s="2">
        <f>LAR!C13</f>
        <v>11</v>
      </c>
      <c r="E111" s="3">
        <f>LAR!J13</f>
        <v>80.681953432518583</v>
      </c>
      <c r="F111" s="3">
        <f>LAR!K13</f>
        <v>0.80502599893730076</v>
      </c>
      <c r="G111" s="3">
        <f>LAR!L13</f>
        <v>173.0302048136553</v>
      </c>
      <c r="H111" s="3">
        <f>LAR!M13</f>
        <v>122.85144541769526</v>
      </c>
      <c r="I111" s="3">
        <f>LAR!N13</f>
        <v>1600.7543337925692</v>
      </c>
      <c r="J111" s="3">
        <f>LAR!O13</f>
        <v>9.0910069609094482</v>
      </c>
      <c r="K111" s="3">
        <f t="shared" si="5"/>
        <v>227.51982648158929</v>
      </c>
      <c r="L111" s="3">
        <f t="shared" si="16"/>
        <v>288.94554919043691</v>
      </c>
      <c r="M111" s="3">
        <f t="shared" si="17"/>
        <v>350.37127189928458</v>
      </c>
      <c r="N1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288.94554919043696</v>
      </c>
      <c r="O111" s="14">
        <v>19.089502905955278</v>
      </c>
    </row>
    <row r="112" spans="1:15" x14ac:dyDescent="0.25">
      <c r="A112" s="2">
        <f>IF(TableWRMaster[[#This Row],[Player]]&lt;&gt;0,A111+1,A111)</f>
        <v>99</v>
      </c>
      <c r="B112" s="2" t="str">
        <f>LAR!A15</f>
        <v>Konata Mumpfield</v>
      </c>
      <c r="C112" s="2" t="s">
        <v>69</v>
      </c>
      <c r="D112" s="2">
        <f>LAR!C15</f>
        <v>11</v>
      </c>
      <c r="E112" s="3">
        <f>LAR!J15</f>
        <v>0</v>
      </c>
      <c r="F112" s="3">
        <f>LAR!K15</f>
        <v>0</v>
      </c>
      <c r="G112" s="3">
        <f>LAR!L15</f>
        <v>29.403825654608088</v>
      </c>
      <c r="H112" s="3">
        <f>LAR!M15</f>
        <v>19.847582316860461</v>
      </c>
      <c r="I112" s="3">
        <f>LAR!N15</f>
        <v>214.10706797559692</v>
      </c>
      <c r="J112" s="3">
        <f>LAR!O15</f>
        <v>1.3893307621802324</v>
      </c>
      <c r="K112" s="3">
        <f t="shared" si="5"/>
        <v>29.746691370641084</v>
      </c>
      <c r="L112" s="3">
        <f t="shared" si="16"/>
        <v>39.670482529071315</v>
      </c>
      <c r="M112" s="3">
        <f t="shared" si="17"/>
        <v>49.594273687501541</v>
      </c>
      <c r="N1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39.670482529071322</v>
      </c>
      <c r="O112" s="14">
        <v>0</v>
      </c>
    </row>
    <row r="113" spans="1:15" x14ac:dyDescent="0.25">
      <c r="A113" s="2">
        <f>IF(TableWRMaster[[#This Row],[Player]]&lt;&gt;0,A112+1,A112)</f>
        <v>100</v>
      </c>
      <c r="B113" s="2" t="str">
        <f>LAR!A16</f>
        <v>Jordan Whittington</v>
      </c>
      <c r="C113" s="2" t="s">
        <v>69</v>
      </c>
      <c r="D113" s="2">
        <f>LAR!C16</f>
        <v>11</v>
      </c>
      <c r="E113" s="3">
        <f>LAR!J16</f>
        <v>0</v>
      </c>
      <c r="F113" s="3">
        <f>LAR!K16</f>
        <v>0</v>
      </c>
      <c r="G113" s="3">
        <f>LAR!L16</f>
        <v>15.267371012969585</v>
      </c>
      <c r="H113" s="3">
        <f>LAR!M16</f>
        <v>10.732961822117618</v>
      </c>
      <c r="I113" s="3">
        <f>LAR!N16</f>
        <v>111.12923962094875</v>
      </c>
      <c r="J113" s="3">
        <f>LAR!O16</f>
        <v>0.66544363297129228</v>
      </c>
      <c r="K113" s="3">
        <f t="shared" si="5"/>
        <v>15.105585759922629</v>
      </c>
      <c r="L113" s="3">
        <f t="shared" si="16"/>
        <v>20.472066670981437</v>
      </c>
      <c r="M113" s="3">
        <f t="shared" si="17"/>
        <v>25.838547582040249</v>
      </c>
      <c r="N1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20.472066670981437</v>
      </c>
      <c r="O113" s="14">
        <v>0</v>
      </c>
    </row>
    <row r="114" spans="1:15" x14ac:dyDescent="0.25">
      <c r="A114" s="2">
        <f>IF(TableWRMaster[[#This Row],[Player]]&lt;&gt;0,A113+1,A113)</f>
        <v>101</v>
      </c>
      <c r="B114" s="2" t="str">
        <f>LAR!A17</f>
        <v>Xavier Smith</v>
      </c>
      <c r="C114" s="2" t="s">
        <v>69</v>
      </c>
      <c r="D114" s="2">
        <f>LAR!C17</f>
        <v>11</v>
      </c>
      <c r="E114" s="3">
        <f>LAR!J17</f>
        <v>0</v>
      </c>
      <c r="F114" s="3">
        <f>LAR!K17</f>
        <v>0</v>
      </c>
      <c r="G114" s="3">
        <f>LAR!L17</f>
        <v>10.974696764303459</v>
      </c>
      <c r="H114" s="3">
        <f>LAR!M17</f>
        <v>7.144527593561552</v>
      </c>
      <c r="I114" s="3">
        <f>LAR!N17</f>
        <v>101.66662765638088</v>
      </c>
      <c r="J114" s="3">
        <f>LAR!O17</f>
        <v>0.48582787636218555</v>
      </c>
      <c r="K114" s="3">
        <f t="shared" si="5"/>
        <v>13.081630023811202</v>
      </c>
      <c r="L114" s="3">
        <f t="shared" si="16"/>
        <v>16.653893820591978</v>
      </c>
      <c r="M114" s="3">
        <f t="shared" si="17"/>
        <v>20.226157617372756</v>
      </c>
      <c r="N1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16.653893820591978</v>
      </c>
      <c r="O114" s="14">
        <v>0</v>
      </c>
    </row>
    <row r="115" spans="1:15" x14ac:dyDescent="0.25">
      <c r="A115" s="2">
        <f>IF(TableWRMaster[[#This Row],[Player]]&lt;&gt;0,A114+1,A114)</f>
        <v>102</v>
      </c>
      <c r="B115" s="2" t="str">
        <f>LAR!A18</f>
        <v>CJ Daniels</v>
      </c>
      <c r="C115" s="2" t="s">
        <v>69</v>
      </c>
      <c r="D115" s="2">
        <f>LAR!C18</f>
        <v>11</v>
      </c>
      <c r="E115" s="3">
        <f>LAR!J18</f>
        <v>0</v>
      </c>
      <c r="F115" s="3">
        <f>LAR!K18</f>
        <v>0</v>
      </c>
      <c r="G115" s="3">
        <f>LAR!L18</f>
        <v>4.1808368625917947</v>
      </c>
      <c r="H115" s="3">
        <f>LAR!M18</f>
        <v>2.8346073928372371</v>
      </c>
      <c r="I115" s="3">
        <f>LAR!N18</f>
        <v>38.834121281870146</v>
      </c>
      <c r="J115" s="3">
        <f>LAR!O18</f>
        <v>0.1852200335100129</v>
      </c>
      <c r="K115" s="3">
        <f t="shared" si="5"/>
        <v>4.9947323292470918</v>
      </c>
      <c r="L115" s="3">
        <f t="shared" si="16"/>
        <v>6.4120360256657101</v>
      </c>
      <c r="M115" s="3">
        <f t="shared" si="17"/>
        <v>7.8293397220843293</v>
      </c>
      <c r="N1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6.4120360256657101</v>
      </c>
      <c r="O115" s="14">
        <v>0</v>
      </c>
    </row>
    <row r="116" spans="1:15" x14ac:dyDescent="0.25">
      <c r="A116" s="2">
        <f>IF(TableWRMaster[[#This Row],[Player]]&lt;&gt;0,A115+1,A115)</f>
        <v>103</v>
      </c>
      <c r="B116" s="2" t="str">
        <f>LV!A13</f>
        <v>Jalen Nailor</v>
      </c>
      <c r="C116" s="2" t="s">
        <v>115</v>
      </c>
      <c r="D116" s="2">
        <f>LV!C13</f>
        <v>13</v>
      </c>
      <c r="E116" s="3">
        <f>LV!J13</f>
        <v>0</v>
      </c>
      <c r="F116" s="3">
        <f>LV!K13</f>
        <v>0</v>
      </c>
      <c r="G116" s="3">
        <f>LV!L13</f>
        <v>78.379176959999995</v>
      </c>
      <c r="H116" s="3">
        <f>LV!M13</f>
        <v>47.654539591679999</v>
      </c>
      <c r="I116" s="3">
        <f>LV!N13</f>
        <v>608.07192518983675</v>
      </c>
      <c r="J116" s="3">
        <f>LV!O13</f>
        <v>3.0975450734591998</v>
      </c>
      <c r="K116" s="3">
        <f t="shared" si="5"/>
        <v>79.392462959738879</v>
      </c>
      <c r="L116" s="3">
        <f t="shared" si="16"/>
        <v>103.21973275557887</v>
      </c>
      <c r="M116" s="3">
        <f t="shared" si="17"/>
        <v>127.04700255141887</v>
      </c>
      <c r="N1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103.21973275557887</v>
      </c>
      <c r="O116" s="14">
        <v>3.2266921651132856</v>
      </c>
    </row>
    <row r="117" spans="1:15" x14ac:dyDescent="0.25">
      <c r="A117" s="2">
        <f>IF(TableWRMaster[[#This Row],[Player]]&lt;&gt;0,A116+1,A116)</f>
        <v>104</v>
      </c>
      <c r="B117" s="2" t="str">
        <f>LV!A14</f>
        <v>Jack Bech</v>
      </c>
      <c r="C117" s="2" t="s">
        <v>115</v>
      </c>
      <c r="D117" s="2">
        <f>LV!C14</f>
        <v>13</v>
      </c>
      <c r="E117" s="3">
        <f>LV!J14</f>
        <v>0</v>
      </c>
      <c r="F117" s="3">
        <f>LV!K14</f>
        <v>0</v>
      </c>
      <c r="G117" s="3">
        <f>LV!L14</f>
        <v>81.100676159999992</v>
      </c>
      <c r="H117" s="3">
        <f>LV!M14</f>
        <v>51.661130713919995</v>
      </c>
      <c r="I117" s="3">
        <f>LV!N14</f>
        <v>568.78904916025908</v>
      </c>
      <c r="J117" s="3">
        <f>LV!O14</f>
        <v>3.0996678428351996</v>
      </c>
      <c r="K117" s="3">
        <f t="shared" si="5"/>
        <v>75.476911973037105</v>
      </c>
      <c r="L117" s="3">
        <f t="shared" si="16"/>
        <v>101.3074773299971</v>
      </c>
      <c r="M117" s="3">
        <f t="shared" si="17"/>
        <v>127.13804268695711</v>
      </c>
      <c r="N1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101.30747732999711</v>
      </c>
      <c r="O117" s="14">
        <v>0</v>
      </c>
    </row>
    <row r="118" spans="1:15" x14ac:dyDescent="0.25">
      <c r="A118" s="2">
        <f>IF(TableWRMaster[[#This Row],[Player]]&lt;&gt;0,A117+1,A117)</f>
        <v>105</v>
      </c>
      <c r="B118" s="2" t="str">
        <f>LV!A15</f>
        <v>Tre Tucker</v>
      </c>
      <c r="C118" s="2" t="s">
        <v>115</v>
      </c>
      <c r="D118" s="2">
        <f>LV!C15</f>
        <v>13</v>
      </c>
      <c r="E118" s="3">
        <f>LV!J15</f>
        <v>67.796032603549392</v>
      </c>
      <c r="F118" s="3">
        <f>LV!K15</f>
        <v>0.10898982799104459</v>
      </c>
      <c r="G118" s="3">
        <f>LV!L15</f>
        <v>70.758979200000013</v>
      </c>
      <c r="H118" s="3">
        <f>LV!M15</f>
        <v>40.615654060800004</v>
      </c>
      <c r="I118" s="3">
        <f>LV!N15</f>
        <v>482.92012678291206</v>
      </c>
      <c r="J118" s="3">
        <f>LV!O15</f>
        <v>2.7212488220736004</v>
      </c>
      <c r="K118" s="3">
        <f t="shared" si="5"/>
        <v>72.053047839034008</v>
      </c>
      <c r="L118" s="3">
        <f t="shared" si="16"/>
        <v>92.360874869434014</v>
      </c>
      <c r="M118" s="3">
        <f t="shared" si="17"/>
        <v>112.66870189983402</v>
      </c>
      <c r="N1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92.360874869434014</v>
      </c>
      <c r="O118" s="14">
        <v>0</v>
      </c>
    </row>
    <row r="119" spans="1:15" x14ac:dyDescent="0.25">
      <c r="A119" s="2">
        <f>IF(TableWRMaster[[#This Row],[Player]]&lt;&gt;0,A118+1,A118)</f>
        <v>106</v>
      </c>
      <c r="B119" s="2" t="str">
        <f>LV!A16</f>
        <v>Dont'e Thornton</v>
      </c>
      <c r="C119" s="2" t="s">
        <v>115</v>
      </c>
      <c r="D119" s="2">
        <f>LV!C16</f>
        <v>13</v>
      </c>
      <c r="E119" s="3">
        <f>LV!J16</f>
        <v>0</v>
      </c>
      <c r="F119" s="3">
        <f>LV!K16</f>
        <v>0</v>
      </c>
      <c r="G119" s="3">
        <f>LV!L16</f>
        <v>47.354086079999995</v>
      </c>
      <c r="H119" s="3">
        <f>LV!M16</f>
        <v>26.56564229088</v>
      </c>
      <c r="I119" s="3">
        <f>LV!N16</f>
        <v>364.74626865378241</v>
      </c>
      <c r="J119" s="3">
        <f>LV!O16</f>
        <v>1.5939385374527999</v>
      </c>
      <c r="K119" s="3">
        <f t="shared" si="5"/>
        <v>46.038258090095042</v>
      </c>
      <c r="L119" s="3">
        <f t="shared" si="16"/>
        <v>59.321079235535038</v>
      </c>
      <c r="M119" s="3">
        <f t="shared" si="17"/>
        <v>72.603900380975034</v>
      </c>
      <c r="N1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59.321079235535038</v>
      </c>
      <c r="O119" s="14">
        <v>0</v>
      </c>
    </row>
    <row r="120" spans="1:15" x14ac:dyDescent="0.25">
      <c r="A120" s="2">
        <f>IF(TableWRMaster[[#This Row],[Player]]&lt;&gt;0,A119+1,A119)</f>
        <v>107</v>
      </c>
      <c r="B120" s="2" t="str">
        <f>LV!A17</f>
        <v>Dareke Young</v>
      </c>
      <c r="C120" s="2" t="s">
        <v>115</v>
      </c>
      <c r="D120" s="2">
        <f>LV!C17</f>
        <v>13</v>
      </c>
      <c r="E120" s="3">
        <f>LV!J17</f>
        <v>0</v>
      </c>
      <c r="F120" s="3">
        <f>LV!K17</f>
        <v>0</v>
      </c>
      <c r="G120" s="3">
        <f>LV!L17</f>
        <v>5.4429983999999996</v>
      </c>
      <c r="H120" s="3">
        <f>LV!M17</f>
        <v>3.1514960735999997</v>
      </c>
      <c r="I120" s="3">
        <f>LV!N17</f>
        <v>30.569511913919996</v>
      </c>
      <c r="J120" s="3">
        <f>LV!O17</f>
        <v>0.15127181153279998</v>
      </c>
      <c r="K120" s="3">
        <f t="shared" si="5"/>
        <v>3.9645820605887998</v>
      </c>
      <c r="L120" s="3">
        <f t="shared" si="16"/>
        <v>5.5403300973888001</v>
      </c>
      <c r="M120" s="3">
        <f t="shared" si="17"/>
        <v>7.1160781341887995</v>
      </c>
      <c r="N1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5.5403300973887992</v>
      </c>
      <c r="O120" s="14">
        <v>0</v>
      </c>
    </row>
    <row r="121" spans="1:15" x14ac:dyDescent="0.25">
      <c r="A121" s="2">
        <f>IF(TableWRMaster[[#This Row],[Player]]&lt;&gt;0,A120+1,A120)</f>
        <v>108</v>
      </c>
      <c r="B121" s="2" t="str">
        <f>LV!A18</f>
        <v>Malik Benson</v>
      </c>
      <c r="C121" s="2" t="s">
        <v>115</v>
      </c>
      <c r="D121" s="2">
        <f>LV!C18</f>
        <v>13</v>
      </c>
      <c r="E121" s="3">
        <f>LV!J18</f>
        <v>0</v>
      </c>
      <c r="F121" s="3">
        <f>LV!K18</f>
        <v>0</v>
      </c>
      <c r="G121" s="3">
        <f>LV!L18</f>
        <v>2.7214991999999998</v>
      </c>
      <c r="H121" s="3">
        <f>LV!M18</f>
        <v>1.7009369999999999</v>
      </c>
      <c r="I121" s="3">
        <f>LV!N18</f>
        <v>18.642269519999999</v>
      </c>
      <c r="J121" s="3">
        <f>LV!O18</f>
        <v>7.9944038999999995E-2</v>
      </c>
      <c r="K121" s="3">
        <f t="shared" si="5"/>
        <v>2.343891186</v>
      </c>
      <c r="L121" s="3">
        <f t="shared" si="16"/>
        <v>3.1943596859999999</v>
      </c>
      <c r="M121" s="3">
        <f t="shared" si="17"/>
        <v>4.0448281860000002</v>
      </c>
      <c r="N1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3.1943596859999999</v>
      </c>
      <c r="O121" s="14">
        <v>0</v>
      </c>
    </row>
    <row r="122" spans="1:15" x14ac:dyDescent="0.25">
      <c r="A122" s="2">
        <f>IF(TableWRMaster[[#This Row],[Player]]&lt;&gt;0,A121+1,A121)</f>
        <v>109</v>
      </c>
      <c r="B122" s="2" t="str">
        <f>MIA!A13</f>
        <v>Caleb Douglas</v>
      </c>
      <c r="C122" s="2" t="s">
        <v>70</v>
      </c>
      <c r="D122" s="2">
        <f>MIA!C13</f>
        <v>6</v>
      </c>
      <c r="E122" s="3">
        <f>MIA!J13</f>
        <v>0</v>
      </c>
      <c r="F122" s="3">
        <f>MIA!K13</f>
        <v>0</v>
      </c>
      <c r="G122" s="3">
        <f>MIA!L13</f>
        <v>73.37461193999998</v>
      </c>
      <c r="H122" s="3">
        <f>MIA!M13</f>
        <v>41.530030358039987</v>
      </c>
      <c r="I122" s="3">
        <f>MIA!N13</f>
        <v>583.08162622688133</v>
      </c>
      <c r="J122" s="3">
        <f>MIA!O13</f>
        <v>2.7409820036306392</v>
      </c>
      <c r="K122" s="3">
        <f t="shared" si="5"/>
        <v>74.754054644471964</v>
      </c>
      <c r="L122" s="3">
        <f t="shared" si="16"/>
        <v>95.519069823491961</v>
      </c>
      <c r="M122" s="3">
        <f t="shared" si="17"/>
        <v>116.28408500251194</v>
      </c>
      <c r="N1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95.519069823491961</v>
      </c>
      <c r="O122" s="14">
        <v>6.9631580991362378</v>
      </c>
    </row>
    <row r="123" spans="1:15" x14ac:dyDescent="0.25">
      <c r="A123" s="2">
        <f>IF(TableWRMaster[[#This Row],[Player]]&lt;&gt;0,A122+1,A122)</f>
        <v>110</v>
      </c>
      <c r="B123" s="2" t="str">
        <f>MIA!A14</f>
        <v>Chris Bell</v>
      </c>
      <c r="C123" s="2" t="s">
        <v>70</v>
      </c>
      <c r="D123" s="2">
        <f>MIA!C14</f>
        <v>6</v>
      </c>
      <c r="E123" s="3">
        <f>MIA!J14</f>
        <v>0</v>
      </c>
      <c r="F123" s="3">
        <f>MIA!K14</f>
        <v>0</v>
      </c>
      <c r="G123" s="3">
        <f>MIA!L14</f>
        <v>40.873105979999998</v>
      </c>
      <c r="H123" s="3">
        <f>MIA!M14</f>
        <v>23.788147680359998</v>
      </c>
      <c r="I123" s="3">
        <f>MIA!N14</f>
        <v>319.95058630084196</v>
      </c>
      <c r="J123" s="3">
        <f>MIA!O14</f>
        <v>1.52244145154304</v>
      </c>
      <c r="K123" s="3">
        <f t="shared" si="5"/>
        <v>41.129707339342431</v>
      </c>
      <c r="L123" s="3">
        <f t="shared" si="16"/>
        <v>53.02378117952243</v>
      </c>
      <c r="M123" s="3">
        <f t="shared" si="17"/>
        <v>64.917855019702429</v>
      </c>
      <c r="N1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53.023781179522445</v>
      </c>
      <c r="O123" s="14">
        <v>3.4499248067671688</v>
      </c>
    </row>
    <row r="124" spans="1:15" x14ac:dyDescent="0.25">
      <c r="A124" s="2">
        <f>IF(TableWRMaster[[#This Row],[Player]]&lt;&gt;0,A123+1,A123)</f>
        <v>111</v>
      </c>
      <c r="B124" s="2" t="str">
        <f>MIA!A15</f>
        <v>Malik Washington</v>
      </c>
      <c r="C124" s="2" t="s">
        <v>70</v>
      </c>
      <c r="D124" s="2">
        <f>MIA!C15</f>
        <v>6</v>
      </c>
      <c r="E124" s="3">
        <f>MIA!J15</f>
        <v>48.719747676547435</v>
      </c>
      <c r="F124" s="3">
        <f>MIA!K15</f>
        <v>0.20159895590295487</v>
      </c>
      <c r="G124" s="3">
        <f>MIA!L15</f>
        <v>63.525670739999988</v>
      </c>
      <c r="H124" s="3">
        <f>MIA!M15</f>
        <v>43.197456103199997</v>
      </c>
      <c r="I124" s="3">
        <f>MIA!N15</f>
        <v>409.94385841936798</v>
      </c>
      <c r="J124" s="3">
        <f>MIA!O15</f>
        <v>1.9438855246439999</v>
      </c>
      <c r="K124" s="3">
        <f t="shared" si="5"/>
        <v>58.739267492873267</v>
      </c>
      <c r="L124" s="3">
        <f t="shared" si="16"/>
        <v>80.337995544473273</v>
      </c>
      <c r="M124" s="3">
        <f t="shared" si="17"/>
        <v>101.93672359607326</v>
      </c>
      <c r="N1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80.337995544473287</v>
      </c>
      <c r="O124" s="14">
        <v>2.659811123193828</v>
      </c>
    </row>
    <row r="125" spans="1:15" x14ac:dyDescent="0.25">
      <c r="A125" s="2">
        <f>IF(TableWRMaster[[#This Row],[Player]]&lt;&gt;0,A124+1,A124)</f>
        <v>112</v>
      </c>
      <c r="B125" s="2" t="str">
        <f>MIA!A17</f>
        <v>Tutu Atwell</v>
      </c>
      <c r="C125" s="2" t="s">
        <v>70</v>
      </c>
      <c r="D125" s="2">
        <f>MIA!C17</f>
        <v>6</v>
      </c>
      <c r="E125" s="3">
        <f>MIA!J17</f>
        <v>0</v>
      </c>
      <c r="F125" s="3">
        <f>MIA!K17</f>
        <v>0</v>
      </c>
      <c r="G125" s="3">
        <f>MIA!L17</f>
        <v>22.652564759999997</v>
      </c>
      <c r="H125" s="3">
        <f>MIA!M17</f>
        <v>15.902100461519996</v>
      </c>
      <c r="I125" s="3">
        <f>MIA!N17</f>
        <v>202.43373887514957</v>
      </c>
      <c r="J125" s="3">
        <f>MIA!O17</f>
        <v>0.69969242030687984</v>
      </c>
      <c r="K125" s="3">
        <f t="shared" si="5"/>
        <v>24.441528409356234</v>
      </c>
      <c r="L125" s="3">
        <f t="shared" si="16"/>
        <v>32.392578640116234</v>
      </c>
      <c r="M125" s="3">
        <f t="shared" si="17"/>
        <v>40.343628870876231</v>
      </c>
      <c r="N1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32.392578640116241</v>
      </c>
      <c r="O125" s="14">
        <v>0</v>
      </c>
    </row>
    <row r="126" spans="1:15" x14ac:dyDescent="0.25">
      <c r="A126" s="2">
        <f>IF(TableWRMaster[[#This Row],[Player]]&lt;&gt;0,A125+1,A125)</f>
        <v>113</v>
      </c>
      <c r="B126" s="2" t="str">
        <f>MIA!A16</f>
        <v>Jalen Tolbert</v>
      </c>
      <c r="C126" s="2" t="s">
        <v>70</v>
      </c>
      <c r="D126" s="2">
        <f>MIA!C16</f>
        <v>6</v>
      </c>
      <c r="E126" s="3">
        <f>MIA!J16</f>
        <v>0</v>
      </c>
      <c r="F126" s="3">
        <f>MIA!K16</f>
        <v>0</v>
      </c>
      <c r="G126" s="3">
        <f>MIA!L16</f>
        <v>70.912376639999991</v>
      </c>
      <c r="H126" s="3">
        <f>MIA!M16</f>
        <v>48.787715128319988</v>
      </c>
      <c r="I126" s="3">
        <f>MIA!N16</f>
        <v>566.91324979107821</v>
      </c>
      <c r="J126" s="3">
        <f>MIA!O16</f>
        <v>3.1224137682124793</v>
      </c>
      <c r="K126" s="3">
        <f t="shared" si="5"/>
        <v>75.425807588382696</v>
      </c>
      <c r="L126" s="3">
        <f t="shared" si="16"/>
        <v>99.819665152542683</v>
      </c>
      <c r="M126" s="3">
        <f t="shared" si="17"/>
        <v>124.21352271670268</v>
      </c>
      <c r="N1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99.819665152542697</v>
      </c>
      <c r="O126" s="14">
        <v>0</v>
      </c>
    </row>
    <row r="127" spans="1:15" x14ac:dyDescent="0.25">
      <c r="A127" s="2">
        <f>IF(TableWRMaster[[#This Row],[Player]]&lt;&gt;0,A126+1,A126)</f>
        <v>113</v>
      </c>
      <c r="B127" s="2">
        <f>MIA!A19</f>
        <v>0</v>
      </c>
      <c r="C127" s="2" t="s">
        <v>70</v>
      </c>
      <c r="D127" s="2">
        <f>MIA!C19</f>
        <v>6</v>
      </c>
      <c r="E127" s="3">
        <f>MIA!J19</f>
        <v>0</v>
      </c>
      <c r="F127" s="3">
        <f>MIA!K19</f>
        <v>0</v>
      </c>
      <c r="G127" s="3">
        <f>MIA!L19</f>
        <v>0</v>
      </c>
      <c r="H127" s="3">
        <f>MIA!M19</f>
        <v>0</v>
      </c>
      <c r="I127" s="3">
        <f>MIA!N19</f>
        <v>0</v>
      </c>
      <c r="J127" s="3">
        <f>MIA!O19</f>
        <v>0</v>
      </c>
      <c r="K127" s="3">
        <f t="shared" si="5"/>
        <v>0</v>
      </c>
      <c r="L127" s="3">
        <f t="shared" si="16"/>
        <v>0</v>
      </c>
      <c r="M127" s="3">
        <f t="shared" si="17"/>
        <v>0</v>
      </c>
      <c r="N1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7" s="14">
        <v>0</v>
      </c>
    </row>
    <row r="128" spans="1:15" x14ac:dyDescent="0.25">
      <c r="A128" s="2">
        <f>IF(TableWRMaster[[#This Row],[Player]]&lt;&gt;0,A127+1,A127)</f>
        <v>114</v>
      </c>
      <c r="B128" s="2" t="str">
        <f>MIA!A18</f>
        <v>Kevin Coleman</v>
      </c>
      <c r="C128" s="2" t="s">
        <v>70</v>
      </c>
      <c r="D128" s="2">
        <f>MIA!C18</f>
        <v>6</v>
      </c>
      <c r="E128" s="3">
        <f>MIA!J18</f>
        <v>0</v>
      </c>
      <c r="F128" s="3">
        <f>MIA!K18</f>
        <v>0</v>
      </c>
      <c r="G128" s="3">
        <f>MIA!L18</f>
        <v>18.220541219999998</v>
      </c>
      <c r="H128" s="3">
        <f>MIA!M18</f>
        <v>10.586134448819998</v>
      </c>
      <c r="I128" s="3">
        <f>MIA!N18</f>
        <v>127.13947473032817</v>
      </c>
      <c r="J128" s="3">
        <f>MIA!O18</f>
        <v>0.52930672244099986</v>
      </c>
      <c r="K128" s="3">
        <f t="shared" si="5"/>
        <v>15.889787807678816</v>
      </c>
      <c r="L128" s="3">
        <f t="shared" si="16"/>
        <v>21.182855032088817</v>
      </c>
      <c r="M128" s="3">
        <f t="shared" si="17"/>
        <v>26.475922256498812</v>
      </c>
      <c r="N1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21.182855032088817</v>
      </c>
      <c r="O128" s="14">
        <v>0</v>
      </c>
    </row>
    <row r="129" spans="1:15" x14ac:dyDescent="0.25">
      <c r="A129" s="2">
        <f>IF(TableWRMaster[[#This Row],[Player]]&lt;&gt;0,A128+1,A128)</f>
        <v>115</v>
      </c>
      <c r="B129" s="2" t="str">
        <f>MIN!A13</f>
        <v>Justin Jefferson</v>
      </c>
      <c r="C129" s="2" t="s">
        <v>71</v>
      </c>
      <c r="D129" s="2">
        <f>MIN!C13</f>
        <v>6</v>
      </c>
      <c r="E129" s="3">
        <f>MIN!J13</f>
        <v>0</v>
      </c>
      <c r="F129" s="3">
        <f>MIN!K13</f>
        <v>0</v>
      </c>
      <c r="G129" s="3">
        <f>MIN!L13</f>
        <v>152.61732863999998</v>
      </c>
      <c r="H129" s="3">
        <f>MIN!M13</f>
        <v>101.33790621695999</v>
      </c>
      <c r="I129" s="3">
        <f>MIN!N13</f>
        <v>1263.6836905254911</v>
      </c>
      <c r="J129" s="3">
        <f>MIN!O13</f>
        <v>7.7016808724889589</v>
      </c>
      <c r="K129" s="3">
        <f t="shared" si="5"/>
        <v>172.57845428748288</v>
      </c>
      <c r="L129" s="3">
        <f t="shared" si="16"/>
        <v>223.24740739596288</v>
      </c>
      <c r="M129" s="3">
        <f t="shared" si="17"/>
        <v>273.91636050444288</v>
      </c>
      <c r="N1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223.24740739596288</v>
      </c>
      <c r="O129" s="14">
        <v>29.416397446314392</v>
      </c>
    </row>
    <row r="130" spans="1:15" x14ac:dyDescent="0.25">
      <c r="A130" s="2">
        <f>IF(TableWRMaster[[#This Row],[Player]]&lt;&gt;0,A129+1,A129)</f>
        <v>116</v>
      </c>
      <c r="B130" s="2" t="str">
        <f>MIN!A14</f>
        <v>Jordan Addison</v>
      </c>
      <c r="C130" s="2" t="s">
        <v>71</v>
      </c>
      <c r="D130" s="2">
        <f>MIN!C14</f>
        <v>6</v>
      </c>
      <c r="E130" s="3">
        <f>MIN!J14</f>
        <v>35.867021374824645</v>
      </c>
      <c r="F130" s="3">
        <f>MIN!K14</f>
        <v>0.133259616</v>
      </c>
      <c r="G130" s="3">
        <f>MIN!L14</f>
        <v>113.40315391999999</v>
      </c>
      <c r="H130" s="3">
        <f>MIN!M14</f>
        <v>71.557390123519994</v>
      </c>
      <c r="I130" s="3">
        <f>MIN!N14</f>
        <v>935.9706628156415</v>
      </c>
      <c r="J130" s="3">
        <f>MIN!O14</f>
        <v>5.7961486000051199</v>
      </c>
      <c r="K130" s="3">
        <f t="shared" si="5"/>
        <v>132.76021771507735</v>
      </c>
      <c r="L130" s="3">
        <f t="shared" si="16"/>
        <v>168.53891277683735</v>
      </c>
      <c r="M130" s="3">
        <f t="shared" si="17"/>
        <v>204.31760783859733</v>
      </c>
      <c r="N1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168.53891277683735</v>
      </c>
      <c r="O130" s="14">
        <v>20.610014969321551</v>
      </c>
    </row>
    <row r="131" spans="1:15" x14ac:dyDescent="0.25">
      <c r="A131" s="2">
        <f>IF(TableWRMaster[[#This Row],[Player]]&lt;&gt;0,A130+1,A130)</f>
        <v>117</v>
      </c>
      <c r="B131" s="2" t="str">
        <f>MIN!A15</f>
        <v>Jauan Jennings</v>
      </c>
      <c r="C131" s="2" t="s">
        <v>71</v>
      </c>
      <c r="D131" s="2">
        <f>MIN!C15</f>
        <v>6</v>
      </c>
      <c r="E131" s="3">
        <f>MIN!J15</f>
        <v>0</v>
      </c>
      <c r="F131" s="3">
        <f>MIN!K15</f>
        <v>0</v>
      </c>
      <c r="G131" s="3">
        <f>MIN!L15</f>
        <v>62.530711039999993</v>
      </c>
      <c r="H131" s="3">
        <f>MIN!M15</f>
        <v>40.808526304414812</v>
      </c>
      <c r="I131" s="3">
        <f>MIN!N15</f>
        <v>452.45311847928878</v>
      </c>
      <c r="J131" s="3">
        <f>MIN!O15</f>
        <v>2.8565968413090372</v>
      </c>
      <c r="K131" s="3">
        <f t="shared" ref="K131:K193" si="18">(E131/10)+(F131*6)+(I131/10)+(J131*6)</f>
        <v>62.384892895783096</v>
      </c>
      <c r="L131" s="3">
        <f t="shared" si="16"/>
        <v>82.789156047990502</v>
      </c>
      <c r="M131" s="3">
        <f t="shared" si="17"/>
        <v>103.19341920019791</v>
      </c>
      <c r="N1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82.789156047990502</v>
      </c>
      <c r="O131" s="14">
        <v>0</v>
      </c>
    </row>
    <row r="132" spans="1:15" x14ac:dyDescent="0.25">
      <c r="A132" s="2">
        <f>IF(TableWRMaster[[#This Row],[Player]]&lt;&gt;0,A131+1,A131)</f>
        <v>118</v>
      </c>
      <c r="B132" s="2" t="str">
        <f>MIN!A16</f>
        <v>Tai Felton</v>
      </c>
      <c r="C132" s="2" t="s">
        <v>71</v>
      </c>
      <c r="D132" s="2">
        <f>MIN!C16</f>
        <v>6</v>
      </c>
      <c r="E132" s="3">
        <f>MIN!J16</f>
        <v>0</v>
      </c>
      <c r="F132" s="3">
        <f>MIN!K16</f>
        <v>0</v>
      </c>
      <c r="G132" s="3">
        <f>MIN!L16</f>
        <v>7.9488192</v>
      </c>
      <c r="H132" s="3">
        <f>MIN!M16</f>
        <v>5.1508348416</v>
      </c>
      <c r="I132" s="3">
        <f>MIN!N16</f>
        <v>52.764423334148255</v>
      </c>
      <c r="J132" s="3">
        <f>MIN!O16</f>
        <v>0.30905009049600002</v>
      </c>
      <c r="K132" s="3">
        <f t="shared" si="18"/>
        <v>7.1307428763908263</v>
      </c>
      <c r="L132" s="3">
        <f t="shared" si="16"/>
        <v>9.7061602971908272</v>
      </c>
      <c r="M132" s="3">
        <f t="shared" si="17"/>
        <v>12.281577717990826</v>
      </c>
      <c r="N1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9.7061602971908254</v>
      </c>
      <c r="O132" s="14">
        <v>0</v>
      </c>
    </row>
    <row r="133" spans="1:15" x14ac:dyDescent="0.25">
      <c r="A133" s="2">
        <f>IF(TableWRMaster[[#This Row],[Player]]&lt;&gt;0,A132+1,A132)</f>
        <v>119</v>
      </c>
      <c r="B133" s="2" t="str">
        <f>MIN!A17</f>
        <v>Jeshaun Jones</v>
      </c>
      <c r="C133" s="2" t="s">
        <v>71</v>
      </c>
      <c r="D133" s="2">
        <f>MIN!C17</f>
        <v>6</v>
      </c>
      <c r="E133" s="3">
        <f>MIN!J17</f>
        <v>0</v>
      </c>
      <c r="F133" s="3">
        <f>MIN!K17</f>
        <v>0</v>
      </c>
      <c r="G133" s="3">
        <f>MIN!L17</f>
        <v>5.2992127999999994</v>
      </c>
      <c r="H133" s="3">
        <f>MIN!M17</f>
        <v>3.4497875327999998</v>
      </c>
      <c r="I133" s="3">
        <f>MIN!N17</f>
        <v>30.963753314570933</v>
      </c>
      <c r="J133" s="3">
        <f>MIN!O17</f>
        <v>0.18973831430399998</v>
      </c>
      <c r="K133" s="3">
        <f t="shared" si="18"/>
        <v>4.2348052172810933</v>
      </c>
      <c r="L133" s="3">
        <f t="shared" si="16"/>
        <v>5.9596989836810934</v>
      </c>
      <c r="M133" s="3">
        <f t="shared" si="17"/>
        <v>7.6845927500810927</v>
      </c>
      <c r="N1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5.9596989836810934</v>
      </c>
      <c r="O133" s="14">
        <v>0</v>
      </c>
    </row>
    <row r="134" spans="1:15" x14ac:dyDescent="0.25">
      <c r="A134" s="2">
        <f>IF(TableWRMaster[[#This Row],[Player]]&lt;&gt;0,A133+1,A133)</f>
        <v>119</v>
      </c>
      <c r="B134" s="2">
        <f>MIN!A18</f>
        <v>0</v>
      </c>
      <c r="C134" s="2" t="s">
        <v>71</v>
      </c>
      <c r="D134" s="2">
        <f>MIN!C18</f>
        <v>6</v>
      </c>
      <c r="E134" s="3">
        <f>MIN!J18</f>
        <v>0</v>
      </c>
      <c r="F134" s="3">
        <f>MIN!K18</f>
        <v>0</v>
      </c>
      <c r="G134" s="3">
        <f>MIN!L18</f>
        <v>0</v>
      </c>
      <c r="H134" s="3">
        <f>MIN!M18</f>
        <v>0</v>
      </c>
      <c r="I134" s="3">
        <f>MIN!N18</f>
        <v>0</v>
      </c>
      <c r="J134" s="3">
        <f>MIN!O18</f>
        <v>0</v>
      </c>
      <c r="K134" s="3">
        <f t="shared" si="18"/>
        <v>0</v>
      </c>
      <c r="L134" s="3">
        <f t="shared" si="16"/>
        <v>0</v>
      </c>
      <c r="M134" s="3">
        <f t="shared" si="17"/>
        <v>0</v>
      </c>
      <c r="N1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4" s="14">
        <v>0</v>
      </c>
    </row>
    <row r="135" spans="1:15" x14ac:dyDescent="0.25">
      <c r="A135" s="2">
        <f>IF(TableWRMaster[[#This Row],[Player]]&lt;&gt;0,A134+1,A134)</f>
        <v>120</v>
      </c>
      <c r="B135" s="2" t="str">
        <f>NE!A13</f>
        <v>A.J. Brown</v>
      </c>
      <c r="C135" s="2" t="s">
        <v>72</v>
      </c>
      <c r="D135" s="2">
        <f>NE!C13</f>
        <v>11</v>
      </c>
      <c r="E135" s="3">
        <f>NE!J13</f>
        <v>0</v>
      </c>
      <c r="F135" s="3">
        <f>NE!K13</f>
        <v>0</v>
      </c>
      <c r="G135" s="3">
        <f>NE!L13</f>
        <v>134.16343079999993</v>
      </c>
      <c r="H135" s="3">
        <f>NE!M13</f>
        <v>85.462105419599951</v>
      </c>
      <c r="I135" s="3">
        <f>NE!N13</f>
        <v>1244.3282549093753</v>
      </c>
      <c r="J135" s="3">
        <f>NE!O13</f>
        <v>8.9735210690579947</v>
      </c>
      <c r="K135" s="3">
        <f t="shared" si="18"/>
        <v>178.27395190528551</v>
      </c>
      <c r="L135" s="3">
        <f t="shared" si="16"/>
        <v>221.00500461508548</v>
      </c>
      <c r="M135" s="3">
        <f t="shared" si="17"/>
        <v>263.73605732488545</v>
      </c>
      <c r="N1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221.00500461508548</v>
      </c>
      <c r="O135" s="14">
        <v>1.5854302457016156</v>
      </c>
    </row>
    <row r="136" spans="1:15" x14ac:dyDescent="0.25">
      <c r="A136" s="2">
        <f>IF(TableWRMaster[[#This Row],[Player]]&lt;&gt;0,A135+1,A135)</f>
        <v>121</v>
      </c>
      <c r="B136" s="2" t="str">
        <f>NE!A14</f>
        <v>Romeo Doubs</v>
      </c>
      <c r="C136" s="2" t="s">
        <v>72</v>
      </c>
      <c r="D136" s="2">
        <f>NE!C14</f>
        <v>11</v>
      </c>
      <c r="E136" s="3">
        <f>NE!J14</f>
        <v>0</v>
      </c>
      <c r="F136" s="3">
        <f>NE!K14</f>
        <v>0</v>
      </c>
      <c r="G136" s="3">
        <f>NE!L14</f>
        <v>84.533868999999967</v>
      </c>
      <c r="H136" s="3">
        <f>NE!M14</f>
        <v>53.002735862999977</v>
      </c>
      <c r="I136" s="3">
        <f>NE!N14</f>
        <v>694.33583980529966</v>
      </c>
      <c r="J136" s="3">
        <f>NE!O14</f>
        <v>5.9363064166559978</v>
      </c>
      <c r="K136" s="3">
        <f t="shared" si="18"/>
        <v>105.05142248046594</v>
      </c>
      <c r="L136" s="3">
        <f t="shared" si="16"/>
        <v>131.55279041196593</v>
      </c>
      <c r="M136" s="3">
        <f t="shared" si="17"/>
        <v>158.05415834346593</v>
      </c>
      <c r="N1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131.55279041196593</v>
      </c>
      <c r="O136" s="14">
        <v>0</v>
      </c>
    </row>
    <row r="137" spans="1:15" x14ac:dyDescent="0.25">
      <c r="A137" s="2">
        <f>IF(TableWRMaster[[#This Row],[Player]]&lt;&gt;0,A136+1,A136)</f>
        <v>122</v>
      </c>
      <c r="B137" s="2" t="str">
        <f>NE!A15</f>
        <v>Kayshon Boutte</v>
      </c>
      <c r="C137" s="2" t="s">
        <v>72</v>
      </c>
      <c r="D137" s="2">
        <f>NE!C15</f>
        <v>11</v>
      </c>
      <c r="E137" s="3">
        <f>NE!J15</f>
        <v>0</v>
      </c>
      <c r="F137" s="3">
        <f>NE!K15</f>
        <v>0</v>
      </c>
      <c r="G137" s="3">
        <f>NE!L15</f>
        <v>34.358927399999985</v>
      </c>
      <c r="H137" s="3">
        <f>NE!M15</f>
        <v>24.326120599199989</v>
      </c>
      <c r="I137" s="3">
        <f>NE!N15</f>
        <v>341.29547200677581</v>
      </c>
      <c r="J137" s="3">
        <f>NE!O15</f>
        <v>1.7028284419439994</v>
      </c>
      <c r="K137" s="3">
        <f t="shared" si="18"/>
        <v>44.346517852341577</v>
      </c>
      <c r="L137" s="3">
        <f t="shared" si="16"/>
        <v>56.509578151941568</v>
      </c>
      <c r="M137" s="3">
        <f t="shared" si="17"/>
        <v>68.672638451541559</v>
      </c>
      <c r="N1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56.509578151941582</v>
      </c>
      <c r="O137" s="14">
        <v>0</v>
      </c>
    </row>
    <row r="138" spans="1:15" x14ac:dyDescent="0.25">
      <c r="A138" s="2">
        <f>IF(TableWRMaster[[#This Row],[Player]]&lt;&gt;0,A137+1,A137)</f>
        <v>123</v>
      </c>
      <c r="B138" s="2" t="str">
        <f>NE!A16</f>
        <v>Mack Hollins</v>
      </c>
      <c r="C138" s="2" t="s">
        <v>72</v>
      </c>
      <c r="D138" s="2">
        <f>NE!C16</f>
        <v>11</v>
      </c>
      <c r="E138" s="3">
        <f>NE!J16</f>
        <v>6.6663029999999992</v>
      </c>
      <c r="F138" s="3">
        <f>NE!K16</f>
        <v>1.5554706999999999E-2</v>
      </c>
      <c r="G138" s="3">
        <f>NE!L16</f>
        <v>27.814369799999984</v>
      </c>
      <c r="H138" s="3">
        <f>NE!M16</f>
        <v>19.887274406999989</v>
      </c>
      <c r="I138" s="3">
        <f>NE!N16</f>
        <v>232.33389638627654</v>
      </c>
      <c r="J138" s="3">
        <f>NE!O16</f>
        <v>1.4119964828969991</v>
      </c>
      <c r="K138" s="3">
        <f t="shared" si="18"/>
        <v>32.465327078009651</v>
      </c>
      <c r="L138" s="3">
        <f t="shared" si="16"/>
        <v>42.408964281509647</v>
      </c>
      <c r="M138" s="3">
        <f t="shared" si="17"/>
        <v>52.352601485009643</v>
      </c>
      <c r="N1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42.408964281509647</v>
      </c>
      <c r="O138" s="14">
        <v>0</v>
      </c>
    </row>
    <row r="139" spans="1:15" x14ac:dyDescent="0.25">
      <c r="A139" s="2">
        <f>IF(TableWRMaster[[#This Row],[Player]]&lt;&gt;0,A138+1,A138)</f>
        <v>124</v>
      </c>
      <c r="B139" s="2" t="str">
        <f>NE!A17</f>
        <v>DeMario Douglas</v>
      </c>
      <c r="C139" s="2" t="s">
        <v>72</v>
      </c>
      <c r="D139" s="2">
        <f>NE!C17</f>
        <v>11</v>
      </c>
      <c r="E139" s="3">
        <f>NE!J17</f>
        <v>0</v>
      </c>
      <c r="F139" s="3">
        <f>NE!K17</f>
        <v>0</v>
      </c>
      <c r="G139" s="3">
        <f>NE!L17</f>
        <v>23.996711199999989</v>
      </c>
      <c r="H139" s="3">
        <f>NE!M17</f>
        <v>18.069523533599991</v>
      </c>
      <c r="I139" s="3">
        <f>NE!N17</f>
        <v>226.50154011703694</v>
      </c>
      <c r="J139" s="3">
        <f>NE!O17</f>
        <v>1.3010056944191992</v>
      </c>
      <c r="K139" s="3">
        <f t="shared" si="18"/>
        <v>30.456188178218888</v>
      </c>
      <c r="L139" s="3">
        <f t="shared" si="16"/>
        <v>39.490949945018883</v>
      </c>
      <c r="M139" s="3">
        <f t="shared" si="17"/>
        <v>48.525711711818879</v>
      </c>
      <c r="N1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39.490949945018883</v>
      </c>
      <c r="O139" s="14">
        <v>0</v>
      </c>
    </row>
    <row r="140" spans="1:15" x14ac:dyDescent="0.25">
      <c r="A140" s="2">
        <f>IF(TableWRMaster[[#This Row],[Player]]&lt;&gt;0,A139+1,A139)</f>
        <v>125</v>
      </c>
      <c r="B140" s="2" t="str">
        <f>NE!A18</f>
        <v>Kyle Williams</v>
      </c>
      <c r="C140" s="2" t="s">
        <v>72</v>
      </c>
      <c r="D140" s="2">
        <f>NE!C18</f>
        <v>11</v>
      </c>
      <c r="E140" s="3">
        <f>NE!J18</f>
        <v>0</v>
      </c>
      <c r="F140" s="3">
        <f>NE!K18</f>
        <v>0</v>
      </c>
      <c r="G140" s="3">
        <f>NE!L18</f>
        <v>4.363038399999998</v>
      </c>
      <c r="H140" s="3">
        <f>NE!M18</f>
        <v>2.9843182655999989</v>
      </c>
      <c r="I140" s="3">
        <f>NE!N18</f>
        <v>43.571046677759981</v>
      </c>
      <c r="J140" s="3">
        <f>NE!O18</f>
        <v>0.20890227859199995</v>
      </c>
      <c r="K140" s="3">
        <f t="shared" si="18"/>
        <v>5.6105183393279976</v>
      </c>
      <c r="L140" s="3">
        <f t="shared" si="16"/>
        <v>7.102677472127997</v>
      </c>
      <c r="M140" s="3">
        <f t="shared" si="17"/>
        <v>8.5948366049279965</v>
      </c>
      <c r="N1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7.1026774721279979</v>
      </c>
      <c r="O140" s="14">
        <v>0</v>
      </c>
    </row>
    <row r="141" spans="1:15" x14ac:dyDescent="0.25">
      <c r="A141" s="2">
        <f>IF(TableWRMaster[[#This Row],[Player]]&lt;&gt;0,A140+1,A140)</f>
        <v>126</v>
      </c>
      <c r="B141" s="2" t="str">
        <f>NO!A13</f>
        <v>Chris Olave</v>
      </c>
      <c r="C141" s="2" t="s">
        <v>73</v>
      </c>
      <c r="D141" s="2">
        <f>NO!C13</f>
        <v>8</v>
      </c>
      <c r="E141" s="3">
        <f>NO!J13</f>
        <v>0</v>
      </c>
      <c r="F141" s="3">
        <f>NO!K13</f>
        <v>0</v>
      </c>
      <c r="G141" s="3">
        <f>NO!L13</f>
        <v>137.60868352000003</v>
      </c>
      <c r="H141" s="3">
        <f>NO!M13</f>
        <v>86.005427200000014</v>
      </c>
      <c r="I141" s="3">
        <f>NO!N13</f>
        <v>1075.9278942720002</v>
      </c>
      <c r="J141" s="3">
        <f>NO!O13</f>
        <v>7.1384504576000012</v>
      </c>
      <c r="K141" s="3">
        <f t="shared" si="18"/>
        <v>150.42349217280002</v>
      </c>
      <c r="L141" s="3">
        <f t="shared" ref="L141:L172" si="19">K141+(H141*0.5)</f>
        <v>193.42620577280002</v>
      </c>
      <c r="M141" s="3">
        <f t="shared" ref="M141:M172" si="20">K141+H141</f>
        <v>236.42891937280004</v>
      </c>
      <c r="N1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193.42620577280005</v>
      </c>
      <c r="O141" s="14">
        <v>33.210727857079746</v>
      </c>
    </row>
    <row r="142" spans="1:15" x14ac:dyDescent="0.25">
      <c r="A142" s="2">
        <f>IF(TableWRMaster[[#This Row],[Player]]&lt;&gt;0,A141+1,A141)</f>
        <v>127</v>
      </c>
      <c r="B142" s="2" t="str">
        <f>NO!A14</f>
        <v>Jordyn Tyson</v>
      </c>
      <c r="C142" s="2" t="s">
        <v>73</v>
      </c>
      <c r="D142" s="2">
        <f>NO!C14</f>
        <v>8</v>
      </c>
      <c r="E142" s="3">
        <f>NO!J14</f>
        <v>0</v>
      </c>
      <c r="F142" s="3">
        <f>NO!K14</f>
        <v>0</v>
      </c>
      <c r="G142" s="3">
        <f>NO!L14</f>
        <v>114.75853312000001</v>
      </c>
      <c r="H142" s="3">
        <f>NO!M14</f>
        <v>70.920773468160007</v>
      </c>
      <c r="I142" s="3">
        <f>NO!N14</f>
        <v>919.13322414735376</v>
      </c>
      <c r="J142" s="3">
        <f>NO!O14</f>
        <v>6.0991865182617602</v>
      </c>
      <c r="K142" s="3">
        <f t="shared" si="18"/>
        <v>128.50844152430594</v>
      </c>
      <c r="L142" s="3">
        <f t="shared" si="19"/>
        <v>163.96882825838594</v>
      </c>
      <c r="M142" s="3">
        <f t="shared" si="20"/>
        <v>199.42921499246594</v>
      </c>
      <c r="N1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163.96882825838594</v>
      </c>
      <c r="O142" s="14">
        <v>1.8220714041175305</v>
      </c>
    </row>
    <row r="143" spans="1:15" x14ac:dyDescent="0.25">
      <c r="A143" s="2">
        <f>IF(TableWRMaster[[#This Row],[Player]]&lt;&gt;0,A142+1,A142)</f>
        <v>128</v>
      </c>
      <c r="B143" s="2" t="str">
        <f>NO!A15</f>
        <v>Devaughn Vele</v>
      </c>
      <c r="C143" s="2" t="s">
        <v>73</v>
      </c>
      <c r="D143" s="2">
        <f>NO!C15</f>
        <v>8</v>
      </c>
      <c r="E143" s="3">
        <f>NO!J15</f>
        <v>0</v>
      </c>
      <c r="F143" s="3">
        <f>NO!K15</f>
        <v>0</v>
      </c>
      <c r="G143" s="3">
        <f>NO!L15</f>
        <v>37.575802879999998</v>
      </c>
      <c r="H143" s="3">
        <f>NO!M15</f>
        <v>24.992278194604651</v>
      </c>
      <c r="I143" s="3">
        <f>NO!N15</f>
        <v>292.88095448198948</v>
      </c>
      <c r="J143" s="3">
        <f>NO!O15</f>
        <v>1.5816791444837208</v>
      </c>
      <c r="K143" s="3">
        <f t="shared" si="18"/>
        <v>38.778170315101278</v>
      </c>
      <c r="L143" s="3">
        <f t="shared" si="19"/>
        <v>51.274309412403603</v>
      </c>
      <c r="M143" s="3">
        <f t="shared" si="20"/>
        <v>63.770448509705929</v>
      </c>
      <c r="N1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51.274309412403603</v>
      </c>
      <c r="O143" s="14">
        <v>0</v>
      </c>
    </row>
    <row r="144" spans="1:15" x14ac:dyDescent="0.25">
      <c r="A144" s="2">
        <f>IF(TableWRMaster[[#This Row],[Player]]&lt;&gt;0,A143+1,A143)</f>
        <v>129</v>
      </c>
      <c r="B144" s="2" t="str">
        <f>NO!A16</f>
        <v>Bryce Lance</v>
      </c>
      <c r="C144" s="2" t="s">
        <v>73</v>
      </c>
      <c r="D144" s="2">
        <f>NO!C16</f>
        <v>8</v>
      </c>
      <c r="E144" s="3">
        <f>NO!J16</f>
        <v>0</v>
      </c>
      <c r="F144" s="3">
        <f>NO!K16</f>
        <v>0</v>
      </c>
      <c r="G144" s="3">
        <f>NO!L16</f>
        <v>16.75677696</v>
      </c>
      <c r="H144" s="3">
        <f>NO!M16</f>
        <v>9.8194712985599999</v>
      </c>
      <c r="I144" s="3">
        <f>NO!N16</f>
        <v>118.11705771894272</v>
      </c>
      <c r="J144" s="3">
        <f>NO!O16</f>
        <v>0.59898774921216003</v>
      </c>
      <c r="K144" s="3">
        <f t="shared" si="18"/>
        <v>15.405632267167231</v>
      </c>
      <c r="L144" s="3">
        <f t="shared" si="19"/>
        <v>20.315367916447229</v>
      </c>
      <c r="M144" s="3">
        <f t="shared" si="20"/>
        <v>25.225103565727231</v>
      </c>
      <c r="N1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20.315367916447233</v>
      </c>
      <c r="O144" s="14">
        <v>0</v>
      </c>
    </row>
    <row r="145" spans="1:15" x14ac:dyDescent="0.25">
      <c r="A145" s="2">
        <f>IF(TableWRMaster[[#This Row],[Player]]&lt;&gt;0,A144+1,A144)</f>
        <v>130</v>
      </c>
      <c r="B145" s="2" t="str">
        <f>NO!A17</f>
        <v>Mason Tipton</v>
      </c>
      <c r="C145" s="2" t="s">
        <v>73</v>
      </c>
      <c r="D145" s="2">
        <f>NO!C17</f>
        <v>8</v>
      </c>
      <c r="E145" s="3">
        <f>NO!J17</f>
        <v>0</v>
      </c>
      <c r="F145" s="3">
        <f>NO!K17</f>
        <v>0</v>
      </c>
      <c r="G145" s="3">
        <f>NO!L17</f>
        <v>6.0933734399999997</v>
      </c>
      <c r="H145" s="3">
        <f>NO!M17</f>
        <v>3.9911596031999999</v>
      </c>
      <c r="I145" s="3">
        <f>NO!N17</f>
        <v>32.727508746239998</v>
      </c>
      <c r="J145" s="3">
        <f>NO!O17</f>
        <v>0.23946957619199999</v>
      </c>
      <c r="K145" s="3">
        <f t="shared" si="18"/>
        <v>4.7095683317759995</v>
      </c>
      <c r="L145" s="3">
        <f t="shared" si="19"/>
        <v>6.7051481333759995</v>
      </c>
      <c r="M145" s="3">
        <f t="shared" si="20"/>
        <v>8.7007279349759994</v>
      </c>
      <c r="N1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6.7051481333759995</v>
      </c>
      <c r="O145" s="14">
        <v>0</v>
      </c>
    </row>
    <row r="146" spans="1:15" x14ac:dyDescent="0.25">
      <c r="A146" s="2">
        <f>IF(TableWRMaster[[#This Row],[Player]]&lt;&gt;0,A145+1,A145)</f>
        <v>130</v>
      </c>
      <c r="B146" s="2">
        <f>NO!A18</f>
        <v>0</v>
      </c>
      <c r="C146" s="2" t="s">
        <v>73</v>
      </c>
      <c r="D146" s="2">
        <f>NO!C18</f>
        <v>8</v>
      </c>
      <c r="E146" s="3">
        <f>NO!J18</f>
        <v>0</v>
      </c>
      <c r="F146" s="3">
        <f>NO!K18</f>
        <v>0</v>
      </c>
      <c r="G146" s="3">
        <f>NO!L18</f>
        <v>0</v>
      </c>
      <c r="H146" s="3">
        <f>NO!M18</f>
        <v>0</v>
      </c>
      <c r="I146" s="3">
        <f>NO!N18</f>
        <v>0</v>
      </c>
      <c r="J146" s="3">
        <f>NO!O18</f>
        <v>0</v>
      </c>
      <c r="K146" s="3">
        <f t="shared" si="18"/>
        <v>0</v>
      </c>
      <c r="L146" s="3">
        <f t="shared" si="19"/>
        <v>0</v>
      </c>
      <c r="M146" s="3">
        <f t="shared" si="20"/>
        <v>0</v>
      </c>
      <c r="N1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46" s="14">
        <v>0</v>
      </c>
    </row>
    <row r="147" spans="1:15" x14ac:dyDescent="0.25">
      <c r="A147" s="2">
        <f>IF(TableWRMaster[[#This Row],[Player]]&lt;&gt;0,A146+1,A146)</f>
        <v>131</v>
      </c>
      <c r="B147" s="2" t="str">
        <f>NYG!A13</f>
        <v>Malik Nabers</v>
      </c>
      <c r="C147" s="2" t="s">
        <v>74</v>
      </c>
      <c r="D147" s="2">
        <f>NYG!C13</f>
        <v>8</v>
      </c>
      <c r="E147" s="3">
        <f>NYG!J13</f>
        <v>0</v>
      </c>
      <c r="F147" s="3">
        <f>NYG!K13</f>
        <v>0</v>
      </c>
      <c r="G147" s="3">
        <f>NYG!L13</f>
        <v>105.80562748</v>
      </c>
      <c r="H147" s="3">
        <f>NYG!M13</f>
        <v>62.742737095639995</v>
      </c>
      <c r="I147" s="3">
        <f>NYG!N13</f>
        <v>836.36068548488117</v>
      </c>
      <c r="J147" s="3">
        <f>NYG!O13</f>
        <v>5.3433888110292518</v>
      </c>
      <c r="K147" s="3">
        <f t="shared" si="18"/>
        <v>115.69640141466363</v>
      </c>
      <c r="L147" s="3">
        <f t="shared" si="19"/>
        <v>147.06776996248362</v>
      </c>
      <c r="M147" s="3">
        <f t="shared" si="20"/>
        <v>178.43913851030362</v>
      </c>
      <c r="N1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147.06776996248362</v>
      </c>
      <c r="O147" s="14">
        <v>12.582632081900583</v>
      </c>
    </row>
    <row r="148" spans="1:15" x14ac:dyDescent="0.25">
      <c r="A148" s="2">
        <f>IF(TableWRMaster[[#This Row],[Player]]&lt;&gt;0,A147+1,A147)</f>
        <v>132</v>
      </c>
      <c r="B148" s="2" t="str">
        <f>NYG!A14</f>
        <v>Darnell Mooney</v>
      </c>
      <c r="C148" s="2" t="s">
        <v>74</v>
      </c>
      <c r="D148" s="2">
        <f>NYG!C14</f>
        <v>8</v>
      </c>
      <c r="E148" s="3">
        <f>NYG!J14</f>
        <v>0</v>
      </c>
      <c r="F148" s="3">
        <f>NYG!K14</f>
        <v>0</v>
      </c>
      <c r="G148" s="3">
        <f>NYG!L14</f>
        <v>66.746540699999997</v>
      </c>
      <c r="H148" s="3">
        <f>NYG!M14</f>
        <v>36.643850844300005</v>
      </c>
      <c r="I148" s="3">
        <f>NYG!N14</f>
        <v>461.34608212973706</v>
      </c>
      <c r="J148" s="3">
        <f>NYG!O14</f>
        <v>2.6750011116339003</v>
      </c>
      <c r="K148" s="3">
        <f t="shared" si="18"/>
        <v>62.184614882777105</v>
      </c>
      <c r="L148" s="3">
        <f t="shared" si="19"/>
        <v>80.506540304927114</v>
      </c>
      <c r="M148" s="3">
        <f t="shared" si="20"/>
        <v>98.828465727077116</v>
      </c>
      <c r="N1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80.506540304927114</v>
      </c>
      <c r="O148" s="14">
        <v>0</v>
      </c>
    </row>
    <row r="149" spans="1:15" x14ac:dyDescent="0.25">
      <c r="A149" s="2">
        <f>IF(TableWRMaster[[#This Row],[Player]]&lt;&gt;0,A148+1,A148)</f>
        <v>133</v>
      </c>
      <c r="B149" s="2" t="str">
        <f>NYG!A15</f>
        <v>Darius Slayton</v>
      </c>
      <c r="C149" s="2" t="s">
        <v>74</v>
      </c>
      <c r="D149" s="2">
        <f>NYG!C15</f>
        <v>8</v>
      </c>
      <c r="E149" s="3">
        <f>NYG!J15</f>
        <v>0</v>
      </c>
      <c r="F149" s="3">
        <f>NYG!K15</f>
        <v>0</v>
      </c>
      <c r="G149" s="3">
        <f>NYG!L15</f>
        <v>41.036762060000008</v>
      </c>
      <c r="H149" s="3">
        <f>NYG!M15</f>
        <v>26.058343908100007</v>
      </c>
      <c r="I149" s="3">
        <f>NYG!N15</f>
        <v>371.33140069042508</v>
      </c>
      <c r="J149" s="3">
        <f>NYG!O15</f>
        <v>1.6937923540265005</v>
      </c>
      <c r="K149" s="3">
        <f t="shared" si="18"/>
        <v>47.295894193201512</v>
      </c>
      <c r="L149" s="3">
        <f t="shared" si="19"/>
        <v>60.325066147251519</v>
      </c>
      <c r="M149" s="3">
        <f t="shared" si="20"/>
        <v>73.354238101301519</v>
      </c>
      <c r="N1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60.325066147251512</v>
      </c>
      <c r="O149" s="14">
        <v>0</v>
      </c>
    </row>
    <row r="150" spans="1:15" x14ac:dyDescent="0.25">
      <c r="A150" s="2">
        <f>IF(TableWRMaster[[#This Row],[Player]]&lt;&gt;0,A149+1,A149)</f>
        <v>134</v>
      </c>
      <c r="B150" s="2" t="str">
        <f>NYG!A16</f>
        <v>Malachi Fields</v>
      </c>
      <c r="C150" s="2" t="s">
        <v>74</v>
      </c>
      <c r="D150" s="2">
        <f>NYG!C16</f>
        <v>8</v>
      </c>
      <c r="E150" s="3">
        <f>NYG!J16</f>
        <v>0</v>
      </c>
      <c r="F150" s="3">
        <f>NYG!K16</f>
        <v>0</v>
      </c>
      <c r="G150" s="3">
        <f>NYG!L16</f>
        <v>43.014437339999994</v>
      </c>
      <c r="H150" s="3">
        <f>NYG!M16</f>
        <v>26.496893401439994</v>
      </c>
      <c r="I150" s="3">
        <f>NYG!N16</f>
        <v>338.10035980237433</v>
      </c>
      <c r="J150" s="3">
        <f>NYG!O16</f>
        <v>2.1727452589180798</v>
      </c>
      <c r="K150" s="3">
        <f t="shared" si="18"/>
        <v>46.846507533745907</v>
      </c>
      <c r="L150" s="3">
        <f t="shared" si="19"/>
        <v>60.094954234465902</v>
      </c>
      <c r="M150" s="3">
        <f t="shared" si="20"/>
        <v>73.343400935185898</v>
      </c>
      <c r="N1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60.094954234465909</v>
      </c>
      <c r="O150" s="14">
        <v>0</v>
      </c>
    </row>
    <row r="151" spans="1:15" x14ac:dyDescent="0.25">
      <c r="A151" s="2">
        <f>IF(TableWRMaster[[#This Row],[Player]]&lt;&gt;0,A150+1,A150)</f>
        <v>135</v>
      </c>
      <c r="B151" s="2" t="str">
        <f>NYG!A17</f>
        <v>Calvin Austin</v>
      </c>
      <c r="C151" s="2" t="s">
        <v>74</v>
      </c>
      <c r="D151" s="2">
        <f>NYG!C17</f>
        <v>8</v>
      </c>
      <c r="E151" s="3">
        <f>NYG!J17</f>
        <v>0</v>
      </c>
      <c r="F151" s="3">
        <f>NYG!K17</f>
        <v>0</v>
      </c>
      <c r="G151" s="3">
        <f>NYG!L17</f>
        <v>9.8883764000000003</v>
      </c>
      <c r="H151" s="3">
        <f>NYG!M17</f>
        <v>5.8440304524000002</v>
      </c>
      <c r="I151" s="3">
        <f>NYG!N17</f>
        <v>69.19300865781895</v>
      </c>
      <c r="J151" s="3">
        <f>NYG!O17</f>
        <v>0.37376978615680478</v>
      </c>
      <c r="K151" s="3">
        <f t="shared" si="18"/>
        <v>9.1619195827227244</v>
      </c>
      <c r="L151" s="3">
        <f t="shared" si="19"/>
        <v>12.083934808922724</v>
      </c>
      <c r="M151" s="3">
        <f t="shared" si="20"/>
        <v>15.005950035122725</v>
      </c>
      <c r="N1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12.083934808922724</v>
      </c>
      <c r="O151" s="14">
        <v>0</v>
      </c>
    </row>
    <row r="152" spans="1:15" x14ac:dyDescent="0.25">
      <c r="A152" s="2">
        <f>IF(TableWRMaster[[#This Row],[Player]]&lt;&gt;0,A151+1,A151)</f>
        <v>136</v>
      </c>
      <c r="B152" s="2" t="str">
        <f>NYG!A18</f>
        <v>Beaux Collins</v>
      </c>
      <c r="C152" s="2" t="s">
        <v>74</v>
      </c>
      <c r="D152" s="2">
        <f>NYG!C18</f>
        <v>8</v>
      </c>
      <c r="E152" s="3">
        <f>NYG!J18</f>
        <v>0</v>
      </c>
      <c r="F152" s="3">
        <f>NYG!K18</f>
        <v>0</v>
      </c>
      <c r="G152" s="3">
        <f>NYG!L18</f>
        <v>14.8325646</v>
      </c>
      <c r="H152" s="3">
        <f>NYG!M18</f>
        <v>9.0033667122000001</v>
      </c>
      <c r="I152" s="3">
        <f>NYG!N18</f>
        <v>0</v>
      </c>
      <c r="J152" s="3">
        <f>NYG!O18</f>
        <v>0.63923903656619996</v>
      </c>
      <c r="K152" s="3">
        <f t="shared" si="18"/>
        <v>3.8354342193971998</v>
      </c>
      <c r="L152" s="3">
        <f t="shared" si="19"/>
        <v>8.3371175754971993</v>
      </c>
      <c r="M152" s="3">
        <f t="shared" si="20"/>
        <v>12.8388009315972</v>
      </c>
      <c r="N1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8.3371175754971993</v>
      </c>
      <c r="O152" s="14">
        <v>0</v>
      </c>
    </row>
    <row r="153" spans="1:15" x14ac:dyDescent="0.25">
      <c r="A153" s="2">
        <f>IF(TableWRMaster[[#This Row],[Player]]&lt;&gt;0,A152+1,A152)</f>
        <v>136</v>
      </c>
      <c r="B153" s="2">
        <f>NYG!A19</f>
        <v>0</v>
      </c>
      <c r="C153" s="2" t="s">
        <v>74</v>
      </c>
      <c r="D153" s="2">
        <f>NYG!C19</f>
        <v>8</v>
      </c>
      <c r="E153" s="3">
        <f>NYG!J19</f>
        <v>0</v>
      </c>
      <c r="F153" s="3">
        <f>NYG!K19</f>
        <v>0</v>
      </c>
      <c r="G153" s="3">
        <f>NYG!L19</f>
        <v>0</v>
      </c>
      <c r="H153" s="3">
        <f>NYG!M19</f>
        <v>0</v>
      </c>
      <c r="I153" s="3">
        <f>NYG!N19</f>
        <v>0</v>
      </c>
      <c r="J153" s="3">
        <f>NYG!O19</f>
        <v>0</v>
      </c>
      <c r="K153" s="3">
        <f t="shared" si="18"/>
        <v>0</v>
      </c>
      <c r="L153" s="3">
        <f t="shared" si="19"/>
        <v>0</v>
      </c>
      <c r="M153" s="3">
        <f t="shared" si="20"/>
        <v>0</v>
      </c>
      <c r="N1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3" s="14">
        <v>0</v>
      </c>
    </row>
    <row r="154" spans="1:15" x14ac:dyDescent="0.25">
      <c r="A154" s="2">
        <f>IF(TableWRMaster[[#This Row],[Player]]&lt;&gt;0,A153+1,A153)</f>
        <v>137</v>
      </c>
      <c r="B154" s="2" t="str">
        <f>NYJ!A13</f>
        <v>Garrett Wilson</v>
      </c>
      <c r="C154" s="2" t="s">
        <v>75</v>
      </c>
      <c r="D154" s="2">
        <f>NYJ!C13</f>
        <v>13</v>
      </c>
      <c r="E154" s="3">
        <f>NYJ!J13</f>
        <v>0</v>
      </c>
      <c r="F154" s="3">
        <f>NYJ!K13</f>
        <v>0</v>
      </c>
      <c r="G154" s="3">
        <f>NYJ!L13</f>
        <v>146.68129861471982</v>
      </c>
      <c r="H154" s="3">
        <f>NYJ!M13</f>
        <v>95.30946951512766</v>
      </c>
      <c r="I154" s="3">
        <f>NYJ!N13</f>
        <v>1088.9716395451674</v>
      </c>
      <c r="J154" s="3">
        <f>NYJ!O13</f>
        <v>5.4326397623622764</v>
      </c>
      <c r="K154" s="3">
        <f t="shared" si="18"/>
        <v>141.4930025286904</v>
      </c>
      <c r="L154" s="3">
        <f t="shared" si="19"/>
        <v>189.14773728625423</v>
      </c>
      <c r="M154" s="3">
        <f t="shared" si="20"/>
        <v>236.80247204381806</v>
      </c>
      <c r="N1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189.14773728625423</v>
      </c>
      <c r="O154" s="14">
        <v>0</v>
      </c>
    </row>
    <row r="155" spans="1:15" x14ac:dyDescent="0.25">
      <c r="A155" s="2">
        <f>IF(TableWRMaster[[#This Row],[Player]]&lt;&gt;0,A154+1,A154)</f>
        <v>138</v>
      </c>
      <c r="B155" s="2" t="str">
        <f>NYJ!A14</f>
        <v>Omar Cooper</v>
      </c>
      <c r="C155" s="2" t="s">
        <v>75</v>
      </c>
      <c r="D155" s="2">
        <f>NYJ!C14</f>
        <v>13</v>
      </c>
      <c r="E155" s="3">
        <f>NYJ!J14</f>
        <v>9.185115333333334</v>
      </c>
      <c r="F155" s="3">
        <f>NYJ!K14</f>
        <v>3.5327366666666672E-2</v>
      </c>
      <c r="G155" s="3">
        <f>NYJ!L14</f>
        <v>105.09349747491423</v>
      </c>
      <c r="H155" s="3">
        <f>NYJ!M14</f>
        <v>62.478995464132538</v>
      </c>
      <c r="I155" s="3">
        <f>NYJ!N14</f>
        <v>724.7563473839374</v>
      </c>
      <c r="J155" s="3">
        <f>NYJ!O14</f>
        <v>4.373529682489278</v>
      </c>
      <c r="K155" s="3">
        <f t="shared" si="18"/>
        <v>99.847288566662741</v>
      </c>
      <c r="L155" s="3">
        <f t="shared" si="19"/>
        <v>131.08678629872901</v>
      </c>
      <c r="M155" s="3">
        <f t="shared" si="20"/>
        <v>162.32628403079528</v>
      </c>
      <c r="N1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131.08678629872901</v>
      </c>
      <c r="O155" s="14">
        <v>0</v>
      </c>
    </row>
    <row r="156" spans="1:15" x14ac:dyDescent="0.25">
      <c r="A156" s="2">
        <f>IF(TableWRMaster[[#This Row],[Player]]&lt;&gt;0,A155+1,A155)</f>
        <v>139</v>
      </c>
      <c r="B156" s="2" t="str">
        <f>NYJ!A15</f>
        <v>Adonai Mitchell</v>
      </c>
      <c r="C156" s="2" t="s">
        <v>75</v>
      </c>
      <c r="D156" s="2">
        <f>NYJ!C15</f>
        <v>13</v>
      </c>
      <c r="E156" s="3">
        <f>NYJ!J15</f>
        <v>0</v>
      </c>
      <c r="F156" s="3">
        <f>NYJ!K15</f>
        <v>0</v>
      </c>
      <c r="G156" s="3">
        <f>NYJ!L15</f>
        <v>73.621647963709975</v>
      </c>
      <c r="H156" s="3">
        <f>NYJ!M15</f>
        <v>46.052929941825305</v>
      </c>
      <c r="I156" s="3">
        <f>NYJ!N15</f>
        <v>592.50297024416</v>
      </c>
      <c r="J156" s="3">
        <f>NYJ!O15</f>
        <v>3.2697580258695962</v>
      </c>
      <c r="K156" s="3">
        <f t="shared" si="18"/>
        <v>78.868845179633581</v>
      </c>
      <c r="L156" s="3">
        <f t="shared" si="19"/>
        <v>101.89531015054624</v>
      </c>
      <c r="M156" s="3">
        <f t="shared" si="20"/>
        <v>124.92177512145889</v>
      </c>
      <c r="N1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101.89531015054624</v>
      </c>
      <c r="O156" s="14">
        <v>0</v>
      </c>
    </row>
    <row r="157" spans="1:15" x14ac:dyDescent="0.25">
      <c r="A157" s="2">
        <f>IF(TableWRMaster[[#This Row],[Player]]&lt;&gt;0,A156+1,A156)</f>
        <v>140</v>
      </c>
      <c r="B157" s="2" t="str">
        <f>NYJ!A16</f>
        <v>Tim Patrick</v>
      </c>
      <c r="C157" s="2" t="s">
        <v>75</v>
      </c>
      <c r="D157" s="2">
        <f>NYJ!C16</f>
        <v>13</v>
      </c>
      <c r="E157" s="3">
        <f>NYJ!J16</f>
        <v>0</v>
      </c>
      <c r="F157" s="3">
        <f>NYJ!K16</f>
        <v>0</v>
      </c>
      <c r="G157" s="3">
        <f>NYJ!L16</f>
        <v>14.049932817501903</v>
      </c>
      <c r="H157" s="3">
        <f>NYJ!M16</f>
        <v>8.9498072047487121</v>
      </c>
      <c r="I157" s="3">
        <f>NYJ!N16</f>
        <v>99.163863828615732</v>
      </c>
      <c r="J157" s="3">
        <f>NYJ!O16</f>
        <v>0.60858688992291243</v>
      </c>
      <c r="K157" s="3">
        <f t="shared" si="18"/>
        <v>13.567907722399047</v>
      </c>
      <c r="L157" s="3">
        <f t="shared" si="19"/>
        <v>18.042811324773403</v>
      </c>
      <c r="M157" s="3">
        <f t="shared" si="20"/>
        <v>22.517714927147757</v>
      </c>
      <c r="N1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18.042811324773403</v>
      </c>
      <c r="O157" s="14">
        <v>0</v>
      </c>
    </row>
    <row r="158" spans="1:15" x14ac:dyDescent="0.25">
      <c r="A158" s="2">
        <f>IF(TableWRMaster[[#This Row],[Player]]&lt;&gt;0,A157+1,A157)</f>
        <v>141</v>
      </c>
      <c r="B158" s="2" t="str">
        <f>NYJ!A17</f>
        <v>Isaiah Williams</v>
      </c>
      <c r="C158" s="2" t="s">
        <v>75</v>
      </c>
      <c r="D158" s="2">
        <f>NYJ!C17</f>
        <v>13</v>
      </c>
      <c r="E158" s="3">
        <f>NYJ!J17</f>
        <v>0</v>
      </c>
      <c r="F158" s="3">
        <f>NYJ!K17</f>
        <v>0</v>
      </c>
      <c r="G158" s="3">
        <f>NYJ!L17</f>
        <v>5.6199731270007609</v>
      </c>
      <c r="H158" s="3">
        <f>NYJ!M17</f>
        <v>3.4562834731054677</v>
      </c>
      <c r="I158" s="3">
        <f>NYJ!N17</f>
        <v>33.440362965298739</v>
      </c>
      <c r="J158" s="3">
        <f>NYJ!O17</f>
        <v>0.19009559102080073</v>
      </c>
      <c r="K158" s="3">
        <f t="shared" si="18"/>
        <v>4.4846098426546783</v>
      </c>
      <c r="L158" s="3">
        <f t="shared" si="19"/>
        <v>6.2127515792074117</v>
      </c>
      <c r="M158" s="3">
        <f t="shared" si="20"/>
        <v>7.940893315760146</v>
      </c>
      <c r="N1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6.2127515792074117</v>
      </c>
      <c r="O158" s="14">
        <v>0</v>
      </c>
    </row>
    <row r="159" spans="1:15" x14ac:dyDescent="0.25">
      <c r="A159" s="2">
        <f>IF(TableWRMaster[[#This Row],[Player]]&lt;&gt;0,A158+1,A158)</f>
        <v>142</v>
      </c>
      <c r="B159" s="2" t="str">
        <f>NYJ!A18</f>
        <v>Arian Smith</v>
      </c>
      <c r="C159" s="2" t="s">
        <v>75</v>
      </c>
      <c r="D159" s="2">
        <f>NYJ!C18</f>
        <v>13</v>
      </c>
      <c r="E159" s="3">
        <f>NYJ!J18</f>
        <v>0</v>
      </c>
      <c r="F159" s="3">
        <f>NYJ!K18</f>
        <v>0</v>
      </c>
      <c r="G159" s="3">
        <f>NYJ!L18</f>
        <v>2.8099865635003805</v>
      </c>
      <c r="H159" s="3">
        <f>NYJ!M18</f>
        <v>1.691611911227229</v>
      </c>
      <c r="I159" s="3">
        <f>NYJ!N18</f>
        <v>14.655340541411148</v>
      </c>
      <c r="J159" s="3">
        <f>NYJ!O18</f>
        <v>8.4580595561361452E-2</v>
      </c>
      <c r="K159" s="3">
        <f t="shared" si="18"/>
        <v>1.9730176275092837</v>
      </c>
      <c r="L159" s="3">
        <f t="shared" si="19"/>
        <v>2.818823583122898</v>
      </c>
      <c r="M159" s="3">
        <f t="shared" si="20"/>
        <v>3.6646295387365129</v>
      </c>
      <c r="N1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2.818823583122898</v>
      </c>
      <c r="O159" s="14">
        <v>0</v>
      </c>
    </row>
    <row r="160" spans="1:15" x14ac:dyDescent="0.25">
      <c r="A160" s="2">
        <f>IF(TableWRMaster[[#This Row],[Player]]&lt;&gt;0,A159+1,A159)</f>
        <v>142</v>
      </c>
      <c r="B160" s="2">
        <f>NYJ!A19</f>
        <v>0</v>
      </c>
      <c r="C160" s="2" t="s">
        <v>75</v>
      </c>
      <c r="D160" s="2">
        <f>NYJ!C19</f>
        <v>13</v>
      </c>
      <c r="E160" s="3">
        <f>NYJ!J19</f>
        <v>0</v>
      </c>
      <c r="F160" s="3">
        <f>NYJ!K19</f>
        <v>0</v>
      </c>
      <c r="G160" s="3">
        <f>NYJ!L19</f>
        <v>0</v>
      </c>
      <c r="H160" s="3">
        <f>NYJ!M19</f>
        <v>0</v>
      </c>
      <c r="I160" s="3">
        <f>NYJ!N19</f>
        <v>0</v>
      </c>
      <c r="J160" s="3">
        <f>NYJ!O19</f>
        <v>0</v>
      </c>
      <c r="K160" s="3">
        <f t="shared" si="18"/>
        <v>0</v>
      </c>
      <c r="L160" s="3">
        <f t="shared" si="19"/>
        <v>0</v>
      </c>
      <c r="M160" s="3">
        <f t="shared" si="20"/>
        <v>0</v>
      </c>
      <c r="N1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60" s="14">
        <v>0</v>
      </c>
    </row>
    <row r="161" spans="1:15" x14ac:dyDescent="0.25">
      <c r="A161" s="2">
        <f>IF(TableWRMaster[[#This Row],[Player]]&lt;&gt;0,A160+1,A160)</f>
        <v>143</v>
      </c>
      <c r="B161" s="2" t="str">
        <f>PHI!A13</f>
        <v>DeVonta Smith</v>
      </c>
      <c r="C161" s="2" t="s">
        <v>76</v>
      </c>
      <c r="D161" s="2">
        <f>PHI!C13</f>
        <v>10</v>
      </c>
      <c r="E161" s="3">
        <f>PHI!J13</f>
        <v>0</v>
      </c>
      <c r="F161" s="3">
        <f>PHI!K13</f>
        <v>0</v>
      </c>
      <c r="G161" s="3">
        <f>PHI!L13</f>
        <v>126.32249784000001</v>
      </c>
      <c r="H161" s="3">
        <f>PHI!M13</f>
        <v>86.025621029040011</v>
      </c>
      <c r="I161" s="3">
        <f>PHI!N13</f>
        <v>1107.149742643745</v>
      </c>
      <c r="J161" s="3">
        <f>PHI!O13</f>
        <v>7.39820340849744</v>
      </c>
      <c r="K161" s="3">
        <f t="shared" si="18"/>
        <v>155.10419471535914</v>
      </c>
      <c r="L161" s="3">
        <f t="shared" si="19"/>
        <v>198.11700522987914</v>
      </c>
      <c r="M161" s="3">
        <f t="shared" si="20"/>
        <v>241.12981574439914</v>
      </c>
      <c r="N1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198.11700522987917</v>
      </c>
      <c r="O161" s="14">
        <v>13.438851651696702</v>
      </c>
    </row>
    <row r="162" spans="1:15" x14ac:dyDescent="0.25">
      <c r="A162" s="2">
        <f>IF(TableWRMaster[[#This Row],[Player]]&lt;&gt;0,A161+1,A161)</f>
        <v>144</v>
      </c>
      <c r="B162" s="2" t="str">
        <f>PHI!A14</f>
        <v>Makai Lemon</v>
      </c>
      <c r="C162" s="2" t="s">
        <v>76</v>
      </c>
      <c r="D162" s="2">
        <f>PHI!C14</f>
        <v>10</v>
      </c>
      <c r="E162" s="3">
        <f>PHI!J14</f>
        <v>26.058086755555557</v>
      </c>
      <c r="F162" s="3">
        <f>PHI!K14</f>
        <v>0.2368916977777778</v>
      </c>
      <c r="G162" s="3">
        <f>PHI!L14</f>
        <v>109.03120535999999</v>
      </c>
      <c r="H162" s="3">
        <f>PHI!M14</f>
        <v>73.923157234079994</v>
      </c>
      <c r="I162" s="3">
        <f>PHI!N14</f>
        <v>918.12561284727349</v>
      </c>
      <c r="J162" s="3">
        <f>PHI!O14</f>
        <v>6.1010253945364816</v>
      </c>
      <c r="K162" s="3">
        <f t="shared" si="18"/>
        <v>132.44587251416846</v>
      </c>
      <c r="L162" s="3">
        <f t="shared" si="19"/>
        <v>169.40745113120846</v>
      </c>
      <c r="M162" s="3">
        <f t="shared" si="20"/>
        <v>206.36902974824847</v>
      </c>
      <c r="N1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169.40745113120846</v>
      </c>
      <c r="O162" s="14">
        <v>4.3234228044126111</v>
      </c>
    </row>
    <row r="163" spans="1:15" x14ac:dyDescent="0.25">
      <c r="A163" s="2">
        <f>IF(TableWRMaster[[#This Row],[Player]]&lt;&gt;0,A162+1,A162)</f>
        <v>145</v>
      </c>
      <c r="B163" s="2" t="str">
        <f>PHI!A15</f>
        <v>Dontayvion Wicks</v>
      </c>
      <c r="C163" s="2" t="s">
        <v>76</v>
      </c>
      <c r="D163" s="2">
        <f>PHI!C15</f>
        <v>10</v>
      </c>
      <c r="E163" s="3">
        <f>PHI!J15</f>
        <v>0</v>
      </c>
      <c r="F163" s="3">
        <f>PHI!K15</f>
        <v>0</v>
      </c>
      <c r="G163" s="3">
        <f>PHI!L15</f>
        <v>41.306976479999996</v>
      </c>
      <c r="H163" s="3">
        <f>PHI!M15</f>
        <v>23.710204499519996</v>
      </c>
      <c r="I163" s="3">
        <f>PHI!N15</f>
        <v>288.31608671416313</v>
      </c>
      <c r="J163" s="3">
        <f>PHI!O15</f>
        <v>1.8968163599615997</v>
      </c>
      <c r="K163" s="3">
        <f t="shared" si="18"/>
        <v>40.212506831185912</v>
      </c>
      <c r="L163" s="3">
        <f t="shared" si="19"/>
        <v>52.067609080945914</v>
      </c>
      <c r="M163" s="3">
        <f t="shared" si="20"/>
        <v>63.922711330705908</v>
      </c>
      <c r="N1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52.067609080945914</v>
      </c>
      <c r="O163" s="14">
        <v>0</v>
      </c>
    </row>
    <row r="164" spans="1:15" x14ac:dyDescent="0.25">
      <c r="A164" s="2">
        <f>IF(TableWRMaster[[#This Row],[Player]]&lt;&gt;0,A163+1,A163)</f>
        <v>146</v>
      </c>
      <c r="B164" s="2" t="str">
        <f>PHI!A16</f>
        <v>Hollywood Brown</v>
      </c>
      <c r="C164" s="2" t="s">
        <v>76</v>
      </c>
      <c r="D164" s="2">
        <f>PHI!C16</f>
        <v>10</v>
      </c>
      <c r="E164" s="3">
        <f>PHI!J16</f>
        <v>0</v>
      </c>
      <c r="F164" s="3">
        <f>PHI!K16</f>
        <v>0</v>
      </c>
      <c r="G164" s="3">
        <f>PHI!L16</f>
        <v>23.535370319999998</v>
      </c>
      <c r="H164" s="3">
        <f>PHI!M16</f>
        <v>12.920918305680001</v>
      </c>
      <c r="I164" s="3">
        <f>PHI!N16</f>
        <v>148.92933417916109</v>
      </c>
      <c r="J164" s="3">
        <f>PHI!O16</f>
        <v>1.0078316278430401</v>
      </c>
      <c r="K164" s="3">
        <f t="shared" si="18"/>
        <v>20.939923184974347</v>
      </c>
      <c r="L164" s="3">
        <f t="shared" si="19"/>
        <v>27.400382337814349</v>
      </c>
      <c r="M164" s="3">
        <f t="shared" si="20"/>
        <v>33.860841490654352</v>
      </c>
      <c r="N1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27.400382337814349</v>
      </c>
      <c r="O164" s="14">
        <v>0</v>
      </c>
    </row>
    <row r="165" spans="1:15" x14ac:dyDescent="0.25">
      <c r="A165" s="2">
        <f>IF(TableWRMaster[[#This Row],[Player]]&lt;&gt;0,A164+1,A164)</f>
        <v>147</v>
      </c>
      <c r="B165" s="2" t="str">
        <f>PHI!A17</f>
        <v>Elijah Moore</v>
      </c>
      <c r="C165" s="2" t="s">
        <v>76</v>
      </c>
      <c r="D165" s="2">
        <f>PHI!C17</f>
        <v>10</v>
      </c>
      <c r="E165" s="3">
        <f>PHI!J17</f>
        <v>0</v>
      </c>
      <c r="F165" s="3">
        <f>PHI!K17</f>
        <v>0</v>
      </c>
      <c r="G165" s="3">
        <f>PHI!L17</f>
        <v>12.007842</v>
      </c>
      <c r="H165" s="3">
        <f>PHI!M17</f>
        <v>7.2407287259999995</v>
      </c>
      <c r="I165" s="3">
        <f>PHI!N17</f>
        <v>74.579505877800003</v>
      </c>
      <c r="J165" s="3">
        <f>PHI!O17</f>
        <v>0.50685101082000006</v>
      </c>
      <c r="K165" s="3">
        <f t="shared" si="18"/>
        <v>10.4990566527</v>
      </c>
      <c r="L165" s="3">
        <f t="shared" si="19"/>
        <v>14.1194210157</v>
      </c>
      <c r="M165" s="3">
        <f t="shared" si="20"/>
        <v>17.739785378699999</v>
      </c>
      <c r="N1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14.119421015700002</v>
      </c>
      <c r="O165" s="14">
        <v>0</v>
      </c>
    </row>
    <row r="166" spans="1:15" x14ac:dyDescent="0.25">
      <c r="A166" s="2">
        <f>IF(TableWRMaster[[#This Row],[Player]]&lt;&gt;0,A165+1,A165)</f>
        <v>148</v>
      </c>
      <c r="B166" s="2" t="str">
        <f>PHI!A18</f>
        <v>Darius Cooper</v>
      </c>
      <c r="C166" s="2" t="s">
        <v>76</v>
      </c>
      <c r="D166" s="2">
        <f>PHI!C18</f>
        <v>10</v>
      </c>
      <c r="E166" s="3">
        <f>PHI!J18</f>
        <v>0</v>
      </c>
      <c r="F166" s="3">
        <f>PHI!K18</f>
        <v>0</v>
      </c>
      <c r="G166" s="3">
        <f>PHI!L18</f>
        <v>7.2047051999999994</v>
      </c>
      <c r="H166" s="3">
        <f>PHI!M18</f>
        <v>4.2291619523999993</v>
      </c>
      <c r="I166" s="3">
        <f>PHI!N18</f>
        <v>42.71453571923999</v>
      </c>
      <c r="J166" s="3">
        <f>PHI!O18</f>
        <v>0.27489552690599994</v>
      </c>
      <c r="K166" s="3">
        <f t="shared" si="18"/>
        <v>5.9208267333599984</v>
      </c>
      <c r="L166" s="3">
        <f t="shared" si="19"/>
        <v>8.0354077095599976</v>
      </c>
      <c r="M166" s="3">
        <f t="shared" si="20"/>
        <v>10.149988685759997</v>
      </c>
      <c r="N1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8.0354077095599976</v>
      </c>
      <c r="O166" s="14">
        <v>0</v>
      </c>
    </row>
    <row r="167" spans="1:15" x14ac:dyDescent="0.25">
      <c r="A167" s="2">
        <f>IF(TableWRMaster[[#This Row],[Player]]&lt;&gt;0,A166+1,A166)</f>
        <v>149</v>
      </c>
      <c r="B167" s="2" t="str">
        <f>PIT!A13</f>
        <v>Michael Pittman</v>
      </c>
      <c r="C167" s="2" t="s">
        <v>77</v>
      </c>
      <c r="D167" s="2">
        <f>PIT!C13</f>
        <v>9</v>
      </c>
      <c r="E167" s="3">
        <f>PIT!J13</f>
        <v>0</v>
      </c>
      <c r="F167" s="3">
        <f>PIT!K13</f>
        <v>0</v>
      </c>
      <c r="G167" s="3">
        <f>PIT!L13</f>
        <v>133.48187999999999</v>
      </c>
      <c r="H167" s="3">
        <f>PIT!M13</f>
        <v>85.14690356462151</v>
      </c>
      <c r="I167" s="3">
        <f>PIT!N13</f>
        <v>860.83519503832338</v>
      </c>
      <c r="J167" s="3">
        <f>PIT!O13</f>
        <v>5.4494018281357768</v>
      </c>
      <c r="K167" s="3">
        <f t="shared" si="18"/>
        <v>118.779930472647</v>
      </c>
      <c r="L167" s="3">
        <f t="shared" si="19"/>
        <v>161.35338225495775</v>
      </c>
      <c r="M167" s="3">
        <f t="shared" si="20"/>
        <v>203.92683403726852</v>
      </c>
      <c r="N1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161.35338225495778</v>
      </c>
      <c r="O167" s="14">
        <v>22.135822917322109</v>
      </c>
    </row>
    <row r="168" spans="1:15" x14ac:dyDescent="0.25">
      <c r="A168" s="2">
        <f>IF(TableWRMaster[[#This Row],[Player]]&lt;&gt;0,A167+1,A167)</f>
        <v>150</v>
      </c>
      <c r="B168" s="2" t="str">
        <f>PIT!A14</f>
        <v>DK Metcalf</v>
      </c>
      <c r="C168" s="2" t="s">
        <v>77</v>
      </c>
      <c r="D168" s="2">
        <f>PIT!C14</f>
        <v>9</v>
      </c>
      <c r="E168" s="3">
        <f>PIT!J14</f>
        <v>0</v>
      </c>
      <c r="F168" s="3">
        <f>PIT!K14</f>
        <v>0</v>
      </c>
      <c r="G168" s="3">
        <f>PIT!L14</f>
        <v>120.985704</v>
      </c>
      <c r="H168" s="3">
        <f>PIT!M14</f>
        <v>66.387960727646018</v>
      </c>
      <c r="I168" s="3">
        <f>PIT!N14</f>
        <v>934.74248704525598</v>
      </c>
      <c r="J168" s="3">
        <f>PIT!O14</f>
        <v>6.0413044262157873</v>
      </c>
      <c r="K168" s="3">
        <f t="shared" si="18"/>
        <v>129.72207526182032</v>
      </c>
      <c r="L168" s="3">
        <f t="shared" si="19"/>
        <v>162.91605562564334</v>
      </c>
      <c r="M168" s="3">
        <f t="shared" si="20"/>
        <v>196.11003598946633</v>
      </c>
      <c r="N1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162.91605562564334</v>
      </c>
      <c r="O168" s="14">
        <v>17.214001644707764</v>
      </c>
    </row>
    <row r="169" spans="1:15" x14ac:dyDescent="0.25">
      <c r="A169" s="2">
        <f>IF(TableWRMaster[[#This Row],[Player]]&lt;&gt;0,A168+1,A168)</f>
        <v>151</v>
      </c>
      <c r="B169" s="2" t="str">
        <f>PIT!A15</f>
        <v>Germie Bernard</v>
      </c>
      <c r="C169" s="2" t="s">
        <v>77</v>
      </c>
      <c r="D169" s="2">
        <f>PIT!C15</f>
        <v>9</v>
      </c>
      <c r="E169" s="3">
        <f>PIT!J15</f>
        <v>26.777519999999992</v>
      </c>
      <c r="F169" s="3">
        <f>PIT!K15</f>
        <v>3.1240439999999991E-2</v>
      </c>
      <c r="G169" s="3">
        <f>PIT!L15</f>
        <v>77.249088000000015</v>
      </c>
      <c r="H169" s="3">
        <f>PIT!M15</f>
        <v>46.394433281620259</v>
      </c>
      <c r="I169" s="3">
        <f>PIT!N15</f>
        <v>489.92521545390997</v>
      </c>
      <c r="J169" s="3">
        <f>PIT!O15</f>
        <v>2.8148655019746838</v>
      </c>
      <c r="K169" s="3">
        <f t="shared" si="18"/>
        <v>68.746909197239106</v>
      </c>
      <c r="L169" s="3">
        <f t="shared" si="19"/>
        <v>91.944125838049231</v>
      </c>
      <c r="M169" s="3">
        <f t="shared" si="20"/>
        <v>115.14134247885937</v>
      </c>
      <c r="N1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91.944125838049231</v>
      </c>
      <c r="O169" s="14">
        <v>17.136851372552155</v>
      </c>
    </row>
    <row r="170" spans="1:15" x14ac:dyDescent="0.25">
      <c r="A170" s="2">
        <f>IF(TableWRMaster[[#This Row],[Player]]&lt;&gt;0,A169+1,A169)</f>
        <v>152</v>
      </c>
      <c r="B170" s="2" t="str">
        <f>PIT!A16</f>
        <v>Ben Skowronek</v>
      </c>
      <c r="C170" s="2" t="s">
        <v>77</v>
      </c>
      <c r="D170" s="2">
        <f>PIT!C16</f>
        <v>9</v>
      </c>
      <c r="E170" s="3">
        <f>PIT!J16</f>
        <v>0</v>
      </c>
      <c r="F170" s="3">
        <f>PIT!K16</f>
        <v>0</v>
      </c>
      <c r="G170" s="3">
        <f>PIT!L16</f>
        <v>12.496176</v>
      </c>
      <c r="H170" s="3">
        <f>PIT!M16</f>
        <v>7.8101099999999999</v>
      </c>
      <c r="I170" s="3">
        <f>PIT!N16</f>
        <v>80.600335200000004</v>
      </c>
      <c r="J170" s="3">
        <f>PIT!O16</f>
        <v>0.42955605000000002</v>
      </c>
      <c r="K170" s="3">
        <f t="shared" si="18"/>
        <v>10.637369820000002</v>
      </c>
      <c r="L170" s="3">
        <f t="shared" si="19"/>
        <v>14.542424820000001</v>
      </c>
      <c r="M170" s="3">
        <f t="shared" si="20"/>
        <v>18.447479820000002</v>
      </c>
      <c r="N1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14.542424820000003</v>
      </c>
      <c r="O170" s="14">
        <v>0</v>
      </c>
    </row>
    <row r="171" spans="1:15" x14ac:dyDescent="0.25">
      <c r="A171" s="2">
        <f>IF(TableWRMaster[[#This Row],[Player]]&lt;&gt;0,A170+1,A170)</f>
        <v>153</v>
      </c>
      <c r="B171" s="2" t="str">
        <f>PIT!A17</f>
        <v>Roman Wilson</v>
      </c>
      <c r="C171" s="2" t="s">
        <v>77</v>
      </c>
      <c r="D171" s="2">
        <f>PIT!C17</f>
        <v>9</v>
      </c>
      <c r="E171" s="3">
        <f>PIT!J17</f>
        <v>0</v>
      </c>
      <c r="F171" s="3">
        <f>PIT!K17</f>
        <v>0</v>
      </c>
      <c r="G171" s="3">
        <f>PIT!L17</f>
        <v>5.6800800000000002</v>
      </c>
      <c r="H171" s="3">
        <f>PIT!M17</f>
        <v>3.6693316800000004</v>
      </c>
      <c r="I171" s="3">
        <f>PIT!N17</f>
        <v>45.0960863472</v>
      </c>
      <c r="J171" s="3">
        <f>PIT!O17</f>
        <v>0.24693060781162679</v>
      </c>
      <c r="K171" s="3">
        <f t="shared" si="18"/>
        <v>5.9911922815897611</v>
      </c>
      <c r="L171" s="3">
        <f t="shared" si="19"/>
        <v>7.8258581215897616</v>
      </c>
      <c r="M171" s="3">
        <f t="shared" si="20"/>
        <v>9.660523961589762</v>
      </c>
      <c r="N1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7.8258581215897616</v>
      </c>
      <c r="O171" s="14">
        <v>0</v>
      </c>
    </row>
    <row r="172" spans="1:15" x14ac:dyDescent="0.25">
      <c r="A172" s="2">
        <f>IF(TableWRMaster[[#This Row],[Player]]&lt;&gt;0,A171+1,A171)</f>
        <v>153</v>
      </c>
      <c r="B172" s="2">
        <f>PIT!A18</f>
        <v>0</v>
      </c>
      <c r="C172" s="2" t="s">
        <v>77</v>
      </c>
      <c r="D172" s="2">
        <f>PIT!C18</f>
        <v>9</v>
      </c>
      <c r="E172" s="3">
        <f>PIT!J18</f>
        <v>0</v>
      </c>
      <c r="F172" s="3">
        <f>PIT!K18</f>
        <v>0</v>
      </c>
      <c r="G172" s="3">
        <f>PIT!L18</f>
        <v>0</v>
      </c>
      <c r="H172" s="3">
        <f>PIT!M18</f>
        <v>0</v>
      </c>
      <c r="I172" s="3">
        <f>PIT!N18</f>
        <v>0</v>
      </c>
      <c r="J172" s="3">
        <f>PIT!O18</f>
        <v>0</v>
      </c>
      <c r="K172" s="3">
        <f t="shared" si="18"/>
        <v>0</v>
      </c>
      <c r="L172" s="3">
        <f t="shared" si="19"/>
        <v>0</v>
      </c>
      <c r="M172" s="3">
        <f t="shared" si="20"/>
        <v>0</v>
      </c>
      <c r="N1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72" s="14">
        <v>0</v>
      </c>
    </row>
    <row r="173" spans="1:15" x14ac:dyDescent="0.25">
      <c r="A173" s="2">
        <f>IF(TableWRMaster[[#This Row],[Player]]&lt;&gt;0,A172+1,A172)</f>
        <v>154</v>
      </c>
      <c r="B173" s="2" t="str">
        <f>SEA!A13</f>
        <v>Jaxon Smith-Njigba</v>
      </c>
      <c r="C173" s="2" t="s">
        <v>78</v>
      </c>
      <c r="D173" s="2">
        <f>SEA!C13</f>
        <v>11</v>
      </c>
      <c r="E173" s="3">
        <f>SEA!J13</f>
        <v>29.701884942186943</v>
      </c>
      <c r="F173" s="3">
        <f>SEA!K13</f>
        <v>6.7405473662896301E-2</v>
      </c>
      <c r="G173" s="3">
        <f>SEA!L13</f>
        <v>166.05532776000001</v>
      </c>
      <c r="H173" s="3">
        <f>SEA!M13</f>
        <v>119.72589131496001</v>
      </c>
      <c r="I173" s="3">
        <f>SEA!N13</f>
        <v>1773.1404503745578</v>
      </c>
      <c r="J173" s="3">
        <f>SEA!O13</f>
        <v>9.9372489791416818</v>
      </c>
      <c r="K173" s="3">
        <f t="shared" si="18"/>
        <v>240.31216024850193</v>
      </c>
      <c r="L173" s="3">
        <f t="shared" ref="L173:L203" si="21">K173+(H173*0.5)</f>
        <v>300.17510590598192</v>
      </c>
      <c r="M173" s="3">
        <f t="shared" ref="M173:M203" si="22">K173+H173</f>
        <v>360.03805156346192</v>
      </c>
      <c r="N1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300.17510590598198</v>
      </c>
      <c r="O173" s="14">
        <v>31.727876732978672</v>
      </c>
    </row>
    <row r="174" spans="1:15" x14ac:dyDescent="0.25">
      <c r="A174" s="2">
        <f>IF(TableWRMaster[[#This Row],[Player]]&lt;&gt;0,A173+1,A173)</f>
        <v>155</v>
      </c>
      <c r="B174" s="2" t="str">
        <f>SEA!A14</f>
        <v>Rashid Shaheed</v>
      </c>
      <c r="C174" s="2" t="s">
        <v>78</v>
      </c>
      <c r="D174" s="2">
        <f>SEA!C14</f>
        <v>11</v>
      </c>
      <c r="E174" s="3">
        <f>SEA!J14</f>
        <v>81.255613363779929</v>
      </c>
      <c r="F174" s="3">
        <f>SEA!K14</f>
        <v>0.40443284197737778</v>
      </c>
      <c r="G174" s="3">
        <f>SEA!L14</f>
        <v>78.737480640000001</v>
      </c>
      <c r="H174" s="3">
        <f>SEA!M14</f>
        <v>44.4866765616</v>
      </c>
      <c r="I174" s="3">
        <f>SEA!N14</f>
        <v>615.25073684692802</v>
      </c>
      <c r="J174" s="3">
        <f>SEA!O14</f>
        <v>4.1817475967903999</v>
      </c>
      <c r="K174" s="3">
        <f t="shared" si="18"/>
        <v>97.167717653677457</v>
      </c>
      <c r="L174" s="3">
        <f t="shared" si="21"/>
        <v>119.41105593447746</v>
      </c>
      <c r="M174" s="3">
        <f t="shared" si="22"/>
        <v>141.65439421527745</v>
      </c>
      <c r="N1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119.41105593447746</v>
      </c>
      <c r="O174" s="14">
        <v>21.416504209580044</v>
      </c>
    </row>
    <row r="175" spans="1:15" x14ac:dyDescent="0.25">
      <c r="A175" s="2">
        <f>IF(TableWRMaster[[#This Row],[Player]]&lt;&gt;0,A174+1,A174)</f>
        <v>156</v>
      </c>
      <c r="B175" s="2" t="str">
        <f>SEA!A15</f>
        <v>Cooper Kupp</v>
      </c>
      <c r="C175" s="2" t="s">
        <v>78</v>
      </c>
      <c r="D175" s="2">
        <f>SEA!C15</f>
        <v>11</v>
      </c>
      <c r="E175" s="3">
        <f>SEA!J15</f>
        <v>0</v>
      </c>
      <c r="F175" s="3">
        <f>SEA!K15</f>
        <v>0</v>
      </c>
      <c r="G175" s="3">
        <f>SEA!L15</f>
        <v>63.09093</v>
      </c>
      <c r="H175" s="3">
        <f>SEA!M15</f>
        <v>41.70310473</v>
      </c>
      <c r="I175" s="3">
        <f>SEA!N15</f>
        <v>507.52678456410001</v>
      </c>
      <c r="J175" s="3">
        <f>SEA!O15</f>
        <v>3.2111390642099997</v>
      </c>
      <c r="K175" s="3">
        <f t="shared" si="18"/>
        <v>70.019512841670007</v>
      </c>
      <c r="L175" s="3">
        <f t="shared" si="21"/>
        <v>90.871065206670011</v>
      </c>
      <c r="M175" s="3">
        <f t="shared" si="22"/>
        <v>111.72261757167001</v>
      </c>
      <c r="N1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90.871065206669996</v>
      </c>
      <c r="O175" s="14">
        <v>0</v>
      </c>
    </row>
    <row r="176" spans="1:15" x14ac:dyDescent="0.25">
      <c r="A176" s="2">
        <f>IF(TableWRMaster[[#This Row],[Player]]&lt;&gt;0,A175+1,A175)</f>
        <v>157</v>
      </c>
      <c r="B176" s="2" t="str">
        <f>SEA!A16</f>
        <v>Tory Horton</v>
      </c>
      <c r="C176" s="2" t="s">
        <v>78</v>
      </c>
      <c r="D176" s="2">
        <f>SEA!C16</f>
        <v>11</v>
      </c>
      <c r="E176" s="3">
        <f>SEA!J16</f>
        <v>0</v>
      </c>
      <c r="F176" s="3">
        <f>SEA!K16</f>
        <v>0</v>
      </c>
      <c r="G176" s="3">
        <f>SEA!L16</f>
        <v>31.293101280000002</v>
      </c>
      <c r="H176" s="3">
        <f>SEA!M16</f>
        <v>16.522757475840002</v>
      </c>
      <c r="I176" s="3">
        <f>SEA!N16</f>
        <v>212.48266113930242</v>
      </c>
      <c r="J176" s="3">
        <f>SEA!O16</f>
        <v>1.7018440200115201</v>
      </c>
      <c r="K176" s="3">
        <f t="shared" si="18"/>
        <v>31.459330233999363</v>
      </c>
      <c r="L176" s="3">
        <f t="shared" si="21"/>
        <v>39.720708971919365</v>
      </c>
      <c r="M176" s="3">
        <f t="shared" si="22"/>
        <v>47.982087709839362</v>
      </c>
      <c r="N1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39.720708971919365</v>
      </c>
      <c r="O176" s="14">
        <v>0</v>
      </c>
    </row>
    <row r="177" spans="1:15" x14ac:dyDescent="0.25">
      <c r="A177" s="2">
        <f>IF(TableWRMaster[[#This Row],[Player]]&lt;&gt;0,A176+1,A176)</f>
        <v>158</v>
      </c>
      <c r="B177" s="2" t="str">
        <f>SEA!A17</f>
        <v>Jake Bobo</v>
      </c>
      <c r="C177" s="2" t="s">
        <v>78</v>
      </c>
      <c r="D177" s="2">
        <f>SEA!C17</f>
        <v>11</v>
      </c>
      <c r="E177" s="3">
        <f>SEA!J17</f>
        <v>0</v>
      </c>
      <c r="F177" s="3">
        <f>SEA!K17</f>
        <v>0</v>
      </c>
      <c r="G177" s="3">
        <f>SEA!L17</f>
        <v>5.0472744</v>
      </c>
      <c r="H177" s="3">
        <f>SEA!M17</f>
        <v>3.4573829640000002</v>
      </c>
      <c r="I177" s="3">
        <f>SEA!N17</f>
        <v>40.900840464120002</v>
      </c>
      <c r="J177" s="3">
        <f>SEA!O17</f>
        <v>0.22472989266000001</v>
      </c>
      <c r="K177" s="3">
        <f t="shared" si="18"/>
        <v>5.4384634023720011</v>
      </c>
      <c r="L177" s="3">
        <f t="shared" si="21"/>
        <v>7.1671548843720014</v>
      </c>
      <c r="M177" s="3">
        <f t="shared" si="22"/>
        <v>8.8958463663720018</v>
      </c>
      <c r="N1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7.1671548843720014</v>
      </c>
      <c r="O177" s="14">
        <v>0</v>
      </c>
    </row>
    <row r="178" spans="1:15" x14ac:dyDescent="0.25">
      <c r="A178" s="2">
        <f>IF(TableWRMaster[[#This Row],[Player]]&lt;&gt;0,A177+1,A177)</f>
        <v>159</v>
      </c>
      <c r="B178" s="2" t="str">
        <f>SF!A13</f>
        <v>Mike Evans</v>
      </c>
      <c r="C178" s="2" t="s">
        <v>79</v>
      </c>
      <c r="D178" s="2">
        <f>SF!C13</f>
        <v>8</v>
      </c>
      <c r="E178" s="3">
        <f>SF!J13</f>
        <v>0</v>
      </c>
      <c r="F178" s="3">
        <f>SF!K13</f>
        <v>0</v>
      </c>
      <c r="G178" s="3">
        <f>SF!L13</f>
        <v>124.54598912000002</v>
      </c>
      <c r="H178" s="3">
        <f>SF!M13</f>
        <v>73.606679569920004</v>
      </c>
      <c r="I178" s="3">
        <f>SF!N13</f>
        <v>1052.5755178498562</v>
      </c>
      <c r="J178" s="3">
        <f>SF!O13</f>
        <v>8.3911614709708804</v>
      </c>
      <c r="K178" s="3">
        <f t="shared" si="18"/>
        <v>155.60452061081091</v>
      </c>
      <c r="L178" s="3">
        <f t="shared" si="21"/>
        <v>192.40786039577091</v>
      </c>
      <c r="M178" s="3">
        <f t="shared" si="22"/>
        <v>229.21120018073091</v>
      </c>
      <c r="N1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192.40786039577091</v>
      </c>
      <c r="O178" s="14">
        <v>15.964560639789411</v>
      </c>
    </row>
    <row r="179" spans="1:15" x14ac:dyDescent="0.25">
      <c r="A179" s="2">
        <f>IF(TableWRMaster[[#This Row],[Player]]&lt;&gt;0,A178+1,A178)</f>
        <v>160</v>
      </c>
      <c r="B179" s="2" t="str">
        <f>SF!A14</f>
        <v>Deebo Samuel</v>
      </c>
      <c r="C179" s="2" t="s">
        <v>79</v>
      </c>
      <c r="D179" s="2">
        <f>SF!C14</f>
        <v>8</v>
      </c>
      <c r="E179" s="3">
        <f>SF!J14</f>
        <v>14.2321676</v>
      </c>
      <c r="F179" s="3">
        <f>SF!K14</f>
        <v>2.904524E-2</v>
      </c>
      <c r="G179" s="3">
        <f>SF!L14</f>
        <v>99.851525760000001</v>
      </c>
      <c r="H179" s="3">
        <f>SF!M14</f>
        <v>65.003343269760009</v>
      </c>
      <c r="I179" s="3">
        <f>SF!N14</f>
        <v>900.94633771887368</v>
      </c>
      <c r="J179" s="3">
        <f>SF!O14</f>
        <v>4.4202273423436811</v>
      </c>
      <c r="K179" s="3">
        <f t="shared" si="18"/>
        <v>118.21348602594946</v>
      </c>
      <c r="L179" s="3">
        <f t="shared" si="21"/>
        <v>150.71515766082948</v>
      </c>
      <c r="M179" s="3">
        <f t="shared" si="22"/>
        <v>183.21682929570949</v>
      </c>
      <c r="N1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150.71515766082945</v>
      </c>
      <c r="O179" s="14">
        <v>13.457984816052479</v>
      </c>
    </row>
    <row r="180" spans="1:15" x14ac:dyDescent="0.25">
      <c r="A180" s="2">
        <f>IF(TableWRMaster[[#This Row],[Player]]&lt;&gt;0,A179+1,A179)</f>
        <v>161</v>
      </c>
      <c r="B180" s="2" t="str">
        <f>SF!A15</f>
        <v>De'Zhaun Stribling</v>
      </c>
      <c r="C180" s="2" t="s">
        <v>79</v>
      </c>
      <c r="D180" s="2">
        <f>SF!C15</f>
        <v>8</v>
      </c>
      <c r="E180" s="3">
        <f>SF!J15</f>
        <v>20.9125728</v>
      </c>
      <c r="F180" s="3">
        <f>SF!K15</f>
        <v>0.17427144</v>
      </c>
      <c r="G180" s="3">
        <f>SF!L15</f>
        <v>33.82067808</v>
      </c>
      <c r="H180" s="3">
        <f>SF!M15</f>
        <v>17.958780060480002</v>
      </c>
      <c r="I180" s="3">
        <f>SF!N15</f>
        <v>253.93715005518723</v>
      </c>
      <c r="J180" s="3">
        <f>SF!O15</f>
        <v>1.27507338429408</v>
      </c>
      <c r="K180" s="3">
        <f t="shared" si="18"/>
        <v>36.181041231283203</v>
      </c>
      <c r="L180" s="3">
        <f t="shared" si="21"/>
        <v>45.1604312615232</v>
      </c>
      <c r="M180" s="3">
        <f t="shared" si="22"/>
        <v>54.139821291763205</v>
      </c>
      <c r="N1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45.1604312615232</v>
      </c>
      <c r="O180" s="14">
        <v>0</v>
      </c>
    </row>
    <row r="181" spans="1:15" x14ac:dyDescent="0.25">
      <c r="A181" s="2">
        <f>IF(TableWRMaster[[#This Row],[Player]]&lt;&gt;0,A180+1,A180)</f>
        <v>162</v>
      </c>
      <c r="B181" s="2" t="str">
        <f>SF!A16</f>
        <v>Christian Kirk</v>
      </c>
      <c r="C181" s="2" t="s">
        <v>79</v>
      </c>
      <c r="D181" s="2">
        <f>SF!C16</f>
        <v>8</v>
      </c>
      <c r="E181" s="3">
        <f>SF!J16</f>
        <v>0</v>
      </c>
      <c r="F181" s="3">
        <f>SF!K16</f>
        <v>0</v>
      </c>
      <c r="G181" s="3">
        <f>SF!L16</f>
        <v>28.989152640000004</v>
      </c>
      <c r="H181" s="3">
        <f>SF!M16</f>
        <v>18.611035994880002</v>
      </c>
      <c r="I181" s="3">
        <f>SF!N16</f>
        <v>217.72554363189559</v>
      </c>
      <c r="J181" s="3">
        <f>SF!O16</f>
        <v>1.2655504476518402</v>
      </c>
      <c r="K181" s="3">
        <f t="shared" si="18"/>
        <v>29.365857049100601</v>
      </c>
      <c r="L181" s="3">
        <f t="shared" si="21"/>
        <v>38.671375046540604</v>
      </c>
      <c r="M181" s="3">
        <f t="shared" si="22"/>
        <v>47.976893043980603</v>
      </c>
      <c r="N1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38.671375046540604</v>
      </c>
      <c r="O181" s="14">
        <v>0</v>
      </c>
    </row>
    <row r="182" spans="1:15" x14ac:dyDescent="0.25">
      <c r="A182" s="2">
        <f>IF(TableWRMaster[[#This Row],[Player]]&lt;&gt;0,A181+1,A181)</f>
        <v>163</v>
      </c>
      <c r="B182" s="2" t="str">
        <f>SF!A17</f>
        <v>Dermarcus Robinson</v>
      </c>
      <c r="C182" s="2" t="s">
        <v>79</v>
      </c>
      <c r="D182" s="2">
        <f>SF!C17</f>
        <v>8</v>
      </c>
      <c r="E182" s="3">
        <f>SF!J17</f>
        <v>0</v>
      </c>
      <c r="F182" s="3">
        <f>SF!K17</f>
        <v>0</v>
      </c>
      <c r="G182" s="3">
        <f>SF!L17</f>
        <v>10.7367232</v>
      </c>
      <c r="H182" s="3">
        <f>SF!M17</f>
        <v>6.1414056703999993</v>
      </c>
      <c r="I182" s="3">
        <f>SF!N17</f>
        <v>78.609992581119997</v>
      </c>
      <c r="J182" s="3">
        <f>SF!O17</f>
        <v>0.36848434022399995</v>
      </c>
      <c r="K182" s="3">
        <f t="shared" si="18"/>
        <v>10.071905299455999</v>
      </c>
      <c r="L182" s="3">
        <f t="shared" si="21"/>
        <v>13.142608134655998</v>
      </c>
      <c r="M182" s="3">
        <f t="shared" si="22"/>
        <v>16.213310969855996</v>
      </c>
      <c r="N1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13.142608134655999</v>
      </c>
      <c r="O182" s="14">
        <v>0</v>
      </c>
    </row>
    <row r="183" spans="1:15" x14ac:dyDescent="0.25">
      <c r="A183" s="2">
        <f>IF(TableWRMaster[[#This Row],[Player]]&lt;&gt;0,A182+1,A182)</f>
        <v>164</v>
      </c>
      <c r="B183" s="2" t="str">
        <f>SF!A18</f>
        <v>Jordan Watkins</v>
      </c>
      <c r="C183" s="2" t="s">
        <v>79</v>
      </c>
      <c r="D183" s="2">
        <f>SF!C18</f>
        <v>8</v>
      </c>
      <c r="E183" s="3">
        <f>SF!J18</f>
        <v>0</v>
      </c>
      <c r="F183" s="3">
        <f>SF!K18</f>
        <v>0</v>
      </c>
      <c r="G183" s="3">
        <f>SF!L18</f>
        <v>5.3683616000000001</v>
      </c>
      <c r="H183" s="3">
        <f>SF!M18</f>
        <v>3.2639638527999999</v>
      </c>
      <c r="I183" s="3">
        <f>SF!N18</f>
        <v>39.768547285064251</v>
      </c>
      <c r="J183" s="3">
        <f>SF!O18</f>
        <v>0.17951801190399999</v>
      </c>
      <c r="K183" s="3">
        <f t="shared" si="18"/>
        <v>5.0539627999304253</v>
      </c>
      <c r="L183" s="3">
        <f t="shared" si="21"/>
        <v>6.6859447263304252</v>
      </c>
      <c r="M183" s="3">
        <f t="shared" si="22"/>
        <v>8.3179266527304243</v>
      </c>
      <c r="N1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6.6859447263304252</v>
      </c>
      <c r="O183" s="14">
        <v>0</v>
      </c>
    </row>
    <row r="184" spans="1:15" x14ac:dyDescent="0.25">
      <c r="A184" s="2">
        <f>IF(TableWRMaster[[#This Row],[Player]]&lt;&gt;0,A183+1,A183)</f>
        <v>165</v>
      </c>
      <c r="B184" s="2" t="str">
        <f>TB!A13</f>
        <v>Emeka Egbuka</v>
      </c>
      <c r="C184" s="2" t="s">
        <v>80</v>
      </c>
      <c r="D184" s="2">
        <f>TB!C13</f>
        <v>10</v>
      </c>
      <c r="E184" s="3">
        <f>TB!J13</f>
        <v>0</v>
      </c>
      <c r="F184" s="3">
        <f>TB!K13</f>
        <v>0</v>
      </c>
      <c r="G184" s="3">
        <f>TB!L13</f>
        <v>129.12802811999995</v>
      </c>
      <c r="H184" s="3">
        <f>TB!M13</f>
        <v>72.440823775319984</v>
      </c>
      <c r="I184" s="3">
        <f>TB!N13</f>
        <v>1062.7068847839441</v>
      </c>
      <c r="J184" s="3">
        <f>TB!O13</f>
        <v>7.5338456726332783</v>
      </c>
      <c r="K184" s="3">
        <f t="shared" si="18"/>
        <v>151.47376251419411</v>
      </c>
      <c r="L184" s="3">
        <f t="shared" si="21"/>
        <v>187.6941744018541</v>
      </c>
      <c r="M184" s="3">
        <f t="shared" si="22"/>
        <v>223.91458628951409</v>
      </c>
      <c r="N1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187.69417440185407</v>
      </c>
      <c r="O184" s="14">
        <v>23.51121327206225</v>
      </c>
    </row>
    <row r="185" spans="1:15" x14ac:dyDescent="0.25">
      <c r="A185" s="2">
        <f>IF(TableWRMaster[[#This Row],[Player]]&lt;&gt;0,A184+1,A184)</f>
        <v>166</v>
      </c>
      <c r="B185" s="2" t="str">
        <f>TB!A14</f>
        <v>Chris Godwin</v>
      </c>
      <c r="C185" s="2" t="s">
        <v>80</v>
      </c>
      <c r="D185" s="2">
        <f>TB!C14</f>
        <v>10</v>
      </c>
      <c r="E185" s="3">
        <f>TB!J14</f>
        <v>0</v>
      </c>
      <c r="F185" s="3">
        <f>TB!K14</f>
        <v>0</v>
      </c>
      <c r="G185" s="3">
        <f>TB!L14</f>
        <v>105.95120255999994</v>
      </c>
      <c r="H185" s="3">
        <f>TB!M14</f>
        <v>69.503988879359966</v>
      </c>
      <c r="I185" s="3">
        <f>TB!N14</f>
        <v>777.05459567124444</v>
      </c>
      <c r="J185" s="3">
        <f>TB!O14</f>
        <v>5.3518071437107171</v>
      </c>
      <c r="K185" s="3">
        <f t="shared" si="18"/>
        <v>109.81630242938876</v>
      </c>
      <c r="L185" s="3">
        <f t="shared" si="21"/>
        <v>144.56829686906875</v>
      </c>
      <c r="M185" s="3">
        <f t="shared" si="22"/>
        <v>179.32029130874872</v>
      </c>
      <c r="N1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144.56829686906872</v>
      </c>
      <c r="O185" s="14">
        <v>19.275373656319033</v>
      </c>
    </row>
    <row r="186" spans="1:15" x14ac:dyDescent="0.25">
      <c r="A186" s="2">
        <f>IF(TableWRMaster[[#This Row],[Player]]&lt;&gt;0,A185+1,A185)</f>
        <v>167</v>
      </c>
      <c r="B186" s="2" t="str">
        <f>TB!A15</f>
        <v>Jalen McMillan</v>
      </c>
      <c r="C186" s="2" t="s">
        <v>80</v>
      </c>
      <c r="D186" s="2">
        <f>TB!C15</f>
        <v>10</v>
      </c>
      <c r="E186" s="3">
        <f>TB!J15</f>
        <v>29.607464774999997</v>
      </c>
      <c r="F186" s="3">
        <f>TB!K15</f>
        <v>5.8053852499999996E-2</v>
      </c>
      <c r="G186" s="3">
        <f>TB!L15</f>
        <v>72.289622579999971</v>
      </c>
      <c r="H186" s="3">
        <f>TB!M15</f>
        <v>44.747276377019979</v>
      </c>
      <c r="I186" s="3">
        <f>TB!N15</f>
        <v>587.97921159404257</v>
      </c>
      <c r="J186" s="3">
        <f>TB!O15</f>
        <v>3.9377603211777581</v>
      </c>
      <c r="K186" s="3">
        <f t="shared" si="18"/>
        <v>85.733552678970796</v>
      </c>
      <c r="L186" s="3">
        <f t="shared" si="21"/>
        <v>108.10719086748078</v>
      </c>
      <c r="M186" s="3">
        <f t="shared" si="22"/>
        <v>130.48082905599077</v>
      </c>
      <c r="N1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108.1071908674808</v>
      </c>
      <c r="O186" s="14">
        <v>4.1742584762918025</v>
      </c>
    </row>
    <row r="187" spans="1:15" x14ac:dyDescent="0.25">
      <c r="A187" s="2">
        <f>IF(TableWRMaster[[#This Row],[Player]]&lt;&gt;0,A186+1,A186)</f>
        <v>168</v>
      </c>
      <c r="B187" s="2" t="str">
        <f>TB!A16</f>
        <v>Ted Hurst</v>
      </c>
      <c r="C187" s="2" t="s">
        <v>80</v>
      </c>
      <c r="D187" s="2">
        <f>TB!C16</f>
        <v>10</v>
      </c>
      <c r="E187" s="3">
        <f>TB!J16</f>
        <v>0</v>
      </c>
      <c r="F187" s="3">
        <f>TB!K16</f>
        <v>0</v>
      </c>
      <c r="G187" s="3">
        <f>TB!L16</f>
        <v>34.213409159999983</v>
      </c>
      <c r="H187" s="3">
        <f>TB!M16</f>
        <v>20.596472314319989</v>
      </c>
      <c r="I187" s="3">
        <f>TB!N16</f>
        <v>261.98712783815029</v>
      </c>
      <c r="J187" s="3">
        <f>TB!O16</f>
        <v>1.8536825082887989</v>
      </c>
      <c r="K187" s="3">
        <f t="shared" si="18"/>
        <v>37.320807833547825</v>
      </c>
      <c r="L187" s="3">
        <f t="shared" si="21"/>
        <v>47.619043990707823</v>
      </c>
      <c r="M187" s="3">
        <f t="shared" si="22"/>
        <v>57.917280147867814</v>
      </c>
      <c r="N1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47.619043990707816</v>
      </c>
      <c r="O187" s="14">
        <v>0</v>
      </c>
    </row>
    <row r="188" spans="1:15" x14ac:dyDescent="0.25">
      <c r="A188" s="2">
        <f>IF(TableWRMaster[[#This Row],[Player]]&lt;&gt;0,A187+1,A187)</f>
        <v>169</v>
      </c>
      <c r="B188" s="2" t="str">
        <f>TB!A17</f>
        <v>Tez Johnson</v>
      </c>
      <c r="C188" s="2" t="s">
        <v>80</v>
      </c>
      <c r="D188" s="2">
        <f>TB!C17</f>
        <v>10</v>
      </c>
      <c r="E188" s="3">
        <f>TB!J17</f>
        <v>0</v>
      </c>
      <c r="F188" s="3">
        <f>TB!K17</f>
        <v>0</v>
      </c>
      <c r="G188" s="3">
        <f>TB!L17</f>
        <v>8.2774376999999966</v>
      </c>
      <c r="H188" s="3">
        <f>TB!M17</f>
        <v>5.1733985624999974</v>
      </c>
      <c r="I188" s="3">
        <f>TB!N17</f>
        <v>57.528192014999966</v>
      </c>
      <c r="J188" s="3">
        <f>TB!O17</f>
        <v>0.54320684906249972</v>
      </c>
      <c r="K188" s="3">
        <f t="shared" si="18"/>
        <v>9.0120602958749956</v>
      </c>
      <c r="L188" s="3">
        <f t="shared" si="21"/>
        <v>11.598759577124994</v>
      </c>
      <c r="M188" s="3">
        <f t="shared" si="22"/>
        <v>14.185458858374993</v>
      </c>
      <c r="N1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11.598759577124993</v>
      </c>
      <c r="O188" s="14">
        <v>0</v>
      </c>
    </row>
    <row r="189" spans="1:15" x14ac:dyDescent="0.25">
      <c r="A189" s="2">
        <f>IF(TableWRMaster[[#This Row],[Player]]&lt;&gt;0,A188+1,A188)</f>
        <v>170</v>
      </c>
      <c r="B189" s="2" t="str">
        <f>TB!A18</f>
        <v>Kameron Johnson</v>
      </c>
      <c r="C189" s="2" t="s">
        <v>80</v>
      </c>
      <c r="D189" s="2">
        <f>TB!C18</f>
        <v>10</v>
      </c>
      <c r="E189" s="3">
        <f>TB!J18</f>
        <v>0</v>
      </c>
      <c r="F189" s="3">
        <f>TB!K18</f>
        <v>0</v>
      </c>
      <c r="G189" s="3">
        <f>TB!L18</f>
        <v>5.5182917999999974</v>
      </c>
      <c r="H189" s="3">
        <f>TB!M18</f>
        <v>3.3551214143999983</v>
      </c>
      <c r="I189" s="3">
        <f>TB!N18</f>
        <v>35.832696705791982</v>
      </c>
      <c r="J189" s="3">
        <f>TB!O18</f>
        <v>0.18453167779199992</v>
      </c>
      <c r="K189" s="3">
        <f t="shared" si="18"/>
        <v>4.6904597373311976</v>
      </c>
      <c r="L189" s="3">
        <f t="shared" si="21"/>
        <v>6.3680204445311972</v>
      </c>
      <c r="M189" s="3">
        <f t="shared" si="22"/>
        <v>8.045581151731195</v>
      </c>
      <c r="N1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6.3680204445311972</v>
      </c>
      <c r="O189" s="14">
        <v>0</v>
      </c>
    </row>
    <row r="190" spans="1:15" x14ac:dyDescent="0.25">
      <c r="A190" s="2">
        <f>IF(TableWRMaster[[#This Row],[Player]]&lt;&gt;0,A189+1,A189)</f>
        <v>171</v>
      </c>
      <c r="B190" s="2" t="str">
        <f>TEN!A13</f>
        <v>Carnell Tate</v>
      </c>
      <c r="C190" s="2" t="s">
        <v>81</v>
      </c>
      <c r="D190" s="2">
        <f>TEN!C13</f>
        <v>9</v>
      </c>
      <c r="E190" s="3">
        <f>TEN!J13</f>
        <v>0</v>
      </c>
      <c r="F190" s="3">
        <f>TEN!K13</f>
        <v>0</v>
      </c>
      <c r="G190" s="3">
        <f>TEN!L13</f>
        <v>130.71889152</v>
      </c>
      <c r="H190" s="3">
        <f>TEN!M13</f>
        <v>80.784274959360005</v>
      </c>
      <c r="I190" s="3">
        <f>TEN!N13</f>
        <v>1075.2386997090816</v>
      </c>
      <c r="J190" s="3">
        <f>TEN!O13</f>
        <v>6.4627419967488002</v>
      </c>
      <c r="K190" s="3">
        <f t="shared" si="18"/>
        <v>146.30032195140097</v>
      </c>
      <c r="L190" s="3">
        <f t="shared" si="21"/>
        <v>186.69245943108098</v>
      </c>
      <c r="M190" s="3">
        <f t="shared" si="22"/>
        <v>227.08459691076098</v>
      </c>
      <c r="N1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186.69245943108095</v>
      </c>
      <c r="O190" s="14">
        <v>28.948651715259452</v>
      </c>
    </row>
    <row r="191" spans="1:15" x14ac:dyDescent="0.25">
      <c r="A191" s="2">
        <f>IF(TableWRMaster[[#This Row],[Player]]&lt;&gt;0,A190+1,A190)</f>
        <v>172</v>
      </c>
      <c r="B191" s="2" t="str">
        <f>TEN!A14</f>
        <v>Wan'Dale Robinson</v>
      </c>
      <c r="C191" s="2" t="s">
        <v>81</v>
      </c>
      <c r="D191" s="2">
        <f>TEN!C14</f>
        <v>9</v>
      </c>
      <c r="E191" s="3">
        <f>TEN!J14</f>
        <v>23.809766399999994</v>
      </c>
      <c r="F191" s="3">
        <f>TEN!K14</f>
        <v>0.12531455999999999</v>
      </c>
      <c r="G191" s="3">
        <f>TEN!L14</f>
        <v>115.34019840000001</v>
      </c>
      <c r="H191" s="3">
        <f>TEN!M14</f>
        <v>76.470551539200002</v>
      </c>
      <c r="I191" s="3">
        <f>TEN!N14</f>
        <v>827.4113676541441</v>
      </c>
      <c r="J191" s="3">
        <f>TEN!O14</f>
        <v>4.6647036438912002</v>
      </c>
      <c r="K191" s="3">
        <f t="shared" si="18"/>
        <v>113.8622226287616</v>
      </c>
      <c r="L191" s="3">
        <f t="shared" si="21"/>
        <v>152.09749839836161</v>
      </c>
      <c r="M191" s="3">
        <f t="shared" si="22"/>
        <v>190.33277416796159</v>
      </c>
      <c r="N1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152.09749839836161</v>
      </c>
      <c r="O191" s="14">
        <v>21.847416721339776</v>
      </c>
    </row>
    <row r="192" spans="1:15" x14ac:dyDescent="0.25">
      <c r="A192" s="2">
        <f>IF(TableWRMaster[[#This Row],[Player]]&lt;&gt;0,A191+1,A191)</f>
        <v>173</v>
      </c>
      <c r="B192" s="2" t="str">
        <f>TEN!A15</f>
        <v>Calvin Ridley</v>
      </c>
      <c r="C192" s="2" t="s">
        <v>81</v>
      </c>
      <c r="D192" s="2">
        <f>TEN!C15</f>
        <v>9</v>
      </c>
      <c r="E192" s="3">
        <f>TEN!J15</f>
        <v>0</v>
      </c>
      <c r="F192" s="3">
        <f>TEN!K15</f>
        <v>0</v>
      </c>
      <c r="G192" s="3">
        <f>TEN!L15</f>
        <v>80.738138880000008</v>
      </c>
      <c r="H192" s="3">
        <f>TEN!M15</f>
        <v>43.517856856320009</v>
      </c>
      <c r="I192" s="3">
        <f>TEN!N15</f>
        <v>617.08321022261771</v>
      </c>
      <c r="J192" s="3">
        <f>TEN!O15</f>
        <v>3.6554999759308808</v>
      </c>
      <c r="K192" s="3">
        <f t="shared" si="18"/>
        <v>83.64132087784705</v>
      </c>
      <c r="L192" s="3">
        <f t="shared" si="21"/>
        <v>105.40024930600705</v>
      </c>
      <c r="M192" s="3">
        <f t="shared" si="22"/>
        <v>127.15917773416706</v>
      </c>
      <c r="N1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105.40024930600705</v>
      </c>
      <c r="O192" s="14">
        <v>0</v>
      </c>
    </row>
    <row r="193" spans="1:15" x14ac:dyDescent="0.25">
      <c r="A193" s="2">
        <f>IF(TableWRMaster[[#This Row],[Player]]&lt;&gt;0,A192+1,A192)</f>
        <v>174</v>
      </c>
      <c r="B193" s="2" t="str">
        <f>TEN!A16</f>
        <v>Elic Ayomanor</v>
      </c>
      <c r="C193" s="2" t="s">
        <v>81</v>
      </c>
      <c r="D193" s="2">
        <f>TEN!C16</f>
        <v>9</v>
      </c>
      <c r="E193" s="3">
        <f>TEN!J16</f>
        <v>0</v>
      </c>
      <c r="F193" s="3">
        <f>TEN!K16</f>
        <v>0</v>
      </c>
      <c r="G193" s="3">
        <f>TEN!L16</f>
        <v>29.658908160000006</v>
      </c>
      <c r="H193" s="3">
        <f>TEN!M16</f>
        <v>17.943639436800002</v>
      </c>
      <c r="I193" s="3">
        <f>TEN!N16</f>
        <v>239.54758648128001</v>
      </c>
      <c r="J193" s="3">
        <f>TEN!O16</f>
        <v>1.5610966310016001</v>
      </c>
      <c r="K193" s="3">
        <f t="shared" si="18"/>
        <v>33.321338434137601</v>
      </c>
      <c r="L193" s="3">
        <f t="shared" si="21"/>
        <v>42.2931581525376</v>
      </c>
      <c r="M193" s="3">
        <f t="shared" si="22"/>
        <v>51.264977870937599</v>
      </c>
      <c r="N1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42.293158152537607</v>
      </c>
      <c r="O193" s="14">
        <v>0</v>
      </c>
    </row>
    <row r="194" spans="1:15" x14ac:dyDescent="0.25">
      <c r="A194" s="2">
        <f>IF(TableWRMaster[[#This Row],[Player]]&lt;&gt;0,A193+1,A193)</f>
        <v>175</v>
      </c>
      <c r="B194" s="2" t="str">
        <f>TEN!A17</f>
        <v>Chimere Dike</v>
      </c>
      <c r="C194" s="2" t="s">
        <v>81</v>
      </c>
      <c r="D194" s="2">
        <f>TEN!C17</f>
        <v>9</v>
      </c>
      <c r="E194" s="3">
        <f>TEN!J17</f>
        <v>18.365849940778077</v>
      </c>
      <c r="F194" s="3">
        <f>TEN!K17</f>
        <v>0.24117726801997885</v>
      </c>
      <c r="G194" s="3">
        <f>TEN!L17</f>
        <v>13.730976000000004</v>
      </c>
      <c r="H194" s="3">
        <f>TEN!M17</f>
        <v>9.0761751360000034</v>
      </c>
      <c r="I194" s="3">
        <f>TEN!N17</f>
        <v>85.924693191770871</v>
      </c>
      <c r="J194" s="3">
        <f>TEN!O17</f>
        <v>0.58995138384000023</v>
      </c>
      <c r="K194" s="3">
        <f t="shared" ref="K194:K203" si="23">(E194/10)+(F194*6)+(I194/10)+(J194*6)</f>
        <v>15.415826224414769</v>
      </c>
      <c r="L194" s="3">
        <f t="shared" si="21"/>
        <v>19.95391379241477</v>
      </c>
      <c r="M194" s="3">
        <f t="shared" si="22"/>
        <v>24.492001360414772</v>
      </c>
      <c r="N1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19.953913792414774</v>
      </c>
      <c r="O194" s="14">
        <v>0</v>
      </c>
    </row>
    <row r="195" spans="1:15" x14ac:dyDescent="0.25">
      <c r="A195" s="2">
        <f>IF(TableWRMaster[[#This Row],[Player]]&lt;&gt;0,A194+1,A194)</f>
        <v>176</v>
      </c>
      <c r="B195" s="2" t="str">
        <f>TEN!A18</f>
        <v>K.J. Osborn</v>
      </c>
      <c r="C195" s="2" t="s">
        <v>81</v>
      </c>
      <c r="D195" s="2">
        <f>TEN!C18</f>
        <v>9</v>
      </c>
      <c r="E195" s="3">
        <f>TEN!J18</f>
        <v>0</v>
      </c>
      <c r="F195" s="3">
        <f>TEN!K18</f>
        <v>0</v>
      </c>
      <c r="G195" s="3">
        <f>TEN!L18</f>
        <v>8.2385856000000004</v>
      </c>
      <c r="H195" s="3">
        <f>TEN!M18</f>
        <v>5.0502529728000001</v>
      </c>
      <c r="I195" s="3">
        <f>TEN!N18</f>
        <v>56.461828235904001</v>
      </c>
      <c r="J195" s="3">
        <f>TEN!O18</f>
        <v>0.35856796106879996</v>
      </c>
      <c r="K195" s="3">
        <f t="shared" si="23"/>
        <v>7.7975905900031997</v>
      </c>
      <c r="L195" s="3">
        <f t="shared" si="21"/>
        <v>10.322717076403199</v>
      </c>
      <c r="M195" s="3">
        <f t="shared" si="22"/>
        <v>12.847843562803199</v>
      </c>
      <c r="N1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10.322717076403201</v>
      </c>
      <c r="O195" s="14">
        <v>0</v>
      </c>
    </row>
    <row r="196" spans="1:15" x14ac:dyDescent="0.25">
      <c r="A196" s="2">
        <f>IF(TableWRMaster[[#This Row],[Player]]&lt;&gt;0,A195+1,A195)</f>
        <v>176</v>
      </c>
      <c r="B196" s="2">
        <f>TEN!A19</f>
        <v>0</v>
      </c>
      <c r="C196" s="2" t="s">
        <v>81</v>
      </c>
      <c r="D196" s="2">
        <f>TEN!C19</f>
        <v>9</v>
      </c>
      <c r="E196" s="3">
        <f>TEN!J19</f>
        <v>0</v>
      </c>
      <c r="F196" s="3">
        <f>TEN!K19</f>
        <v>0</v>
      </c>
      <c r="G196" s="3">
        <f>TEN!L19</f>
        <v>0</v>
      </c>
      <c r="H196" s="3">
        <f>TEN!M19</f>
        <v>0</v>
      </c>
      <c r="I196" s="3">
        <f>TEN!N19</f>
        <v>0</v>
      </c>
      <c r="J196" s="3">
        <f>TEN!O19</f>
        <v>0</v>
      </c>
      <c r="K196" s="3">
        <f t="shared" si="23"/>
        <v>0</v>
      </c>
      <c r="L196" s="3">
        <f t="shared" si="21"/>
        <v>0</v>
      </c>
      <c r="M196" s="3">
        <f t="shared" si="22"/>
        <v>0</v>
      </c>
      <c r="N1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6" s="14">
        <v>0</v>
      </c>
    </row>
    <row r="197" spans="1:15" x14ac:dyDescent="0.25">
      <c r="A197" s="2">
        <f>IF(TableWRMaster[[#This Row],[Player]]&lt;&gt;0,A196+1,A196)</f>
        <v>177</v>
      </c>
      <c r="B197" s="2" t="str">
        <f>WSH!A13</f>
        <v>Terry McLaurin</v>
      </c>
      <c r="C197" s="2" t="s">
        <v>84</v>
      </c>
      <c r="D197" s="2">
        <f>WSH!C13</f>
        <v>7</v>
      </c>
      <c r="E197" s="3">
        <f>WSH!J13</f>
        <v>0</v>
      </c>
      <c r="F197" s="3">
        <f>WSH!K13</f>
        <v>0</v>
      </c>
      <c r="G197" s="3">
        <f>WSH!L13</f>
        <v>125.45123471999997</v>
      </c>
      <c r="H197" s="3">
        <f>WSH!M13</f>
        <v>82.67236368047999</v>
      </c>
      <c r="I197" s="3">
        <f>WSH!N13</f>
        <v>1124.3441460545278</v>
      </c>
      <c r="J197" s="3">
        <f>WSH!O13</f>
        <v>7.7712021859651195</v>
      </c>
      <c r="K197" s="3">
        <f t="shared" si="23"/>
        <v>159.0616277212435</v>
      </c>
      <c r="L197" s="3">
        <f t="shared" si="21"/>
        <v>200.39780956148348</v>
      </c>
      <c r="M197" s="3">
        <f t="shared" si="22"/>
        <v>241.73399140172347</v>
      </c>
      <c r="N1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200.39780956148348</v>
      </c>
      <c r="O197" s="14">
        <v>22.911193602736972</v>
      </c>
    </row>
    <row r="198" spans="1:15" x14ac:dyDescent="0.25">
      <c r="A198" s="2">
        <f>IF(TableWRMaster[[#This Row],[Player]]&lt;&gt;0,A197+1,A197)</f>
        <v>178</v>
      </c>
      <c r="B198" s="2" t="str">
        <f>WSH!A14</f>
        <v>Antonio Williams</v>
      </c>
      <c r="C198" s="2" t="s">
        <v>84</v>
      </c>
      <c r="D198" s="2">
        <f>WSH!C14</f>
        <v>7</v>
      </c>
      <c r="E198" s="3">
        <f>WSH!J14</f>
        <v>0</v>
      </c>
      <c r="F198" s="3">
        <f>WSH!K14</f>
        <v>0</v>
      </c>
      <c r="G198" s="3">
        <f>WSH!L14</f>
        <v>71.686419839999985</v>
      </c>
      <c r="H198" s="3">
        <f>WSH!M14</f>
        <v>49.320256849919986</v>
      </c>
      <c r="I198" s="3">
        <f>WSH!N14</f>
        <v>574.5809923015679</v>
      </c>
      <c r="J198" s="3">
        <f>WSH!O14</f>
        <v>3.6003787500441589</v>
      </c>
      <c r="K198" s="3">
        <f t="shared" si="23"/>
        <v>79.060371730421735</v>
      </c>
      <c r="L198" s="3">
        <f t="shared" si="21"/>
        <v>103.72050015538173</v>
      </c>
      <c r="M198" s="3">
        <f t="shared" si="22"/>
        <v>128.38062858034172</v>
      </c>
      <c r="N1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103.72050015538173</v>
      </c>
      <c r="O198" s="14">
        <v>14.799876020862852</v>
      </c>
    </row>
    <row r="199" spans="1:15" x14ac:dyDescent="0.25">
      <c r="A199" s="2">
        <f>IF(TableWRMaster[[#This Row],[Player]]&lt;&gt;0,A198+1,A198)</f>
        <v>179</v>
      </c>
      <c r="B199" s="2" t="str">
        <f>WSH!A15</f>
        <v>Dyami Brown</v>
      </c>
      <c r="C199" s="2" t="s">
        <v>84</v>
      </c>
      <c r="D199" s="2">
        <f>WSH!C15</f>
        <v>7</v>
      </c>
      <c r="E199" s="3">
        <f>WSH!J15</f>
        <v>0</v>
      </c>
      <c r="F199" s="3">
        <f>WSH!K15</f>
        <v>0</v>
      </c>
      <c r="G199" s="3">
        <f>WSH!L15</f>
        <v>42.812722959999988</v>
      </c>
      <c r="H199" s="3">
        <f>WSH!M15</f>
        <v>22.348241385119994</v>
      </c>
      <c r="I199" s="3">
        <f>WSH!N15</f>
        <v>281.14087662480955</v>
      </c>
      <c r="J199" s="3">
        <f>WSH!O15</f>
        <v>1.7878593108095995</v>
      </c>
      <c r="K199" s="3">
        <f t="shared" si="23"/>
        <v>38.841243527338548</v>
      </c>
      <c r="L199" s="3">
        <f t="shared" si="21"/>
        <v>50.015364219898544</v>
      </c>
      <c r="M199" s="3">
        <f t="shared" si="22"/>
        <v>61.189484912458539</v>
      </c>
      <c r="N1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50.015364219898544</v>
      </c>
      <c r="O199" s="14">
        <v>0</v>
      </c>
    </row>
    <row r="200" spans="1:15" x14ac:dyDescent="0.25">
      <c r="A200" s="2">
        <f>IF(TableWRMaster[[#This Row],[Player]]&lt;&gt;0,A199+1,A199)</f>
        <v>180</v>
      </c>
      <c r="B200" s="2" t="str">
        <f>WSH!A16</f>
        <v>Jaylin Lane</v>
      </c>
      <c r="C200" s="2" t="s">
        <v>84</v>
      </c>
      <c r="D200" s="2">
        <f>WSH!C16</f>
        <v>7</v>
      </c>
      <c r="E200" s="3">
        <f>WSH!J16</f>
        <v>29.989058400000005</v>
      </c>
      <c r="F200" s="3">
        <f>WSH!K16</f>
        <v>3.498723480000001E-2</v>
      </c>
      <c r="G200" s="3">
        <f>WSH!L16</f>
        <v>25.886762719999993</v>
      </c>
      <c r="H200" s="3">
        <f>WSH!M16</f>
        <v>13.279909275359996</v>
      </c>
      <c r="I200" s="3">
        <f>WSH!N16</f>
        <v>175.29480243475194</v>
      </c>
      <c r="J200" s="3">
        <f>WSH!O16</f>
        <v>1.0889525605795198</v>
      </c>
      <c r="K200" s="3">
        <f t="shared" si="23"/>
        <v>27.272024855752313</v>
      </c>
      <c r="L200" s="3">
        <f t="shared" si="21"/>
        <v>33.911979493432312</v>
      </c>
      <c r="M200" s="3">
        <f t="shared" si="22"/>
        <v>40.551934131112311</v>
      </c>
      <c r="N2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33.911979493432312</v>
      </c>
      <c r="O200" s="14">
        <v>0</v>
      </c>
    </row>
    <row r="201" spans="1:15" x14ac:dyDescent="0.25">
      <c r="A201" s="2">
        <f>IF(TableWRMaster[[#This Row],[Player]]&lt;&gt;0,A200+1,A200)</f>
        <v>181</v>
      </c>
      <c r="B201" s="2" t="str">
        <f>WSH!A17</f>
        <v>Treylon Burks</v>
      </c>
      <c r="C201" s="2" t="s">
        <v>84</v>
      </c>
      <c r="D201" s="2">
        <f>WSH!C17</f>
        <v>7</v>
      </c>
      <c r="E201" s="3">
        <f>WSH!J17</f>
        <v>0</v>
      </c>
      <c r="F201" s="3">
        <f>WSH!K17</f>
        <v>0</v>
      </c>
      <c r="G201" s="3">
        <f>WSH!L17</f>
        <v>29.371519239999994</v>
      </c>
      <c r="H201" s="3">
        <f>WSH!M17</f>
        <v>18.063484332599995</v>
      </c>
      <c r="I201" s="3">
        <f>WSH!N17</f>
        <v>229.76752071067193</v>
      </c>
      <c r="J201" s="3">
        <f>WSH!O17</f>
        <v>1.2473787627294641</v>
      </c>
      <c r="K201" s="3">
        <f t="shared" si="23"/>
        <v>30.461024647443978</v>
      </c>
      <c r="L201" s="3">
        <f t="shared" si="21"/>
        <v>39.492766813743977</v>
      </c>
      <c r="M201" s="3">
        <f t="shared" si="22"/>
        <v>48.524508980043976</v>
      </c>
      <c r="N2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39.492766813743984</v>
      </c>
      <c r="O201" s="14">
        <v>0</v>
      </c>
    </row>
    <row r="202" spans="1:15" x14ac:dyDescent="0.25">
      <c r="A202" s="2">
        <f>IF(TableWRMaster[[#This Row],[Player]]&lt;&gt;0,A201+1,A201)</f>
        <v>182</v>
      </c>
      <c r="B202" s="2" t="str">
        <f>WSH!A18</f>
        <v>Luke McCaffrey</v>
      </c>
      <c r="C202" s="2" t="s">
        <v>84</v>
      </c>
      <c r="D202" s="2">
        <f>WSH!C18</f>
        <v>7</v>
      </c>
      <c r="E202" s="3">
        <f>WSH!J18</f>
        <v>0</v>
      </c>
      <c r="F202" s="3">
        <f>WSH!K18</f>
        <v>0</v>
      </c>
      <c r="G202" s="3">
        <f>WSH!L18</f>
        <v>12.445558999999998</v>
      </c>
      <c r="H202" s="3">
        <f>WSH!M18</f>
        <v>7.9651577599999985</v>
      </c>
      <c r="I202" s="3">
        <f>WSH!N18</f>
        <v>94.307467878399976</v>
      </c>
      <c r="J202" s="3">
        <f>WSH!O18</f>
        <v>0.59738683199999987</v>
      </c>
      <c r="K202" s="3">
        <f t="shared" si="23"/>
        <v>13.015067779839995</v>
      </c>
      <c r="L202" s="3">
        <f t="shared" si="21"/>
        <v>16.997646659839994</v>
      </c>
      <c r="M202" s="3">
        <f t="shared" si="22"/>
        <v>20.980225539839992</v>
      </c>
      <c r="N2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16.997646659839997</v>
      </c>
      <c r="O202" s="14">
        <v>0</v>
      </c>
    </row>
    <row r="203" spans="1:15" x14ac:dyDescent="0.25">
      <c r="A203" s="2">
        <f>IF(TableWRMaster[[#This Row],[Player]]&lt;&gt;0,A202+1,A202)</f>
        <v>182</v>
      </c>
      <c r="B203" s="2">
        <f>WSH!A19</f>
        <v>0</v>
      </c>
      <c r="C203" s="2" t="s">
        <v>84</v>
      </c>
      <c r="D203" s="2">
        <f>WSH!C19</f>
        <v>7</v>
      </c>
      <c r="E203" s="3">
        <f>WSH!J19</f>
        <v>0</v>
      </c>
      <c r="F203" s="3">
        <f>WSH!K19</f>
        <v>0</v>
      </c>
      <c r="G203" s="3">
        <f>WSH!L19</f>
        <v>0</v>
      </c>
      <c r="H203" s="3">
        <f>WSH!M19</f>
        <v>0</v>
      </c>
      <c r="I203" s="3">
        <f>WSH!N19</f>
        <v>0</v>
      </c>
      <c r="J203" s="3">
        <f>WSH!O19</f>
        <v>0</v>
      </c>
      <c r="K203" s="3">
        <f t="shared" si="23"/>
        <v>0</v>
      </c>
      <c r="L203" s="3">
        <f t="shared" si="21"/>
        <v>0</v>
      </c>
      <c r="M203" s="3">
        <f t="shared" si="22"/>
        <v>0</v>
      </c>
      <c r="N2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03" s="14">
        <v>0</v>
      </c>
    </row>
  </sheetData>
  <sortState xmlns:xlrd2="http://schemas.microsoft.com/office/spreadsheetml/2017/richdata2" ref="B2:M172">
    <sortCondition ref="C2:C172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"/>
  <dimension ref="A1:M97"/>
  <sheetViews>
    <sheetView showGridLines="0" zoomScale="85" zoomScaleNormal="85" workbookViewId="0"/>
  </sheetViews>
  <sheetFormatPr defaultColWidth="9.140625" defaultRowHeight="15" x14ac:dyDescent="0.25"/>
  <cols>
    <col min="1" max="1" width="8.85546875" style="2" bestFit="1" customWidth="1"/>
    <col min="2" max="2" width="21.140625" style="2" bestFit="1" customWidth="1"/>
    <col min="3" max="3" width="6.5703125" style="2" bestFit="1" customWidth="1"/>
    <col min="4" max="4" width="7" style="2" bestFit="1" customWidth="1"/>
    <col min="5" max="5" width="7.140625" style="2" bestFit="1" customWidth="1"/>
    <col min="6" max="6" width="7" style="2" bestFit="1" customWidth="1"/>
    <col min="7" max="8" width="8.42578125" style="2" bestFit="1" customWidth="1"/>
    <col min="9" max="9" width="6.85546875" style="2" bestFit="1" customWidth="1"/>
    <col min="10" max="10" width="8.140625" style="2" bestFit="1" customWidth="1"/>
    <col min="11" max="11" width="7" style="2" bestFit="1" customWidth="1"/>
    <col min="12" max="12" width="10" style="2" bestFit="1" customWidth="1"/>
    <col min="13" max="13" width="8.42578125" style="2" bestFit="1" customWidth="1"/>
    <col min="14" max="16384" width="9.140625" style="2"/>
  </cols>
  <sheetData>
    <row r="1" spans="1:13" x14ac:dyDescent="0.25">
      <c r="A1" s="6" t="s">
        <v>290</v>
      </c>
      <c r="B1" s="6" t="s">
        <v>252</v>
      </c>
      <c r="C1" s="6" t="s">
        <v>51</v>
      </c>
      <c r="D1" s="6" t="s">
        <v>87</v>
      </c>
      <c r="E1" s="5" t="s">
        <v>3</v>
      </c>
      <c r="F1" s="5" t="s">
        <v>4</v>
      </c>
      <c r="G1" s="5" t="s">
        <v>100</v>
      </c>
      <c r="H1" s="5" t="s">
        <v>101</v>
      </c>
      <c r="I1" s="6" t="s">
        <v>82</v>
      </c>
      <c r="J1" s="6" t="s">
        <v>85</v>
      </c>
      <c r="K1" s="6" t="s">
        <v>86</v>
      </c>
      <c r="L1" s="6" t="s">
        <v>249</v>
      </c>
      <c r="M1" s="6" t="s">
        <v>232</v>
      </c>
    </row>
    <row r="2" spans="1:13" x14ac:dyDescent="0.25">
      <c r="A2" s="2">
        <v>1</v>
      </c>
      <c r="B2" s="2" t="str">
        <f>ARI!A$22</f>
        <v>Trey McBride</v>
      </c>
      <c r="C2" s="2" t="s">
        <v>52</v>
      </c>
      <c r="D2" s="4">
        <f>ARI!C$22</f>
        <v>14</v>
      </c>
      <c r="E2" s="3">
        <f>ARI!L$22</f>
        <v>140.09546880000002</v>
      </c>
      <c r="F2" s="3">
        <f>ARI!M$22</f>
        <v>97.851594983020078</v>
      </c>
      <c r="G2" s="3">
        <f>ARI!N$22</f>
        <v>972.64485413121952</v>
      </c>
      <c r="H2" s="3">
        <f>ARI!O$22</f>
        <v>6.1646504839302647</v>
      </c>
      <c r="I2" s="3">
        <f t="shared" ref="I2:I33" si="0">(G2/10)+(H2*6)</f>
        <v>134.25238831670353</v>
      </c>
      <c r="J2" s="3">
        <f t="shared" ref="J2:J33" si="1">I2+(F2*0.5)</f>
        <v>183.17818580821358</v>
      </c>
      <c r="K2" s="3">
        <f t="shared" ref="K2:K33" si="2">I2+F2</f>
        <v>232.10398329972361</v>
      </c>
      <c r="L2" s="13">
        <f>(TableTEMaster[[#This Row],[TGT]]*TARGETS)+(TableTEMaster[[#This Row],[REC]]*RECEPTIONS_TE)+(TableTEMaster[[#This Row],[RCYD]]*RECV_YARDS)+(TableTEMaster[[#This Row],[RCTD]]*RECV_TDS)</f>
        <v>183.17818580821358</v>
      </c>
      <c r="M2" s="14">
        <v>0</v>
      </c>
    </row>
    <row r="3" spans="1:13" x14ac:dyDescent="0.25">
      <c r="A3" s="2">
        <f>IF(TableTEMaster[[#This Row],[Player]]&lt;&gt;0,A2+1,A2)</f>
        <v>2</v>
      </c>
      <c r="B3" s="2" t="str">
        <f>ARI!A$23</f>
        <v>Elijah Higgins</v>
      </c>
      <c r="C3" s="2" t="s">
        <v>52</v>
      </c>
      <c r="D3" s="4">
        <f>ARI!C$23</f>
        <v>14</v>
      </c>
      <c r="E3" s="3">
        <f>ARI!L$23</f>
        <v>16.122097600000004</v>
      </c>
      <c r="F3" s="3">
        <f>ARI!M$23</f>
        <v>11.285468320000001</v>
      </c>
      <c r="G3" s="3">
        <f>ARI!N$23</f>
        <v>107.61583109588102</v>
      </c>
      <c r="H3" s="3">
        <f>ARI!O$23</f>
        <v>0.67712809920000006</v>
      </c>
      <c r="I3" s="3">
        <f t="shared" si="0"/>
        <v>14.824351704788103</v>
      </c>
      <c r="J3" s="3">
        <f t="shared" si="1"/>
        <v>20.467085864788103</v>
      </c>
      <c r="K3" s="3">
        <f t="shared" si="2"/>
        <v>26.109820024788107</v>
      </c>
      <c r="L3" s="13">
        <f>(TableTEMaster[[#This Row],[TGT]]*TARGETS)+(TableTEMaster[[#This Row],[REC]]*RECEPTIONS_TE)+(TableTEMaster[[#This Row],[RCYD]]*RECV_YARDS)+(TableTEMaster[[#This Row],[RCTD]]*RECV_TDS)</f>
        <v>20.467085864788103</v>
      </c>
      <c r="M3" s="14">
        <v>0</v>
      </c>
    </row>
    <row r="4" spans="1:13" x14ac:dyDescent="0.25">
      <c r="A4" s="2">
        <f>IF(TableTEMaster[[#This Row],[Player]]&lt;&gt;0,A3+1,A3)</f>
        <v>3</v>
      </c>
      <c r="B4" s="2" t="str">
        <f>ARI!A$24</f>
        <v>Tip Reiman</v>
      </c>
      <c r="C4" s="2" t="s">
        <v>52</v>
      </c>
      <c r="D4" s="4">
        <f>ARI!C$24</f>
        <v>14</v>
      </c>
      <c r="E4" s="3">
        <f>ARI!L$24</f>
        <v>2.7796720000000001</v>
      </c>
      <c r="F4" s="3">
        <f>ARI!M$24</f>
        <v>1.8818379440000002</v>
      </c>
      <c r="G4" s="3">
        <f>ARI!N$24</f>
        <v>15.990132189802491</v>
      </c>
      <c r="H4" s="3">
        <f>ARI!O$24</f>
        <v>0.10350108692000001</v>
      </c>
      <c r="I4" s="3">
        <f t="shared" si="0"/>
        <v>2.2200197405002493</v>
      </c>
      <c r="J4" s="3">
        <f t="shared" si="1"/>
        <v>3.1609387125002493</v>
      </c>
      <c r="K4" s="3">
        <f t="shared" si="2"/>
        <v>4.1018576845002492</v>
      </c>
      <c r="L4" s="13">
        <f>(TableTEMaster[[#This Row],[TGT]]*TARGETS)+(TableTEMaster[[#This Row],[REC]]*RECEPTIONS_TE)+(TableTEMaster[[#This Row],[RCYD]]*RECV_YARDS)+(TableTEMaster[[#This Row],[RCTD]]*RECV_TDS)</f>
        <v>3.1609387125002493</v>
      </c>
      <c r="M4" s="14">
        <v>0</v>
      </c>
    </row>
    <row r="5" spans="1:13" x14ac:dyDescent="0.25">
      <c r="A5" s="2">
        <f>IF(TableTEMaster[[#This Row],[Player]]&lt;&gt;0,A4+1,A4)</f>
        <v>4</v>
      </c>
      <c r="B5" s="2" t="str">
        <f>ATL!A$22</f>
        <v>Kyle Pitts</v>
      </c>
      <c r="C5" s="2" t="s">
        <v>53</v>
      </c>
      <c r="D5" s="4">
        <f>ATL!C$22</f>
        <v>11</v>
      </c>
      <c r="E5" s="3">
        <f>ATL!L$22</f>
        <v>108.42251756000002</v>
      </c>
      <c r="F5" s="3">
        <f>ATL!M$22</f>
        <v>73.503679893626185</v>
      </c>
      <c r="G5" s="3">
        <f>ATL!N$22</f>
        <v>806.69339349943709</v>
      </c>
      <c r="H5" s="3">
        <f>ATL!O$22</f>
        <v>3.9691987142558141</v>
      </c>
      <c r="I5" s="3">
        <f t="shared" si="0"/>
        <v>104.48453163547859</v>
      </c>
      <c r="J5" s="3">
        <f t="shared" si="1"/>
        <v>141.23637158229167</v>
      </c>
      <c r="K5" s="3">
        <f t="shared" si="2"/>
        <v>177.98821152910477</v>
      </c>
      <c r="L5" s="13">
        <f>(TableTEMaster[[#This Row],[TGT]]*TARGETS)+(TableTEMaster[[#This Row],[REC]]*RECEPTIONS_TE)+(TableTEMaster[[#This Row],[RCYD]]*RECV_YARDS)+(TableTEMaster[[#This Row],[RCTD]]*RECV_TDS)</f>
        <v>141.2363715822917</v>
      </c>
      <c r="M5" s="14">
        <v>12.114545855777624</v>
      </c>
    </row>
    <row r="6" spans="1:13" x14ac:dyDescent="0.25">
      <c r="A6" s="2">
        <f>IF(TableTEMaster[[#This Row],[Player]]&lt;&gt;0,A5+1,A5)</f>
        <v>5</v>
      </c>
      <c r="B6" s="2" t="str">
        <f>ATL!A$23</f>
        <v>Austin Hooper</v>
      </c>
      <c r="C6" s="2" t="s">
        <v>53</v>
      </c>
      <c r="D6" s="4">
        <f>ATL!C$23</f>
        <v>11</v>
      </c>
      <c r="E6" s="3">
        <f>ATL!L$23</f>
        <v>22.138629240000004</v>
      </c>
      <c r="F6" s="3">
        <f>ATL!M$23</f>
        <v>17.400962582640005</v>
      </c>
      <c r="G6" s="3">
        <f>ATL!N$23</f>
        <v>186.01629000842166</v>
      </c>
      <c r="H6" s="3">
        <f>ATL!O$23</f>
        <v>0.98039049847632109</v>
      </c>
      <c r="I6" s="3">
        <f t="shared" si="0"/>
        <v>24.483971991700095</v>
      </c>
      <c r="J6" s="3">
        <f t="shared" si="1"/>
        <v>33.184453283020098</v>
      </c>
      <c r="K6" s="3">
        <f t="shared" si="2"/>
        <v>41.8849345743401</v>
      </c>
      <c r="L6" s="13">
        <f>(TableTEMaster[[#This Row],[TGT]]*TARGETS)+(TableTEMaster[[#This Row],[REC]]*RECEPTIONS_TE)+(TableTEMaster[[#This Row],[RCYD]]*RECV_YARDS)+(TableTEMaster[[#This Row],[RCTD]]*RECV_TDS)</f>
        <v>33.184453283020098</v>
      </c>
      <c r="M6" s="14">
        <v>0</v>
      </c>
    </row>
    <row r="7" spans="1:13" x14ac:dyDescent="0.25">
      <c r="A7" s="2">
        <f>IF(TableTEMaster[[#This Row],[Player]]&lt;&gt;0,A6+1,A6)</f>
        <v>6</v>
      </c>
      <c r="B7" s="2" t="str">
        <f>ATL!A$24</f>
        <v>Charlie Woerner</v>
      </c>
      <c r="C7" s="2" t="s">
        <v>53</v>
      </c>
      <c r="D7" s="4">
        <f>ATL!C$24</f>
        <v>11</v>
      </c>
      <c r="E7" s="3">
        <f>ATL!L$24</f>
        <v>5.6765716000000017</v>
      </c>
      <c r="F7" s="3">
        <f>ATL!M$24</f>
        <v>4.2006629840000009</v>
      </c>
      <c r="G7" s="3">
        <f>ATL!N$24</f>
        <v>35.836419755850109</v>
      </c>
      <c r="H7" s="3">
        <f>ATL!O$24</f>
        <v>0.21003314920000005</v>
      </c>
      <c r="I7" s="3">
        <f t="shared" si="0"/>
        <v>4.8438408707850114</v>
      </c>
      <c r="J7" s="3">
        <f t="shared" si="1"/>
        <v>6.9441723627850118</v>
      </c>
      <c r="K7" s="3">
        <f t="shared" si="2"/>
        <v>9.0445038547850132</v>
      </c>
      <c r="L7" s="13">
        <f>(TableTEMaster[[#This Row],[TGT]]*TARGETS)+(TableTEMaster[[#This Row],[REC]]*RECEPTIONS_TE)+(TableTEMaster[[#This Row],[RCYD]]*RECV_YARDS)+(TableTEMaster[[#This Row],[RCTD]]*RECV_TDS)</f>
        <v>6.9441723627850118</v>
      </c>
      <c r="M7" s="14">
        <v>0</v>
      </c>
    </row>
    <row r="8" spans="1:13" x14ac:dyDescent="0.25">
      <c r="A8" s="2">
        <f>IF(TableTEMaster[[#This Row],[Player]]&lt;&gt;0,A7+1,A7)</f>
        <v>7</v>
      </c>
      <c r="B8" s="2" t="str">
        <f>BAL!A$22</f>
        <v>Mark Andrews</v>
      </c>
      <c r="C8" s="2" t="s">
        <v>54</v>
      </c>
      <c r="D8" s="4">
        <f>BAL!C$22</f>
        <v>13</v>
      </c>
      <c r="E8" s="3">
        <f>BAL!L$22</f>
        <v>84.12301183999999</v>
      </c>
      <c r="F8" s="3">
        <f>BAL!M$22</f>
        <v>56.303566443035386</v>
      </c>
      <c r="G8" s="3">
        <f>BAL!N$22</f>
        <v>600.92286879987364</v>
      </c>
      <c r="H8" s="3">
        <f>BAL!O$22</f>
        <v>6.7564279731642465</v>
      </c>
      <c r="I8" s="3">
        <f t="shared" si="0"/>
        <v>100.63085471897284</v>
      </c>
      <c r="J8" s="3">
        <f t="shared" si="1"/>
        <v>128.78263794049053</v>
      </c>
      <c r="K8" s="3">
        <f t="shared" si="2"/>
        <v>156.93442116200822</v>
      </c>
      <c r="L8" s="13">
        <f>(TableTEMaster[[#This Row],[TGT]]*TARGETS)+(TableTEMaster[[#This Row],[REC]]*RECEPTIONS_TE)+(TableTEMaster[[#This Row],[RCYD]]*RECV_YARDS)+(TableTEMaster[[#This Row],[RCTD]]*RECV_TDS)</f>
        <v>128.78263794049053</v>
      </c>
      <c r="M8" s="14">
        <v>10.707949016487902</v>
      </c>
    </row>
    <row r="9" spans="1:13" x14ac:dyDescent="0.25">
      <c r="A9" s="2">
        <f>IF(TableTEMaster[[#This Row],[Player]]&lt;&gt;0,A8+1,A8)</f>
        <v>8</v>
      </c>
      <c r="B9" s="2" t="str">
        <f>BAL!A$23</f>
        <v>Durham Smythe</v>
      </c>
      <c r="C9" s="2" t="s">
        <v>54</v>
      </c>
      <c r="D9" s="4">
        <f>BAL!C$23</f>
        <v>13</v>
      </c>
      <c r="E9" s="3">
        <f>BAL!L$23</f>
        <v>16.448633600000001</v>
      </c>
      <c r="F9" s="3">
        <f>BAL!M$23</f>
        <v>11.663451941866668</v>
      </c>
      <c r="G9" s="3">
        <f>BAL!N$23</f>
        <v>109.72986278520001</v>
      </c>
      <c r="H9" s="3">
        <f>BAL!O$23</f>
        <v>1.0732733423999998</v>
      </c>
      <c r="I9" s="3">
        <f t="shared" si="0"/>
        <v>17.412626332919999</v>
      </c>
      <c r="J9" s="3">
        <f t="shared" si="1"/>
        <v>23.244352303853333</v>
      </c>
      <c r="K9" s="3">
        <f t="shared" si="2"/>
        <v>29.076078274786667</v>
      </c>
      <c r="L9" s="13">
        <f>(TableTEMaster[[#This Row],[TGT]]*TARGETS)+(TableTEMaster[[#This Row],[REC]]*RECEPTIONS_TE)+(TableTEMaster[[#This Row],[RCYD]]*RECV_YARDS)+(TableTEMaster[[#This Row],[RCTD]]*RECV_TDS)</f>
        <v>23.244352303853336</v>
      </c>
      <c r="M9" s="14">
        <v>0</v>
      </c>
    </row>
    <row r="10" spans="1:13" x14ac:dyDescent="0.25">
      <c r="A10" s="2">
        <f>IF(TableTEMaster[[#This Row],[Player]]&lt;&gt;0,A9+1,A9)</f>
        <v>9</v>
      </c>
      <c r="B10" s="2" t="str">
        <f>BAL!A$24</f>
        <v>Josh Cuevas</v>
      </c>
      <c r="C10" s="2" t="s">
        <v>54</v>
      </c>
      <c r="D10" s="4">
        <f>BAL!C$24</f>
        <v>13</v>
      </c>
      <c r="E10" s="3">
        <f>BAL!L$24</f>
        <v>4.6996095999999996</v>
      </c>
      <c r="F10" s="3">
        <f>BAL!M$24</f>
        <v>0</v>
      </c>
      <c r="G10" s="3">
        <f>BAL!N$24</f>
        <v>0</v>
      </c>
      <c r="H10" s="3">
        <f>BAL!O$24</f>
        <v>0</v>
      </c>
      <c r="I10" s="3">
        <f t="shared" si="0"/>
        <v>0</v>
      </c>
      <c r="J10" s="3">
        <f t="shared" si="1"/>
        <v>0</v>
      </c>
      <c r="K10" s="3">
        <f t="shared" si="2"/>
        <v>0</v>
      </c>
      <c r="L10" s="13">
        <f>(TableTEMaster[[#This Row],[TGT]]*TARGETS)+(TableTEMaster[[#This Row],[REC]]*RECEPTIONS_TE)+(TableTEMaster[[#This Row],[RCYD]]*RECV_YARDS)+(TableTEMaster[[#This Row],[RCTD]]*RECV_TDS)</f>
        <v>0</v>
      </c>
      <c r="M10" s="14">
        <v>0</v>
      </c>
    </row>
    <row r="11" spans="1:13" x14ac:dyDescent="0.25">
      <c r="A11" s="2">
        <f>IF(TableTEMaster[[#This Row],[Player]]&lt;&gt;0,A10+1,A10)</f>
        <v>10</v>
      </c>
      <c r="B11" s="2" t="str">
        <f>BUF!A$22</f>
        <v>Dalton Kincaid</v>
      </c>
      <c r="C11" s="2" t="s">
        <v>55</v>
      </c>
      <c r="D11" s="4">
        <f>BUF!C$22</f>
        <v>7</v>
      </c>
      <c r="E11" s="3">
        <f>BUF!L$22</f>
        <v>88.871613599999961</v>
      </c>
      <c r="F11" s="3">
        <f>BUF!M$22</f>
        <v>61.143670156799971</v>
      </c>
      <c r="G11" s="3">
        <f>BUF!N$22</f>
        <v>742.28415570355173</v>
      </c>
      <c r="H11" s="3">
        <f>BUF!O$22</f>
        <v>5.4417866439551972</v>
      </c>
      <c r="I11" s="3">
        <f t="shared" si="0"/>
        <v>106.87913543408635</v>
      </c>
      <c r="J11" s="3">
        <f t="shared" si="1"/>
        <v>137.45097051248632</v>
      </c>
      <c r="K11" s="3">
        <f t="shared" si="2"/>
        <v>168.02280559088632</v>
      </c>
      <c r="L11" s="13">
        <f>(TableTEMaster[[#This Row],[TGT]]*TARGETS)+(TableTEMaster[[#This Row],[REC]]*RECEPTIONS_TE)+(TableTEMaster[[#This Row],[RCYD]]*RECV_YARDS)+(TableTEMaster[[#This Row],[RCTD]]*RECV_TDS)</f>
        <v>137.45097051248635</v>
      </c>
      <c r="M11" s="14">
        <v>0</v>
      </c>
    </row>
    <row r="12" spans="1:13" x14ac:dyDescent="0.25">
      <c r="A12" s="2">
        <f>IF(TableTEMaster[[#This Row],[Player]]&lt;&gt;0,A11+1,A11)</f>
        <v>11</v>
      </c>
      <c r="B12" s="2" t="str">
        <f>BUF!A$23</f>
        <v>Dawson Knox</v>
      </c>
      <c r="C12" s="2" t="s">
        <v>55</v>
      </c>
      <c r="D12" s="4">
        <f>BUF!C$23</f>
        <v>7</v>
      </c>
      <c r="E12" s="3">
        <f>BUF!L$23</f>
        <v>39.838999199999989</v>
      </c>
      <c r="F12" s="3">
        <f>BUF!M$23</f>
        <v>28.006816437599991</v>
      </c>
      <c r="G12" s="3">
        <f>BUF!N$23</f>
        <v>313.38478405489178</v>
      </c>
      <c r="H12" s="3">
        <f>BUF!O$23</f>
        <v>2.6886543780095993</v>
      </c>
      <c r="I12" s="3">
        <f t="shared" si="0"/>
        <v>47.470404673546774</v>
      </c>
      <c r="J12" s="3">
        <f t="shared" si="1"/>
        <v>61.473812892346771</v>
      </c>
      <c r="K12" s="3">
        <f t="shared" si="2"/>
        <v>75.477221111146761</v>
      </c>
      <c r="L12" s="13">
        <f>(TableTEMaster[[#This Row],[TGT]]*TARGETS)+(TableTEMaster[[#This Row],[REC]]*RECEPTIONS_TE)+(TableTEMaster[[#This Row],[RCYD]]*RECV_YARDS)+(TableTEMaster[[#This Row],[RCTD]]*RECV_TDS)</f>
        <v>61.473812892346771</v>
      </c>
      <c r="M12" s="14">
        <v>0</v>
      </c>
    </row>
    <row r="13" spans="1:13" x14ac:dyDescent="0.25">
      <c r="A13" s="2">
        <f>IF(TableTEMaster[[#This Row],[Player]]&lt;&gt;0,A12+1,A12)</f>
        <v>11</v>
      </c>
      <c r="B13" s="2">
        <f>BUF!A$24</f>
        <v>0</v>
      </c>
      <c r="C13" s="2" t="s">
        <v>55</v>
      </c>
      <c r="D13" s="4">
        <f>BUF!C$24</f>
        <v>7</v>
      </c>
      <c r="E13" s="3">
        <f>BUF!L$24</f>
        <v>0</v>
      </c>
      <c r="F13" s="3">
        <f>BUF!M$24</f>
        <v>0</v>
      </c>
      <c r="G13" s="3">
        <f>BUF!N$24</f>
        <v>0</v>
      </c>
      <c r="H13" s="3">
        <f>BUF!O$24</f>
        <v>0</v>
      </c>
      <c r="I13" s="3">
        <f t="shared" si="0"/>
        <v>0</v>
      </c>
      <c r="J13" s="3">
        <f t="shared" si="1"/>
        <v>0</v>
      </c>
      <c r="K13" s="3">
        <f t="shared" si="2"/>
        <v>0</v>
      </c>
      <c r="L13" s="13">
        <f>(TableTEMaster[[#This Row],[TGT]]*TARGETS)+(TableTEMaster[[#This Row],[REC]]*RECEPTIONS_TE)+(TableTEMaster[[#This Row],[RCYD]]*RECV_YARDS)+(TableTEMaster[[#This Row],[RCTD]]*RECV_TDS)</f>
        <v>0</v>
      </c>
      <c r="M13" s="14">
        <v>0</v>
      </c>
    </row>
    <row r="14" spans="1:13" x14ac:dyDescent="0.25">
      <c r="A14" s="2">
        <f>IF(TableTEMaster[[#This Row],[Player]]&lt;&gt;0,A13+1,A13)</f>
        <v>12</v>
      </c>
      <c r="B14" s="2" t="str">
        <f>CAR!A$22</f>
        <v>Ja'Tavion Sanders</v>
      </c>
      <c r="C14" s="2" t="s">
        <v>56</v>
      </c>
      <c r="D14" s="4">
        <f>CAR!C$22</f>
        <v>5</v>
      </c>
      <c r="E14" s="3">
        <f>CAR!L$22</f>
        <v>43.076879999999996</v>
      </c>
      <c r="F14" s="3">
        <f>CAR!M$22</f>
        <v>31.532276159999995</v>
      </c>
      <c r="G14" s="3">
        <f>CAR!N$22</f>
        <v>250.18732053957442</v>
      </c>
      <c r="H14" s="3">
        <f>CAR!O$22</f>
        <v>1.8919365695999997</v>
      </c>
      <c r="I14" s="3">
        <f t="shared" si="0"/>
        <v>36.370351471557441</v>
      </c>
      <c r="J14" s="3">
        <f t="shared" si="1"/>
        <v>52.136489551557439</v>
      </c>
      <c r="K14" s="3">
        <f t="shared" si="2"/>
        <v>67.902627631557436</v>
      </c>
      <c r="L14" s="13">
        <f>(TableTEMaster[[#This Row],[TGT]]*TARGETS)+(TableTEMaster[[#This Row],[REC]]*RECEPTIONS_TE)+(TableTEMaster[[#This Row],[RCYD]]*RECV_YARDS)+(TableTEMaster[[#This Row],[RCTD]]*RECV_TDS)</f>
        <v>52.136489551557439</v>
      </c>
      <c r="M14" s="14">
        <v>0</v>
      </c>
    </row>
    <row r="15" spans="1:13" x14ac:dyDescent="0.25">
      <c r="A15" s="2">
        <f>IF(TableTEMaster[[#This Row],[Player]]&lt;&gt;0,A14+1,A14)</f>
        <v>13</v>
      </c>
      <c r="B15" s="2" t="str">
        <f>CAR!A$23</f>
        <v>Tommy Tremble</v>
      </c>
      <c r="C15" s="2" t="s">
        <v>56</v>
      </c>
      <c r="D15" s="4">
        <f>CAR!C$23</f>
        <v>5</v>
      </c>
      <c r="E15" s="3">
        <f>CAR!L$23</f>
        <v>32.846120999999997</v>
      </c>
      <c r="F15" s="3">
        <f>CAR!M$23</f>
        <v>23.583514877999995</v>
      </c>
      <c r="G15" s="3">
        <f>CAR!N$23</f>
        <v>189.37562447033994</v>
      </c>
      <c r="H15" s="3">
        <f>CAR!O$23</f>
        <v>1.7215965860939995</v>
      </c>
      <c r="I15" s="3">
        <f t="shared" si="0"/>
        <v>29.267141963597989</v>
      </c>
      <c r="J15" s="3">
        <f t="shared" si="1"/>
        <v>41.058899402597987</v>
      </c>
      <c r="K15" s="3">
        <f t="shared" si="2"/>
        <v>52.850656841597981</v>
      </c>
      <c r="L15" s="13">
        <f>(TableTEMaster[[#This Row],[TGT]]*TARGETS)+(TableTEMaster[[#This Row],[REC]]*RECEPTIONS_TE)+(TableTEMaster[[#This Row],[RCYD]]*RECV_YARDS)+(TableTEMaster[[#This Row],[RCTD]]*RECV_TDS)</f>
        <v>41.058899402597987</v>
      </c>
      <c r="M15" s="14">
        <v>0</v>
      </c>
    </row>
    <row r="16" spans="1:13" x14ac:dyDescent="0.25">
      <c r="A16" s="2">
        <f>IF(TableTEMaster[[#This Row],[Player]]&lt;&gt;0,A15+1,A15)</f>
        <v>14</v>
      </c>
      <c r="B16" s="2" t="str">
        <f>CAR!A$24</f>
        <v>Mitchell Evans</v>
      </c>
      <c r="C16" s="2" t="s">
        <v>56</v>
      </c>
      <c r="D16" s="4">
        <f>CAR!C$24</f>
        <v>5</v>
      </c>
      <c r="E16" s="3">
        <f>CAR!L$24</f>
        <v>23.153822999999996</v>
      </c>
      <c r="F16" s="3">
        <f>CAR!M$24</f>
        <v>16.855983143999996</v>
      </c>
      <c r="G16" s="3">
        <f>CAR!N$24</f>
        <v>136.53346346639995</v>
      </c>
      <c r="H16" s="3">
        <f>CAR!O$24</f>
        <v>1.1633192061497322</v>
      </c>
      <c r="I16" s="3">
        <f t="shared" si="0"/>
        <v>20.633261583538388</v>
      </c>
      <c r="J16" s="3">
        <f t="shared" si="1"/>
        <v>29.061253155538388</v>
      </c>
      <c r="K16" s="3">
        <f t="shared" si="2"/>
        <v>37.489244727538384</v>
      </c>
      <c r="L16" s="13">
        <f>(TableTEMaster[[#This Row],[TGT]]*TARGETS)+(TableTEMaster[[#This Row],[REC]]*RECEPTIONS_TE)+(TableTEMaster[[#This Row],[RCYD]]*RECV_YARDS)+(TableTEMaster[[#This Row],[RCTD]]*RECV_TDS)</f>
        <v>29.061253155538388</v>
      </c>
      <c r="M16" s="14">
        <v>0</v>
      </c>
    </row>
    <row r="17" spans="1:13" x14ac:dyDescent="0.25">
      <c r="A17" s="2">
        <f>IF(TableTEMaster[[#This Row],[Player]]&lt;&gt;0,A16+1,A16)</f>
        <v>15</v>
      </c>
      <c r="B17" s="2" t="str">
        <f>CHI!A$22</f>
        <v>Colston Loveland</v>
      </c>
      <c r="C17" s="2" t="s">
        <v>57</v>
      </c>
      <c r="D17" s="4">
        <f>CHI!C$22</f>
        <v>10</v>
      </c>
      <c r="E17" s="3">
        <f>CHI!L$22</f>
        <v>122.93785616000001</v>
      </c>
      <c r="F17" s="3">
        <f>CHI!M$22</f>
        <v>83.843617901120012</v>
      </c>
      <c r="G17" s="3">
        <f>CHI!N$22</f>
        <v>1012.8309042455297</v>
      </c>
      <c r="H17" s="3">
        <f>CHI!O$22</f>
        <v>8.3843617901120009</v>
      </c>
      <c r="I17" s="3">
        <f t="shared" si="0"/>
        <v>151.58926116522497</v>
      </c>
      <c r="J17" s="3">
        <f t="shared" si="1"/>
        <v>193.51107011578497</v>
      </c>
      <c r="K17" s="3">
        <f t="shared" si="2"/>
        <v>235.43287906634498</v>
      </c>
      <c r="L17" s="13">
        <f>(TableTEMaster[[#This Row],[TGT]]*TARGETS)+(TableTEMaster[[#This Row],[REC]]*RECEPTIONS_TE)+(TableTEMaster[[#This Row],[RCYD]]*RECV_YARDS)+(TableTEMaster[[#This Row],[RCTD]]*RECV_TDS)</f>
        <v>193.51107011578497</v>
      </c>
      <c r="M17" s="14">
        <v>1.8058939937235041</v>
      </c>
    </row>
    <row r="18" spans="1:13" x14ac:dyDescent="0.25">
      <c r="A18" s="2">
        <f>IF(TableTEMaster[[#This Row],[Player]]&lt;&gt;0,A17+1,A17)</f>
        <v>16</v>
      </c>
      <c r="B18" s="2" t="str">
        <f>CHI!A$23</f>
        <v>Cole Kmet</v>
      </c>
      <c r="C18" s="2" t="s">
        <v>57</v>
      </c>
      <c r="D18" s="4">
        <f>CHI!C$23</f>
        <v>10</v>
      </c>
      <c r="E18" s="3">
        <f>CHI!L$23</f>
        <v>34.963977440000008</v>
      </c>
      <c r="F18" s="3">
        <f>CHI!M$23</f>
        <v>23.425864884800006</v>
      </c>
      <c r="G18" s="3">
        <f>CHI!N$23</f>
        <v>251.82804751160006</v>
      </c>
      <c r="H18" s="3">
        <f>CHI!O$23</f>
        <v>1.7803657312448005</v>
      </c>
      <c r="I18" s="3">
        <f t="shared" si="0"/>
        <v>35.864999138628811</v>
      </c>
      <c r="J18" s="3">
        <f t="shared" si="1"/>
        <v>47.577931581028814</v>
      </c>
      <c r="K18" s="3">
        <f t="shared" si="2"/>
        <v>59.290864023428817</v>
      </c>
      <c r="L18" s="13">
        <f>(TableTEMaster[[#This Row],[TGT]]*TARGETS)+(TableTEMaster[[#This Row],[REC]]*RECEPTIONS_TE)+(TableTEMaster[[#This Row],[RCYD]]*RECV_YARDS)+(TableTEMaster[[#This Row],[RCTD]]*RECV_TDS)</f>
        <v>47.577931581028814</v>
      </c>
      <c r="M18" s="14">
        <v>0</v>
      </c>
    </row>
    <row r="19" spans="1:13" x14ac:dyDescent="0.25">
      <c r="A19" s="2">
        <f>IF(TableTEMaster[[#This Row],[Player]]&lt;&gt;0,A18+1,A18)</f>
        <v>17</v>
      </c>
      <c r="B19" s="2" t="str">
        <f>CHI!A$24</f>
        <v>Sam Roush</v>
      </c>
      <c r="C19" s="2" t="s">
        <v>57</v>
      </c>
      <c r="D19" s="4">
        <f>CHI!C$24</f>
        <v>10</v>
      </c>
      <c r="E19" s="3">
        <f>CHI!L$24</f>
        <v>8.4590268000000002</v>
      </c>
      <c r="F19" s="3">
        <f>CHI!M$24</f>
        <v>5.2445966159999999</v>
      </c>
      <c r="G19" s="3">
        <f>CHI!N$24</f>
        <v>51.002181838508641</v>
      </c>
      <c r="H19" s="3">
        <f>CHI!O$24</f>
        <v>0.28220248402416165</v>
      </c>
      <c r="I19" s="3">
        <f t="shared" si="0"/>
        <v>6.793433087995834</v>
      </c>
      <c r="J19" s="3">
        <f t="shared" si="1"/>
        <v>9.4157313959958344</v>
      </c>
      <c r="K19" s="3">
        <f t="shared" si="2"/>
        <v>12.038029703995834</v>
      </c>
      <c r="L19" s="13">
        <f>(TableTEMaster[[#This Row],[TGT]]*TARGETS)+(TableTEMaster[[#This Row],[REC]]*RECEPTIONS_TE)+(TableTEMaster[[#This Row],[RCYD]]*RECV_YARDS)+(TableTEMaster[[#This Row],[RCTD]]*RECV_TDS)</f>
        <v>9.4157313959958344</v>
      </c>
      <c r="M19" s="14">
        <v>0</v>
      </c>
    </row>
    <row r="20" spans="1:13" x14ac:dyDescent="0.25">
      <c r="A20" s="2">
        <f>IF(TableTEMaster[[#This Row],[Player]]&lt;&gt;0,A19+1,A19)</f>
        <v>18</v>
      </c>
      <c r="B20" s="2" t="str">
        <f>CIN!A$22</f>
        <v>Mike Gesicki</v>
      </c>
      <c r="C20" s="2" t="s">
        <v>58</v>
      </c>
      <c r="D20" s="4">
        <f>CIN!C$22</f>
        <v>6</v>
      </c>
      <c r="E20" s="3">
        <f>CIN!L$22</f>
        <v>61.373112500000005</v>
      </c>
      <c r="F20" s="3">
        <f>CIN!M$22</f>
        <v>42.427763056172843</v>
      </c>
      <c r="G20" s="3">
        <f>CIN!N$22</f>
        <v>435.01981948109574</v>
      </c>
      <c r="H20" s="3">
        <f>CIN!O$22</f>
        <v>3.8184986750555558</v>
      </c>
      <c r="I20" s="3">
        <f t="shared" si="0"/>
        <v>66.412973998442908</v>
      </c>
      <c r="J20" s="3">
        <f t="shared" si="1"/>
        <v>87.626855526529326</v>
      </c>
      <c r="K20" s="3">
        <f t="shared" si="2"/>
        <v>108.84073705461574</v>
      </c>
      <c r="L20" s="13">
        <f>(TableTEMaster[[#This Row],[TGT]]*TARGETS)+(TableTEMaster[[#This Row],[REC]]*RECEPTIONS_TE)+(TableTEMaster[[#This Row],[RCYD]]*RECV_YARDS)+(TableTEMaster[[#This Row],[RCTD]]*RECV_TDS)</f>
        <v>87.626855526529326</v>
      </c>
      <c r="M20" s="14">
        <v>0</v>
      </c>
    </row>
    <row r="21" spans="1:13" x14ac:dyDescent="0.25">
      <c r="A21" s="2">
        <f>IF(TableTEMaster[[#This Row],[Player]]&lt;&gt;0,A20+1,A20)</f>
        <v>19</v>
      </c>
      <c r="B21" s="2" t="str">
        <f>CIN!A$23</f>
        <v>Erick All</v>
      </c>
      <c r="C21" s="2" t="s">
        <v>58</v>
      </c>
      <c r="D21" s="4">
        <f>CIN!C$23</f>
        <v>6</v>
      </c>
      <c r="E21" s="3">
        <f>CIN!L$23</f>
        <v>21.512225000000001</v>
      </c>
      <c r="F21" s="3">
        <f>CIN!M$23</f>
        <v>17.265258896052632</v>
      </c>
      <c r="G21" s="3">
        <f>CIN!N$23</f>
        <v>164.53791727938159</v>
      </c>
      <c r="H21" s="3">
        <f>CIN!O$23</f>
        <v>0.93597049122807019</v>
      </c>
      <c r="I21" s="3">
        <f t="shared" si="0"/>
        <v>22.069614675306582</v>
      </c>
      <c r="J21" s="3">
        <f t="shared" si="1"/>
        <v>30.702244123332896</v>
      </c>
      <c r="K21" s="3">
        <f t="shared" si="2"/>
        <v>39.334873571359211</v>
      </c>
      <c r="L21" s="13">
        <f>(TableTEMaster[[#This Row],[TGT]]*TARGETS)+(TableTEMaster[[#This Row],[REC]]*RECEPTIONS_TE)+(TableTEMaster[[#This Row],[RCYD]]*RECV_YARDS)+(TableTEMaster[[#This Row],[RCTD]]*RECV_TDS)</f>
        <v>30.702244123332896</v>
      </c>
      <c r="M21" s="14">
        <v>0</v>
      </c>
    </row>
    <row r="22" spans="1:13" x14ac:dyDescent="0.25">
      <c r="A22" s="2">
        <f>IF(TableTEMaster[[#This Row],[Player]]&lt;&gt;0,A21+1,A21)</f>
        <v>20</v>
      </c>
      <c r="B22" s="2" t="str">
        <f>CIN!A$24</f>
        <v>Drew Sample</v>
      </c>
      <c r="C22" s="2" t="s">
        <v>58</v>
      </c>
      <c r="D22" s="4">
        <f>CIN!C$24</f>
        <v>6</v>
      </c>
      <c r="E22" s="3">
        <f>CIN!L$24</f>
        <v>6.3271249999999997</v>
      </c>
      <c r="F22" s="3">
        <f>CIN!M$24</f>
        <v>0</v>
      </c>
      <c r="G22" s="3">
        <f>CIN!N$24</f>
        <v>0</v>
      </c>
      <c r="H22" s="3">
        <f>CIN!O$24</f>
        <v>0</v>
      </c>
      <c r="I22" s="3">
        <f t="shared" si="0"/>
        <v>0</v>
      </c>
      <c r="J22" s="3">
        <f t="shared" si="1"/>
        <v>0</v>
      </c>
      <c r="K22" s="3">
        <f t="shared" si="2"/>
        <v>0</v>
      </c>
      <c r="L22" s="13">
        <f>(TableTEMaster[[#This Row],[TGT]]*TARGETS)+(TableTEMaster[[#This Row],[REC]]*RECEPTIONS_TE)+(TableTEMaster[[#This Row],[RCYD]]*RECV_YARDS)+(TableTEMaster[[#This Row],[RCTD]]*RECV_TDS)</f>
        <v>0</v>
      </c>
      <c r="M22" s="14">
        <v>0</v>
      </c>
    </row>
    <row r="23" spans="1:13" x14ac:dyDescent="0.25">
      <c r="A23" s="2">
        <f>IF(TableTEMaster[[#This Row],[Player]]&lt;&gt;0,A22+1,A22)</f>
        <v>21</v>
      </c>
      <c r="B23" s="2" t="str">
        <f>CLE!A$22</f>
        <v>Harold Fannin</v>
      </c>
      <c r="C23" s="2" t="s">
        <v>59</v>
      </c>
      <c r="D23" s="4">
        <f>CLE!C$22</f>
        <v>11</v>
      </c>
      <c r="E23" s="3">
        <f>CLE!L$22</f>
        <v>119.247282</v>
      </c>
      <c r="F23" s="3">
        <f>CLE!M$22</f>
        <v>77.987722427999998</v>
      </c>
      <c r="G23" s="3">
        <f>CLE!N$22</f>
        <v>822.62324703441573</v>
      </c>
      <c r="H23" s="3">
        <f>CLE!O$22</f>
        <v>5.4591405699600006</v>
      </c>
      <c r="I23" s="3">
        <f t="shared" si="0"/>
        <v>115.01716812320159</v>
      </c>
      <c r="J23" s="3">
        <f t="shared" si="1"/>
        <v>154.01102933720159</v>
      </c>
      <c r="K23" s="3">
        <f t="shared" si="2"/>
        <v>193.00489055120158</v>
      </c>
      <c r="L23" s="13">
        <f>(TableTEMaster[[#This Row],[TGT]]*TARGETS)+(TableTEMaster[[#This Row],[REC]]*RECEPTIONS_TE)+(TableTEMaster[[#This Row],[RCYD]]*RECV_YARDS)+(TableTEMaster[[#This Row],[RCTD]]*RECV_TDS)</f>
        <v>154.01102933720159</v>
      </c>
      <c r="M23" s="14">
        <v>0.40204588310140438</v>
      </c>
    </row>
    <row r="24" spans="1:13" x14ac:dyDescent="0.25">
      <c r="A24" s="2">
        <f>IF(TableTEMaster[[#This Row],[Player]]&lt;&gt;0,A23+1,A23)</f>
        <v>22</v>
      </c>
      <c r="B24" s="2" t="str">
        <f>CLE!A$23</f>
        <v>Joe Royer</v>
      </c>
      <c r="C24" s="2" t="s">
        <v>59</v>
      </c>
      <c r="D24" s="4">
        <f>CLE!C$23</f>
        <v>11</v>
      </c>
      <c r="E24" s="3">
        <f>CLE!L$23</f>
        <v>4.9480199999999996</v>
      </c>
      <c r="F24" s="3">
        <f>CLE!M$23</f>
        <v>3.0677724</v>
      </c>
      <c r="G24" s="3">
        <f>CLE!N$23</f>
        <v>27.141529005660622</v>
      </c>
      <c r="H24" s="3">
        <f>CLE!O$23</f>
        <v>0.17793079920000002</v>
      </c>
      <c r="I24" s="3">
        <f t="shared" si="0"/>
        <v>3.7817376957660622</v>
      </c>
      <c r="J24" s="3">
        <f t="shared" si="1"/>
        <v>5.3156238957660626</v>
      </c>
      <c r="K24" s="3">
        <f t="shared" si="2"/>
        <v>6.8495100957660622</v>
      </c>
      <c r="L24" s="13">
        <f>(TableTEMaster[[#This Row],[TGT]]*TARGETS)+(TableTEMaster[[#This Row],[REC]]*RECEPTIONS_TE)+(TableTEMaster[[#This Row],[RCYD]]*RECV_YARDS)+(TableTEMaster[[#This Row],[RCTD]]*RECV_TDS)</f>
        <v>5.3156238957660626</v>
      </c>
      <c r="M24" s="14">
        <v>0</v>
      </c>
    </row>
    <row r="25" spans="1:13" x14ac:dyDescent="0.25">
      <c r="A25" s="2">
        <f>IF(TableTEMaster[[#This Row],[Player]]&lt;&gt;0,A24+1,A24)</f>
        <v>23</v>
      </c>
      <c r="B25" s="2" t="str">
        <f>CLE!A$24</f>
        <v>Jack Stoll</v>
      </c>
      <c r="C25" s="2" t="s">
        <v>59</v>
      </c>
      <c r="D25" s="4">
        <f>CLE!C$24</f>
        <v>11</v>
      </c>
      <c r="E25" s="3">
        <f>CLE!L$24</f>
        <v>2.4740099999999998</v>
      </c>
      <c r="F25" s="3">
        <f>CLE!M$24</f>
        <v>1.5264641699999999</v>
      </c>
      <c r="G25" s="3">
        <f>CLE!N$24</f>
        <v>11.295834857999999</v>
      </c>
      <c r="H25" s="3">
        <f>CLE!O$24</f>
        <v>8.7008457689999999E-2</v>
      </c>
      <c r="I25" s="3">
        <f t="shared" si="0"/>
        <v>1.6516342319400001</v>
      </c>
      <c r="J25" s="3">
        <f t="shared" si="1"/>
        <v>2.41486631694</v>
      </c>
      <c r="K25" s="3">
        <f t="shared" si="2"/>
        <v>3.1780984019399998</v>
      </c>
      <c r="L25" s="13">
        <f>(TableTEMaster[[#This Row],[TGT]]*TARGETS)+(TableTEMaster[[#This Row],[REC]]*RECEPTIONS_TE)+(TableTEMaster[[#This Row],[RCYD]]*RECV_YARDS)+(TableTEMaster[[#This Row],[RCTD]]*RECV_TDS)</f>
        <v>2.41486631694</v>
      </c>
      <c r="M25" s="14">
        <v>0</v>
      </c>
    </row>
    <row r="26" spans="1:13" x14ac:dyDescent="0.25">
      <c r="A26" s="2">
        <f>IF(TableTEMaster[[#This Row],[Player]]&lt;&gt;0,A25+1,A25)</f>
        <v>24</v>
      </c>
      <c r="B26" s="2" t="str">
        <f>DAL!A$22</f>
        <v>Jake Ferguson</v>
      </c>
      <c r="C26" s="2" t="s">
        <v>60</v>
      </c>
      <c r="D26" s="4">
        <f>DAL!C$22</f>
        <v>14</v>
      </c>
      <c r="E26" s="3">
        <f>DAL!L$22</f>
        <v>100.0587742</v>
      </c>
      <c r="F26" s="3">
        <f>DAL!M$22</f>
        <v>74.564451091063063</v>
      </c>
      <c r="G26" s="3">
        <f>DAL!N$22</f>
        <v>606.75060624015089</v>
      </c>
      <c r="H26" s="3">
        <f>DAL!O$22</f>
        <v>6.2634138916492974</v>
      </c>
      <c r="I26" s="3">
        <f t="shared" si="0"/>
        <v>98.255543973910875</v>
      </c>
      <c r="J26" s="3">
        <f t="shared" si="1"/>
        <v>135.53776951944241</v>
      </c>
      <c r="K26" s="3">
        <f t="shared" si="2"/>
        <v>172.81999506497394</v>
      </c>
      <c r="L26" s="13">
        <f>(TableTEMaster[[#This Row],[TGT]]*TARGETS)+(TableTEMaster[[#This Row],[REC]]*RECEPTIONS_TE)+(TableTEMaster[[#This Row],[RCYD]]*RECV_YARDS)+(TableTEMaster[[#This Row],[RCTD]]*RECV_TDS)</f>
        <v>135.53776951944241</v>
      </c>
      <c r="M26" s="14">
        <v>1.1488415014446289</v>
      </c>
    </row>
    <row r="27" spans="1:13" x14ac:dyDescent="0.25">
      <c r="A27" s="2">
        <f>IF(TableTEMaster[[#This Row],[Player]]&lt;&gt;0,A26+1,A26)</f>
        <v>25</v>
      </c>
      <c r="B27" s="2" t="str">
        <f>DAL!A$23</f>
        <v>Luke Schoonmaker</v>
      </c>
      <c r="C27" s="2" t="s">
        <v>60</v>
      </c>
      <c r="D27" s="4">
        <f>DAL!C$23</f>
        <v>14</v>
      </c>
      <c r="E27" s="3">
        <f>DAL!L$23</f>
        <v>19.891202099999997</v>
      </c>
      <c r="F27" s="3">
        <f>DAL!M$23</f>
        <v>13.670811043286484</v>
      </c>
      <c r="G27" s="3">
        <f>DAL!N$23</f>
        <v>127.5560070666378</v>
      </c>
      <c r="H27" s="3">
        <f>DAL!O$23</f>
        <v>0.97062758407334027</v>
      </c>
      <c r="I27" s="3">
        <f t="shared" si="0"/>
        <v>18.579366211103824</v>
      </c>
      <c r="J27" s="3">
        <f t="shared" si="1"/>
        <v>25.414771732747067</v>
      </c>
      <c r="K27" s="3">
        <f t="shared" si="2"/>
        <v>32.250177254390309</v>
      </c>
      <c r="L27" s="13">
        <f>(TableTEMaster[[#This Row],[TGT]]*TARGETS)+(TableTEMaster[[#This Row],[REC]]*RECEPTIONS_TE)+(TableTEMaster[[#This Row],[RCYD]]*RECV_YARDS)+(TableTEMaster[[#This Row],[RCTD]]*RECV_TDS)</f>
        <v>25.414771732747063</v>
      </c>
      <c r="M27" s="14">
        <v>0</v>
      </c>
    </row>
    <row r="28" spans="1:13" x14ac:dyDescent="0.25">
      <c r="A28" s="2">
        <f>IF(TableTEMaster[[#This Row],[Player]]&lt;&gt;0,A27+1,A27)</f>
        <v>26</v>
      </c>
      <c r="B28" s="2" t="str">
        <f>DAL!A$24</f>
        <v>Michael Trigg</v>
      </c>
      <c r="C28" s="2" t="s">
        <v>60</v>
      </c>
      <c r="D28" s="4">
        <f>DAL!C$24</f>
        <v>14</v>
      </c>
      <c r="E28" s="3">
        <f>DAL!L$24</f>
        <v>6.0276369999999995</v>
      </c>
      <c r="F28" s="3">
        <f>DAL!M$24</f>
        <v>4.0565997009999997</v>
      </c>
      <c r="G28" s="3">
        <f>DAL!N$24</f>
        <v>34.075437488399999</v>
      </c>
      <c r="H28" s="3">
        <f>DAL!O$24</f>
        <v>0</v>
      </c>
      <c r="I28" s="3">
        <f t="shared" si="0"/>
        <v>3.4075437488399998</v>
      </c>
      <c r="J28" s="3">
        <f t="shared" si="1"/>
        <v>5.4358435993400001</v>
      </c>
      <c r="K28" s="3">
        <f t="shared" si="2"/>
        <v>7.4641434498399999</v>
      </c>
      <c r="L28" s="13">
        <f>(TableTEMaster[[#This Row],[TGT]]*TARGETS)+(TableTEMaster[[#This Row],[REC]]*RECEPTIONS_TE)+(TableTEMaster[[#This Row],[RCYD]]*RECV_YARDS)+(TableTEMaster[[#This Row],[RCTD]]*RECV_TDS)</f>
        <v>5.4358435993400001</v>
      </c>
      <c r="M28" s="14">
        <v>0</v>
      </c>
    </row>
    <row r="29" spans="1:13" x14ac:dyDescent="0.25">
      <c r="A29" s="2">
        <f>IF(TableTEMaster[[#This Row],[Player]]&lt;&gt;0,A28+1,A28)</f>
        <v>27</v>
      </c>
      <c r="B29" s="2" t="str">
        <f>DEN!A$22</f>
        <v>Evan Engram</v>
      </c>
      <c r="C29" s="2" t="s">
        <v>61</v>
      </c>
      <c r="D29" s="4">
        <f>DEN!C$22</f>
        <v>10</v>
      </c>
      <c r="E29" s="3">
        <f>DEN!L$22</f>
        <v>61.632537120000009</v>
      </c>
      <c r="F29" s="3">
        <f>DEN!M$22</f>
        <v>42.013152766337917</v>
      </c>
      <c r="G29" s="3">
        <f>DEN!N$22</f>
        <v>375.23544398160726</v>
      </c>
      <c r="H29" s="3">
        <f>DEN!O$22</f>
        <v>2.1006576383168958</v>
      </c>
      <c r="I29" s="3">
        <f t="shared" si="0"/>
        <v>50.127490228062101</v>
      </c>
      <c r="J29" s="3">
        <f t="shared" si="1"/>
        <v>71.134066611231063</v>
      </c>
      <c r="K29" s="3">
        <f t="shared" si="2"/>
        <v>92.140642994400025</v>
      </c>
      <c r="L29" s="13">
        <f>(TableTEMaster[[#This Row],[TGT]]*TARGETS)+(TableTEMaster[[#This Row],[REC]]*RECEPTIONS_TE)+(TableTEMaster[[#This Row],[RCYD]]*RECV_YARDS)+(TableTEMaster[[#This Row],[RCTD]]*RECV_TDS)</f>
        <v>71.134066611231063</v>
      </c>
      <c r="M29" s="14">
        <v>7.4353334434863179</v>
      </c>
    </row>
    <row r="30" spans="1:13" x14ac:dyDescent="0.25">
      <c r="A30" s="2">
        <f>IF(TableTEMaster[[#This Row],[Player]]&lt;&gt;0,A29+1,A29)</f>
        <v>28</v>
      </c>
      <c r="B30" s="2" t="str">
        <f>DEN!A$23</f>
        <v>Adam Trautman</v>
      </c>
      <c r="C30" s="2" t="s">
        <v>61</v>
      </c>
      <c r="D30" s="4">
        <f>DEN!C$23</f>
        <v>10</v>
      </c>
      <c r="E30" s="3">
        <f>DEN!L$23</f>
        <v>14.837462640000002</v>
      </c>
      <c r="F30" s="3">
        <f>DEN!M$23</f>
        <v>11.373692313984002</v>
      </c>
      <c r="G30" s="3">
        <f>DEN!N$23</f>
        <v>108.73260026428802</v>
      </c>
      <c r="H30" s="3">
        <f>DEN!O$23</f>
        <v>0.60280569264115202</v>
      </c>
      <c r="I30" s="3">
        <f t="shared" si="0"/>
        <v>14.490094182275715</v>
      </c>
      <c r="J30" s="3">
        <f t="shared" si="1"/>
        <v>20.176940339267716</v>
      </c>
      <c r="K30" s="3">
        <f t="shared" si="2"/>
        <v>25.863786496259717</v>
      </c>
      <c r="L30" s="13">
        <f>(TableTEMaster[[#This Row],[TGT]]*TARGETS)+(TableTEMaster[[#This Row],[REC]]*RECEPTIONS_TE)+(TableTEMaster[[#This Row],[RCYD]]*RECV_YARDS)+(TableTEMaster[[#This Row],[RCTD]]*RECV_TDS)</f>
        <v>20.176940339267716</v>
      </c>
      <c r="M30" s="14">
        <v>0</v>
      </c>
    </row>
    <row r="31" spans="1:13" x14ac:dyDescent="0.25">
      <c r="A31" s="2">
        <f>IF(TableTEMaster[[#This Row],[Player]]&lt;&gt;0,A30+1,A30)</f>
        <v>29</v>
      </c>
      <c r="B31" s="2" t="str">
        <f>DEN!A$24</f>
        <v>Justin Joly</v>
      </c>
      <c r="C31" s="2" t="s">
        <v>61</v>
      </c>
      <c r="D31" s="4">
        <f>DEN!C$24</f>
        <v>10</v>
      </c>
      <c r="E31" s="3">
        <f>DEN!L$24</f>
        <v>27.392238720000005</v>
      </c>
      <c r="F31" s="3">
        <f>DEN!M$24</f>
        <v>20.270256652800004</v>
      </c>
      <c r="G31" s="3">
        <f>DEN!N$24</f>
        <v>161.75627420081466</v>
      </c>
      <c r="H31" s="3">
        <f>DEN!O$24</f>
        <v>1.0135128326400002</v>
      </c>
      <c r="I31" s="3">
        <f t="shared" si="0"/>
        <v>22.256704415921469</v>
      </c>
      <c r="J31" s="3">
        <f t="shared" si="1"/>
        <v>32.391832742321469</v>
      </c>
      <c r="K31" s="3">
        <f t="shared" si="2"/>
        <v>42.526961068721477</v>
      </c>
      <c r="L31" s="13">
        <f>(TableTEMaster[[#This Row],[TGT]]*TARGETS)+(TableTEMaster[[#This Row],[REC]]*RECEPTIONS_TE)+(TableTEMaster[[#This Row],[RCYD]]*RECV_YARDS)+(TableTEMaster[[#This Row],[RCTD]]*RECV_TDS)</f>
        <v>32.391832742321469</v>
      </c>
      <c r="M31" s="14">
        <v>0</v>
      </c>
    </row>
    <row r="32" spans="1:13" x14ac:dyDescent="0.25">
      <c r="A32" s="2">
        <f>IF(TableTEMaster[[#This Row],[Player]]&lt;&gt;0,A31+1,A31)</f>
        <v>30</v>
      </c>
      <c r="B32" s="2" t="str">
        <f>DET!A$22</f>
        <v>Sam LaPorta</v>
      </c>
      <c r="C32" s="2" t="s">
        <v>62</v>
      </c>
      <c r="D32" s="4">
        <f>DET!C$22</f>
        <v>6</v>
      </c>
      <c r="E32" s="3">
        <f>DET!L$22</f>
        <v>101.86182719999996</v>
      </c>
      <c r="F32" s="3">
        <f>DET!M$22</f>
        <v>75.275890300799972</v>
      </c>
      <c r="G32" s="3">
        <f>DET!N$22</f>
        <v>825.77651659977573</v>
      </c>
      <c r="H32" s="3">
        <f>DET!O$22</f>
        <v>5.9467953337631982</v>
      </c>
      <c r="I32" s="3">
        <f t="shared" si="0"/>
        <v>118.25842366255677</v>
      </c>
      <c r="J32" s="3">
        <f t="shared" si="1"/>
        <v>155.89636881295675</v>
      </c>
      <c r="K32" s="3">
        <f t="shared" si="2"/>
        <v>193.53431396335674</v>
      </c>
      <c r="L32" s="13">
        <f>(TableTEMaster[[#This Row],[TGT]]*TARGETS)+(TableTEMaster[[#This Row],[REC]]*RECEPTIONS_TE)+(TableTEMaster[[#This Row],[RCYD]]*RECV_YARDS)+(TableTEMaster[[#This Row],[RCTD]]*RECV_TDS)</f>
        <v>155.89636881295675</v>
      </c>
      <c r="M32" s="14">
        <v>13.317786717850336</v>
      </c>
    </row>
    <row r="33" spans="1:13" x14ac:dyDescent="0.25">
      <c r="A33" s="2">
        <f>IF(TableTEMaster[[#This Row],[Player]]&lt;&gt;0,A32+1,A32)</f>
        <v>31</v>
      </c>
      <c r="B33" s="2" t="str">
        <f>DET!A$23</f>
        <v>Brock Wright</v>
      </c>
      <c r="C33" s="2" t="s">
        <v>62</v>
      </c>
      <c r="D33" s="4">
        <f>DET!C$23</f>
        <v>6</v>
      </c>
      <c r="E33" s="3">
        <f>DET!L$23</f>
        <v>14.635319999999998</v>
      </c>
      <c r="F33" s="3">
        <f>DET!M$23</f>
        <v>10.478889119999998</v>
      </c>
      <c r="G33" s="3">
        <f>DET!N$23</f>
        <v>84.662462233766234</v>
      </c>
      <c r="H33" s="3">
        <f>DET!O$23</f>
        <v>0.75448001663999975</v>
      </c>
      <c r="I33" s="3">
        <f t="shared" si="0"/>
        <v>12.993126323216622</v>
      </c>
      <c r="J33" s="3">
        <f t="shared" si="1"/>
        <v>18.232570883216621</v>
      </c>
      <c r="K33" s="3">
        <f t="shared" si="2"/>
        <v>23.47201544321662</v>
      </c>
      <c r="L33" s="13">
        <f>(TableTEMaster[[#This Row],[TGT]]*TARGETS)+(TableTEMaster[[#This Row],[REC]]*RECEPTIONS_TE)+(TableTEMaster[[#This Row],[RCYD]]*RECV_YARDS)+(TableTEMaster[[#This Row],[RCTD]]*RECV_TDS)</f>
        <v>18.232570883216621</v>
      </c>
      <c r="M33" s="14">
        <v>0</v>
      </c>
    </row>
    <row r="34" spans="1:13" x14ac:dyDescent="0.25">
      <c r="A34" s="2">
        <f>IF(TableTEMaster[[#This Row],[Player]]&lt;&gt;0,A33+1,A33)</f>
        <v>32</v>
      </c>
      <c r="B34" s="2" t="str">
        <f>DET!A$24</f>
        <v>Tyler Conklin</v>
      </c>
      <c r="C34" s="2" t="s">
        <v>62</v>
      </c>
      <c r="D34" s="4">
        <f>DET!C$24</f>
        <v>6</v>
      </c>
      <c r="E34" s="3">
        <f>DET!L$24</f>
        <v>2.9270639999999992</v>
      </c>
      <c r="F34" s="3">
        <f>DET!M$24</f>
        <v>1.9815572821333325</v>
      </c>
      <c r="G34" s="3">
        <f>DET!N$24</f>
        <v>20.112806413653324</v>
      </c>
      <c r="H34" s="3">
        <f>DET!O$24</f>
        <v>0.11604182613333328</v>
      </c>
      <c r="I34" s="3">
        <f t="shared" ref="I34:I65" si="3">(G34/10)+(H34*6)</f>
        <v>2.7075315981653323</v>
      </c>
      <c r="J34" s="3">
        <f t="shared" ref="J34:J65" si="4">I34+(F34*0.5)</f>
        <v>3.6983102392319984</v>
      </c>
      <c r="K34" s="3">
        <f t="shared" ref="K34:K65" si="5">I34+F34</f>
        <v>4.689088880298665</v>
      </c>
      <c r="L34" s="13">
        <f>(TableTEMaster[[#This Row],[TGT]]*TARGETS)+(TableTEMaster[[#This Row],[REC]]*RECEPTIONS_TE)+(TableTEMaster[[#This Row],[RCYD]]*RECV_YARDS)+(TableTEMaster[[#This Row],[RCTD]]*RECV_TDS)</f>
        <v>3.6983102392319984</v>
      </c>
      <c r="M34" s="14">
        <v>0</v>
      </c>
    </row>
    <row r="35" spans="1:13" x14ac:dyDescent="0.25">
      <c r="A35" s="2">
        <f>IF(TableTEMaster[[#This Row],[Player]]&lt;&gt;0,A34+1,A34)</f>
        <v>33</v>
      </c>
      <c r="B35" s="2" t="str">
        <f>GB!A$22</f>
        <v>Tucker Kraft</v>
      </c>
      <c r="C35" s="2" t="s">
        <v>63</v>
      </c>
      <c r="D35" s="4">
        <f>GB!C$22</f>
        <v>11</v>
      </c>
      <c r="E35" s="3">
        <f>GB!L$22</f>
        <v>92.354636623115567</v>
      </c>
      <c r="F35" s="3">
        <f>GB!M$22</f>
        <v>66.144135726810134</v>
      </c>
      <c r="G35" s="3">
        <f>GB!N$22</f>
        <v>815.55719351156893</v>
      </c>
      <c r="H35" s="3">
        <f>GB!O$22</f>
        <v>6.4159811655005834</v>
      </c>
      <c r="I35" s="3">
        <f t="shared" si="3"/>
        <v>120.0516063441604</v>
      </c>
      <c r="J35" s="3">
        <f t="shared" si="4"/>
        <v>153.12367420756547</v>
      </c>
      <c r="K35" s="3">
        <f t="shared" si="5"/>
        <v>186.19574207097054</v>
      </c>
      <c r="L35" s="13">
        <f>(TableTEMaster[[#This Row],[TGT]]*TARGETS)+(TableTEMaster[[#This Row],[REC]]*RECEPTIONS_TE)+(TableTEMaster[[#This Row],[RCYD]]*RECV_YARDS)+(TableTEMaster[[#This Row],[RCTD]]*RECV_TDS)</f>
        <v>153.12367420756547</v>
      </c>
      <c r="M35" s="14">
        <v>4.8807128154445154</v>
      </c>
    </row>
    <row r="36" spans="1:13" x14ac:dyDescent="0.25">
      <c r="A36" s="2">
        <f>IF(TableTEMaster[[#This Row],[Player]]&lt;&gt;0,A35+1,A35)</f>
        <v>34</v>
      </c>
      <c r="B36" s="2" t="str">
        <f>GB!A$23</f>
        <v>Luke Musgrave</v>
      </c>
      <c r="C36" s="2" t="s">
        <v>63</v>
      </c>
      <c r="D36" s="4">
        <f>GB!C$23</f>
        <v>11</v>
      </c>
      <c r="E36" s="3">
        <f>GB!L$23</f>
        <v>20.871104321608037</v>
      </c>
      <c r="F36" s="3">
        <f>GB!M$23</f>
        <v>16.279461370854268</v>
      </c>
      <c r="G36" s="3">
        <f>GB!N$23</f>
        <v>157.70550039039088</v>
      </c>
      <c r="H36" s="3">
        <f>GB!O$23</f>
        <v>0.97676768225125599</v>
      </c>
      <c r="I36" s="3">
        <f t="shared" si="3"/>
        <v>21.631156132546625</v>
      </c>
      <c r="J36" s="3">
        <f t="shared" si="4"/>
        <v>29.770886817973761</v>
      </c>
      <c r="K36" s="3">
        <f t="shared" si="5"/>
        <v>37.910617503400893</v>
      </c>
      <c r="L36" s="13">
        <f>(TableTEMaster[[#This Row],[TGT]]*TARGETS)+(TableTEMaster[[#This Row],[REC]]*RECEPTIONS_TE)+(TableTEMaster[[#This Row],[RCYD]]*RECV_YARDS)+(TableTEMaster[[#This Row],[RCTD]]*RECV_TDS)</f>
        <v>29.770886817973757</v>
      </c>
      <c r="M36" s="14">
        <v>0</v>
      </c>
    </row>
    <row r="37" spans="1:13" x14ac:dyDescent="0.25">
      <c r="A37" s="2">
        <f>IF(TableTEMaster[[#This Row],[Player]]&lt;&gt;0,A36+1,A36)</f>
        <v>34</v>
      </c>
      <c r="B37" s="2">
        <f>GB!A$24</f>
        <v>0</v>
      </c>
      <c r="C37" s="2" t="s">
        <v>63</v>
      </c>
      <c r="D37" s="4">
        <f>GB!C$24</f>
        <v>11</v>
      </c>
      <c r="E37" s="3">
        <f>GB!L$24</f>
        <v>0</v>
      </c>
      <c r="F37" s="3">
        <f>GB!M$24</f>
        <v>0</v>
      </c>
      <c r="G37" s="3">
        <f>GB!N$24</f>
        <v>0</v>
      </c>
      <c r="H37" s="3">
        <f>GB!O$24</f>
        <v>0</v>
      </c>
      <c r="I37" s="3">
        <f t="shared" si="3"/>
        <v>0</v>
      </c>
      <c r="J37" s="3">
        <f t="shared" si="4"/>
        <v>0</v>
      </c>
      <c r="K37" s="3">
        <f t="shared" si="5"/>
        <v>0</v>
      </c>
      <c r="L37" s="13">
        <f>(TableTEMaster[[#This Row],[TGT]]*TARGETS)+(TableTEMaster[[#This Row],[REC]]*RECEPTIONS_TE)+(TableTEMaster[[#This Row],[RCYD]]*RECV_YARDS)+(TableTEMaster[[#This Row],[RCTD]]*RECV_TDS)</f>
        <v>0</v>
      </c>
      <c r="M37" s="14">
        <v>0</v>
      </c>
    </row>
    <row r="38" spans="1:13" x14ac:dyDescent="0.25">
      <c r="A38" s="2">
        <f>IF(TableTEMaster[[#This Row],[Player]]&lt;&gt;0,A37+1,A37)</f>
        <v>35</v>
      </c>
      <c r="B38" s="2" t="str">
        <f>HOU!A$22</f>
        <v>Dalton Schultz</v>
      </c>
      <c r="C38" s="2" t="s">
        <v>64</v>
      </c>
      <c r="D38" s="4">
        <f>HOU!C$22</f>
        <v>8</v>
      </c>
      <c r="E38" s="3">
        <f>HOU!L$22</f>
        <v>92.234559059999995</v>
      </c>
      <c r="F38" s="3">
        <f>HOU!M$22</f>
        <v>67.679544802282692</v>
      </c>
      <c r="G38" s="3">
        <f>HOU!N$22</f>
        <v>642.78639146145952</v>
      </c>
      <c r="H38" s="3">
        <f>HOU!O$22</f>
        <v>3.7223749641255481</v>
      </c>
      <c r="I38" s="3">
        <f t="shared" si="3"/>
        <v>86.612888930899231</v>
      </c>
      <c r="J38" s="3">
        <f t="shared" si="4"/>
        <v>120.45266133204058</v>
      </c>
      <c r="K38" s="3">
        <f t="shared" si="5"/>
        <v>154.29243373318192</v>
      </c>
      <c r="L38" s="13">
        <f>(TableTEMaster[[#This Row],[TGT]]*TARGETS)+(TableTEMaster[[#This Row],[REC]]*RECEPTIONS_TE)+(TableTEMaster[[#This Row],[RCYD]]*RECV_YARDS)+(TableTEMaster[[#This Row],[RCTD]]*RECV_TDS)</f>
        <v>120.45266133204058</v>
      </c>
      <c r="M38" s="14">
        <v>0</v>
      </c>
    </row>
    <row r="39" spans="1:13" x14ac:dyDescent="0.25">
      <c r="A39" s="2">
        <f>IF(TableTEMaster[[#This Row],[Player]]&lt;&gt;0,A38+1,A38)</f>
        <v>36</v>
      </c>
      <c r="B39" s="2" t="str">
        <f>HOU!A$23</f>
        <v>Marlin Klein</v>
      </c>
      <c r="C39" s="2" t="s">
        <v>64</v>
      </c>
      <c r="D39" s="4">
        <f>HOU!C$23</f>
        <v>8</v>
      </c>
      <c r="E39" s="3">
        <f>HOU!L$23</f>
        <v>14.322136500000001</v>
      </c>
      <c r="F39" s="3">
        <f>HOU!M$23</f>
        <v>10.31193828</v>
      </c>
      <c r="G39" s="3">
        <f>HOU!N$23</f>
        <v>92.80744451999999</v>
      </c>
      <c r="H39" s="3">
        <f>HOU!O$23</f>
        <v>0.59809242023999998</v>
      </c>
      <c r="I39" s="3">
        <f t="shared" si="3"/>
        <v>12.869298973439999</v>
      </c>
      <c r="J39" s="3">
        <f t="shared" si="4"/>
        <v>18.025268113439999</v>
      </c>
      <c r="K39" s="3">
        <f t="shared" si="5"/>
        <v>23.181237253439999</v>
      </c>
      <c r="L39" s="13">
        <f>(TableTEMaster[[#This Row],[TGT]]*TARGETS)+(TableTEMaster[[#This Row],[REC]]*RECEPTIONS_TE)+(TableTEMaster[[#This Row],[RCYD]]*RECV_YARDS)+(TableTEMaster[[#This Row],[RCTD]]*RECV_TDS)</f>
        <v>18.025268113439999</v>
      </c>
      <c r="M39" s="14">
        <v>0</v>
      </c>
    </row>
    <row r="40" spans="1:13" x14ac:dyDescent="0.25">
      <c r="A40" s="2">
        <f>IF(TableTEMaster[[#This Row],[Player]]&lt;&gt;0,A39+1,A39)</f>
        <v>37</v>
      </c>
      <c r="B40" s="2" t="str">
        <f>HOU!A$24</f>
        <v>Foster Moreau</v>
      </c>
      <c r="C40" s="2" t="s">
        <v>64</v>
      </c>
      <c r="D40" s="4">
        <f>HOU!C$24</f>
        <v>8</v>
      </c>
      <c r="E40" s="3">
        <f>HOU!L$24</f>
        <v>5.7288546</v>
      </c>
      <c r="F40" s="3">
        <f>HOU!M$24</f>
        <v>4.0159270745999995</v>
      </c>
      <c r="G40" s="3">
        <f>HOU!N$24</f>
        <v>40.009124450142352</v>
      </c>
      <c r="H40" s="3">
        <f>HOU!O$24</f>
        <v>0.22489191617759999</v>
      </c>
      <c r="I40" s="3">
        <f t="shared" si="3"/>
        <v>5.3502639420798346</v>
      </c>
      <c r="J40" s="3">
        <f t="shared" si="4"/>
        <v>7.3582274793798348</v>
      </c>
      <c r="K40" s="3">
        <f t="shared" si="5"/>
        <v>9.366191016679835</v>
      </c>
      <c r="L40" s="13">
        <f>(TableTEMaster[[#This Row],[TGT]]*TARGETS)+(TableTEMaster[[#This Row],[REC]]*RECEPTIONS_TE)+(TableTEMaster[[#This Row],[RCYD]]*RECV_YARDS)+(TableTEMaster[[#This Row],[RCTD]]*RECV_TDS)</f>
        <v>7.3582274793798348</v>
      </c>
      <c r="M40" s="14">
        <v>0</v>
      </c>
    </row>
    <row r="41" spans="1:13" x14ac:dyDescent="0.25">
      <c r="A41" s="2">
        <f>IF(TableTEMaster[[#This Row],[Player]]&lt;&gt;0,A40+1,A40)</f>
        <v>38</v>
      </c>
      <c r="B41" s="2" t="str">
        <f>IND!A$22</f>
        <v>Tyler Warren</v>
      </c>
      <c r="C41" s="2" t="s">
        <v>65</v>
      </c>
      <c r="D41" s="4">
        <f>IND!C$22</f>
        <v>13</v>
      </c>
      <c r="E41" s="3">
        <f>IND!L$22</f>
        <v>118.63346879999999</v>
      </c>
      <c r="F41" s="3">
        <f>IND!M$22</f>
        <v>87.076966099199993</v>
      </c>
      <c r="G41" s="3">
        <f>IND!N$22</f>
        <v>902.98813844870381</v>
      </c>
      <c r="H41" s="3">
        <f>IND!O$22</f>
        <v>5.7470797625471999</v>
      </c>
      <c r="I41" s="3">
        <f t="shared" si="3"/>
        <v>124.78129242015358</v>
      </c>
      <c r="J41" s="3">
        <f t="shared" si="4"/>
        <v>168.31977546975358</v>
      </c>
      <c r="K41" s="3">
        <f t="shared" si="5"/>
        <v>211.85825851935357</v>
      </c>
      <c r="L41" s="13">
        <f>(TableTEMaster[[#This Row],[TGT]]*TARGETS)+(TableTEMaster[[#This Row],[REC]]*RECEPTIONS_TE)+(TableTEMaster[[#This Row],[RCYD]]*RECV_YARDS)+(TableTEMaster[[#This Row],[RCTD]]*RECV_TDS)</f>
        <v>168.31977546975355</v>
      </c>
      <c r="M41" s="14">
        <v>0</v>
      </c>
    </row>
    <row r="42" spans="1:13" x14ac:dyDescent="0.25">
      <c r="A42" s="2">
        <f>IF(TableTEMaster[[#This Row],[Player]]&lt;&gt;0,A41+1,A41)</f>
        <v>39</v>
      </c>
      <c r="B42" s="2" t="str">
        <f>IND!A$23</f>
        <v>Drew Ogletree</v>
      </c>
      <c r="C42" s="2" t="s">
        <v>65</v>
      </c>
      <c r="D42" s="4">
        <f>IND!C$23</f>
        <v>13</v>
      </c>
      <c r="E42" s="3">
        <f>IND!L$23</f>
        <v>13.06536</v>
      </c>
      <c r="F42" s="3">
        <f>IND!M$23</f>
        <v>9.2226070588235309</v>
      </c>
      <c r="G42" s="3">
        <f>IND!N$23</f>
        <v>98.374475294117659</v>
      </c>
      <c r="H42" s="3">
        <f>IND!O$23</f>
        <v>0.46113035294117655</v>
      </c>
      <c r="I42" s="3">
        <f t="shared" si="3"/>
        <v>12.604229647058824</v>
      </c>
      <c r="J42" s="3">
        <f t="shared" si="4"/>
        <v>17.21553317647059</v>
      </c>
      <c r="K42" s="3">
        <f t="shared" si="5"/>
        <v>21.826836705882357</v>
      </c>
      <c r="L42" s="13">
        <f>(TableTEMaster[[#This Row],[TGT]]*TARGETS)+(TableTEMaster[[#This Row],[REC]]*RECEPTIONS_TE)+(TableTEMaster[[#This Row],[RCYD]]*RECV_YARDS)+(TableTEMaster[[#This Row],[RCTD]]*RECV_TDS)</f>
        <v>17.215533176470593</v>
      </c>
      <c r="M42" s="14">
        <v>0</v>
      </c>
    </row>
    <row r="43" spans="1:13" x14ac:dyDescent="0.25">
      <c r="A43" s="2">
        <f>IF(TableTEMaster[[#This Row],[Player]]&lt;&gt;0,A42+1,A42)</f>
        <v>40</v>
      </c>
      <c r="B43" s="2" t="str">
        <f>IND!A$24</f>
        <v>Mo Alie-Cox</v>
      </c>
      <c r="C43" s="2" t="s">
        <v>65</v>
      </c>
      <c r="D43" s="4">
        <f>IND!C$24</f>
        <v>13</v>
      </c>
      <c r="E43" s="3">
        <f>IND!L$24</f>
        <v>7.8392159999999995</v>
      </c>
      <c r="F43" s="3">
        <f>IND!M$24</f>
        <v>5.431864032</v>
      </c>
      <c r="G43" s="3">
        <f>IND!N$24</f>
        <v>52.545710560000003</v>
      </c>
      <c r="H43" s="3">
        <f>IND!O$24</f>
        <v>0.36936675417600001</v>
      </c>
      <c r="I43" s="3">
        <f t="shared" si="3"/>
        <v>7.4707715810560007</v>
      </c>
      <c r="J43" s="3">
        <f t="shared" si="4"/>
        <v>10.186703597056001</v>
      </c>
      <c r="K43" s="3">
        <f t="shared" si="5"/>
        <v>12.902635613056001</v>
      </c>
      <c r="L43" s="13">
        <f>(TableTEMaster[[#This Row],[TGT]]*TARGETS)+(TableTEMaster[[#This Row],[REC]]*RECEPTIONS_TE)+(TableTEMaster[[#This Row],[RCYD]]*RECV_YARDS)+(TableTEMaster[[#This Row],[RCTD]]*RECV_TDS)</f>
        <v>10.186703597056001</v>
      </c>
      <c r="M43" s="14">
        <v>0</v>
      </c>
    </row>
    <row r="44" spans="1:13" x14ac:dyDescent="0.25">
      <c r="A44" s="2">
        <f>IF(TableTEMaster[[#This Row],[Player]]&lt;&gt;0,A43+1,A43)</f>
        <v>41</v>
      </c>
      <c r="B44" s="2" t="str">
        <f>JAX!A$22</f>
        <v>Brenton Strange</v>
      </c>
      <c r="C44" s="2" t="s">
        <v>83</v>
      </c>
      <c r="D44" s="4">
        <f>JAX!C$22</f>
        <v>7</v>
      </c>
      <c r="E44" s="3">
        <f>JAX!L$22</f>
        <v>74.996195400000005</v>
      </c>
      <c r="F44" s="3">
        <f>JAX!M$22</f>
        <v>49.572485159400003</v>
      </c>
      <c r="G44" s="3">
        <f>JAX!N$22</f>
        <v>532.90421546355003</v>
      </c>
      <c r="H44" s="3">
        <f>JAX!O$22</f>
        <v>3.5196464463173998</v>
      </c>
      <c r="I44" s="3">
        <f t="shared" si="3"/>
        <v>74.408300224259406</v>
      </c>
      <c r="J44" s="3">
        <f t="shared" si="4"/>
        <v>99.194542803959408</v>
      </c>
      <c r="K44" s="3">
        <f t="shared" si="5"/>
        <v>123.98078538365941</v>
      </c>
      <c r="L44" s="13">
        <f>(TableTEMaster[[#This Row],[TGT]]*TARGETS)+(TableTEMaster[[#This Row],[REC]]*RECEPTIONS_TE)+(TableTEMaster[[#This Row],[RCYD]]*RECV_YARDS)+(TableTEMaster[[#This Row],[RCTD]]*RECV_TDS)</f>
        <v>99.194542803959408</v>
      </c>
      <c r="M44" s="14">
        <v>0</v>
      </c>
    </row>
    <row r="45" spans="1:13" x14ac:dyDescent="0.25">
      <c r="A45" s="2">
        <f>IF(TableTEMaster[[#This Row],[Player]]&lt;&gt;0,A44+1,A44)</f>
        <v>42</v>
      </c>
      <c r="B45" s="2" t="str">
        <f>JAX!A$23</f>
        <v>Tanner Koziol</v>
      </c>
      <c r="C45" s="2" t="s">
        <v>83</v>
      </c>
      <c r="D45" s="4">
        <f>JAX!C$23</f>
        <v>7</v>
      </c>
      <c r="E45" s="3">
        <f>JAX!L$23</f>
        <v>16.790192999999999</v>
      </c>
      <c r="F45" s="3">
        <f>JAX!M$23</f>
        <v>10.611401976</v>
      </c>
      <c r="G45" s="3">
        <f>JAX!N$23</f>
        <v>106.22013377975999</v>
      </c>
      <c r="H45" s="3">
        <f>JAX!O$23</f>
        <v>0.63668411855999996</v>
      </c>
      <c r="I45" s="3">
        <f t="shared" si="3"/>
        <v>14.442118089335999</v>
      </c>
      <c r="J45" s="3">
        <f t="shared" si="4"/>
        <v>19.747819077335997</v>
      </c>
      <c r="K45" s="3">
        <f t="shared" si="5"/>
        <v>25.053520065335999</v>
      </c>
      <c r="L45" s="13">
        <f>(TableTEMaster[[#This Row],[TGT]]*TARGETS)+(TableTEMaster[[#This Row],[REC]]*RECEPTIONS_TE)+(TableTEMaster[[#This Row],[RCYD]]*RECV_YARDS)+(TableTEMaster[[#This Row],[RCTD]]*RECV_TDS)</f>
        <v>19.747819077336001</v>
      </c>
      <c r="M45" s="14">
        <v>0</v>
      </c>
    </row>
    <row r="46" spans="1:13" x14ac:dyDescent="0.25">
      <c r="A46" s="2">
        <f>IF(TableTEMaster[[#This Row],[Player]]&lt;&gt;0,A45+1,A45)</f>
        <v>43</v>
      </c>
      <c r="B46" s="2" t="str">
        <f>JAX!A$24</f>
        <v>Nate Boerkircher</v>
      </c>
      <c r="C46" s="2" t="s">
        <v>83</v>
      </c>
      <c r="D46" s="4">
        <f>JAX!C$24</f>
        <v>7</v>
      </c>
      <c r="E46" s="3">
        <f>JAX!L$24</f>
        <v>8.3950964999999993</v>
      </c>
      <c r="F46" s="3">
        <f>JAX!M$24</f>
        <v>5.2130051308125003</v>
      </c>
      <c r="G46" s="3">
        <f>JAX!N$24</f>
        <v>50.983190179346252</v>
      </c>
      <c r="H46" s="3">
        <f>JAX!O$24</f>
        <v>0.40140139507256251</v>
      </c>
      <c r="I46" s="3">
        <f t="shared" si="3"/>
        <v>7.5067273883700008</v>
      </c>
      <c r="J46" s="3">
        <f t="shared" si="4"/>
        <v>10.113229953776251</v>
      </c>
      <c r="K46" s="3">
        <f t="shared" si="5"/>
        <v>12.7197325191825</v>
      </c>
      <c r="L46" s="13">
        <f>(TableTEMaster[[#This Row],[TGT]]*TARGETS)+(TableTEMaster[[#This Row],[REC]]*RECEPTIONS_TE)+(TableTEMaster[[#This Row],[RCYD]]*RECV_YARDS)+(TableTEMaster[[#This Row],[RCTD]]*RECV_TDS)</f>
        <v>10.11322995377625</v>
      </c>
      <c r="M46" s="14">
        <v>0</v>
      </c>
    </row>
    <row r="47" spans="1:13" x14ac:dyDescent="0.25">
      <c r="A47" s="2">
        <f>IF(TableTEMaster[[#This Row],[Player]]&lt;&gt;0,A46+1,A46)</f>
        <v>44</v>
      </c>
      <c r="B47" s="2" t="str">
        <f>KC!A$22</f>
        <v>Travis Kelce</v>
      </c>
      <c r="C47" s="2" t="s">
        <v>67</v>
      </c>
      <c r="D47" s="4">
        <f>KC!C$22</f>
        <v>5</v>
      </c>
      <c r="E47" s="3">
        <f>KC!L$22</f>
        <v>106.55672299999999</v>
      </c>
      <c r="F47" s="3">
        <f>KC!M$22</f>
        <v>73.630695592999984</v>
      </c>
      <c r="G47" s="3">
        <f>KC!N$22</f>
        <v>781.9579871976598</v>
      </c>
      <c r="H47" s="3">
        <f>KC!O$22</f>
        <v>5.4486714738819986</v>
      </c>
      <c r="I47" s="3">
        <f t="shared" si="3"/>
        <v>110.88782756305797</v>
      </c>
      <c r="J47" s="3">
        <f t="shared" si="4"/>
        <v>147.70317535955797</v>
      </c>
      <c r="K47" s="3">
        <f t="shared" si="5"/>
        <v>184.51852315605794</v>
      </c>
      <c r="L47" s="13">
        <f>(TableTEMaster[[#This Row],[TGT]]*TARGETS)+(TableTEMaster[[#This Row],[REC]]*RECEPTIONS_TE)+(TableTEMaster[[#This Row],[RCYD]]*RECV_YARDS)+(TableTEMaster[[#This Row],[RCTD]]*RECV_TDS)</f>
        <v>147.70317535955797</v>
      </c>
      <c r="M47" s="14">
        <v>30</v>
      </c>
    </row>
    <row r="48" spans="1:13" x14ac:dyDescent="0.25">
      <c r="A48" s="2">
        <f>IF(TableTEMaster[[#This Row],[Player]]&lt;&gt;0,A47+1,A47)</f>
        <v>45</v>
      </c>
      <c r="B48" s="2" t="str">
        <f>KC!A$23</f>
        <v>Noah Gray</v>
      </c>
      <c r="C48" s="2" t="s">
        <v>67</v>
      </c>
      <c r="D48" s="4">
        <f>KC!C$23</f>
        <v>5</v>
      </c>
      <c r="E48" s="3">
        <f>KC!L$23</f>
        <v>36.885019499999999</v>
      </c>
      <c r="F48" s="3">
        <f>KC!M$23</f>
        <v>25.967053727999996</v>
      </c>
      <c r="G48" s="3">
        <f>KC!N$23</f>
        <v>251.90379618495987</v>
      </c>
      <c r="H48" s="3">
        <f>KC!O$23</f>
        <v>1.8696278684159995</v>
      </c>
      <c r="I48" s="3">
        <f t="shared" si="3"/>
        <v>36.408146828991988</v>
      </c>
      <c r="J48" s="3">
        <f t="shared" si="4"/>
        <v>49.391673692991986</v>
      </c>
      <c r="K48" s="3">
        <f t="shared" si="5"/>
        <v>62.375200556991985</v>
      </c>
      <c r="L48" s="13">
        <f>(TableTEMaster[[#This Row],[TGT]]*TARGETS)+(TableTEMaster[[#This Row],[REC]]*RECEPTIONS_TE)+(TableTEMaster[[#This Row],[RCYD]]*RECV_YARDS)+(TableTEMaster[[#This Row],[RCTD]]*RECV_TDS)</f>
        <v>49.391673692991986</v>
      </c>
      <c r="M48" s="14">
        <v>0</v>
      </c>
    </row>
    <row r="49" spans="1:13" x14ac:dyDescent="0.25">
      <c r="A49" s="2">
        <f>IF(TableTEMaster[[#This Row],[Player]]&lt;&gt;0,A48+1,A48)</f>
        <v>46</v>
      </c>
      <c r="B49" s="2" t="str">
        <f>KC!A$24</f>
        <v>Jared Wiley</v>
      </c>
      <c r="C49" s="2" t="s">
        <v>67</v>
      </c>
      <c r="D49" s="4">
        <f>KC!C$24</f>
        <v>5</v>
      </c>
      <c r="E49" s="3">
        <f>KC!L$24</f>
        <v>5.8547649999999996</v>
      </c>
      <c r="F49" s="3">
        <f>KC!M$24</f>
        <v>4.2154307999999991</v>
      </c>
      <c r="G49" s="3">
        <f>KC!N$24</f>
        <v>39.809532268358844</v>
      </c>
      <c r="H49" s="3">
        <f>KC!O$24</f>
        <v>0.27400300199999994</v>
      </c>
      <c r="I49" s="3">
        <f t="shared" si="3"/>
        <v>5.6249712388358839</v>
      </c>
      <c r="J49" s="3">
        <f t="shared" si="4"/>
        <v>7.732686638835883</v>
      </c>
      <c r="K49" s="3">
        <f t="shared" si="5"/>
        <v>9.840402038835883</v>
      </c>
      <c r="L49" s="13">
        <f>(TableTEMaster[[#This Row],[TGT]]*TARGETS)+(TableTEMaster[[#This Row],[REC]]*RECEPTIONS_TE)+(TableTEMaster[[#This Row],[RCYD]]*RECV_YARDS)+(TableTEMaster[[#This Row],[RCTD]]*RECV_TDS)</f>
        <v>7.7326866388358848</v>
      </c>
      <c r="M49" s="14">
        <v>0</v>
      </c>
    </row>
    <row r="50" spans="1:13" x14ac:dyDescent="0.25">
      <c r="A50" s="2">
        <f>IF(TableTEMaster[[#This Row],[Player]]&lt;&gt;0,A49+1,A49)</f>
        <v>47</v>
      </c>
      <c r="B50" s="2" t="str">
        <f>LAC!A$22</f>
        <v>Oronde Gadsden</v>
      </c>
      <c r="C50" s="2" t="s">
        <v>68</v>
      </c>
      <c r="D50" s="4">
        <f>LAC!C$22</f>
        <v>7</v>
      </c>
      <c r="E50" s="3">
        <f>LAC!L$22</f>
        <v>64.866321519999985</v>
      </c>
      <c r="F50" s="3">
        <f>LAC!M$22</f>
        <v>46.119954600719986</v>
      </c>
      <c r="G50" s="3">
        <f>LAC!N$22</f>
        <v>531.30187700029421</v>
      </c>
      <c r="H50" s="3">
        <f>LAC!O$22</f>
        <v>3.5973564588561588</v>
      </c>
      <c r="I50" s="3">
        <f t="shared" si="3"/>
        <v>74.714326453166379</v>
      </c>
      <c r="J50" s="3">
        <f t="shared" si="4"/>
        <v>97.774303753526368</v>
      </c>
      <c r="K50" s="3">
        <f t="shared" si="5"/>
        <v>120.83428105388637</v>
      </c>
      <c r="L50" s="13">
        <f>(TableTEMaster[[#This Row],[TGT]]*TARGETS)+(TableTEMaster[[#This Row],[REC]]*RECEPTIONS_TE)+(TableTEMaster[[#This Row],[RCYD]]*RECV_YARDS)+(TableTEMaster[[#This Row],[RCTD]]*RECV_TDS)</f>
        <v>97.774303753526368</v>
      </c>
      <c r="M50" s="14">
        <v>0</v>
      </c>
    </row>
    <row r="51" spans="1:13" x14ac:dyDescent="0.25">
      <c r="A51" s="2">
        <f>IF(TableTEMaster[[#This Row],[Player]]&lt;&gt;0,A50+1,A50)</f>
        <v>48</v>
      </c>
      <c r="B51" s="2" t="str">
        <f>LAC!A$23</f>
        <v>David Njoku</v>
      </c>
      <c r="C51" s="2" t="s">
        <v>68</v>
      </c>
      <c r="D51" s="4">
        <f>LAC!C$23</f>
        <v>7</v>
      </c>
      <c r="E51" s="3">
        <f>LAC!L$23</f>
        <v>49.978969039999988</v>
      </c>
      <c r="F51" s="3">
        <f>LAC!M$23</f>
        <v>36.084815646879989</v>
      </c>
      <c r="G51" s="3">
        <f>LAC!N$23</f>
        <v>378.89931732718867</v>
      </c>
      <c r="H51" s="3">
        <f>LAC!O$23</f>
        <v>2.6516547050858308</v>
      </c>
      <c r="I51" s="3">
        <f t="shared" si="3"/>
        <v>53.79985996323385</v>
      </c>
      <c r="J51" s="3">
        <f t="shared" si="4"/>
        <v>71.842267786673844</v>
      </c>
      <c r="K51" s="3">
        <f t="shared" si="5"/>
        <v>89.884675610113845</v>
      </c>
      <c r="L51" s="13">
        <f>(TableTEMaster[[#This Row],[TGT]]*TARGETS)+(TableTEMaster[[#This Row],[REC]]*RECEPTIONS_TE)+(TableTEMaster[[#This Row],[RCYD]]*RECV_YARDS)+(TableTEMaster[[#This Row],[RCTD]]*RECV_TDS)</f>
        <v>71.842267786673858</v>
      </c>
      <c r="M51" s="14">
        <v>0</v>
      </c>
    </row>
    <row r="52" spans="1:13" x14ac:dyDescent="0.25">
      <c r="A52" s="2">
        <f>IF(TableTEMaster[[#This Row],[Player]]&lt;&gt;0,A51+1,A51)</f>
        <v>49</v>
      </c>
      <c r="B52" s="2" t="str">
        <f>LAC!A$24</f>
        <v>Charlie Kolar</v>
      </c>
      <c r="C52" s="2" t="s">
        <v>68</v>
      </c>
      <c r="D52" s="4">
        <f>LAC!C$24</f>
        <v>7</v>
      </c>
      <c r="E52" s="3">
        <f>LAC!L$24</f>
        <v>10.633823199999998</v>
      </c>
      <c r="F52" s="3">
        <f>LAC!M$24</f>
        <v>7.4011409471999983</v>
      </c>
      <c r="G52" s="3">
        <f>LAC!N$24</f>
        <v>80.041968762311086</v>
      </c>
      <c r="H52" s="3">
        <f>LAC!O$24</f>
        <v>0.52548100725119984</v>
      </c>
      <c r="I52" s="3">
        <f t="shared" si="3"/>
        <v>11.157082919738308</v>
      </c>
      <c r="J52" s="3">
        <f t="shared" si="4"/>
        <v>14.857653393338307</v>
      </c>
      <c r="K52" s="3">
        <f t="shared" si="5"/>
        <v>18.558223866938306</v>
      </c>
      <c r="L52" s="13">
        <f>(TableTEMaster[[#This Row],[TGT]]*TARGETS)+(TableTEMaster[[#This Row],[REC]]*RECEPTIONS_TE)+(TableTEMaster[[#This Row],[RCYD]]*RECV_YARDS)+(TableTEMaster[[#This Row],[RCTD]]*RECV_TDS)</f>
        <v>14.857653393338307</v>
      </c>
      <c r="M52" s="14">
        <v>0</v>
      </c>
    </row>
    <row r="53" spans="1:13" x14ac:dyDescent="0.25">
      <c r="A53" s="2">
        <f>IF(TableTEMaster[[#This Row],[Player]]&lt;&gt;0,A52+1,A52)</f>
        <v>50</v>
      </c>
      <c r="B53" s="2" t="str">
        <f>LAR!A$22</f>
        <v>Terrance Ferguson</v>
      </c>
      <c r="C53" s="2" t="s">
        <v>69</v>
      </c>
      <c r="D53" s="4">
        <f>LAR!C$22</f>
        <v>11</v>
      </c>
      <c r="E53" s="3">
        <f>LAR!L$22</f>
        <v>62.200400423209423</v>
      </c>
      <c r="F53" s="3">
        <f>LAR!M$22</f>
        <v>41.736468683973527</v>
      </c>
      <c r="G53" s="3">
        <f>LAR!N$22</f>
        <v>505.84600044975912</v>
      </c>
      <c r="H53" s="3">
        <f>LAR!O$22</f>
        <v>4.6744844926050355</v>
      </c>
      <c r="I53" s="3">
        <f t="shared" si="3"/>
        <v>78.631507000606121</v>
      </c>
      <c r="J53" s="3">
        <f t="shared" si="4"/>
        <v>99.499741342592884</v>
      </c>
      <c r="K53" s="3">
        <f t="shared" si="5"/>
        <v>120.36797568457965</v>
      </c>
      <c r="L53" s="13">
        <f>(TableTEMaster[[#This Row],[TGT]]*TARGETS)+(TableTEMaster[[#This Row],[REC]]*RECEPTIONS_TE)+(TableTEMaster[[#This Row],[RCYD]]*RECV_YARDS)+(TableTEMaster[[#This Row],[RCTD]]*RECV_TDS)</f>
        <v>99.499741342592898</v>
      </c>
      <c r="M53" s="14">
        <v>6.8828272271244249</v>
      </c>
    </row>
    <row r="54" spans="1:13" x14ac:dyDescent="0.25">
      <c r="A54" s="2">
        <f>IF(TableTEMaster[[#This Row],[Player]]&lt;&gt;0,A53+1,A53)</f>
        <v>51</v>
      </c>
      <c r="B54" s="2" t="str">
        <f>LAR!A$23</f>
        <v>Colby Parkinson</v>
      </c>
      <c r="C54" s="2" t="s">
        <v>69</v>
      </c>
      <c r="D54" s="4">
        <f>LAR!C$23</f>
        <v>11</v>
      </c>
      <c r="E54" s="3">
        <f>LAR!L$23</f>
        <v>40.147531182253346</v>
      </c>
      <c r="F54" s="3">
        <f>LAR!M$23</f>
        <v>29.267550231862689</v>
      </c>
      <c r="G54" s="3">
        <f>LAR!N$23</f>
        <v>277.20682944280912</v>
      </c>
      <c r="H54" s="3">
        <f>LAR!O$23</f>
        <v>3.1236112677785943</v>
      </c>
      <c r="I54" s="3">
        <f t="shared" si="3"/>
        <v>46.462350550952479</v>
      </c>
      <c r="J54" s="3">
        <f t="shared" si="4"/>
        <v>61.096125666883822</v>
      </c>
      <c r="K54" s="3">
        <f t="shared" si="5"/>
        <v>75.729900782815164</v>
      </c>
      <c r="L54" s="13">
        <f>(TableTEMaster[[#This Row],[TGT]]*TARGETS)+(TableTEMaster[[#This Row],[REC]]*RECEPTIONS_TE)+(TableTEMaster[[#This Row],[RCYD]]*RECV_YARDS)+(TableTEMaster[[#This Row],[RCTD]]*RECV_TDS)</f>
        <v>61.096125666883822</v>
      </c>
      <c r="M54" s="14">
        <v>0</v>
      </c>
    </row>
    <row r="55" spans="1:13" x14ac:dyDescent="0.25">
      <c r="A55" s="2">
        <f>IF(TableTEMaster[[#This Row],[Player]]&lt;&gt;0,A54+1,A54)</f>
        <v>52</v>
      </c>
      <c r="B55" s="2" t="str">
        <f>LAR!A$24</f>
        <v>Max Klare</v>
      </c>
      <c r="C55" s="2" t="s">
        <v>69</v>
      </c>
      <c r="D55" s="4">
        <f>LAR!C$24</f>
        <v>11</v>
      </c>
      <c r="E55" s="3">
        <f>LAR!L$24</f>
        <v>26.576534726280389</v>
      </c>
      <c r="F55" s="3">
        <f>LAR!M$24</f>
        <v>18.576997773669991</v>
      </c>
      <c r="G55" s="3">
        <f>LAR!N$24</f>
        <v>194.5696082610699</v>
      </c>
      <c r="H55" s="3">
        <f>LAR!O$24</f>
        <v>1.1732840699159994</v>
      </c>
      <c r="I55" s="3">
        <f t="shared" si="3"/>
        <v>26.496665245602987</v>
      </c>
      <c r="J55" s="3">
        <f t="shared" si="4"/>
        <v>35.785164132437984</v>
      </c>
      <c r="K55" s="3">
        <f t="shared" si="5"/>
        <v>45.073663019272978</v>
      </c>
      <c r="L55" s="13">
        <f>(TableTEMaster[[#This Row],[TGT]]*TARGETS)+(TableTEMaster[[#This Row],[REC]]*RECEPTIONS_TE)+(TableTEMaster[[#This Row],[RCYD]]*RECV_YARDS)+(TableTEMaster[[#This Row],[RCTD]]*RECV_TDS)</f>
        <v>35.785164132437984</v>
      </c>
      <c r="M55" s="14">
        <v>0</v>
      </c>
    </row>
    <row r="56" spans="1:13" x14ac:dyDescent="0.25">
      <c r="A56" s="2">
        <f>IF(TableTEMaster[[#This Row],[Player]]&lt;&gt;0,A55+1,A55)</f>
        <v>53</v>
      </c>
      <c r="B56" s="2" t="str">
        <f>MIA!A$22</f>
        <v>Greg Dulcich</v>
      </c>
      <c r="C56" s="2" t="s">
        <v>70</v>
      </c>
      <c r="D56" s="4">
        <f>MIA!C$22</f>
        <v>6</v>
      </c>
      <c r="E56" s="3">
        <f>MIA!L$22</f>
        <v>79.776423719999997</v>
      </c>
      <c r="F56" s="3">
        <f>MIA!M$22</f>
        <v>54.487297400759999</v>
      </c>
      <c r="G56" s="3">
        <f>MIA!N$22</f>
        <v>624.96930118671719</v>
      </c>
      <c r="H56" s="3">
        <f>MIA!O$22</f>
        <v>3.4871870336486399</v>
      </c>
      <c r="I56" s="3">
        <f t="shared" si="3"/>
        <v>83.420052320563556</v>
      </c>
      <c r="J56" s="3">
        <f t="shared" si="4"/>
        <v>110.66370102094356</v>
      </c>
      <c r="K56" s="3">
        <f t="shared" si="5"/>
        <v>137.90734972132356</v>
      </c>
      <c r="L56" s="13">
        <f>(TableTEMaster[[#This Row],[TGT]]*TARGETS)+(TableTEMaster[[#This Row],[REC]]*RECEPTIONS_TE)+(TableTEMaster[[#This Row],[RCYD]]*RECV_YARDS)+(TableTEMaster[[#This Row],[RCTD]]*RECV_TDS)</f>
        <v>110.66370102094356</v>
      </c>
      <c r="M56" s="14">
        <v>2.0133601251060926</v>
      </c>
    </row>
    <row r="57" spans="1:13" x14ac:dyDescent="0.25">
      <c r="A57" s="2">
        <f>IF(TableTEMaster[[#This Row],[Player]]&lt;&gt;0,A56+1,A56)</f>
        <v>54</v>
      </c>
      <c r="B57" s="2" t="str">
        <f>MIA!A$23</f>
        <v>Will Kacmarek</v>
      </c>
      <c r="C57" s="2" t="s">
        <v>70</v>
      </c>
      <c r="D57" s="4">
        <f>MIA!C$23</f>
        <v>6</v>
      </c>
      <c r="E57" s="3">
        <f>MIA!L$23</f>
        <v>16.743200039999998</v>
      </c>
      <c r="F57" s="3">
        <f>MIA!M$23</f>
        <v>11.54568326162553</v>
      </c>
      <c r="G57" s="3">
        <f>MIA!N$23</f>
        <v>119.84419225567302</v>
      </c>
      <c r="H57" s="3">
        <f>MIA!O$23</f>
        <v>0.69585214350638291</v>
      </c>
      <c r="I57" s="3">
        <f t="shared" si="3"/>
        <v>16.159532086605601</v>
      </c>
      <c r="J57" s="3">
        <f t="shared" si="4"/>
        <v>21.932373717418365</v>
      </c>
      <c r="K57" s="3">
        <f t="shared" si="5"/>
        <v>27.705215348231132</v>
      </c>
      <c r="L57" s="13">
        <f>(TableTEMaster[[#This Row],[TGT]]*TARGETS)+(TableTEMaster[[#This Row],[REC]]*RECEPTIONS_TE)+(TableTEMaster[[#This Row],[RCYD]]*RECV_YARDS)+(TableTEMaster[[#This Row],[RCTD]]*RECV_TDS)</f>
        <v>21.932373717418365</v>
      </c>
      <c r="M57" s="14">
        <v>0</v>
      </c>
    </row>
    <row r="58" spans="1:13" x14ac:dyDescent="0.25">
      <c r="A58" s="2">
        <f>IF(TableTEMaster[[#This Row],[Player]]&lt;&gt;0,A57+1,A57)</f>
        <v>55</v>
      </c>
      <c r="B58" s="2" t="str">
        <f>MIA!A$24</f>
        <v>Ben Sims</v>
      </c>
      <c r="C58" s="2" t="s">
        <v>70</v>
      </c>
      <c r="D58" s="4">
        <f>MIA!C$24</f>
        <v>6</v>
      </c>
      <c r="E58" s="3">
        <f>MIA!L$24</f>
        <v>12.311176499999997</v>
      </c>
      <c r="F58" s="3">
        <f>MIA!M$24</f>
        <v>7.1035488404999976</v>
      </c>
      <c r="G58" s="3">
        <f>MIA!N$24</f>
        <v>66.134039705054974</v>
      </c>
      <c r="H58" s="3">
        <f>MIA!O$24</f>
        <v>0.3551774420249999</v>
      </c>
      <c r="I58" s="3">
        <f t="shared" si="3"/>
        <v>8.7444686226554964</v>
      </c>
      <c r="J58" s="3">
        <f t="shared" si="4"/>
        <v>12.296243042905495</v>
      </c>
      <c r="K58" s="3">
        <f t="shared" si="5"/>
        <v>15.848017463155493</v>
      </c>
      <c r="L58" s="13">
        <f>(TableTEMaster[[#This Row],[TGT]]*TARGETS)+(TableTEMaster[[#This Row],[REC]]*RECEPTIONS_TE)+(TableTEMaster[[#This Row],[RCYD]]*RECV_YARDS)+(TableTEMaster[[#This Row],[RCTD]]*RECV_TDS)</f>
        <v>12.296243042905495</v>
      </c>
      <c r="M58" s="14">
        <v>0</v>
      </c>
    </row>
    <row r="59" spans="1:13" x14ac:dyDescent="0.25">
      <c r="A59" s="2">
        <f>IF(TableTEMaster[[#This Row],[Player]]&lt;&gt;0,A58+1,A58)</f>
        <v>56</v>
      </c>
      <c r="B59" s="2" t="str">
        <f>MIN!A$22</f>
        <v>T.J. Hockenson</v>
      </c>
      <c r="C59" s="2" t="s">
        <v>71</v>
      </c>
      <c r="D59" s="4">
        <f>MIN!C$22</f>
        <v>6</v>
      </c>
      <c r="E59" s="3">
        <f>MIN!L$22</f>
        <v>96.445672959999996</v>
      </c>
      <c r="F59" s="3">
        <f>MIN!M$22</f>
        <v>70.415039708360226</v>
      </c>
      <c r="G59" s="3">
        <f>MIN!N$22</f>
        <v>617.05294996637326</v>
      </c>
      <c r="H59" s="3">
        <f>MIN!O$22</f>
        <v>4.2249023825016137</v>
      </c>
      <c r="I59" s="3">
        <f t="shared" si="3"/>
        <v>87.054709291647015</v>
      </c>
      <c r="J59" s="3">
        <f t="shared" si="4"/>
        <v>122.26222914582712</v>
      </c>
      <c r="K59" s="3">
        <f t="shared" si="5"/>
        <v>157.46974900000725</v>
      </c>
      <c r="L59" s="13">
        <f>(TableTEMaster[[#This Row],[TGT]]*TARGETS)+(TableTEMaster[[#This Row],[REC]]*RECEPTIONS_TE)+(TableTEMaster[[#This Row],[RCYD]]*RECV_YARDS)+(TableTEMaster[[#This Row],[RCTD]]*RECV_TDS)</f>
        <v>122.26222914582712</v>
      </c>
      <c r="M59" s="14">
        <v>2.3510155315424002</v>
      </c>
    </row>
    <row r="60" spans="1:13" x14ac:dyDescent="0.25">
      <c r="A60" s="2">
        <f>IF(TableTEMaster[[#This Row],[Player]]&lt;&gt;0,A59+1,A59)</f>
        <v>57</v>
      </c>
      <c r="B60" s="2" t="str">
        <f>MIN!A$23</f>
        <v>Josh Oliver</v>
      </c>
      <c r="C60" s="2" t="s">
        <v>71</v>
      </c>
      <c r="D60" s="4">
        <f>MIN!C$23</f>
        <v>6</v>
      </c>
      <c r="E60" s="3">
        <f>MIN!L$23</f>
        <v>14.30787456</v>
      </c>
      <c r="F60" s="3">
        <f>MIN!M$23</f>
        <v>11.160142156800001</v>
      </c>
      <c r="G60" s="3">
        <f>MIN!N$23</f>
        <v>104.90533627392001</v>
      </c>
      <c r="H60" s="3">
        <f>MIN!O$23</f>
        <v>0.8258505196032</v>
      </c>
      <c r="I60" s="3">
        <f t="shared" si="3"/>
        <v>15.4456367450112</v>
      </c>
      <c r="J60" s="3">
        <f t="shared" si="4"/>
        <v>21.025707823411199</v>
      </c>
      <c r="K60" s="3">
        <f t="shared" si="5"/>
        <v>26.605778901811199</v>
      </c>
      <c r="L60" s="13">
        <f>(TableTEMaster[[#This Row],[TGT]]*TARGETS)+(TableTEMaster[[#This Row],[REC]]*RECEPTIONS_TE)+(TableTEMaster[[#This Row],[RCYD]]*RECV_YARDS)+(TableTEMaster[[#This Row],[RCTD]]*RECV_TDS)</f>
        <v>21.025707823411203</v>
      </c>
      <c r="M60" s="14">
        <v>0</v>
      </c>
    </row>
    <row r="61" spans="1:13" x14ac:dyDescent="0.25">
      <c r="A61" s="2">
        <f>IF(TableTEMaster[[#This Row],[Player]]&lt;&gt;0,A60+1,A60)</f>
        <v>58</v>
      </c>
      <c r="B61" s="2" t="str">
        <f>MIN!A$24</f>
        <v>Ben Yurosek</v>
      </c>
      <c r="C61" s="2" t="s">
        <v>71</v>
      </c>
      <c r="D61" s="4">
        <f>MIN!C$24</f>
        <v>6</v>
      </c>
      <c r="E61" s="3">
        <f>MIN!L$24</f>
        <v>2.6496063999999997</v>
      </c>
      <c r="F61" s="3">
        <f>MIN!M$24</f>
        <v>1.6840456677333331</v>
      </c>
      <c r="G61" s="3">
        <f>MIN!N$24</f>
        <v>14.807987767999997</v>
      </c>
      <c r="H61" s="3">
        <f>MIN!O$24</f>
        <v>8.420228338666666E-2</v>
      </c>
      <c r="I61" s="3">
        <f t="shared" si="3"/>
        <v>1.9860124771199996</v>
      </c>
      <c r="J61" s="3">
        <f t="shared" si="4"/>
        <v>2.8280353109866661</v>
      </c>
      <c r="K61" s="3">
        <f t="shared" si="5"/>
        <v>3.6700581448533329</v>
      </c>
      <c r="L61" s="13">
        <f>(TableTEMaster[[#This Row],[TGT]]*TARGETS)+(TableTEMaster[[#This Row],[REC]]*RECEPTIONS_TE)+(TableTEMaster[[#This Row],[RCYD]]*RECV_YARDS)+(TableTEMaster[[#This Row],[RCTD]]*RECV_TDS)</f>
        <v>2.8280353109866665</v>
      </c>
      <c r="M61" s="14">
        <v>0</v>
      </c>
    </row>
    <row r="62" spans="1:13" x14ac:dyDescent="0.25">
      <c r="A62" s="2">
        <f>IF(TableTEMaster[[#This Row],[Player]]&lt;&gt;0,A61+1,A61)</f>
        <v>59</v>
      </c>
      <c r="B62" s="2" t="str">
        <f>NE!A$22</f>
        <v>Hunter Henry</v>
      </c>
      <c r="C62" s="2" t="s">
        <v>72</v>
      </c>
      <c r="D62" s="4">
        <f>NE!C$22</f>
        <v>11</v>
      </c>
      <c r="E62" s="3">
        <f>NE!L$22</f>
        <v>78.534691199999969</v>
      </c>
      <c r="F62" s="3">
        <f>NE!M$22</f>
        <v>54.324388158843846</v>
      </c>
      <c r="G62" s="3">
        <f>NE!N$22</f>
        <v>630.16290264258862</v>
      </c>
      <c r="H62" s="3">
        <f>NE!O$22</f>
        <v>4.9435193224547902</v>
      </c>
      <c r="I62" s="3">
        <f t="shared" si="3"/>
        <v>92.677406198987597</v>
      </c>
      <c r="J62" s="3">
        <f t="shared" si="4"/>
        <v>119.83960027840952</v>
      </c>
      <c r="K62" s="3">
        <f t="shared" si="5"/>
        <v>147.00179435783144</v>
      </c>
      <c r="L62" s="13">
        <f>(TableTEMaster[[#This Row],[TGT]]*TARGETS)+(TableTEMaster[[#This Row],[REC]]*RECEPTIONS_TE)+(TableTEMaster[[#This Row],[RCYD]]*RECV_YARDS)+(TableTEMaster[[#This Row],[RCTD]]*RECV_TDS)</f>
        <v>119.83960027840953</v>
      </c>
      <c r="M62" s="14">
        <v>0.99153406386620913</v>
      </c>
    </row>
    <row r="63" spans="1:13" x14ac:dyDescent="0.25">
      <c r="A63" s="2">
        <f>IF(TableTEMaster[[#This Row],[Player]]&lt;&gt;0,A62+1,A62)</f>
        <v>60</v>
      </c>
      <c r="B63" s="2" t="str">
        <f>NE!A$23</f>
        <v>Eli Raridon</v>
      </c>
      <c r="C63" s="2" t="s">
        <v>72</v>
      </c>
      <c r="D63" s="4">
        <f>NE!C$23</f>
        <v>11</v>
      </c>
      <c r="E63" s="3">
        <f>NE!L$23</f>
        <v>37.085826399999988</v>
      </c>
      <c r="F63" s="3">
        <f>NE!M$23</f>
        <v>26.850138313599992</v>
      </c>
      <c r="G63" s="3">
        <f>NE!N$23</f>
        <v>268.12218195686313</v>
      </c>
      <c r="H63" s="3">
        <f>NE!O$23</f>
        <v>1.6915587137567996</v>
      </c>
      <c r="I63" s="3">
        <f t="shared" si="3"/>
        <v>36.96157047822711</v>
      </c>
      <c r="J63" s="3">
        <f t="shared" si="4"/>
        <v>50.386639635027109</v>
      </c>
      <c r="K63" s="3">
        <f t="shared" si="5"/>
        <v>63.811708791827101</v>
      </c>
      <c r="L63" s="13">
        <f>(TableTEMaster[[#This Row],[TGT]]*TARGETS)+(TableTEMaster[[#This Row],[REC]]*RECEPTIONS_TE)+(TableTEMaster[[#This Row],[RCYD]]*RECV_YARDS)+(TableTEMaster[[#This Row],[RCTD]]*RECV_TDS)</f>
        <v>50.386639635027102</v>
      </c>
      <c r="M63" s="14">
        <v>3.6313142252330555</v>
      </c>
    </row>
    <row r="64" spans="1:13" x14ac:dyDescent="0.25">
      <c r="A64" s="2">
        <f>IF(TableTEMaster[[#This Row],[Player]]&lt;&gt;0,A63+1,A63)</f>
        <v>61</v>
      </c>
      <c r="B64" s="2" t="str">
        <f>NE!A$24</f>
        <v>Julian Hill</v>
      </c>
      <c r="C64" s="2" t="s">
        <v>72</v>
      </c>
      <c r="D64" s="4">
        <f>NE!C$24</f>
        <v>11</v>
      </c>
      <c r="E64" s="3">
        <f>NE!L$24</f>
        <v>7.6353171999999958</v>
      </c>
      <c r="F64" s="3">
        <f>NE!M$24</f>
        <v>5.2803765463316212</v>
      </c>
      <c r="G64" s="3">
        <f>NE!N$24</f>
        <v>49.646398653312801</v>
      </c>
      <c r="H64" s="3">
        <f>NE!O$24</f>
        <v>0.30175817720341869</v>
      </c>
      <c r="I64" s="3">
        <f t="shared" si="3"/>
        <v>6.7751889285517928</v>
      </c>
      <c r="J64" s="3">
        <f t="shared" si="4"/>
        <v>9.4153772017176038</v>
      </c>
      <c r="K64" s="3">
        <f t="shared" si="5"/>
        <v>12.055565474883414</v>
      </c>
      <c r="L64" s="13">
        <f>(TableTEMaster[[#This Row],[TGT]]*TARGETS)+(TableTEMaster[[#This Row],[REC]]*RECEPTIONS_TE)+(TableTEMaster[[#This Row],[RCYD]]*RECV_YARDS)+(TableTEMaster[[#This Row],[RCTD]]*RECV_TDS)</f>
        <v>9.4153772017176021</v>
      </c>
      <c r="M64" s="14">
        <v>0</v>
      </c>
    </row>
    <row r="65" spans="1:13" x14ac:dyDescent="0.25">
      <c r="A65" s="2">
        <f>IF(TableTEMaster[[#This Row],[Player]]&lt;&gt;0,A64+1,A64)</f>
        <v>62</v>
      </c>
      <c r="B65" s="2" t="str">
        <f>NO!A$22</f>
        <v>Juwan Johnson</v>
      </c>
      <c r="C65" s="2" t="s">
        <v>73</v>
      </c>
      <c r="D65" s="4">
        <f>NO!C$22</f>
        <v>8</v>
      </c>
      <c r="E65" s="3">
        <f>NO!L$22</f>
        <v>75.659386879999985</v>
      </c>
      <c r="F65" s="3">
        <f>NO!M$22</f>
        <v>52.280636334079986</v>
      </c>
      <c r="G65" s="3">
        <f>NO!N$22</f>
        <v>568.08452249082939</v>
      </c>
      <c r="H65" s="3">
        <f>NO!O$22</f>
        <v>2.9799962710425594</v>
      </c>
      <c r="I65" s="3">
        <f t="shared" si="3"/>
        <v>74.688429875338301</v>
      </c>
      <c r="J65" s="3">
        <f t="shared" si="4"/>
        <v>100.82874804237829</v>
      </c>
      <c r="K65" s="3">
        <f t="shared" si="5"/>
        <v>126.96906620941829</v>
      </c>
      <c r="L65" s="13">
        <f>(TableTEMaster[[#This Row],[TGT]]*TARGETS)+(TableTEMaster[[#This Row],[REC]]*RECEPTIONS_TE)+(TableTEMaster[[#This Row],[RCYD]]*RECV_YARDS)+(TableTEMaster[[#This Row],[RCTD]]*RECV_TDS)</f>
        <v>100.82874804237828</v>
      </c>
      <c r="M65" s="14">
        <v>3.3816406319297219</v>
      </c>
    </row>
    <row r="66" spans="1:13" x14ac:dyDescent="0.25">
      <c r="A66" s="2">
        <f>IF(TableTEMaster[[#This Row],[Player]]&lt;&gt;0,A65+1,A65)</f>
        <v>63</v>
      </c>
      <c r="B66" s="2" t="str">
        <f>NO!A$23</f>
        <v>Noah Fant</v>
      </c>
      <c r="C66" s="2" t="s">
        <v>73</v>
      </c>
      <c r="D66" s="4">
        <f>NO!C$23</f>
        <v>8</v>
      </c>
      <c r="E66" s="3">
        <f>NO!L$23</f>
        <v>17.772339200000001</v>
      </c>
      <c r="F66" s="3">
        <f>NO!M$23</f>
        <v>13.506977792000001</v>
      </c>
      <c r="G66" s="3">
        <f>NO!N$23</f>
        <v>125.96002159379692</v>
      </c>
      <c r="H66" s="3">
        <f>NO!O$23</f>
        <v>0.71586982297599999</v>
      </c>
      <c r="I66" s="3">
        <f t="shared" ref="I66:I97" si="6">(G66/10)+(H66*6)</f>
        <v>16.891221097235693</v>
      </c>
      <c r="J66" s="3">
        <f t="shared" ref="J66:J97" si="7">I66+(F66*0.5)</f>
        <v>23.644709993235693</v>
      </c>
      <c r="K66" s="3">
        <f t="shared" ref="K66:K97" si="8">I66+F66</f>
        <v>30.398198889235694</v>
      </c>
      <c r="L66" s="13">
        <f>(TableTEMaster[[#This Row],[TGT]]*TARGETS)+(TableTEMaster[[#This Row],[REC]]*RECEPTIONS_TE)+(TableTEMaster[[#This Row],[RCYD]]*RECV_YARDS)+(TableTEMaster[[#This Row],[RCTD]]*RECV_TDS)</f>
        <v>23.644709993235693</v>
      </c>
      <c r="M66" s="14">
        <v>0</v>
      </c>
    </row>
    <row r="67" spans="1:13" x14ac:dyDescent="0.25">
      <c r="A67" s="2">
        <f>IF(TableTEMaster[[#This Row],[Player]]&lt;&gt;0,A66+1,A66)</f>
        <v>64</v>
      </c>
      <c r="B67" s="2" t="str">
        <f>NO!A$24</f>
        <v>Oscar Delp</v>
      </c>
      <c r="C67" s="2" t="s">
        <v>73</v>
      </c>
      <c r="D67" s="4">
        <f>NO!C$24</f>
        <v>8</v>
      </c>
      <c r="E67" s="3">
        <f>NO!L$24</f>
        <v>10.1556224</v>
      </c>
      <c r="F67" s="3">
        <f>NO!M$24</f>
        <v>7.8299848704000006</v>
      </c>
      <c r="G67" s="3">
        <f>NO!N$24</f>
        <v>70.465419187505162</v>
      </c>
      <c r="H67" s="3">
        <f>NO!O$24</f>
        <v>0.46979909222400001</v>
      </c>
      <c r="I67" s="3">
        <f t="shared" si="6"/>
        <v>9.8653364720945156</v>
      </c>
      <c r="J67" s="3">
        <f t="shared" si="7"/>
        <v>13.780328907294516</v>
      </c>
      <c r="K67" s="3">
        <f t="shared" si="8"/>
        <v>17.695321342494516</v>
      </c>
      <c r="L67" s="13">
        <f>(TableTEMaster[[#This Row],[TGT]]*TARGETS)+(TableTEMaster[[#This Row],[REC]]*RECEPTIONS_TE)+(TableTEMaster[[#This Row],[RCYD]]*RECV_YARDS)+(TableTEMaster[[#This Row],[RCTD]]*RECV_TDS)+((NO!F24/10)+(NO!G24*6)+(NO!H24*-0.5)+(NO!J24/10)+(NO!K24*6))</f>
        <v>13.780328907294518</v>
      </c>
      <c r="M67" s="14">
        <v>0</v>
      </c>
    </row>
    <row r="68" spans="1:13" x14ac:dyDescent="0.25">
      <c r="A68" s="2">
        <f>IF(TableTEMaster[[#This Row],[Player]]&lt;&gt;0,A67+1,A67)</f>
        <v>65</v>
      </c>
      <c r="B68" s="2" t="str">
        <f>NYG!A$22</f>
        <v>Isaiah Likely</v>
      </c>
      <c r="C68" s="2" t="s">
        <v>74</v>
      </c>
      <c r="D68" s="4">
        <f>NYG!C$22</f>
        <v>8</v>
      </c>
      <c r="E68" s="3">
        <f>NYG!L$22</f>
        <v>99.378182820000006</v>
      </c>
      <c r="F68" s="3">
        <f>NYG!M$22</f>
        <v>72.033140364044769</v>
      </c>
      <c r="G68" s="3">
        <f>NYG!N$22</f>
        <v>787.32222417900925</v>
      </c>
      <c r="H68" s="3">
        <f>NYG!O$22</f>
        <v>5.6906180887595372</v>
      </c>
      <c r="I68" s="3">
        <f t="shared" si="6"/>
        <v>112.87593095045816</v>
      </c>
      <c r="J68" s="3">
        <f t="shared" si="7"/>
        <v>148.89250113248053</v>
      </c>
      <c r="K68" s="3">
        <f t="shared" si="8"/>
        <v>184.90907131450291</v>
      </c>
      <c r="L68" s="13">
        <f>(TableTEMaster[[#This Row],[TGT]]*TARGETS)+(TableTEMaster[[#This Row],[REC]]*RECEPTIONS_TE)+(TableTEMaster[[#This Row],[RCYD]]*RECV_YARDS)+(TableTEMaster[[#This Row],[RCTD]]*RECV_TDS)</f>
        <v>148.89250113248056</v>
      </c>
      <c r="M68" s="14">
        <v>1.0370412640107298</v>
      </c>
    </row>
    <row r="69" spans="1:13" x14ac:dyDescent="0.25">
      <c r="A69" s="2">
        <f>IF(TableTEMaster[[#This Row],[Player]]&lt;&gt;0,A68+1,A68)</f>
        <v>66</v>
      </c>
      <c r="B69" s="2" t="str">
        <f>NYG!A$23</f>
        <v>Theo Johnson</v>
      </c>
      <c r="C69" s="2" t="s">
        <v>74</v>
      </c>
      <c r="D69" s="4">
        <f>NYG!C$23</f>
        <v>8</v>
      </c>
      <c r="E69" s="3">
        <f>NYG!L$23</f>
        <v>30.653966840000002</v>
      </c>
      <c r="F69" s="3">
        <f>NYG!M$23</f>
        <v>20.292926048080002</v>
      </c>
      <c r="G69" s="3">
        <f>NYG!N$23</f>
        <v>217.47903885757958</v>
      </c>
      <c r="H69" s="3">
        <f>NYG!O$23</f>
        <v>1.521969453606</v>
      </c>
      <c r="I69" s="3">
        <f t="shared" si="6"/>
        <v>30.879720607393956</v>
      </c>
      <c r="J69" s="3">
        <f t="shared" si="7"/>
        <v>41.026183631433959</v>
      </c>
      <c r="K69" s="3">
        <f t="shared" si="8"/>
        <v>51.172646655473955</v>
      </c>
      <c r="L69" s="13">
        <f>(TableTEMaster[[#This Row],[TGT]]*TARGETS)+(TableTEMaster[[#This Row],[REC]]*RECEPTIONS_TE)+(TableTEMaster[[#This Row],[RCYD]]*RECV_YARDS)+(TableTEMaster[[#This Row],[RCTD]]*RECV_TDS)</f>
        <v>41.026183631433959</v>
      </c>
      <c r="M69" s="14">
        <v>0</v>
      </c>
    </row>
    <row r="70" spans="1:13" x14ac:dyDescent="0.25">
      <c r="A70" s="2">
        <f>IF(TableTEMaster[[#This Row],[Player]]&lt;&gt;0,A69+1,A69)</f>
        <v>67</v>
      </c>
      <c r="B70" s="2" t="str">
        <f>NYG!A$24</f>
        <v>Thomas Fidone</v>
      </c>
      <c r="C70" s="2" t="s">
        <v>74</v>
      </c>
      <c r="D70" s="4">
        <f>NYG!C$24</f>
        <v>8</v>
      </c>
      <c r="E70" s="3">
        <f>NYG!L$24</f>
        <v>2.4720941000000001</v>
      </c>
      <c r="F70" s="3">
        <f>NYG!M$24</f>
        <v>1.5153936833000001</v>
      </c>
      <c r="G70" s="3">
        <f>NYG!N$24</f>
        <v>15.729786432654002</v>
      </c>
      <c r="H70" s="3">
        <f>NYG!O$24</f>
        <v>9.0923620997999999E-2</v>
      </c>
      <c r="I70" s="3">
        <f t="shared" si="6"/>
        <v>2.1185203692534005</v>
      </c>
      <c r="J70" s="3">
        <f t="shared" si="7"/>
        <v>2.8762172109034005</v>
      </c>
      <c r="K70" s="3">
        <f t="shared" si="8"/>
        <v>3.6339140525534006</v>
      </c>
      <c r="L70" s="13">
        <f>(TableTEMaster[[#This Row],[TGT]]*TARGETS)+(TableTEMaster[[#This Row],[REC]]*RECEPTIONS_TE)+(TableTEMaster[[#This Row],[RCYD]]*RECV_YARDS)+(TableTEMaster[[#This Row],[RCTD]]*RECV_TDS)</f>
        <v>2.8762172109034005</v>
      </c>
      <c r="M70" s="14">
        <v>0</v>
      </c>
    </row>
    <row r="71" spans="1:13" x14ac:dyDescent="0.25">
      <c r="A71" s="2">
        <f>IF(TableTEMaster[[#This Row],[Player]]&lt;&gt;0,A70+1,A70)</f>
        <v>68</v>
      </c>
      <c r="B71" s="2" t="str">
        <f>NYJ!A$22</f>
        <v>Kenyon Sadiq</v>
      </c>
      <c r="C71" s="2" t="s">
        <v>75</v>
      </c>
      <c r="D71" s="4">
        <f>NYJ!C$22</f>
        <v>13</v>
      </c>
      <c r="E71" s="3">
        <f>NYJ!L$22</f>
        <v>65.191688273208825</v>
      </c>
      <c r="F71" s="3">
        <f>NYJ!M$22</f>
        <v>46.840733386225139</v>
      </c>
      <c r="G71" s="3">
        <f>NYJ!N$22</f>
        <v>453.82461016603662</v>
      </c>
      <c r="H71" s="3">
        <f>NYJ!O$22</f>
        <v>2.9978069367184088</v>
      </c>
      <c r="I71" s="3">
        <f t="shared" si="6"/>
        <v>63.369302636914114</v>
      </c>
      <c r="J71" s="3">
        <f t="shared" si="7"/>
        <v>86.789669330026683</v>
      </c>
      <c r="K71" s="3">
        <f t="shared" si="8"/>
        <v>110.21003602313925</v>
      </c>
      <c r="L71" s="13">
        <f>(TableTEMaster[[#This Row],[TGT]]*TARGETS)+(TableTEMaster[[#This Row],[REC]]*RECEPTIONS_TE)+(TableTEMaster[[#This Row],[RCYD]]*RECV_YARDS)+(TableTEMaster[[#This Row],[RCTD]]*RECV_TDS)</f>
        <v>86.789669330026697</v>
      </c>
      <c r="M71" s="14">
        <v>0</v>
      </c>
    </row>
    <row r="72" spans="1:13" x14ac:dyDescent="0.25">
      <c r="A72" s="2">
        <f>IF(TableTEMaster[[#This Row],[Player]]&lt;&gt;0,A71+1,A71)</f>
        <v>69</v>
      </c>
      <c r="B72" s="2" t="str">
        <f>NYJ!A$23</f>
        <v>Mason Taylor</v>
      </c>
      <c r="C72" s="2" t="s">
        <v>75</v>
      </c>
      <c r="D72" s="4">
        <f>NYJ!C$23</f>
        <v>13</v>
      </c>
      <c r="E72" s="3">
        <f>NYJ!L$23</f>
        <v>51.141755455706921</v>
      </c>
      <c r="F72" s="3">
        <f>NYJ!M$23</f>
        <v>38.867734146337263</v>
      </c>
      <c r="G72" s="3">
        <f>NYJ!N$23</f>
        <v>325.93094124496713</v>
      </c>
      <c r="H72" s="3">
        <f>NYJ!O$23</f>
        <v>2.0988576439022122</v>
      </c>
      <c r="I72" s="3">
        <f t="shared" si="6"/>
        <v>45.186239987909985</v>
      </c>
      <c r="J72" s="3">
        <f t="shared" si="7"/>
        <v>64.620107061078613</v>
      </c>
      <c r="K72" s="3">
        <f t="shared" si="8"/>
        <v>84.053974134247255</v>
      </c>
      <c r="L72" s="13">
        <f>(TableTEMaster[[#This Row],[TGT]]*TARGETS)+(TableTEMaster[[#This Row],[REC]]*RECEPTIONS_TE)+(TableTEMaster[[#This Row],[RCYD]]*RECV_YARDS)+(TableTEMaster[[#This Row],[RCTD]]*RECV_TDS)</f>
        <v>64.620107061078613</v>
      </c>
      <c r="M72" s="14">
        <v>0</v>
      </c>
    </row>
    <row r="73" spans="1:13" x14ac:dyDescent="0.25">
      <c r="A73" s="2">
        <f>IF(TableTEMaster[[#This Row],[Player]]&lt;&gt;0,A72+1,A72)</f>
        <v>70</v>
      </c>
      <c r="B73" s="2" t="str">
        <f>NYJ!A$24</f>
        <v>Jeremy Ruckert</v>
      </c>
      <c r="C73" s="2" t="s">
        <v>75</v>
      </c>
      <c r="D73" s="4">
        <f>NYJ!C$24</f>
        <v>13</v>
      </c>
      <c r="E73" s="3">
        <f>NYJ!L$24</f>
        <v>8.4299596905011391</v>
      </c>
      <c r="F73" s="3">
        <f>NYJ!M$24</f>
        <v>5.3709061361450434</v>
      </c>
      <c r="G73" s="3">
        <f>NYJ!N$24</f>
        <v>44.092010074532368</v>
      </c>
      <c r="H73" s="3">
        <f>NYJ!O$24</f>
        <v>0.32225436816870262</v>
      </c>
      <c r="I73" s="3">
        <f t="shared" si="6"/>
        <v>6.3427272164654518</v>
      </c>
      <c r="J73" s="3">
        <f t="shared" si="7"/>
        <v>9.0281802845379744</v>
      </c>
      <c r="K73" s="3">
        <f t="shared" si="8"/>
        <v>11.713633352610495</v>
      </c>
      <c r="L73" s="13">
        <f>(TableTEMaster[[#This Row],[TGT]]*TARGETS)+(TableTEMaster[[#This Row],[REC]]*RECEPTIONS_TE)+(TableTEMaster[[#This Row],[RCYD]]*RECV_YARDS)+(TableTEMaster[[#This Row],[RCTD]]*RECV_TDS)</f>
        <v>9.0281802845379744</v>
      </c>
      <c r="M73" s="14">
        <v>0</v>
      </c>
    </row>
    <row r="74" spans="1:13" x14ac:dyDescent="0.25">
      <c r="A74" s="2">
        <f>IF(TableTEMaster[[#This Row],[Player]]&lt;&gt;0,A73+1,A73)</f>
        <v>71</v>
      </c>
      <c r="B74" s="2" t="str">
        <f>LV!A$22</f>
        <v>Brock Bowers</v>
      </c>
      <c r="C74" s="2" t="s">
        <v>115</v>
      </c>
      <c r="D74" s="4">
        <f>LV!C$22</f>
        <v>13</v>
      </c>
      <c r="E74" s="3">
        <f>LV!L$22</f>
        <v>136.61925984000001</v>
      </c>
      <c r="F74" s="3">
        <f>LV!M$22</f>
        <v>94.540527809280007</v>
      </c>
      <c r="G74" s="3">
        <f>LV!N$22</f>
        <v>1016.8526900232712</v>
      </c>
      <c r="H74" s="3">
        <f>LV!O$22</f>
        <v>6.7123774744588802</v>
      </c>
      <c r="I74" s="3">
        <f t="shared" si="6"/>
        <v>141.9595338490804</v>
      </c>
      <c r="J74" s="3">
        <f t="shared" si="7"/>
        <v>189.22979775372039</v>
      </c>
      <c r="K74" s="3">
        <f t="shared" si="8"/>
        <v>236.50006165836041</v>
      </c>
      <c r="L74" s="13">
        <f>(TableTEMaster[[#This Row],[TGT]]*TARGETS)+(TableTEMaster[[#This Row],[REC]]*RECEPTIONS_TE)+(TableTEMaster[[#This Row],[RCYD]]*RECV_YARDS)+(TableTEMaster[[#This Row],[RCTD]]*RECV_TDS)</f>
        <v>189.22979775372039</v>
      </c>
      <c r="M74" s="14">
        <v>21.587220110897501</v>
      </c>
    </row>
    <row r="75" spans="1:13" x14ac:dyDescent="0.25">
      <c r="A75" s="2">
        <f>IF(TableTEMaster[[#This Row],[Player]]&lt;&gt;0,A74+1,A74)</f>
        <v>72</v>
      </c>
      <c r="B75" s="2" t="str">
        <f>LV!A$23</f>
        <v>Michael Mayer</v>
      </c>
      <c r="C75" s="2" t="s">
        <v>115</v>
      </c>
      <c r="D75" s="4">
        <f>LV!C$23</f>
        <v>13</v>
      </c>
      <c r="E75" s="3">
        <f>LV!L$23</f>
        <v>37.012389120000002</v>
      </c>
      <c r="F75" s="3">
        <f>LV!M$23</f>
        <v>25.463831894202613</v>
      </c>
      <c r="G75" s="3">
        <f>LV!N$23</f>
        <v>245.35985491558876</v>
      </c>
      <c r="H75" s="3">
        <f>LV!O$23</f>
        <v>1.5023660817579541</v>
      </c>
      <c r="I75" s="3">
        <f t="shared" si="6"/>
        <v>33.550181982106601</v>
      </c>
      <c r="J75" s="3">
        <f t="shared" si="7"/>
        <v>46.282097929207907</v>
      </c>
      <c r="K75" s="3">
        <f t="shared" si="8"/>
        <v>59.014013876309214</v>
      </c>
      <c r="L75" s="13">
        <f>(TableTEMaster[[#This Row],[TGT]]*TARGETS)+(TableTEMaster[[#This Row],[REC]]*RECEPTIONS_TE)+(TableTEMaster[[#This Row],[RCYD]]*RECV_YARDS)+(TableTEMaster[[#This Row],[RCTD]]*RECV_TDS)</f>
        <v>46.282097929207907</v>
      </c>
      <c r="M75" s="14">
        <v>0</v>
      </c>
    </row>
    <row r="76" spans="1:13" x14ac:dyDescent="0.25">
      <c r="A76" s="2">
        <f>IF(TableTEMaster[[#This Row],[Player]]&lt;&gt;0,A75+1,A75)</f>
        <v>72</v>
      </c>
      <c r="B76" s="2">
        <f>LV!A$24</f>
        <v>0</v>
      </c>
      <c r="C76" s="2" t="s">
        <v>115</v>
      </c>
      <c r="D76" s="4">
        <f>LV!C$24</f>
        <v>13</v>
      </c>
      <c r="E76" s="3">
        <f>LV!L$24</f>
        <v>0</v>
      </c>
      <c r="F76" s="3">
        <f>LV!M$24</f>
        <v>0</v>
      </c>
      <c r="G76" s="3">
        <f>LV!N$24</f>
        <v>0</v>
      </c>
      <c r="H76" s="3">
        <f>LV!O$24</f>
        <v>0</v>
      </c>
      <c r="I76" s="3">
        <f t="shared" si="6"/>
        <v>0</v>
      </c>
      <c r="J76" s="3">
        <f t="shared" si="7"/>
        <v>0</v>
      </c>
      <c r="K76" s="3">
        <f t="shared" si="8"/>
        <v>0</v>
      </c>
      <c r="L76" s="13">
        <f>(TableTEMaster[[#This Row],[TGT]]*TARGETS)+(TableTEMaster[[#This Row],[REC]]*RECEPTIONS_TE)+(TableTEMaster[[#This Row],[RCYD]]*RECV_YARDS)+(TableTEMaster[[#This Row],[RCTD]]*RECV_TDS)</f>
        <v>0</v>
      </c>
      <c r="M76" s="14">
        <v>0</v>
      </c>
    </row>
    <row r="77" spans="1:13" x14ac:dyDescent="0.25">
      <c r="A77" s="2">
        <f>IF(TableTEMaster[[#This Row],[Player]]&lt;&gt;0,A76+1,A76)</f>
        <v>73</v>
      </c>
      <c r="B77" s="2" t="str">
        <f>PHI!A$22</f>
        <v>Dallas Goedert</v>
      </c>
      <c r="C77" s="2" t="s">
        <v>76</v>
      </c>
      <c r="D77" s="4">
        <f>PHI!C$22</f>
        <v>10</v>
      </c>
      <c r="E77" s="3">
        <f>PHI!L$22</f>
        <v>78.771443520000005</v>
      </c>
      <c r="F77" s="3">
        <f>PHI!M$22</f>
        <v>55.376324794559999</v>
      </c>
      <c r="G77" s="3">
        <f>PHI!N$22</f>
        <v>558.71150776058289</v>
      </c>
      <c r="H77" s="3">
        <f>PHI!O$22</f>
        <v>5.0946218810995196</v>
      </c>
      <c r="I77" s="3">
        <f t="shared" si="6"/>
        <v>86.438882062655409</v>
      </c>
      <c r="J77" s="3">
        <f t="shared" si="7"/>
        <v>114.12704445993541</v>
      </c>
      <c r="K77" s="3">
        <f t="shared" si="8"/>
        <v>141.8152068572154</v>
      </c>
      <c r="L77" s="13">
        <f>(TableTEMaster[[#This Row],[TGT]]*TARGETS)+(TableTEMaster[[#This Row],[REC]]*RECEPTIONS_TE)+(TableTEMaster[[#This Row],[RCYD]]*RECV_YARDS)+(TableTEMaster[[#This Row],[RCTD]]*RECV_TDS)</f>
        <v>114.12704445993541</v>
      </c>
      <c r="M77" s="14">
        <v>7.0149645980123587</v>
      </c>
    </row>
    <row r="78" spans="1:13" x14ac:dyDescent="0.25">
      <c r="A78" s="2">
        <f>IF(TableTEMaster[[#This Row],[Player]]&lt;&gt;0,A77+1,A77)</f>
        <v>74</v>
      </c>
      <c r="B78" s="2" t="str">
        <f>PHI!A$23</f>
        <v>Eli Stowers</v>
      </c>
      <c r="C78" s="2" t="s">
        <v>76</v>
      </c>
      <c r="D78" s="4">
        <f>PHI!C$23</f>
        <v>10</v>
      </c>
      <c r="E78" s="3">
        <f>PHI!L$23</f>
        <v>23.05505664</v>
      </c>
      <c r="F78" s="3">
        <f>PHI!M$23</f>
        <v>16.39214527104</v>
      </c>
      <c r="G78" s="3">
        <f>PHI!N$23</f>
        <v>168.09825787902821</v>
      </c>
      <c r="H78" s="3">
        <f>PHI!O$23</f>
        <v>1.1802344595148799</v>
      </c>
      <c r="I78" s="3">
        <f t="shared" si="6"/>
        <v>23.8912325449921</v>
      </c>
      <c r="J78" s="3">
        <f t="shared" si="7"/>
        <v>32.087305180512104</v>
      </c>
      <c r="K78" s="3">
        <f t="shared" si="8"/>
        <v>40.2833778160321</v>
      </c>
      <c r="L78" s="13">
        <f>(TableTEMaster[[#This Row],[TGT]]*TARGETS)+(TableTEMaster[[#This Row],[REC]]*RECEPTIONS_TE)+(TableTEMaster[[#This Row],[RCYD]]*RECV_YARDS)+(TableTEMaster[[#This Row],[RCTD]]*RECV_TDS)</f>
        <v>32.087305180512104</v>
      </c>
      <c r="M78" s="14">
        <v>0</v>
      </c>
    </row>
    <row r="79" spans="1:13" x14ac:dyDescent="0.25">
      <c r="A79" s="2">
        <f>IF(TableTEMaster[[#This Row],[Player]]&lt;&gt;0,A78+1,A78)</f>
        <v>75</v>
      </c>
      <c r="B79" s="2" t="str">
        <f>PHI!A$24</f>
        <v>Grant Calcaterra</v>
      </c>
      <c r="C79" s="2" t="s">
        <v>76</v>
      </c>
      <c r="D79" s="4">
        <f>PHI!C$24</f>
        <v>10</v>
      </c>
      <c r="E79" s="3">
        <f>PHI!L$24</f>
        <v>2.4015683999999999</v>
      </c>
      <c r="F79" s="3">
        <f>PHI!M$24</f>
        <v>1.6810978799999998</v>
      </c>
      <c r="G79" s="3">
        <f>PHI!N$24</f>
        <v>13.42453165755232</v>
      </c>
      <c r="H79" s="3">
        <f>PHI!O$24</f>
        <v>9.4222584263923354E-2</v>
      </c>
      <c r="I79" s="3">
        <f t="shared" si="6"/>
        <v>1.9077886713387722</v>
      </c>
      <c r="J79" s="3">
        <f t="shared" si="7"/>
        <v>2.7483376113387719</v>
      </c>
      <c r="K79" s="3">
        <f t="shared" si="8"/>
        <v>3.588886551338772</v>
      </c>
      <c r="L79" s="13">
        <f>(TableTEMaster[[#This Row],[TGT]]*TARGETS)+(TableTEMaster[[#This Row],[REC]]*RECEPTIONS_TE)+(TableTEMaster[[#This Row],[RCYD]]*RECV_YARDS)+(TableTEMaster[[#This Row],[RCTD]]*RECV_TDS)</f>
        <v>2.7483376113387723</v>
      </c>
      <c r="M79" s="14">
        <v>0</v>
      </c>
    </row>
    <row r="80" spans="1:13" x14ac:dyDescent="0.25">
      <c r="A80" s="2">
        <f>IF(TableTEMaster[[#This Row],[Player]]&lt;&gt;0,A79+1,A79)</f>
        <v>76</v>
      </c>
      <c r="B80" s="2" t="str">
        <f>PIT!A$22</f>
        <v>Pat Freiermuth</v>
      </c>
      <c r="C80" s="2" t="s">
        <v>77</v>
      </c>
      <c r="D80" s="4">
        <f>PIT!C$22</f>
        <v>9</v>
      </c>
      <c r="E80" s="3">
        <f>PIT!L$22</f>
        <v>80.089128000000002</v>
      </c>
      <c r="F80" s="3">
        <f>PIT!M$22</f>
        <v>55.00196004206623</v>
      </c>
      <c r="G80" s="3">
        <f>PIT!N$22</f>
        <v>563.08809526283449</v>
      </c>
      <c r="H80" s="3">
        <f>PIT!O$22</f>
        <v>4.2098947371655635</v>
      </c>
      <c r="I80" s="3">
        <f t="shared" si="6"/>
        <v>81.56817794927683</v>
      </c>
      <c r="J80" s="3">
        <f t="shared" si="7"/>
        <v>109.06915797030994</v>
      </c>
      <c r="K80" s="3">
        <f t="shared" si="8"/>
        <v>136.57013799134307</v>
      </c>
      <c r="L80" s="13">
        <f>(TableTEMaster[[#This Row],[TGT]]*TARGETS)+(TableTEMaster[[#This Row],[REC]]*RECEPTIONS_TE)+(TableTEMaster[[#This Row],[RCYD]]*RECV_YARDS)+(TableTEMaster[[#This Row],[RCTD]]*RECV_TDS)</f>
        <v>109.06915797030996</v>
      </c>
      <c r="M80" s="14">
        <v>0</v>
      </c>
    </row>
    <row r="81" spans="1:13" x14ac:dyDescent="0.25">
      <c r="A81" s="2">
        <f>IF(TableTEMaster[[#This Row],[Player]]&lt;&gt;0,A80+1,A80)</f>
        <v>77</v>
      </c>
      <c r="B81" s="2" t="str">
        <f>PIT!A$23</f>
        <v>Darnell Washington</v>
      </c>
      <c r="C81" s="2" t="s">
        <v>77</v>
      </c>
      <c r="D81" s="4">
        <f>PIT!C$23</f>
        <v>9</v>
      </c>
      <c r="E81" s="3">
        <f>PIT!L$23</f>
        <v>43.736615999999998</v>
      </c>
      <c r="F81" s="3">
        <f>PIT!M$23</f>
        <v>31.315417055999998</v>
      </c>
      <c r="G81" s="3">
        <f>PIT!N$23</f>
        <v>340.2005542619471</v>
      </c>
      <c r="H81" s="3">
        <f>PIT!O$23</f>
        <v>2.2730634797775009</v>
      </c>
      <c r="I81" s="3">
        <f t="shared" si="6"/>
        <v>47.658436304859713</v>
      </c>
      <c r="J81" s="3">
        <f t="shared" si="7"/>
        <v>63.316144832859713</v>
      </c>
      <c r="K81" s="3">
        <f t="shared" si="8"/>
        <v>78.973853360859707</v>
      </c>
      <c r="L81" s="13">
        <f>(TableTEMaster[[#This Row],[TGT]]*TARGETS)+(TableTEMaster[[#This Row],[REC]]*RECEPTIONS_TE)+(TableTEMaster[[#This Row],[RCYD]]*RECV_YARDS)+(TableTEMaster[[#This Row],[RCTD]]*RECV_TDS)</f>
        <v>63.316144832859713</v>
      </c>
      <c r="M81" s="14">
        <v>0</v>
      </c>
    </row>
    <row r="82" spans="1:13" x14ac:dyDescent="0.25">
      <c r="A82" s="2">
        <f>IF(TableTEMaster[[#This Row],[Player]]&lt;&gt;0,A81+1,A81)</f>
        <v>77</v>
      </c>
      <c r="B82" s="2">
        <f>PIT!A$24</f>
        <v>0</v>
      </c>
      <c r="C82" s="2" t="s">
        <v>77</v>
      </c>
      <c r="D82" s="4">
        <f>PIT!C$24</f>
        <v>9</v>
      </c>
      <c r="E82" s="3">
        <f>PIT!L$24</f>
        <v>0</v>
      </c>
      <c r="F82" s="3">
        <f>PIT!M$24</f>
        <v>0</v>
      </c>
      <c r="G82" s="3">
        <f>PIT!N$24</f>
        <v>0</v>
      </c>
      <c r="H82" s="3">
        <f>PIT!O$24</f>
        <v>0</v>
      </c>
      <c r="I82" s="3">
        <f t="shared" si="6"/>
        <v>0</v>
      </c>
      <c r="J82" s="3">
        <f t="shared" si="7"/>
        <v>0</v>
      </c>
      <c r="K82" s="3">
        <f t="shared" si="8"/>
        <v>0</v>
      </c>
      <c r="L82" s="13">
        <f>(TableTEMaster[[#This Row],[TGT]]*TARGETS)+(TableTEMaster[[#This Row],[REC]]*RECEPTIONS_TE)+(TableTEMaster[[#This Row],[RCYD]]*RECV_YARDS)+(TableTEMaster[[#This Row],[RCTD]]*RECV_TDS)</f>
        <v>0</v>
      </c>
      <c r="M82" s="14">
        <v>0</v>
      </c>
    </row>
    <row r="83" spans="1:13" x14ac:dyDescent="0.25">
      <c r="A83" s="2">
        <f>IF(TableTEMaster[[#This Row],[Player]]&lt;&gt;0,A82+1,A82)</f>
        <v>78</v>
      </c>
      <c r="B83" s="2" t="str">
        <f>SEA!A$22</f>
        <v>AJ Barner</v>
      </c>
      <c r="C83" s="2" t="s">
        <v>78</v>
      </c>
      <c r="D83" s="4">
        <f>SEA!C$22</f>
        <v>11</v>
      </c>
      <c r="E83" s="3">
        <f>SEA!L$22</f>
        <v>59.557837919999997</v>
      </c>
      <c r="F83" s="3">
        <f>SEA!M$22</f>
        <v>40.742325764313591</v>
      </c>
      <c r="G83" s="3">
        <f>SEA!N$22</f>
        <v>415.97914605364178</v>
      </c>
      <c r="H83" s="3">
        <f>SEA!O$22</f>
        <v>3.7482939703168503</v>
      </c>
      <c r="I83" s="3">
        <f t="shared" si="6"/>
        <v>64.087678427265274</v>
      </c>
      <c r="J83" s="3">
        <f t="shared" si="7"/>
        <v>84.45884130942207</v>
      </c>
      <c r="K83" s="3">
        <f t="shared" si="8"/>
        <v>104.83000419157887</v>
      </c>
      <c r="L83" s="13">
        <f>(TableTEMaster[[#This Row],[TGT]]*TARGETS)+(TableTEMaster[[#This Row],[REC]]*RECEPTIONS_TE)+(TableTEMaster[[#This Row],[RCYD]]*RECV_YARDS)+(TableTEMaster[[#This Row],[RCTD]]*RECV_TDS)</f>
        <v>84.45884130942207</v>
      </c>
      <c r="M83" s="14">
        <v>1.3392541066845682</v>
      </c>
    </row>
    <row r="84" spans="1:13" x14ac:dyDescent="0.25">
      <c r="A84" s="2">
        <f>IF(TableTEMaster[[#This Row],[Player]]&lt;&gt;0,A83+1,A83)</f>
        <v>79</v>
      </c>
      <c r="B84" s="2" t="str">
        <f>SEA!A$23</f>
        <v>Elijah Arroyo</v>
      </c>
      <c r="C84" s="2" t="s">
        <v>78</v>
      </c>
      <c r="D84" s="4">
        <f>SEA!C$23</f>
        <v>11</v>
      </c>
      <c r="E84" s="3">
        <f>SEA!L$23</f>
        <v>32.302556160000002</v>
      </c>
      <c r="F84" s="3">
        <f>SEA!M$23</f>
        <v>19.575349032960002</v>
      </c>
      <c r="G84" s="3">
        <f>SEA!N$23</f>
        <v>216.89486728519682</v>
      </c>
      <c r="H84" s="3">
        <f>SEA!O$23</f>
        <v>1.6802121398522076</v>
      </c>
      <c r="I84" s="3">
        <f t="shared" si="6"/>
        <v>31.770759567632929</v>
      </c>
      <c r="J84" s="3">
        <f t="shared" si="7"/>
        <v>41.558434084112932</v>
      </c>
      <c r="K84" s="3">
        <f t="shared" si="8"/>
        <v>51.346108600592927</v>
      </c>
      <c r="L84" s="13">
        <f>(TableTEMaster[[#This Row],[TGT]]*TARGETS)+(TableTEMaster[[#This Row],[REC]]*RECEPTIONS_TE)+(TableTEMaster[[#This Row],[RCYD]]*RECV_YARDS)+(TableTEMaster[[#This Row],[RCTD]]*RECV_TDS)</f>
        <v>41.558434084112932</v>
      </c>
      <c r="M84" s="14">
        <v>0</v>
      </c>
    </row>
    <row r="85" spans="1:13" x14ac:dyDescent="0.25">
      <c r="A85" s="2">
        <f>IF(TableTEMaster[[#This Row],[Player]]&lt;&gt;0,A84+1,A84)</f>
        <v>79</v>
      </c>
      <c r="B85" s="2">
        <f>SEA!A$24</f>
        <v>0</v>
      </c>
      <c r="C85" s="2" t="s">
        <v>78</v>
      </c>
      <c r="D85" s="4">
        <f>SEA!C$24</f>
        <v>11</v>
      </c>
      <c r="E85" s="3">
        <f>SEA!L$24</f>
        <v>0</v>
      </c>
      <c r="F85" s="3">
        <f>SEA!M$24</f>
        <v>0</v>
      </c>
      <c r="G85" s="3">
        <f>SEA!N$24</f>
        <v>0</v>
      </c>
      <c r="H85" s="3">
        <f>SEA!O$24</f>
        <v>0</v>
      </c>
      <c r="I85" s="3">
        <f t="shared" si="6"/>
        <v>0</v>
      </c>
      <c r="J85" s="3">
        <f t="shared" si="7"/>
        <v>0</v>
      </c>
      <c r="K85" s="3">
        <f t="shared" si="8"/>
        <v>0</v>
      </c>
      <c r="L85" s="13">
        <f>(TableTEMaster[[#This Row],[TGT]]*TARGETS)+(TableTEMaster[[#This Row],[REC]]*RECEPTIONS_TE)+(TableTEMaster[[#This Row],[RCYD]]*RECV_YARDS)+(TableTEMaster[[#This Row],[RCTD]]*RECV_TDS)</f>
        <v>0</v>
      </c>
      <c r="M85" s="14">
        <v>0</v>
      </c>
    </row>
    <row r="86" spans="1:13" x14ac:dyDescent="0.25">
      <c r="A86" s="2">
        <f>IF(TableTEMaster[[#This Row],[Player]]&lt;&gt;0,A85+1,A85)</f>
        <v>80</v>
      </c>
      <c r="B86" s="2" t="str">
        <f>SF!A$22</f>
        <v>George Kittle</v>
      </c>
      <c r="C86" s="2" t="s">
        <v>79</v>
      </c>
      <c r="D86" s="4">
        <f>SF!C$22</f>
        <v>8</v>
      </c>
      <c r="E86" s="3">
        <f>SF!L$22</f>
        <v>86.967457920000015</v>
      </c>
      <c r="F86" s="3">
        <f>SF!M$22</f>
        <v>67.834617177600009</v>
      </c>
      <c r="G86" s="3">
        <f>SF!N$22</f>
        <v>796.37840566502416</v>
      </c>
      <c r="H86" s="3">
        <f>SF!O$22</f>
        <v>6.9191309521152009</v>
      </c>
      <c r="I86" s="3">
        <f t="shared" si="6"/>
        <v>121.15262627919363</v>
      </c>
      <c r="J86" s="3">
        <f t="shared" si="7"/>
        <v>155.06993486799362</v>
      </c>
      <c r="K86" s="3">
        <f t="shared" si="8"/>
        <v>188.98724345679364</v>
      </c>
      <c r="L86" s="13">
        <f>(TableTEMaster[[#This Row],[TGT]]*TARGETS)+(TableTEMaster[[#This Row],[REC]]*RECEPTIONS_TE)+(TableTEMaster[[#This Row],[RCYD]]*RECV_YARDS)+(TableTEMaster[[#This Row],[RCTD]]*RECV_TDS)</f>
        <v>155.06993486799362</v>
      </c>
      <c r="M86" s="14">
        <v>20.864054671782846</v>
      </c>
    </row>
    <row r="87" spans="1:13" x14ac:dyDescent="0.25">
      <c r="A87" s="2">
        <f>IF(TableTEMaster[[#This Row],[Player]]&lt;&gt;0,A86+1,A86)</f>
        <v>81</v>
      </c>
      <c r="B87" s="2" t="str">
        <f>SF!A$23</f>
        <v>Jake Tonges</v>
      </c>
      <c r="C87" s="2" t="s">
        <v>79</v>
      </c>
      <c r="D87" s="4">
        <f>SF!C$23</f>
        <v>8</v>
      </c>
      <c r="E87" s="3">
        <f>SF!L$23</f>
        <v>22.547118720000004</v>
      </c>
      <c r="F87" s="3">
        <f>SF!M$23</f>
        <v>15.67129135848889</v>
      </c>
      <c r="G87" s="3">
        <f>SF!N$23</f>
        <v>158.59346854790755</v>
      </c>
      <c r="H87" s="3">
        <f>SF!O$23</f>
        <v>1.410416222264</v>
      </c>
      <c r="I87" s="3">
        <f t="shared" si="6"/>
        <v>24.321844188374754</v>
      </c>
      <c r="J87" s="3">
        <f t="shared" si="7"/>
        <v>32.157489867619198</v>
      </c>
      <c r="K87" s="3">
        <f t="shared" si="8"/>
        <v>39.993135546863641</v>
      </c>
      <c r="L87" s="13">
        <f>(TableTEMaster[[#This Row],[TGT]]*TARGETS)+(TableTEMaster[[#This Row],[REC]]*RECEPTIONS_TE)+(TableTEMaster[[#This Row],[RCYD]]*RECV_YARDS)+(TableTEMaster[[#This Row],[RCTD]]*RECV_TDS)</f>
        <v>32.157489867619205</v>
      </c>
      <c r="M87" s="14">
        <v>0</v>
      </c>
    </row>
    <row r="88" spans="1:13" x14ac:dyDescent="0.25">
      <c r="A88" s="2">
        <f>IF(TableTEMaster[[#This Row],[Player]]&lt;&gt;0,A87+1,A87)</f>
        <v>81</v>
      </c>
      <c r="B88" s="2">
        <f>SF!A$24</f>
        <v>0</v>
      </c>
      <c r="C88" s="2" t="s">
        <v>79</v>
      </c>
      <c r="D88" s="4">
        <f>SF!C$24</f>
        <v>8</v>
      </c>
      <c r="E88" s="3">
        <f>SF!L$24</f>
        <v>0</v>
      </c>
      <c r="F88" s="3">
        <f>SF!M$24</f>
        <v>0</v>
      </c>
      <c r="G88" s="3">
        <f>SF!N$24</f>
        <v>0</v>
      </c>
      <c r="H88" s="3">
        <f>SF!O$24</f>
        <v>0</v>
      </c>
      <c r="I88" s="3">
        <f t="shared" si="6"/>
        <v>0</v>
      </c>
      <c r="J88" s="3">
        <f t="shared" si="7"/>
        <v>0</v>
      </c>
      <c r="K88" s="3">
        <f t="shared" si="8"/>
        <v>0</v>
      </c>
      <c r="L88" s="13">
        <f>(TableTEMaster[[#This Row],[TGT]]*TARGETS)+(TableTEMaster[[#This Row],[REC]]*RECEPTIONS_TE)+(TableTEMaster[[#This Row],[RCYD]]*RECV_YARDS)+(TableTEMaster[[#This Row],[RCTD]]*RECV_TDS)</f>
        <v>0</v>
      </c>
      <c r="M88" s="14">
        <v>0</v>
      </c>
    </row>
    <row r="89" spans="1:13" x14ac:dyDescent="0.25">
      <c r="A89" s="2">
        <f>IF(TableTEMaster[[#This Row],[Player]]&lt;&gt;0,A88+1,A88)</f>
        <v>82</v>
      </c>
      <c r="B89" s="2" t="str">
        <f>TB!A$22</f>
        <v>Cade Otton</v>
      </c>
      <c r="C89" s="2" t="s">
        <v>80</v>
      </c>
      <c r="D89" s="4">
        <f>TB!C$22</f>
        <v>10</v>
      </c>
      <c r="E89" s="3">
        <f>TB!L$22</f>
        <v>73.393280939999983</v>
      </c>
      <c r="F89" s="3">
        <f>TB!M$22</f>
        <v>48.586351982279993</v>
      </c>
      <c r="G89" s="3">
        <f>TB!N$22</f>
        <v>469.83002366864753</v>
      </c>
      <c r="H89" s="3">
        <f>TB!O$22</f>
        <v>2.7694220629899595</v>
      </c>
      <c r="I89" s="3">
        <f t="shared" si="6"/>
        <v>63.599534744804508</v>
      </c>
      <c r="J89" s="3">
        <f t="shared" si="7"/>
        <v>87.892710735944505</v>
      </c>
      <c r="K89" s="3">
        <f t="shared" si="8"/>
        <v>112.18588672708449</v>
      </c>
      <c r="L89" s="13">
        <f>(TableTEMaster[[#This Row],[TGT]]*TARGETS)+(TableTEMaster[[#This Row],[REC]]*RECEPTIONS_TE)+(TableTEMaster[[#This Row],[RCYD]]*RECV_YARDS)+(TableTEMaster[[#This Row],[RCTD]]*RECV_TDS)</f>
        <v>87.892710735944519</v>
      </c>
      <c r="M89" s="14">
        <v>2.4875712692474092</v>
      </c>
    </row>
    <row r="90" spans="1:13" x14ac:dyDescent="0.25">
      <c r="A90" s="2">
        <f>IF(TableTEMaster[[#This Row],[Player]]&lt;&gt;0,A89+1,A89)</f>
        <v>83</v>
      </c>
      <c r="B90" s="2" t="str">
        <f>TB!A$23</f>
        <v>Payne Durham</v>
      </c>
      <c r="C90" s="2" t="s">
        <v>80</v>
      </c>
      <c r="D90" s="4">
        <f>TB!C$23</f>
        <v>10</v>
      </c>
      <c r="E90" s="3">
        <f>TB!L$23</f>
        <v>10.484754419999994</v>
      </c>
      <c r="F90" s="3">
        <f>TB!M$23</f>
        <v>6.1964898622199964</v>
      </c>
      <c r="G90" s="3">
        <f>TB!N$23</f>
        <v>64.38152966846576</v>
      </c>
      <c r="H90" s="3">
        <f>TB!O$23</f>
        <v>0.33461045255987981</v>
      </c>
      <c r="I90" s="3">
        <f t="shared" si="6"/>
        <v>8.4458156822058541</v>
      </c>
      <c r="J90" s="3">
        <f t="shared" si="7"/>
        <v>11.544060613315853</v>
      </c>
      <c r="K90" s="3">
        <f t="shared" si="8"/>
        <v>14.642305544425851</v>
      </c>
      <c r="L90" s="13">
        <f>(TableTEMaster[[#This Row],[TGT]]*TARGETS)+(TableTEMaster[[#This Row],[REC]]*RECEPTIONS_TE)+(TableTEMaster[[#This Row],[RCYD]]*RECV_YARDS)+(TableTEMaster[[#This Row],[RCTD]]*RECV_TDS)</f>
        <v>11.544060613315855</v>
      </c>
      <c r="M90" s="14">
        <v>0</v>
      </c>
    </row>
    <row r="91" spans="1:13" x14ac:dyDescent="0.25">
      <c r="A91" s="2">
        <f>IF(TableTEMaster[[#This Row],[Player]]&lt;&gt;0,A90+1,A90)</f>
        <v>83</v>
      </c>
      <c r="B91" s="2">
        <f>TB!A$24</f>
        <v>0</v>
      </c>
      <c r="C91" s="2" t="s">
        <v>80</v>
      </c>
      <c r="D91" s="4">
        <f>TB!C$24</f>
        <v>10</v>
      </c>
      <c r="E91" s="3">
        <f>TB!L$24</f>
        <v>0</v>
      </c>
      <c r="F91" s="3">
        <f>TB!M$24</f>
        <v>0</v>
      </c>
      <c r="G91" s="3">
        <f>TB!N$24</f>
        <v>0</v>
      </c>
      <c r="H91" s="3">
        <f>TB!O$24</f>
        <v>0</v>
      </c>
      <c r="I91" s="3">
        <f t="shared" si="6"/>
        <v>0</v>
      </c>
      <c r="J91" s="3">
        <f t="shared" si="7"/>
        <v>0</v>
      </c>
      <c r="K91" s="3">
        <f t="shared" si="8"/>
        <v>0</v>
      </c>
      <c r="L91" s="13">
        <f>(TableTEMaster[[#This Row],[TGT]]*TARGETS)+(TableTEMaster[[#This Row],[REC]]*RECEPTIONS_TE)+(TableTEMaster[[#This Row],[RCYD]]*RECV_YARDS)+(TableTEMaster[[#This Row],[RCTD]]*RECV_TDS)</f>
        <v>0</v>
      </c>
      <c r="M91" s="14">
        <v>0</v>
      </c>
    </row>
    <row r="92" spans="1:13" x14ac:dyDescent="0.25">
      <c r="A92" s="2">
        <f>IF(TableTEMaster[[#This Row],[Player]]&lt;&gt;0,A91+1,A91)</f>
        <v>84</v>
      </c>
      <c r="B92" s="2" t="str">
        <f>TEN!A$22</f>
        <v>Gunnar Helm</v>
      </c>
      <c r="C92" s="2" t="s">
        <v>81</v>
      </c>
      <c r="D92" s="4">
        <f>TEN!C$22</f>
        <v>9</v>
      </c>
      <c r="E92" s="3">
        <f>TEN!L$22</f>
        <v>62.064011520000015</v>
      </c>
      <c r="F92" s="3">
        <f>TEN!M$22</f>
        <v>43.568936087040008</v>
      </c>
      <c r="G92" s="3">
        <f>TEN!N$22</f>
        <v>378.02372776164873</v>
      </c>
      <c r="H92" s="3">
        <f>TEN!O$22</f>
        <v>3.0498255260928007</v>
      </c>
      <c r="I92" s="3">
        <f t="shared" si="6"/>
        <v>56.101325932721679</v>
      </c>
      <c r="J92" s="3">
        <f t="shared" si="7"/>
        <v>77.885793976241686</v>
      </c>
      <c r="K92" s="3">
        <f t="shared" si="8"/>
        <v>99.67026201976168</v>
      </c>
      <c r="L92" s="13">
        <f>(TableTEMaster[[#This Row],[TGT]]*TARGETS)+(TableTEMaster[[#This Row],[REC]]*RECEPTIONS_TE)+(TableTEMaster[[#This Row],[RCYD]]*RECV_YARDS)+(TableTEMaster[[#This Row],[RCTD]]*RECV_TDS)</f>
        <v>77.885793976241686</v>
      </c>
      <c r="M92" s="14">
        <v>0.26292251074426737</v>
      </c>
    </row>
    <row r="93" spans="1:13" x14ac:dyDescent="0.25">
      <c r="A93" s="2">
        <f>IF(TableTEMaster[[#This Row],[Player]]&lt;&gt;0,A92+1,A92)</f>
        <v>85</v>
      </c>
      <c r="B93" s="2" t="str">
        <f>TEN!A$23</f>
        <v>Daniel Bellinger</v>
      </c>
      <c r="C93" s="2" t="s">
        <v>81</v>
      </c>
      <c r="D93" s="4">
        <f>TEN!C$23</f>
        <v>9</v>
      </c>
      <c r="E93" s="3">
        <f>TEN!L$23</f>
        <v>23.068039680000005</v>
      </c>
      <c r="F93" s="3">
        <f>TEN!M$23</f>
        <v>15.335882163476761</v>
      </c>
      <c r="G93" s="3">
        <f>TEN!N$23</f>
        <v>146.15095701793351</v>
      </c>
      <c r="H93" s="3">
        <f>TEN!O$23</f>
        <v>0.92015292980860564</v>
      </c>
      <c r="I93" s="3">
        <f t="shared" si="6"/>
        <v>20.136013280644985</v>
      </c>
      <c r="J93" s="3">
        <f t="shared" si="7"/>
        <v>27.803954362383365</v>
      </c>
      <c r="K93" s="3">
        <f t="shared" si="8"/>
        <v>35.471895444121742</v>
      </c>
      <c r="L93" s="13">
        <f>(TableTEMaster[[#This Row],[TGT]]*TARGETS)+(TableTEMaster[[#This Row],[REC]]*RECEPTIONS_TE)+(TableTEMaster[[#This Row],[RCYD]]*RECV_YARDS)+(TableTEMaster[[#This Row],[RCTD]]*RECV_TDS)</f>
        <v>27.803954362383365</v>
      </c>
      <c r="M93" s="14">
        <v>0</v>
      </c>
    </row>
    <row r="94" spans="1:13" x14ac:dyDescent="0.25">
      <c r="A94" s="2">
        <f>IF(TableTEMaster[[#This Row],[Player]]&lt;&gt;0,A93+1,A93)</f>
        <v>85</v>
      </c>
      <c r="B94" s="2">
        <f>TEN!A$24</f>
        <v>0</v>
      </c>
      <c r="C94" s="2" t="s">
        <v>81</v>
      </c>
      <c r="D94" s="4">
        <f>TEN!C$24</f>
        <v>9</v>
      </c>
      <c r="E94" s="3">
        <f>TEN!L$24</f>
        <v>0</v>
      </c>
      <c r="F94" s="3">
        <f>TEN!M$24</f>
        <v>0</v>
      </c>
      <c r="G94" s="3">
        <f>TEN!N$24</f>
        <v>0</v>
      </c>
      <c r="H94" s="3">
        <f>TEN!O$24</f>
        <v>0</v>
      </c>
      <c r="I94" s="3">
        <f t="shared" si="6"/>
        <v>0</v>
      </c>
      <c r="J94" s="3">
        <f t="shared" si="7"/>
        <v>0</v>
      </c>
      <c r="K94" s="3">
        <f t="shared" si="8"/>
        <v>0</v>
      </c>
      <c r="L94" s="13">
        <f>(TableTEMaster[[#This Row],[TGT]]*TARGETS)+(TableTEMaster[[#This Row],[REC]]*RECEPTIONS_TE)+(TableTEMaster[[#This Row],[RCYD]]*RECV_YARDS)+(TableTEMaster[[#This Row],[RCTD]]*RECV_TDS)</f>
        <v>0</v>
      </c>
      <c r="M94" s="14">
        <v>0</v>
      </c>
    </row>
    <row r="95" spans="1:13" x14ac:dyDescent="0.25">
      <c r="A95" s="2">
        <f>IF(TableTEMaster[[#This Row],[Player]]&lt;&gt;0,A94+1,A94)</f>
        <v>86</v>
      </c>
      <c r="B95" s="2" t="str">
        <f>WSH!A$22</f>
        <v>Chig Okonkwo</v>
      </c>
      <c r="C95" s="2" t="s">
        <v>84</v>
      </c>
      <c r="D95" s="4">
        <f>WSH!C$22</f>
        <v>7</v>
      </c>
      <c r="E95" s="3">
        <f>WSH!L$22</f>
        <v>87.118912999999978</v>
      </c>
      <c r="F95" s="3">
        <f>WSH!M$22</f>
        <v>62.290022794999985</v>
      </c>
      <c r="G95" s="3">
        <f>WSH!N$22</f>
        <v>650.30783797979984</v>
      </c>
      <c r="H95" s="3">
        <f>WSH!O$22</f>
        <v>4.2980115728549997</v>
      </c>
      <c r="I95" s="3">
        <f t="shared" si="6"/>
        <v>90.81885323510997</v>
      </c>
      <c r="J95" s="3">
        <f t="shared" si="7"/>
        <v>121.96386463260995</v>
      </c>
      <c r="K95" s="3">
        <f t="shared" si="8"/>
        <v>153.10887603010997</v>
      </c>
      <c r="L95" s="13">
        <f>(TableTEMaster[[#This Row],[TGT]]*TARGETS)+(TableTEMaster[[#This Row],[REC]]*RECEPTIONS_TE)+(TableTEMaster[[#This Row],[RCYD]]*RECV_YARDS)+(TableTEMaster[[#This Row],[RCTD]]*RECV_TDS)</f>
        <v>121.96386463260998</v>
      </c>
      <c r="M95" s="14">
        <v>4.5112693426953232</v>
      </c>
    </row>
    <row r="96" spans="1:13" x14ac:dyDescent="0.25">
      <c r="A96" s="2">
        <f>IF(TableTEMaster[[#This Row],[Player]]&lt;&gt;0,A95+1,A95)</f>
        <v>87</v>
      </c>
      <c r="B96" s="2" t="str">
        <f>WSH!A$23</f>
        <v>Ben Sinnott</v>
      </c>
      <c r="C96" s="2" t="s">
        <v>84</v>
      </c>
      <c r="D96" s="4">
        <f>WSH!C$23</f>
        <v>7</v>
      </c>
      <c r="E96" s="3">
        <f>WSH!L$23</f>
        <v>13.939026079999998</v>
      </c>
      <c r="F96" s="3">
        <f>WSH!M$23</f>
        <v>9.785196308159998</v>
      </c>
      <c r="G96" s="3">
        <f>WSH!N$23</f>
        <v>92.719709704010924</v>
      </c>
      <c r="H96" s="3">
        <f>WSH!O$23</f>
        <v>0.60668217110591982</v>
      </c>
      <c r="I96" s="3">
        <f t="shared" si="6"/>
        <v>12.912063997036611</v>
      </c>
      <c r="J96" s="3">
        <f t="shared" si="7"/>
        <v>17.804662151116609</v>
      </c>
      <c r="K96" s="3">
        <f t="shared" si="8"/>
        <v>22.697260305196608</v>
      </c>
      <c r="L96" s="13">
        <f>(TableTEMaster[[#This Row],[TGT]]*TARGETS)+(TableTEMaster[[#This Row],[REC]]*RECEPTIONS_TE)+(TableTEMaster[[#This Row],[RCYD]]*RECV_YARDS)+(TableTEMaster[[#This Row],[RCTD]]*RECV_TDS)</f>
        <v>17.804662151116609</v>
      </c>
      <c r="M96" s="14">
        <v>0</v>
      </c>
    </row>
    <row r="97" spans="1:13" x14ac:dyDescent="0.25">
      <c r="A97" s="2">
        <f>IF(TableTEMaster[[#This Row],[Player]]&lt;&gt;0,A96+1,A96)</f>
        <v>87</v>
      </c>
      <c r="B97" s="2">
        <f>WSH!A$24</f>
        <v>0</v>
      </c>
      <c r="C97" s="2" t="s">
        <v>84</v>
      </c>
      <c r="D97" s="4">
        <f>WSH!C$24</f>
        <v>7</v>
      </c>
      <c r="E97" s="3">
        <f>WSH!L$24</f>
        <v>0</v>
      </c>
      <c r="F97" s="3">
        <f>WSH!M$24</f>
        <v>0</v>
      </c>
      <c r="G97" s="3">
        <f>WSH!N$24</f>
        <v>0</v>
      </c>
      <c r="H97" s="3">
        <f>WSH!O$24</f>
        <v>0</v>
      </c>
      <c r="I97" s="3">
        <f t="shared" si="6"/>
        <v>0</v>
      </c>
      <c r="J97" s="3">
        <f t="shared" si="7"/>
        <v>0</v>
      </c>
      <c r="K97" s="3">
        <f t="shared" si="8"/>
        <v>0</v>
      </c>
      <c r="L97" s="13">
        <f>(TableTEMaster[[#This Row],[TGT]]*TARGETS)+(TableTEMaster[[#This Row],[REC]]*RECEPTIONS_TE)+(TableTEMaster[[#This Row],[RCYD]]*RECV_YARDS)+(TableTEMaster[[#This Row],[RCTD]]*RECV_TDS)</f>
        <v>0</v>
      </c>
      <c r="M97" s="14">
        <v>0</v>
      </c>
    </row>
  </sheetData>
  <sortState xmlns:xlrd2="http://schemas.microsoft.com/office/spreadsheetml/2017/richdata2" ref="B2:K97">
    <sortCondition ref="C2:C129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E33"/>
  <sheetViews>
    <sheetView showGridLines="0" zoomScale="85" zoomScaleNormal="85" workbookViewId="0">
      <selection activeCell="B33" sqref="B33"/>
    </sheetView>
  </sheetViews>
  <sheetFormatPr defaultColWidth="9.140625" defaultRowHeight="15" x14ac:dyDescent="0.25"/>
  <cols>
    <col min="1" max="1" width="10" style="2" bestFit="1" customWidth="1"/>
    <col min="2" max="2" width="26.5703125" style="2" bestFit="1" customWidth="1"/>
    <col min="3" max="3" width="7" style="2" bestFit="1" customWidth="1"/>
    <col min="4" max="4" width="10" style="2" bestFit="1" customWidth="1"/>
    <col min="5" max="5" width="8.42578125" style="2" bestFit="1" customWidth="1"/>
    <col min="6" max="16384" width="9.140625" style="2"/>
  </cols>
  <sheetData>
    <row r="1" spans="1:5" x14ac:dyDescent="0.25">
      <c r="A1" s="1" t="s">
        <v>291</v>
      </c>
      <c r="B1" s="1" t="s">
        <v>252</v>
      </c>
      <c r="C1" s="1" t="s">
        <v>87</v>
      </c>
      <c r="D1" s="1" t="s">
        <v>249</v>
      </c>
      <c r="E1" s="1" t="s">
        <v>232</v>
      </c>
    </row>
    <row r="2" spans="1:5" x14ac:dyDescent="0.25">
      <c r="A2" s="2">
        <v>1</v>
      </c>
      <c r="B2" s="2" t="str">
        <f>DST!B2</f>
        <v>Arizona Cardinals</v>
      </c>
      <c r="C2" s="4">
        <f>DST!D2</f>
        <v>14</v>
      </c>
      <c r="D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101.91904761904763</v>
      </c>
      <c r="E2" s="16">
        <v>0.1601309495188814</v>
      </c>
    </row>
    <row r="3" spans="1:5" x14ac:dyDescent="0.25">
      <c r="A3" s="2">
        <v>2</v>
      </c>
      <c r="B3" s="2" t="str">
        <f>DST!B3</f>
        <v>Atlanta Falcons</v>
      </c>
      <c r="C3" s="4">
        <f>DST!D3</f>
        <v>11</v>
      </c>
      <c r="D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125.45</v>
      </c>
      <c r="E3" s="16">
        <v>0</v>
      </c>
    </row>
    <row r="4" spans="1:5" x14ac:dyDescent="0.25">
      <c r="A4" s="2">
        <v>3</v>
      </c>
      <c r="B4" s="2" t="str">
        <f>DST!B4</f>
        <v>Baltimore Ravens</v>
      </c>
      <c r="C4" s="4">
        <f>DST!D4</f>
        <v>13</v>
      </c>
      <c r="D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121.13571428571429</v>
      </c>
      <c r="E4" s="16">
        <v>0.26989971239398014</v>
      </c>
    </row>
    <row r="5" spans="1:5" x14ac:dyDescent="0.25">
      <c r="A5" s="2">
        <v>4</v>
      </c>
      <c r="B5" s="2" t="str">
        <f>DST!B5</f>
        <v>Buffalo Bills</v>
      </c>
      <c r="C5" s="4">
        <f>DST!D5</f>
        <v>7</v>
      </c>
      <c r="D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120.82857142857142</v>
      </c>
      <c r="E5" s="16">
        <v>0.12648798533843186</v>
      </c>
    </row>
    <row r="6" spans="1:5" x14ac:dyDescent="0.25">
      <c r="A6" s="2">
        <v>5</v>
      </c>
      <c r="B6" s="2" t="str">
        <f>DST!B6</f>
        <v>Carolina Panthers</v>
      </c>
      <c r="C6" s="4">
        <f>DST!D6</f>
        <v>5</v>
      </c>
      <c r="D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104.10714285714286</v>
      </c>
      <c r="E6" s="16">
        <v>0</v>
      </c>
    </row>
    <row r="7" spans="1:5" x14ac:dyDescent="0.25">
      <c r="A7" s="2">
        <v>6</v>
      </c>
      <c r="B7" s="2" t="str">
        <f>DST!B7</f>
        <v>Chicago Bears</v>
      </c>
      <c r="C7" s="4">
        <f>DST!D7</f>
        <v>10</v>
      </c>
      <c r="D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129.67380952380952</v>
      </c>
      <c r="E7" s="16">
        <v>0</v>
      </c>
    </row>
    <row r="8" spans="1:5" x14ac:dyDescent="0.25">
      <c r="A8" s="2">
        <v>7</v>
      </c>
      <c r="B8" s="2" t="str">
        <f>DST!B8</f>
        <v>Cincinnati Bengals</v>
      </c>
      <c r="C8" s="4">
        <f>DST!D8</f>
        <v>6</v>
      </c>
      <c r="D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108.26904761904761</v>
      </c>
      <c r="E8" s="16">
        <v>0</v>
      </c>
    </row>
    <row r="9" spans="1:5" x14ac:dyDescent="0.25">
      <c r="A9" s="2">
        <v>8</v>
      </c>
      <c r="B9" s="2" t="str">
        <f>DST!B9</f>
        <v>Cleveland Browns</v>
      </c>
      <c r="C9" s="4">
        <f>DST!D9</f>
        <v>11</v>
      </c>
      <c r="D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119.90714285714287</v>
      </c>
      <c r="E9" s="16">
        <v>5.739541041219344E-2</v>
      </c>
    </row>
    <row r="10" spans="1:5" x14ac:dyDescent="0.25">
      <c r="A10" s="2">
        <v>9</v>
      </c>
      <c r="B10" s="2" t="str">
        <f>DST!B10</f>
        <v>Dallas Cowboys</v>
      </c>
      <c r="C10" s="4">
        <f>DST!D10</f>
        <v>14</v>
      </c>
      <c r="D1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104.11904761904762</v>
      </c>
      <c r="E10" s="16">
        <v>0</v>
      </c>
    </row>
    <row r="11" spans="1:5" x14ac:dyDescent="0.25">
      <c r="A11" s="2">
        <v>10</v>
      </c>
      <c r="B11" s="2" t="str">
        <f>DST!B11</f>
        <v>Denver Broncos</v>
      </c>
      <c r="C11" s="4">
        <f>DST!D11</f>
        <v>10</v>
      </c>
      <c r="D1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140.82142857142858</v>
      </c>
      <c r="E11" s="16">
        <v>0</v>
      </c>
    </row>
    <row r="12" spans="1:5" x14ac:dyDescent="0.25">
      <c r="A12" s="2">
        <v>11</v>
      </c>
      <c r="B12" s="2" t="str">
        <f>DST!B12</f>
        <v>Detroit Lions</v>
      </c>
      <c r="C12" s="4">
        <f>DST!D12</f>
        <v>6</v>
      </c>
      <c r="D1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123.31190476190474</v>
      </c>
      <c r="E12" s="16">
        <v>0</v>
      </c>
    </row>
    <row r="13" spans="1:5" x14ac:dyDescent="0.25">
      <c r="A13" s="2">
        <v>12</v>
      </c>
      <c r="B13" s="2" t="str">
        <f>DST!B13</f>
        <v>Green Bay Packers</v>
      </c>
      <c r="C13" s="4">
        <f>DST!D13</f>
        <v>11</v>
      </c>
      <c r="D1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112.32142857142857</v>
      </c>
      <c r="E13" s="16">
        <v>0.11135103317964741</v>
      </c>
    </row>
    <row r="14" spans="1:5" x14ac:dyDescent="0.25">
      <c r="A14" s="2">
        <v>13</v>
      </c>
      <c r="B14" s="2" t="str">
        <f>DST!B14</f>
        <v>Houston Texans</v>
      </c>
      <c r="C14" s="4">
        <f>DST!D14</f>
        <v>8</v>
      </c>
      <c r="D1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147.00238095238095</v>
      </c>
      <c r="E14" s="16">
        <v>0</v>
      </c>
    </row>
    <row r="15" spans="1:5" x14ac:dyDescent="0.25">
      <c r="A15" s="2">
        <v>14</v>
      </c>
      <c r="B15" s="2" t="str">
        <f>DST!B15</f>
        <v>Indianapolis Colts</v>
      </c>
      <c r="C15" s="4">
        <f>DST!D15</f>
        <v>13</v>
      </c>
      <c r="D1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114.31190476190477</v>
      </c>
      <c r="E15" s="16">
        <v>0.30436492593653164</v>
      </c>
    </row>
    <row r="16" spans="1:5" x14ac:dyDescent="0.25">
      <c r="A16" s="2">
        <v>15</v>
      </c>
      <c r="B16" s="2" t="str">
        <f>DST!B16</f>
        <v>Jacksonville Jaguars</v>
      </c>
      <c r="C16" s="4">
        <f>DST!D16</f>
        <v>7</v>
      </c>
      <c r="D1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126.9047619047619</v>
      </c>
      <c r="E16" s="16">
        <v>0</v>
      </c>
    </row>
    <row r="17" spans="1:5" x14ac:dyDescent="0.25">
      <c r="A17" s="2">
        <v>16</v>
      </c>
      <c r="B17" s="2" t="str">
        <f>DST!B17</f>
        <v>Kansas City Chiefs</v>
      </c>
      <c r="C17" s="4">
        <f>DST!D17</f>
        <v>5</v>
      </c>
      <c r="D1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108.76428571428572</v>
      </c>
      <c r="E17" s="16">
        <v>0</v>
      </c>
    </row>
    <row r="18" spans="1:5" x14ac:dyDescent="0.25">
      <c r="A18" s="2">
        <v>17</v>
      </c>
      <c r="B18" s="2" t="str">
        <f>DST!B18</f>
        <v>Las Vegas Raiders</v>
      </c>
      <c r="C18" s="4">
        <f>DST!D18</f>
        <v>13</v>
      </c>
      <c r="D1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102.41904761904762</v>
      </c>
      <c r="E18" s="16">
        <v>0</v>
      </c>
    </row>
    <row r="19" spans="1:5" x14ac:dyDescent="0.25">
      <c r="A19" s="2">
        <v>18</v>
      </c>
      <c r="B19" s="2" t="str">
        <f>DST!B19</f>
        <v>Los Angeles Chargers</v>
      </c>
      <c r="C19" s="4">
        <f>DST!D19</f>
        <v>7</v>
      </c>
      <c r="D1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127.4904761904762</v>
      </c>
      <c r="E19" s="16">
        <v>0</v>
      </c>
    </row>
    <row r="20" spans="1:5" x14ac:dyDescent="0.25">
      <c r="A20" s="2">
        <v>19</v>
      </c>
      <c r="B20" s="2" t="str">
        <f>DST!B20</f>
        <v>Los Angeles Rams</v>
      </c>
      <c r="C20" s="4">
        <f>DST!D20</f>
        <v>11</v>
      </c>
      <c r="D2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138.21190476190475</v>
      </c>
      <c r="E20" s="16">
        <v>1.4689537351671356</v>
      </c>
    </row>
    <row r="21" spans="1:5" x14ac:dyDescent="0.25">
      <c r="A21" s="2">
        <v>20</v>
      </c>
      <c r="B21" s="2" t="str">
        <f>DST!B21</f>
        <v>Miami Dolphins</v>
      </c>
      <c r="C21" s="4">
        <f>DST!D21</f>
        <v>6</v>
      </c>
      <c r="D2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110.49761904761904</v>
      </c>
      <c r="E21" s="16">
        <v>0</v>
      </c>
    </row>
    <row r="22" spans="1:5" x14ac:dyDescent="0.25">
      <c r="A22" s="2">
        <v>21</v>
      </c>
      <c r="B22" s="2" t="str">
        <f>DST!B22</f>
        <v>Minnesota Vikings</v>
      </c>
      <c r="C22" s="4">
        <f>DST!D22</f>
        <v>6</v>
      </c>
      <c r="D2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135.89761904761903</v>
      </c>
      <c r="E22" s="16">
        <v>0</v>
      </c>
    </row>
    <row r="23" spans="1:5" x14ac:dyDescent="0.25">
      <c r="A23" s="2">
        <v>22</v>
      </c>
      <c r="B23" s="2" t="str">
        <f>DST!B23</f>
        <v>New England Patriots</v>
      </c>
      <c r="C23" s="4">
        <f>DST!D23</f>
        <v>11</v>
      </c>
      <c r="D2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120.17380952380952</v>
      </c>
      <c r="E23" s="16">
        <v>0</v>
      </c>
    </row>
    <row r="24" spans="1:5" x14ac:dyDescent="0.25">
      <c r="A24" s="2">
        <v>23</v>
      </c>
      <c r="B24" s="2" t="str">
        <f>DST!B24</f>
        <v>New Orleans Saints</v>
      </c>
      <c r="C24" s="4">
        <f>DST!D24</f>
        <v>8</v>
      </c>
      <c r="D2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119.95238095238095</v>
      </c>
      <c r="E24" s="16">
        <v>0</v>
      </c>
    </row>
    <row r="25" spans="1:5" x14ac:dyDescent="0.25">
      <c r="A25" s="2">
        <v>24</v>
      </c>
      <c r="B25" s="2" t="str">
        <f>DST!B25</f>
        <v>New York Giants</v>
      </c>
      <c r="C25" s="4">
        <f>DST!D25</f>
        <v>8</v>
      </c>
      <c r="D2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109.32380952380953</v>
      </c>
      <c r="E25" s="16">
        <v>0</v>
      </c>
    </row>
    <row r="26" spans="1:5" x14ac:dyDescent="0.25">
      <c r="A26" s="2">
        <v>25</v>
      </c>
      <c r="B26" s="2" t="str">
        <f>DST!B26</f>
        <v>New York Jets</v>
      </c>
      <c r="C26" s="4">
        <f>DST!D26</f>
        <v>13</v>
      </c>
      <c r="D2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100.11904761904762</v>
      </c>
      <c r="E26" s="16">
        <v>0</v>
      </c>
    </row>
    <row r="27" spans="1:5" x14ac:dyDescent="0.25">
      <c r="A27" s="2">
        <v>26</v>
      </c>
      <c r="B27" s="2" t="str">
        <f>DST!B27</f>
        <v>Philadelphia Eagles</v>
      </c>
      <c r="C27" s="4">
        <f>DST!D27</f>
        <v>10</v>
      </c>
      <c r="D2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127.72380952380951</v>
      </c>
      <c r="E27" s="16">
        <v>0</v>
      </c>
    </row>
    <row r="28" spans="1:5" x14ac:dyDescent="0.25">
      <c r="A28" s="2">
        <v>27</v>
      </c>
      <c r="B28" s="2" t="str">
        <f>DST!B28</f>
        <v>Pittsburgh Steelers</v>
      </c>
      <c r="C28" s="4">
        <f>DST!D28</f>
        <v>9</v>
      </c>
      <c r="D2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137.51428571428571</v>
      </c>
      <c r="E28" s="16">
        <v>0.69174930560247694</v>
      </c>
    </row>
    <row r="29" spans="1:5" x14ac:dyDescent="0.25">
      <c r="A29" s="2">
        <v>28</v>
      </c>
      <c r="B29" s="2" t="str">
        <f>DST!B29</f>
        <v>San Francisco 49ers</v>
      </c>
      <c r="C29" s="4">
        <f>DST!D29</f>
        <v>8</v>
      </c>
      <c r="D2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106.16666666666666</v>
      </c>
      <c r="E29" s="16">
        <v>0.21909806626723186</v>
      </c>
    </row>
    <row r="30" spans="1:5" x14ac:dyDescent="0.25">
      <c r="A30" s="2">
        <v>29</v>
      </c>
      <c r="B30" s="2" t="str">
        <f>DST!B30</f>
        <v>Seattle Seahawks</v>
      </c>
      <c r="C30" s="4">
        <f>DST!D30</f>
        <v>11</v>
      </c>
      <c r="D3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142.73571428571427</v>
      </c>
      <c r="E30" s="16">
        <v>0</v>
      </c>
    </row>
    <row r="31" spans="1:5" x14ac:dyDescent="0.25">
      <c r="A31" s="2">
        <v>30</v>
      </c>
      <c r="B31" s="2" t="str">
        <f>DST!B31</f>
        <v>Tampa Bay Buccaneers</v>
      </c>
      <c r="C31" s="4">
        <f>DST!D31</f>
        <v>10</v>
      </c>
      <c r="D3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109.98333333333332</v>
      </c>
      <c r="E31" s="16">
        <v>2</v>
      </c>
    </row>
    <row r="32" spans="1:5" x14ac:dyDescent="0.25">
      <c r="A32" s="2">
        <v>31</v>
      </c>
      <c r="B32" s="2" t="str">
        <f>DST!B32</f>
        <v>Tennessee Titans</v>
      </c>
      <c r="C32" s="4">
        <f>DST!D32</f>
        <v>9</v>
      </c>
      <c r="D3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107.72619047619047</v>
      </c>
      <c r="E32" s="16">
        <v>0</v>
      </c>
    </row>
    <row r="33" spans="1:5" x14ac:dyDescent="0.25">
      <c r="A33" s="2">
        <v>32</v>
      </c>
      <c r="B33" s="2" t="str">
        <f>DST!B33</f>
        <v>Washington Commanders</v>
      </c>
      <c r="C33" s="4">
        <f>DST!D33</f>
        <v>7</v>
      </c>
      <c r="D3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105.61904761904762</v>
      </c>
      <c r="E33" s="16">
        <v>1.1054705371824296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42</vt:i4>
      </vt:variant>
    </vt:vector>
  </HeadingPairs>
  <TitlesOfParts>
    <vt:vector size="90" baseType="lpstr">
      <vt:lpstr>Instructions</vt:lpstr>
      <vt:lpstr>Settings</vt:lpstr>
      <vt:lpstr>POS Ranks</vt:lpstr>
      <vt:lpstr>OVR &amp; VORP Ranks</vt:lpstr>
      <vt:lpstr>Ranks w Proj</vt:lpstr>
      <vt:lpstr>Jake's Ranks</vt:lpstr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JAX</vt:lpstr>
      <vt:lpstr>KC</vt:lpstr>
      <vt:lpstr>LV</vt:lpstr>
      <vt:lpstr>LAC</vt:lpstr>
      <vt:lpstr>LAR</vt:lpstr>
      <vt:lpstr>MIA</vt:lpstr>
      <vt:lpstr>MIN</vt:lpstr>
      <vt:lpstr>NE</vt:lpstr>
      <vt:lpstr>NO</vt:lpstr>
      <vt:lpstr>NYG</vt:lpstr>
      <vt:lpstr>NYJ</vt:lpstr>
      <vt:lpstr>PHI</vt:lpstr>
      <vt:lpstr>PIT</vt:lpstr>
      <vt:lpstr>SF</vt:lpstr>
      <vt:lpstr>SEA</vt:lpstr>
      <vt:lpstr>TB</vt:lpstr>
      <vt:lpstr>TEN</vt:lpstr>
      <vt:lpstr>WSH</vt:lpstr>
      <vt:lpstr>DST</vt:lpstr>
      <vt:lpstr>Jake PPR</vt:lpstr>
      <vt:lpstr>Jake Non</vt:lpstr>
      <vt:lpstr>Calculated Points</vt:lpstr>
      <vt:lpstr>Rankings</vt:lpstr>
      <vt:lpstr>QB</vt:lpstr>
      <vt:lpstr>RB</vt:lpstr>
      <vt:lpstr>WR</vt:lpstr>
      <vt:lpstr>TE</vt:lpstr>
      <vt:lpstr>DST1</vt:lpstr>
      <vt:lpstr>COMPLETIONS</vt:lpstr>
      <vt:lpstr>DEF_0_PTS_ALLOW</vt:lpstr>
      <vt:lpstr>DEF_1_6_PTS_ALLOW</vt:lpstr>
      <vt:lpstr>DEF_14_21_PTS_ALLOW</vt:lpstr>
      <vt:lpstr>DEF_22_27_PTS_ALLOW</vt:lpstr>
      <vt:lpstr>DEF_28_35_PTS_ALLOW</vt:lpstr>
      <vt:lpstr>DEF_35__PTS_ALLOW</vt:lpstr>
      <vt:lpstr>DEF_7_13_PTS_ALLOW</vt:lpstr>
      <vt:lpstr>DEF_FORCE_FUMBLE</vt:lpstr>
      <vt:lpstr>DEF_INT</vt:lpstr>
      <vt:lpstr>DEF_RECOVER_FUMBLE</vt:lpstr>
      <vt:lpstr>DEF_SACKS</vt:lpstr>
      <vt:lpstr>DEF_SAFETIES</vt:lpstr>
      <vt:lpstr>DEF_TOUCHDOWN</vt:lpstr>
      <vt:lpstr>FLEXVORPCalc</vt:lpstr>
      <vt:lpstr>INTERCEPTIONS</vt:lpstr>
      <vt:lpstr>PASS_ATTEMPTS</vt:lpstr>
      <vt:lpstr>PASS_TDS</vt:lpstr>
      <vt:lpstr>PASS_YARDS</vt:lpstr>
      <vt:lpstr>QBVORPCalc</vt:lpstr>
      <vt:lpstr>RBVORPCalc</vt:lpstr>
      <vt:lpstr>RECEPTIONS_RB</vt:lpstr>
      <vt:lpstr>RECEPTIONS_TE</vt:lpstr>
      <vt:lpstr>RECEPTIONS_WR</vt:lpstr>
      <vt:lpstr>RECV_TDS</vt:lpstr>
      <vt:lpstr>RECV_YARDS</vt:lpstr>
      <vt:lpstr>RUSH_ATTEMPTS</vt:lpstr>
      <vt:lpstr>RUSH_TDS</vt:lpstr>
      <vt:lpstr>RUSH_YARDS</vt:lpstr>
      <vt:lpstr>SFLEXVORPCalc</vt:lpstr>
      <vt:lpstr>STARTING_DST</vt:lpstr>
      <vt:lpstr>STARTING_FLEX</vt:lpstr>
      <vt:lpstr>STARTING_QB</vt:lpstr>
      <vt:lpstr>STARTING_RB</vt:lpstr>
      <vt:lpstr>STARTING_SUPERFLEX</vt:lpstr>
      <vt:lpstr>STARTING_TE</vt:lpstr>
      <vt:lpstr>STARTING_WR</vt:lpstr>
      <vt:lpstr>TARGETS</vt:lpstr>
      <vt:lpstr>TEAMS</vt:lpstr>
      <vt:lpstr>TEVORPCalc</vt:lpstr>
      <vt:lpstr>WRTEVORPCalc</vt:lpstr>
      <vt:lpstr>WRVORPCalc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Daniel McCaffrey</cp:lastModifiedBy>
  <dcterms:created xsi:type="dcterms:W3CDTF">2019-06-07T20:23:38Z</dcterms:created>
  <dcterms:modified xsi:type="dcterms:W3CDTF">2026-08-04T14:36:04Z</dcterms:modified>
</cp:coreProperties>
</file>